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leming Mason/2022 Rate Case 2023-00223/COS ^0 Rates/"/>
    </mc:Choice>
  </mc:AlternateContent>
  <xr:revisionPtr revIDLastSave="0" documentId="8_{025D9FFE-5292-4EEE-B09F-8F8AE04876BC}" xr6:coauthVersionLast="47" xr6:coauthVersionMax="47" xr10:uidLastSave="{00000000-0000-0000-0000-000000000000}"/>
  <bookViews>
    <workbookView xWindow="-108" yWindow="-108" windowWidth="23256" windowHeight="12456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externalReferences>
    <externalReference r:id="rId11"/>
  </externalReferences>
  <definedNames>
    <definedName name="_xlnm.Print_Area" localSheetId="3">'Alloc &amp; Returns'!$A$1:$U$660</definedName>
    <definedName name="_xlnm.Print_Area" localSheetId="4">'Billing Det'!$A$1:$T$207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Power'!$A$1:$O$132</definedName>
    <definedName name="_xlnm.Print_Area" localSheetId="7">Services!$A$1:$G$33</definedName>
    <definedName name="_xlnm.Print_Area" localSheetId="1">'Summary of Rates'!$A$1:$G$18</definedName>
    <definedName name="_xlnm.Print_Area" localSheetId="0">'Summary of Returns'!$A$1:$H$52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9">ZeroInt!$1:$3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0" i="2" l="1"/>
  <c r="L370" i="2"/>
  <c r="I370" i="2"/>
  <c r="H370" i="2"/>
  <c r="G370" i="2"/>
  <c r="F370" i="2"/>
  <c r="C110" i="15" l="1"/>
  <c r="C112" i="15" s="1"/>
  <c r="C114" i="15" s="1"/>
  <c r="C120" i="15"/>
  <c r="S355" i="2"/>
  <c r="R355" i="2"/>
  <c r="Q355" i="2"/>
  <c r="AM372" i="2"/>
  <c r="C115" i="15" l="1"/>
  <c r="Q656" i="2"/>
  <c r="Q650" i="2"/>
  <c r="Q617" i="2"/>
  <c r="E355" i="2"/>
  <c r="K355" i="2"/>
  <c r="J355" i="2"/>
  <c r="I355" i="2"/>
  <c r="H355" i="2"/>
  <c r="G355" i="2"/>
  <c r="F355" i="2"/>
  <c r="D93" i="15" l="1"/>
  <c r="E93" i="15"/>
  <c r="F93" i="15"/>
  <c r="G93" i="15"/>
  <c r="H93" i="15"/>
  <c r="I93" i="15"/>
  <c r="J93" i="15"/>
  <c r="K93" i="15"/>
  <c r="L93" i="15"/>
  <c r="M93" i="15"/>
  <c r="N93" i="15"/>
  <c r="C93" i="15"/>
  <c r="D91" i="15" l="1"/>
  <c r="E91" i="15"/>
  <c r="F91" i="15"/>
  <c r="G91" i="15"/>
  <c r="H91" i="15"/>
  <c r="I91" i="15"/>
  <c r="J91" i="15"/>
  <c r="K91" i="15"/>
  <c r="L91" i="15"/>
  <c r="M91" i="15"/>
  <c r="N91" i="15"/>
  <c r="C91" i="15"/>
  <c r="D81" i="15"/>
  <c r="E81" i="15"/>
  <c r="F81" i="15"/>
  <c r="G81" i="15"/>
  <c r="H81" i="15"/>
  <c r="I81" i="15"/>
  <c r="J81" i="15"/>
  <c r="K81" i="15"/>
  <c r="L81" i="15"/>
  <c r="M81" i="15"/>
  <c r="N81" i="15"/>
  <c r="C81" i="15"/>
  <c r="D71" i="15"/>
  <c r="E71" i="15"/>
  <c r="F71" i="15"/>
  <c r="G71" i="15"/>
  <c r="H71" i="15"/>
  <c r="I71" i="15"/>
  <c r="J71" i="15"/>
  <c r="K71" i="15"/>
  <c r="L71" i="15"/>
  <c r="M71" i="15"/>
  <c r="N71" i="15"/>
  <c r="C71" i="15"/>
  <c r="D61" i="15"/>
  <c r="E61" i="15"/>
  <c r="F61" i="15"/>
  <c r="G61" i="15"/>
  <c r="H61" i="15"/>
  <c r="I61" i="15"/>
  <c r="J61" i="15"/>
  <c r="K61" i="15"/>
  <c r="L61" i="15"/>
  <c r="M61" i="15"/>
  <c r="N61" i="15"/>
  <c r="C61" i="15"/>
  <c r="D51" i="15"/>
  <c r="E51" i="15"/>
  <c r="F51" i="15"/>
  <c r="G51" i="15"/>
  <c r="H51" i="15"/>
  <c r="I51" i="15"/>
  <c r="J51" i="15"/>
  <c r="K51" i="15"/>
  <c r="L51" i="15"/>
  <c r="M51" i="15"/>
  <c r="N51" i="15"/>
  <c r="C51" i="15"/>
  <c r="D192" i="15"/>
  <c r="E192" i="15"/>
  <c r="F192" i="15"/>
  <c r="G192" i="15"/>
  <c r="H192" i="15"/>
  <c r="I192" i="15"/>
  <c r="J192" i="15"/>
  <c r="K192" i="15"/>
  <c r="L192" i="15"/>
  <c r="M192" i="15"/>
  <c r="N192" i="15"/>
  <c r="C192" i="15"/>
  <c r="D162" i="15"/>
  <c r="E162" i="15"/>
  <c r="F162" i="15"/>
  <c r="G162" i="15"/>
  <c r="H162" i="15"/>
  <c r="I162" i="15"/>
  <c r="J162" i="15"/>
  <c r="K162" i="15"/>
  <c r="L162" i="15"/>
  <c r="M162" i="15"/>
  <c r="N162" i="15"/>
  <c r="C162" i="15"/>
  <c r="C122" i="15"/>
  <c r="C124" i="15" s="1"/>
  <c r="E15" i="15" l="1"/>
  <c r="E314" i="2" l="1"/>
  <c r="T458" i="2" l="1"/>
  <c r="U458" i="2"/>
  <c r="F49" i="18" l="1"/>
  <c r="H49" i="18" s="1"/>
  <c r="F50" i="18"/>
  <c r="H50" i="18" s="1"/>
  <c r="O159" i="16"/>
  <c r="O160" i="16" s="1"/>
  <c r="D159" i="16"/>
  <c r="E159" i="16"/>
  <c r="F159" i="16"/>
  <c r="G159" i="16"/>
  <c r="H159" i="16"/>
  <c r="I159" i="16"/>
  <c r="J159" i="16"/>
  <c r="K159" i="16"/>
  <c r="L159" i="16"/>
  <c r="M159" i="16"/>
  <c r="N159" i="16"/>
  <c r="D160" i="16"/>
  <c r="E160" i="16"/>
  <c r="F160" i="16"/>
  <c r="G160" i="16"/>
  <c r="H160" i="16"/>
  <c r="I160" i="16"/>
  <c r="J160" i="16"/>
  <c r="K160" i="16"/>
  <c r="L160" i="16"/>
  <c r="M160" i="16"/>
  <c r="N160" i="16"/>
  <c r="C160" i="16"/>
  <c r="C159" i="16"/>
  <c r="C49" i="18"/>
  <c r="J49" i="18" s="1"/>
  <c r="I49" i="18"/>
  <c r="I50" i="18"/>
  <c r="J50" i="18"/>
  <c r="F47" i="18"/>
  <c r="H47" i="18" s="1"/>
  <c r="I47" i="18"/>
  <c r="J47" i="18"/>
  <c r="F48" i="18"/>
  <c r="H48" i="18" s="1"/>
  <c r="I48" i="18"/>
  <c r="J48" i="18"/>
  <c r="F46" i="18" l="1"/>
  <c r="H46" i="18" s="1"/>
  <c r="I46" i="18"/>
  <c r="J46" i="18"/>
  <c r="F51" i="18"/>
  <c r="H51" i="18" s="1"/>
  <c r="I51" i="18"/>
  <c r="J51" i="18"/>
  <c r="A32" i="8" l="1"/>
  <c r="A33" i="9"/>
  <c r="C39" i="15"/>
  <c r="Q438" i="2"/>
  <c r="R438" i="2"/>
  <c r="S438" i="2"/>
  <c r="T438" i="2"/>
  <c r="U438" i="2"/>
  <c r="AG479" i="2"/>
  <c r="O134" i="16"/>
  <c r="O129" i="16"/>
  <c r="O130" i="16"/>
  <c r="D129" i="16"/>
  <c r="E129" i="16"/>
  <c r="F129" i="16"/>
  <c r="G129" i="16"/>
  <c r="H129" i="16"/>
  <c r="I129" i="16"/>
  <c r="J129" i="16"/>
  <c r="K129" i="16"/>
  <c r="L129" i="16"/>
  <c r="M129" i="16"/>
  <c r="N129" i="16"/>
  <c r="C129" i="16"/>
  <c r="A125" i="16"/>
  <c r="A126" i="16"/>
  <c r="A127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C126" i="16"/>
  <c r="O124" i="16"/>
  <c r="V18" i="15" l="1"/>
  <c r="V17" i="15"/>
  <c r="V16" i="15"/>
  <c r="V15" i="15"/>
  <c r="V14" i="15"/>
  <c r="V13" i="15"/>
  <c r="V12" i="15"/>
  <c r="V11" i="15"/>
  <c r="V10" i="15"/>
  <c r="V9" i="15"/>
  <c r="S24" i="15"/>
  <c r="V8" i="15"/>
  <c r="B11" i="17" l="1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C35" i="4"/>
  <c r="B35" i="4"/>
  <c r="A27" i="4"/>
  <c r="U617" i="2"/>
  <c r="T617" i="2"/>
  <c r="S656" i="2"/>
  <c r="T656" i="2" s="1"/>
  <c r="U656" i="2" s="1"/>
  <c r="S650" i="2"/>
  <c r="T650" i="2" s="1"/>
  <c r="U650" i="2" s="1"/>
  <c r="S617" i="2"/>
  <c r="R656" i="2"/>
  <c r="R650" i="2"/>
  <c r="R617" i="2"/>
  <c r="L617" i="2"/>
  <c r="M617" i="2"/>
  <c r="O617" i="2"/>
  <c r="G617" i="2"/>
  <c r="H617" i="2"/>
  <c r="I617" i="2"/>
  <c r="J617" i="2"/>
  <c r="K617" i="2"/>
  <c r="N617" i="2"/>
  <c r="V417" i="2"/>
  <c r="W417" i="2"/>
  <c r="X417" i="2"/>
  <c r="Y417" i="2"/>
  <c r="Z417" i="2"/>
  <c r="AA417" i="2"/>
  <c r="AB417" i="2"/>
  <c r="AC417" i="2"/>
  <c r="AD417" i="2"/>
  <c r="AE417" i="2"/>
  <c r="AF417" i="2"/>
  <c r="V439" i="2"/>
  <c r="W439" i="2"/>
  <c r="X439" i="2"/>
  <c r="Y439" i="2"/>
  <c r="Z439" i="2"/>
  <c r="AA439" i="2"/>
  <c r="AB439" i="2"/>
  <c r="AC439" i="2"/>
  <c r="AD439" i="2"/>
  <c r="AE439" i="2"/>
  <c r="AF439" i="2"/>
  <c r="V438" i="2"/>
  <c r="W438" i="2"/>
  <c r="X438" i="2"/>
  <c r="Y438" i="2"/>
  <c r="Z438" i="2"/>
  <c r="AA438" i="2"/>
  <c r="AB438" i="2"/>
  <c r="AC438" i="2"/>
  <c r="AD438" i="2"/>
  <c r="AE438" i="2"/>
  <c r="AF438" i="2"/>
  <c r="G18" i="17"/>
  <c r="G15" i="17"/>
  <c r="Q57" i="1"/>
  <c r="T57" i="1"/>
  <c r="V57" i="1"/>
  <c r="X57" i="1"/>
  <c r="Z57" i="1"/>
  <c r="Q12" i="1"/>
  <c r="T12" i="1"/>
  <c r="V12" i="1"/>
  <c r="X12" i="1"/>
  <c r="Z12" i="1"/>
  <c r="I343" i="1"/>
  <c r="I344" i="1"/>
  <c r="H343" i="1"/>
  <c r="H344" i="1"/>
  <c r="I201" i="15"/>
  <c r="D83" i="15"/>
  <c r="E83" i="15"/>
  <c r="F83" i="15"/>
  <c r="G83" i="15"/>
  <c r="H83" i="15"/>
  <c r="I83" i="15"/>
  <c r="J83" i="15"/>
  <c r="K83" i="15"/>
  <c r="L83" i="15"/>
  <c r="M83" i="15"/>
  <c r="N83" i="15"/>
  <c r="D73" i="15"/>
  <c r="E73" i="15"/>
  <c r="F73" i="15"/>
  <c r="G73" i="15"/>
  <c r="H73" i="15"/>
  <c r="I73" i="15"/>
  <c r="J73" i="15"/>
  <c r="K73" i="15"/>
  <c r="L73" i="15"/>
  <c r="M73" i="15"/>
  <c r="N73" i="15"/>
  <c r="D63" i="15"/>
  <c r="E63" i="15"/>
  <c r="F63" i="15"/>
  <c r="G63" i="15"/>
  <c r="H63" i="15"/>
  <c r="I63" i="15"/>
  <c r="J63" i="15"/>
  <c r="K63" i="15"/>
  <c r="L63" i="15"/>
  <c r="M63" i="15"/>
  <c r="N63" i="15"/>
  <c r="D53" i="15"/>
  <c r="E53" i="15"/>
  <c r="F53" i="15"/>
  <c r="G53" i="15"/>
  <c r="H53" i="15"/>
  <c r="I53" i="15"/>
  <c r="J53" i="15"/>
  <c r="K53" i="15"/>
  <c r="L53" i="15"/>
  <c r="M53" i="15"/>
  <c r="N53" i="15"/>
  <c r="C83" i="15"/>
  <c r="C73" i="15"/>
  <c r="C63" i="15"/>
  <c r="C53" i="15"/>
  <c r="D156" i="15"/>
  <c r="E156" i="15"/>
  <c r="E155" i="15" s="1"/>
  <c r="E151" i="15" s="1"/>
  <c r="F156" i="15"/>
  <c r="F155" i="15" s="1"/>
  <c r="F151" i="15" s="1"/>
  <c r="G156" i="15"/>
  <c r="G155" i="15" s="1"/>
  <c r="G151" i="15" s="1"/>
  <c r="H156" i="15"/>
  <c r="H155" i="15" s="1"/>
  <c r="H151" i="15" s="1"/>
  <c r="I156" i="15"/>
  <c r="I155" i="15" s="1"/>
  <c r="I151" i="15" s="1"/>
  <c r="J156" i="15"/>
  <c r="K156" i="15"/>
  <c r="K155" i="15" s="1"/>
  <c r="K151" i="15" s="1"/>
  <c r="L156" i="15"/>
  <c r="M156" i="15"/>
  <c r="N156" i="15"/>
  <c r="N155" i="15" s="1"/>
  <c r="N151" i="15" s="1"/>
  <c r="C156" i="15"/>
  <c r="D195" i="15"/>
  <c r="D191" i="15" s="1"/>
  <c r="E195" i="15"/>
  <c r="E191" i="15" s="1"/>
  <c r="K195" i="15"/>
  <c r="K191" i="15" s="1"/>
  <c r="L195" i="15"/>
  <c r="L191" i="15" s="1"/>
  <c r="M195" i="15"/>
  <c r="M191" i="15" s="1"/>
  <c r="U3" i="2"/>
  <c r="U2" i="2"/>
  <c r="T3" i="2"/>
  <c r="T2" i="2"/>
  <c r="S3" i="2"/>
  <c r="S2" i="2"/>
  <c r="R3" i="2"/>
  <c r="R2" i="2"/>
  <c r="Q3" i="2"/>
  <c r="Q2" i="2"/>
  <c r="P3" i="2"/>
  <c r="P2" i="2"/>
  <c r="D110" i="16"/>
  <c r="E110" i="16"/>
  <c r="F110" i="16"/>
  <c r="G110" i="16"/>
  <c r="H110" i="16"/>
  <c r="I110" i="16"/>
  <c r="J110" i="16"/>
  <c r="K110" i="16"/>
  <c r="L110" i="16"/>
  <c r="M110" i="16"/>
  <c r="N110" i="16"/>
  <c r="D111" i="16"/>
  <c r="E111" i="16"/>
  <c r="F111" i="16"/>
  <c r="G111" i="16"/>
  <c r="H111" i="16"/>
  <c r="I111" i="16"/>
  <c r="J111" i="16"/>
  <c r="K111" i="16"/>
  <c r="L111" i="16"/>
  <c r="M111" i="16"/>
  <c r="N111" i="16"/>
  <c r="D112" i="16"/>
  <c r="E112" i="16"/>
  <c r="F112" i="16"/>
  <c r="G112" i="16"/>
  <c r="H112" i="16"/>
  <c r="I112" i="16"/>
  <c r="J112" i="16"/>
  <c r="K112" i="16"/>
  <c r="L112" i="16"/>
  <c r="M112" i="16"/>
  <c r="N112" i="16"/>
  <c r="D113" i="16"/>
  <c r="E113" i="16"/>
  <c r="F113" i="16"/>
  <c r="G113" i="16"/>
  <c r="H113" i="16"/>
  <c r="I113" i="16"/>
  <c r="J113" i="16"/>
  <c r="K113" i="16"/>
  <c r="L113" i="16"/>
  <c r="M113" i="16"/>
  <c r="N113" i="16"/>
  <c r="D114" i="16"/>
  <c r="E114" i="16"/>
  <c r="F114" i="16"/>
  <c r="G114" i="16"/>
  <c r="H114" i="16"/>
  <c r="I114" i="16"/>
  <c r="J114" i="16"/>
  <c r="K114" i="16"/>
  <c r="L114" i="16"/>
  <c r="M114" i="16"/>
  <c r="N114" i="16"/>
  <c r="D116" i="16"/>
  <c r="E116" i="16"/>
  <c r="F116" i="16"/>
  <c r="G116" i="16"/>
  <c r="H116" i="16"/>
  <c r="I116" i="16"/>
  <c r="J116" i="16"/>
  <c r="K116" i="16"/>
  <c r="L116" i="16"/>
  <c r="M116" i="16"/>
  <c r="N116" i="16"/>
  <c r="D117" i="16"/>
  <c r="E117" i="16"/>
  <c r="F117" i="16"/>
  <c r="G117" i="16"/>
  <c r="H117" i="16"/>
  <c r="I117" i="16"/>
  <c r="J117" i="16"/>
  <c r="K117" i="16"/>
  <c r="L117" i="16"/>
  <c r="M117" i="16"/>
  <c r="N117" i="16"/>
  <c r="D118" i="16"/>
  <c r="E118" i="16"/>
  <c r="F118" i="16"/>
  <c r="G118" i="16"/>
  <c r="H118" i="16"/>
  <c r="I118" i="16"/>
  <c r="J118" i="16"/>
  <c r="K118" i="16"/>
  <c r="L118" i="16"/>
  <c r="M118" i="16"/>
  <c r="N118" i="16"/>
  <c r="C114" i="16"/>
  <c r="C111" i="16"/>
  <c r="C110" i="16"/>
  <c r="N115" i="15"/>
  <c r="M115" i="15"/>
  <c r="L115" i="15"/>
  <c r="K115" i="15"/>
  <c r="J115" i="15"/>
  <c r="I115" i="15"/>
  <c r="H115" i="15"/>
  <c r="G115" i="15"/>
  <c r="F115" i="15"/>
  <c r="E115" i="15"/>
  <c r="D115" i="15"/>
  <c r="D113" i="15"/>
  <c r="N110" i="15"/>
  <c r="N112" i="15" s="1"/>
  <c r="M110" i="15"/>
  <c r="M112" i="15" s="1"/>
  <c r="L110" i="15"/>
  <c r="L112" i="15" s="1"/>
  <c r="K110" i="15"/>
  <c r="K112" i="15" s="1"/>
  <c r="J110" i="15"/>
  <c r="J112" i="15" s="1"/>
  <c r="I110" i="15"/>
  <c r="I112" i="15" s="1"/>
  <c r="H110" i="15"/>
  <c r="H112" i="15" s="1"/>
  <c r="G110" i="15"/>
  <c r="G112" i="15" s="1"/>
  <c r="F110" i="15"/>
  <c r="F112" i="15" s="1"/>
  <c r="E110" i="15"/>
  <c r="E112" i="15" s="1"/>
  <c r="D110" i="15"/>
  <c r="D112" i="15" s="1"/>
  <c r="N125" i="15"/>
  <c r="M125" i="15"/>
  <c r="L125" i="15"/>
  <c r="K125" i="15"/>
  <c r="J125" i="15"/>
  <c r="I125" i="15"/>
  <c r="H125" i="15"/>
  <c r="G125" i="15"/>
  <c r="F125" i="15"/>
  <c r="E125" i="15"/>
  <c r="D125" i="15"/>
  <c r="D123" i="15"/>
  <c r="E123" i="15" s="1"/>
  <c r="F123" i="15" s="1"/>
  <c r="G123" i="15" s="1"/>
  <c r="H123" i="15" s="1"/>
  <c r="I123" i="15" s="1"/>
  <c r="J123" i="15" s="1"/>
  <c r="K123" i="15" s="1"/>
  <c r="L123" i="15" s="1"/>
  <c r="M123" i="15" s="1"/>
  <c r="N123" i="15" s="1"/>
  <c r="N120" i="15"/>
  <c r="N122" i="15" s="1"/>
  <c r="M120" i="15"/>
  <c r="M122" i="15" s="1"/>
  <c r="L120" i="15"/>
  <c r="L122" i="15" s="1"/>
  <c r="K120" i="15"/>
  <c r="K122" i="15" s="1"/>
  <c r="J120" i="15"/>
  <c r="J122" i="15" s="1"/>
  <c r="I120" i="15"/>
  <c r="I122" i="15" s="1"/>
  <c r="H120" i="15"/>
  <c r="H122" i="15" s="1"/>
  <c r="G120" i="15"/>
  <c r="G122" i="15" s="1"/>
  <c r="F120" i="15"/>
  <c r="F122" i="15" s="1"/>
  <c r="E120" i="15"/>
  <c r="E122" i="15" s="1"/>
  <c r="D120" i="15"/>
  <c r="D122" i="15" s="1"/>
  <c r="C125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M155" i="15"/>
  <c r="M151" i="15" s="1"/>
  <c r="L155" i="15"/>
  <c r="L151" i="15" s="1"/>
  <c r="J155" i="15"/>
  <c r="J151" i="15" s="1"/>
  <c r="D155" i="15"/>
  <c r="D151" i="15" s="1"/>
  <c r="D153" i="15"/>
  <c r="E153" i="15" s="1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C155" i="15" s="1"/>
  <c r="C151" i="15" s="1"/>
  <c r="N165" i="15"/>
  <c r="N161" i="15" s="1"/>
  <c r="M165" i="15"/>
  <c r="M161" i="15" s="1"/>
  <c r="L165" i="15"/>
  <c r="L161" i="15" s="1"/>
  <c r="K165" i="15"/>
  <c r="K161" i="15" s="1"/>
  <c r="J165" i="15"/>
  <c r="I165" i="15"/>
  <c r="H165" i="15"/>
  <c r="H161" i="15" s="1"/>
  <c r="G165" i="15"/>
  <c r="G161" i="15" s="1"/>
  <c r="F165" i="15"/>
  <c r="F161" i="15" s="1"/>
  <c r="E165" i="15"/>
  <c r="E161" i="15" s="1"/>
  <c r="D165" i="15"/>
  <c r="D161" i="15" s="1"/>
  <c r="D163" i="15"/>
  <c r="E163" i="15" s="1"/>
  <c r="F163" i="15" s="1"/>
  <c r="G163" i="15" s="1"/>
  <c r="H163" i="15" s="1"/>
  <c r="J161" i="15"/>
  <c r="I161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C165" i="15" s="1"/>
  <c r="C161" i="15" s="1"/>
  <c r="D173" i="15"/>
  <c r="E173" i="15" s="1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D183" i="15"/>
  <c r="E183" i="15" s="1"/>
  <c r="F183" i="15" s="1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N195" i="15"/>
  <c r="N191" i="15" s="1"/>
  <c r="J195" i="15"/>
  <c r="J191" i="15" s="1"/>
  <c r="I195" i="15"/>
  <c r="I191" i="15" s="1"/>
  <c r="H195" i="15"/>
  <c r="H191" i="15" s="1"/>
  <c r="G195" i="15"/>
  <c r="G191" i="15" s="1"/>
  <c r="F195" i="15"/>
  <c r="F191" i="15" s="1"/>
  <c r="D193" i="15"/>
  <c r="E193" i="15" s="1"/>
  <c r="F193" i="15" s="1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C195" i="15" s="1"/>
  <c r="C191" i="15" s="1"/>
  <c r="D145" i="15"/>
  <c r="E145" i="15" s="1"/>
  <c r="F145" i="15" s="1"/>
  <c r="D141" i="15"/>
  <c r="E141" i="15" s="1"/>
  <c r="F141" i="15" s="1"/>
  <c r="N140" i="15"/>
  <c r="M140" i="15"/>
  <c r="L140" i="15"/>
  <c r="K140" i="15"/>
  <c r="J140" i="15"/>
  <c r="I140" i="15"/>
  <c r="H140" i="15"/>
  <c r="G140" i="15"/>
  <c r="F140" i="15"/>
  <c r="E140" i="15"/>
  <c r="D140" i="15"/>
  <c r="C140" i="15"/>
  <c r="C146" i="15" s="1"/>
  <c r="L124" i="15" l="1"/>
  <c r="D146" i="15"/>
  <c r="M124" i="15"/>
  <c r="I124" i="15"/>
  <c r="H124" i="15"/>
  <c r="J124" i="15"/>
  <c r="E146" i="15"/>
  <c r="N124" i="15"/>
  <c r="K124" i="15"/>
  <c r="E124" i="15"/>
  <c r="D124" i="15"/>
  <c r="E113" i="15"/>
  <c r="D114" i="15"/>
  <c r="D142" i="15"/>
  <c r="D144" i="15" s="1"/>
  <c r="F124" i="15"/>
  <c r="F153" i="15"/>
  <c r="I163" i="15"/>
  <c r="J163" i="15" s="1"/>
  <c r="K163" i="15" s="1"/>
  <c r="F173" i="15"/>
  <c r="G173" i="15" s="1"/>
  <c r="H173" i="15" s="1"/>
  <c r="G183" i="15"/>
  <c r="H183" i="15" s="1"/>
  <c r="G193" i="15"/>
  <c r="H193" i="15" s="1"/>
  <c r="F142" i="15"/>
  <c r="F144" i="15" s="1"/>
  <c r="G141" i="15"/>
  <c r="H141" i="15" s="1"/>
  <c r="I141" i="15" s="1"/>
  <c r="F146" i="15"/>
  <c r="G145" i="15"/>
  <c r="C142" i="15"/>
  <c r="C144" i="15" s="1"/>
  <c r="E142" i="15"/>
  <c r="E144" i="15" s="1"/>
  <c r="F113" i="15" l="1"/>
  <c r="E114" i="15"/>
  <c r="H142" i="15"/>
  <c r="H144" i="15" s="1"/>
  <c r="G124" i="15"/>
  <c r="G153" i="15"/>
  <c r="L163" i="15"/>
  <c r="I173" i="15"/>
  <c r="I183" i="15"/>
  <c r="I193" i="15"/>
  <c r="J141" i="15"/>
  <c r="I142" i="15"/>
  <c r="I144" i="15" s="1"/>
  <c r="H145" i="15"/>
  <c r="G146" i="15"/>
  <c r="G142" i="15"/>
  <c r="G144" i="15" s="1"/>
  <c r="G113" i="15" l="1"/>
  <c r="F114" i="15"/>
  <c r="H153" i="15"/>
  <c r="M163" i="15"/>
  <c r="J173" i="15"/>
  <c r="J183" i="15"/>
  <c r="J193" i="15"/>
  <c r="I145" i="15"/>
  <c r="H146" i="15"/>
  <c r="K141" i="15"/>
  <c r="J142" i="15"/>
  <c r="J144" i="15" s="1"/>
  <c r="H113" i="15" l="1"/>
  <c r="G114" i="15"/>
  <c r="I153" i="15"/>
  <c r="N163" i="15"/>
  <c r="K173" i="15"/>
  <c r="K183" i="15"/>
  <c r="K193" i="15"/>
  <c r="L141" i="15"/>
  <c r="K142" i="15"/>
  <c r="K144" i="15" s="1"/>
  <c r="J145" i="15"/>
  <c r="I146" i="15"/>
  <c r="H114" i="15" l="1"/>
  <c r="I113" i="15"/>
  <c r="J153" i="15"/>
  <c r="L173" i="15"/>
  <c r="L183" i="15"/>
  <c r="L193" i="15"/>
  <c r="K145" i="15"/>
  <c r="J146" i="15"/>
  <c r="L142" i="15"/>
  <c r="L144" i="15" s="1"/>
  <c r="M141" i="15"/>
  <c r="I114" i="15" l="1"/>
  <c r="J113" i="15"/>
  <c r="K153" i="15"/>
  <c r="M173" i="15"/>
  <c r="M183" i="15"/>
  <c r="M193" i="15"/>
  <c r="N141" i="15"/>
  <c r="N142" i="15" s="1"/>
  <c r="N144" i="15" s="1"/>
  <c r="M142" i="15"/>
  <c r="M144" i="15" s="1"/>
  <c r="L145" i="15"/>
  <c r="K146" i="15"/>
  <c r="J114" i="15" l="1"/>
  <c r="K113" i="15"/>
  <c r="L153" i="15"/>
  <c r="N173" i="15"/>
  <c r="N183" i="15"/>
  <c r="N193" i="15"/>
  <c r="M145" i="15"/>
  <c r="L146" i="15"/>
  <c r="K114" i="15" l="1"/>
  <c r="L113" i="15"/>
  <c r="M153" i="15"/>
  <c r="N145" i="15"/>
  <c r="N146" i="15" s="1"/>
  <c r="M146" i="15"/>
  <c r="L114" i="15" l="1"/>
  <c r="M113" i="15"/>
  <c r="N153" i="15"/>
  <c r="M114" i="15" l="1"/>
  <c r="N113" i="15"/>
  <c r="N114" i="15" s="1"/>
  <c r="M424" i="2"/>
  <c r="K424" i="2"/>
  <c r="O188" i="15"/>
  <c r="C23" i="15" s="1"/>
  <c r="F21" i="9" s="1"/>
  <c r="O178" i="15"/>
  <c r="C22" i="15" s="1"/>
  <c r="O168" i="15"/>
  <c r="C21" i="15" s="1"/>
  <c r="F19" i="8" s="1"/>
  <c r="O158" i="15"/>
  <c r="C20" i="15" s="1"/>
  <c r="F18" i="9" s="1"/>
  <c r="O148" i="15"/>
  <c r="O138" i="15"/>
  <c r="D24" i="15"/>
  <c r="C19" i="15"/>
  <c r="F17" i="8" s="1"/>
  <c r="C18" i="15"/>
  <c r="F16" i="9" s="1"/>
  <c r="A19" i="15"/>
  <c r="L19" i="15" s="1"/>
  <c r="B19" i="15"/>
  <c r="B148" i="15" s="1"/>
  <c r="A20" i="15"/>
  <c r="L20" i="15" s="1"/>
  <c r="B20" i="15"/>
  <c r="B158" i="15" s="1"/>
  <c r="A21" i="15"/>
  <c r="L21" i="15" s="1"/>
  <c r="B21" i="15"/>
  <c r="B168" i="15" s="1"/>
  <c r="A22" i="15"/>
  <c r="L22" i="15" s="1"/>
  <c r="B22" i="15"/>
  <c r="B178" i="15" s="1"/>
  <c r="A23" i="15"/>
  <c r="L23" i="15" s="1"/>
  <c r="B23" i="15"/>
  <c r="B188" i="15" s="1"/>
  <c r="A24" i="15"/>
  <c r="B24" i="15"/>
  <c r="F16" i="8"/>
  <c r="F1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F20" i="8" l="1"/>
  <c r="F20" i="9"/>
  <c r="F21" i="8"/>
  <c r="F19" i="9"/>
  <c r="F18" i="8"/>
  <c r="D155" i="16"/>
  <c r="L155" i="16"/>
  <c r="D143" i="16"/>
  <c r="E143" i="16"/>
  <c r="E155" i="16" s="1"/>
  <c r="F143" i="16"/>
  <c r="F155" i="16" s="1"/>
  <c r="G143" i="16"/>
  <c r="G155" i="16" s="1"/>
  <c r="H143" i="16"/>
  <c r="H155" i="16" s="1"/>
  <c r="I143" i="16"/>
  <c r="I155" i="16" s="1"/>
  <c r="J143" i="16"/>
  <c r="K143" i="16"/>
  <c r="L143" i="16"/>
  <c r="M143" i="16"/>
  <c r="M155" i="16" s="1"/>
  <c r="N143" i="16"/>
  <c r="N155" i="16" s="1"/>
  <c r="D144" i="16"/>
  <c r="E144" i="16"/>
  <c r="F144" i="16"/>
  <c r="G144" i="16"/>
  <c r="H144" i="16"/>
  <c r="I144" i="16"/>
  <c r="J144" i="16"/>
  <c r="K144" i="16"/>
  <c r="L144" i="16"/>
  <c r="M144" i="16"/>
  <c r="N144" i="16"/>
  <c r="D145" i="16"/>
  <c r="E145" i="16"/>
  <c r="F145" i="16"/>
  <c r="G145" i="16"/>
  <c r="H145" i="16"/>
  <c r="I145" i="16"/>
  <c r="J145" i="16"/>
  <c r="K145" i="16"/>
  <c r="L145" i="16"/>
  <c r="M145" i="16"/>
  <c r="N145" i="16"/>
  <c r="D146" i="16"/>
  <c r="E146" i="16"/>
  <c r="F146" i="16"/>
  <c r="G146" i="16"/>
  <c r="H146" i="16"/>
  <c r="I146" i="16"/>
  <c r="J146" i="16"/>
  <c r="K146" i="16"/>
  <c r="L146" i="16"/>
  <c r="M146" i="16"/>
  <c r="N146" i="16"/>
  <c r="D147" i="16"/>
  <c r="E147" i="16"/>
  <c r="F147" i="16"/>
  <c r="G147" i="16"/>
  <c r="H147" i="16"/>
  <c r="I147" i="16"/>
  <c r="J147" i="16"/>
  <c r="K147" i="16"/>
  <c r="L147" i="16"/>
  <c r="M147" i="16"/>
  <c r="N147" i="16"/>
  <c r="D151" i="16"/>
  <c r="E151" i="16"/>
  <c r="F151" i="16"/>
  <c r="G151" i="16"/>
  <c r="H151" i="16"/>
  <c r="I151" i="16"/>
  <c r="L151" i="16"/>
  <c r="M151" i="16"/>
  <c r="N151" i="16"/>
  <c r="C151" i="16"/>
  <c r="C147" i="16"/>
  <c r="C146" i="16"/>
  <c r="C145" i="16"/>
  <c r="C144" i="16"/>
  <c r="C143" i="16"/>
  <c r="C155" i="16" s="1"/>
  <c r="O41" i="16"/>
  <c r="E98" i="16"/>
  <c r="E108" i="16" s="1"/>
  <c r="F98" i="16"/>
  <c r="F108" i="16" s="1"/>
  <c r="G98" i="16"/>
  <c r="G108" i="16" s="1"/>
  <c r="H98" i="16"/>
  <c r="H108" i="16" s="1"/>
  <c r="I98" i="16"/>
  <c r="I108" i="16" s="1"/>
  <c r="J98" i="16"/>
  <c r="J108" i="16" s="1"/>
  <c r="K98" i="16"/>
  <c r="K108" i="16" s="1"/>
  <c r="L98" i="16"/>
  <c r="L108" i="16" s="1"/>
  <c r="M98" i="16"/>
  <c r="M108" i="16" s="1"/>
  <c r="N98" i="16"/>
  <c r="N108" i="16" s="1"/>
  <c r="E99" i="16"/>
  <c r="E109" i="16" s="1"/>
  <c r="F99" i="16"/>
  <c r="F109" i="16" s="1"/>
  <c r="G99" i="16"/>
  <c r="G109" i="16" s="1"/>
  <c r="H99" i="16"/>
  <c r="H109" i="16" s="1"/>
  <c r="I99" i="16"/>
  <c r="I109" i="16" s="1"/>
  <c r="J99" i="16"/>
  <c r="J109" i="16" s="1"/>
  <c r="K99" i="16"/>
  <c r="K109" i="16" s="1"/>
  <c r="L99" i="16"/>
  <c r="L109" i="16" s="1"/>
  <c r="M99" i="16"/>
  <c r="M109" i="16" s="1"/>
  <c r="N99" i="16"/>
  <c r="N109" i="16" s="1"/>
  <c r="E100" i="16"/>
  <c r="F100" i="16"/>
  <c r="G100" i="16"/>
  <c r="H100" i="16"/>
  <c r="I100" i="16"/>
  <c r="J100" i="16"/>
  <c r="K100" i="16"/>
  <c r="L100" i="16"/>
  <c r="M100" i="16"/>
  <c r="N100" i="16"/>
  <c r="E101" i="16"/>
  <c r="F101" i="16"/>
  <c r="G101" i="16"/>
  <c r="H101" i="16"/>
  <c r="I101" i="16"/>
  <c r="J101" i="16"/>
  <c r="K101" i="16"/>
  <c r="L101" i="16"/>
  <c r="M101" i="16"/>
  <c r="N101" i="16"/>
  <c r="E102" i="16"/>
  <c r="E119" i="16" s="1"/>
  <c r="F102" i="16"/>
  <c r="F119" i="16" s="1"/>
  <c r="G102" i="16"/>
  <c r="G119" i="16" s="1"/>
  <c r="H102" i="16"/>
  <c r="H119" i="16" s="1"/>
  <c r="I102" i="16"/>
  <c r="I119" i="16" s="1"/>
  <c r="J102" i="16"/>
  <c r="J119" i="16" s="1"/>
  <c r="K102" i="16"/>
  <c r="K119" i="16" s="1"/>
  <c r="L102" i="16"/>
  <c r="L119" i="16" s="1"/>
  <c r="M102" i="16"/>
  <c r="M119" i="16" s="1"/>
  <c r="N102" i="16"/>
  <c r="N119" i="16" s="1"/>
  <c r="E103" i="16"/>
  <c r="E120" i="16" s="1"/>
  <c r="F103" i="16"/>
  <c r="F120" i="16" s="1"/>
  <c r="G103" i="16"/>
  <c r="G120" i="16" s="1"/>
  <c r="H103" i="16"/>
  <c r="H120" i="16" s="1"/>
  <c r="I103" i="16"/>
  <c r="I120" i="16" s="1"/>
  <c r="J103" i="16"/>
  <c r="J120" i="16" s="1"/>
  <c r="K103" i="16"/>
  <c r="K120" i="16" s="1"/>
  <c r="L103" i="16"/>
  <c r="L120" i="16" s="1"/>
  <c r="M103" i="16"/>
  <c r="M120" i="16" s="1"/>
  <c r="N103" i="16"/>
  <c r="N120" i="16" s="1"/>
  <c r="E104" i="16"/>
  <c r="E121" i="16" s="1"/>
  <c r="F104" i="16"/>
  <c r="F121" i="16" s="1"/>
  <c r="G104" i="16"/>
  <c r="G121" i="16" s="1"/>
  <c r="H104" i="16"/>
  <c r="H121" i="16" s="1"/>
  <c r="I104" i="16"/>
  <c r="I121" i="16" s="1"/>
  <c r="J104" i="16"/>
  <c r="J121" i="16" s="1"/>
  <c r="K104" i="16"/>
  <c r="K121" i="16" s="1"/>
  <c r="L104" i="16"/>
  <c r="L121" i="16" s="1"/>
  <c r="M104" i="16"/>
  <c r="M121" i="16" s="1"/>
  <c r="N104" i="16"/>
  <c r="N121" i="16" s="1"/>
  <c r="E105" i="16"/>
  <c r="E115" i="16" s="1"/>
  <c r="F105" i="16"/>
  <c r="F115" i="16" s="1"/>
  <c r="G105" i="16"/>
  <c r="G115" i="16" s="1"/>
  <c r="H105" i="16"/>
  <c r="H115" i="16" s="1"/>
  <c r="I105" i="16"/>
  <c r="I115" i="16" s="1"/>
  <c r="J105" i="16"/>
  <c r="J115" i="16" s="1"/>
  <c r="K105" i="16"/>
  <c r="K115" i="16" s="1"/>
  <c r="L105" i="16"/>
  <c r="L115" i="16" s="1"/>
  <c r="M105" i="16"/>
  <c r="M115" i="16" s="1"/>
  <c r="N105" i="16"/>
  <c r="N115" i="16" s="1"/>
  <c r="D103" i="16"/>
  <c r="D120" i="16" s="1"/>
  <c r="C103" i="16"/>
  <c r="D98" i="16"/>
  <c r="D108" i="16" s="1"/>
  <c r="D99" i="16"/>
  <c r="D109" i="16" s="1"/>
  <c r="D100" i="16"/>
  <c r="D101" i="16"/>
  <c r="D102" i="16"/>
  <c r="D119" i="16" s="1"/>
  <c r="D104" i="16"/>
  <c r="D121" i="16" s="1"/>
  <c r="D105" i="16"/>
  <c r="D115" i="16" s="1"/>
  <c r="O95" i="16"/>
  <c r="K80" i="16"/>
  <c r="K151" i="16" s="1"/>
  <c r="J80" i="16"/>
  <c r="J151" i="16" s="1"/>
  <c r="K79" i="16"/>
  <c r="K78" i="16"/>
  <c r="K77" i="16"/>
  <c r="K76" i="16"/>
  <c r="J79" i="16"/>
  <c r="J78" i="16"/>
  <c r="J77" i="16"/>
  <c r="J76" i="16"/>
  <c r="O8" i="16"/>
  <c r="O9" i="16"/>
  <c r="O10" i="16"/>
  <c r="O11" i="16"/>
  <c r="O12" i="16"/>
  <c r="O13" i="16"/>
  <c r="O14" i="16"/>
  <c r="O15" i="16"/>
  <c r="O145" i="16" s="1"/>
  <c r="O17" i="16"/>
  <c r="O18" i="16"/>
  <c r="O19" i="16"/>
  <c r="O20" i="16"/>
  <c r="O21" i="16"/>
  <c r="O22" i="16"/>
  <c r="O23" i="16"/>
  <c r="O24" i="16"/>
  <c r="O25" i="16"/>
  <c r="O146" i="16" s="1"/>
  <c r="O27" i="16"/>
  <c r="O28" i="16"/>
  <c r="O29" i="16"/>
  <c r="O30" i="16"/>
  <c r="O31" i="16"/>
  <c r="O32" i="16"/>
  <c r="O33" i="16"/>
  <c r="O34" i="16"/>
  <c r="O35" i="16"/>
  <c r="O147" i="16" s="1"/>
  <c r="O37" i="16"/>
  <c r="O38" i="16"/>
  <c r="O39" i="16"/>
  <c r="O40" i="16"/>
  <c r="O42" i="16"/>
  <c r="O43" i="16"/>
  <c r="O44" i="16"/>
  <c r="O45" i="16"/>
  <c r="O46" i="16"/>
  <c r="O47" i="16"/>
  <c r="O48" i="16"/>
  <c r="O49" i="16"/>
  <c r="O144" i="16" s="1"/>
  <c r="O50" i="16"/>
  <c r="O51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143" i="16" s="1"/>
  <c r="O155" i="16" s="1"/>
  <c r="O74" i="16"/>
  <c r="O75" i="16"/>
  <c r="O79" i="16"/>
  <c r="O82" i="16"/>
  <c r="O83" i="16"/>
  <c r="O84" i="16"/>
  <c r="O85" i="16"/>
  <c r="O86" i="16"/>
  <c r="O87" i="16"/>
  <c r="O88" i="16"/>
  <c r="O89" i="16"/>
  <c r="O90" i="16"/>
  <c r="O92" i="16"/>
  <c r="O93" i="16"/>
  <c r="O94" i="16"/>
  <c r="O96" i="16"/>
  <c r="O7" i="16"/>
  <c r="C118" i="16"/>
  <c r="C117" i="16"/>
  <c r="C116" i="16"/>
  <c r="C113" i="16"/>
  <c r="C112" i="16"/>
  <c r="D71" i="16"/>
  <c r="D72" i="16" s="1"/>
  <c r="E71" i="16"/>
  <c r="E72" i="16" s="1"/>
  <c r="F71" i="16"/>
  <c r="F72" i="16" s="1"/>
  <c r="G71" i="16"/>
  <c r="G72" i="16" s="1"/>
  <c r="H71" i="16"/>
  <c r="H72" i="16" s="1"/>
  <c r="I71" i="16"/>
  <c r="I72" i="16" s="1"/>
  <c r="J71" i="16"/>
  <c r="J72" i="16" s="1"/>
  <c r="K71" i="16"/>
  <c r="K72" i="16" s="1"/>
  <c r="L71" i="16"/>
  <c r="L72" i="16" s="1"/>
  <c r="M71" i="16"/>
  <c r="M72" i="16" s="1"/>
  <c r="N71" i="16"/>
  <c r="N72" i="16" s="1"/>
  <c r="C71" i="16"/>
  <c r="C72" i="16" s="1"/>
  <c r="C148" i="16" l="1"/>
  <c r="L148" i="16"/>
  <c r="F148" i="16"/>
  <c r="I148" i="16"/>
  <c r="D148" i="16"/>
  <c r="M148" i="16"/>
  <c r="E148" i="16"/>
  <c r="H148" i="16"/>
  <c r="K148" i="16"/>
  <c r="K155" i="16"/>
  <c r="N148" i="16"/>
  <c r="G148" i="16"/>
  <c r="J148" i="16"/>
  <c r="J155" i="16"/>
  <c r="O148" i="16"/>
  <c r="D106" i="16"/>
  <c r="O80" i="16"/>
  <c r="O151" i="16" s="1"/>
  <c r="O77" i="16"/>
  <c r="O78" i="16"/>
  <c r="O117" i="16"/>
  <c r="O113" i="16"/>
  <c r="J128" i="16"/>
  <c r="O112" i="16"/>
  <c r="O72" i="16"/>
  <c r="O118" i="16"/>
  <c r="O116" i="16"/>
  <c r="N106" i="16"/>
  <c r="M106" i="16"/>
  <c r="K106" i="16"/>
  <c r="J106" i="16"/>
  <c r="L106" i="16"/>
  <c r="I106" i="16"/>
  <c r="H106" i="16"/>
  <c r="G106" i="16"/>
  <c r="F106" i="16"/>
  <c r="E106" i="16"/>
  <c r="L128" i="16"/>
  <c r="G128" i="16"/>
  <c r="O71" i="16"/>
  <c r="F128" i="16"/>
  <c r="N128" i="16"/>
  <c r="D128" i="16"/>
  <c r="O76" i="16"/>
  <c r="M128" i="16"/>
  <c r="E128" i="16"/>
  <c r="O110" i="16"/>
  <c r="H128" i="16"/>
  <c r="O111" i="16"/>
  <c r="I128" i="16"/>
  <c r="K128" i="16"/>
  <c r="E122" i="16" l="1"/>
  <c r="E150" i="16"/>
  <c r="E156" i="16" s="1"/>
  <c r="E157" i="16" s="1"/>
  <c r="F122" i="16"/>
  <c r="F150" i="16"/>
  <c r="F156" i="16" s="1"/>
  <c r="F157" i="16" s="1"/>
  <c r="N122" i="16"/>
  <c r="N150" i="16"/>
  <c r="N156" i="16" s="1"/>
  <c r="N157" i="16" s="1"/>
  <c r="G122" i="16"/>
  <c r="G150" i="16"/>
  <c r="G156" i="16" s="1"/>
  <c r="G157" i="16" s="1"/>
  <c r="M122" i="16"/>
  <c r="M150" i="16"/>
  <c r="M156" i="16" s="1"/>
  <c r="M157" i="16" s="1"/>
  <c r="H122" i="16"/>
  <c r="H150" i="16"/>
  <c r="H156" i="16" s="1"/>
  <c r="H157" i="16" s="1"/>
  <c r="K122" i="16"/>
  <c r="K150" i="16"/>
  <c r="K156" i="16" s="1"/>
  <c r="K157" i="16" s="1"/>
  <c r="I122" i="16"/>
  <c r="I150" i="16"/>
  <c r="I156" i="16" s="1"/>
  <c r="I157" i="16" s="1"/>
  <c r="L122" i="16"/>
  <c r="L150" i="16"/>
  <c r="L156" i="16" s="1"/>
  <c r="L157" i="16" s="1"/>
  <c r="D122" i="16"/>
  <c r="D150" i="16"/>
  <c r="D156" i="16" s="1"/>
  <c r="D157" i="16" s="1"/>
  <c r="J122" i="16"/>
  <c r="J150" i="16"/>
  <c r="J156" i="16" s="1"/>
  <c r="J157" i="16" s="1"/>
  <c r="J130" i="16"/>
  <c r="N130" i="16"/>
  <c r="O114" i="16"/>
  <c r="L130" i="16"/>
  <c r="G130" i="16"/>
  <c r="F130" i="16"/>
  <c r="E130" i="16"/>
  <c r="D130" i="16"/>
  <c r="K130" i="16"/>
  <c r="I130" i="16"/>
  <c r="M130" i="16"/>
  <c r="H130" i="16"/>
  <c r="B10" i="17" l="1"/>
  <c r="C10" i="17"/>
  <c r="F224" i="1" l="1"/>
  <c r="F68" i="1"/>
  <c r="F277" i="1"/>
  <c r="F270" i="1"/>
  <c r="F269" i="1"/>
  <c r="F242" i="1"/>
  <c r="F222" i="1"/>
  <c r="F208" i="1"/>
  <c r="F205" i="1"/>
  <c r="F87" i="1" l="1"/>
  <c r="F72" i="1"/>
  <c r="C105" i="16" l="1"/>
  <c r="C115" i="16" s="1"/>
  <c r="C104" i="16"/>
  <c r="C102" i="16"/>
  <c r="C101" i="16"/>
  <c r="O101" i="16" s="1"/>
  <c r="C100" i="16"/>
  <c r="O100" i="16" s="1"/>
  <c r="C99" i="16"/>
  <c r="C98" i="16"/>
  <c r="C119" i="16" l="1"/>
  <c r="O119" i="16" s="1"/>
  <c r="O102" i="16"/>
  <c r="C109" i="16"/>
  <c r="O109" i="16" s="1"/>
  <c r="O99" i="16"/>
  <c r="C108" i="16"/>
  <c r="O108" i="16" s="1"/>
  <c r="O98" i="16"/>
  <c r="C120" i="16"/>
  <c r="O120" i="16" s="1"/>
  <c r="O103" i="16"/>
  <c r="C121" i="16"/>
  <c r="O121" i="16" s="1"/>
  <c r="O104" i="16"/>
  <c r="O105" i="16"/>
  <c r="C106" i="16"/>
  <c r="O106" i="16" l="1"/>
  <c r="O150" i="16" s="1"/>
  <c r="O156" i="16" s="1"/>
  <c r="O157" i="16" s="1"/>
  <c r="Q157" i="16" s="1"/>
  <c r="C122" i="16"/>
  <c r="C150" i="16"/>
  <c r="C156" i="16" s="1"/>
  <c r="C157" i="16" s="1"/>
  <c r="O122" i="16"/>
  <c r="O115" i="16"/>
  <c r="O48" i="15" l="1"/>
  <c r="AJ365" i="2" l="1"/>
  <c r="AJ345" i="17"/>
  <c r="AJ346" i="17" s="1"/>
  <c r="AJ344" i="2" l="1"/>
  <c r="AJ341" i="2"/>
  <c r="AJ347" i="17"/>
  <c r="AJ366" i="2"/>
  <c r="J344" i="2" l="1"/>
  <c r="I344" i="2"/>
  <c r="H344" i="2"/>
  <c r="G344" i="2"/>
  <c r="F344" i="2"/>
  <c r="E344" i="2"/>
  <c r="K344" i="2"/>
  <c r="AJ342" i="2"/>
  <c r="AJ348" i="17"/>
  <c r="AJ367" i="2"/>
  <c r="AJ343" i="2" l="1"/>
  <c r="AJ368" i="2"/>
  <c r="E368" i="2" s="1"/>
  <c r="AJ349" i="17"/>
  <c r="AJ350" i="17" l="1"/>
  <c r="AJ351" i="17" s="1"/>
  <c r="AJ369" i="2"/>
  <c r="AJ370" i="2" l="1"/>
  <c r="AJ352" i="17"/>
  <c r="K370" i="2" l="1"/>
  <c r="AJ371" i="2"/>
  <c r="AJ372" i="2" s="1"/>
  <c r="E372" i="2" s="1"/>
  <c r="AJ353" i="17"/>
  <c r="AJ373" i="2" l="1"/>
  <c r="E373" i="2" s="1"/>
  <c r="AJ354" i="17"/>
  <c r="AJ355" i="17" l="1"/>
  <c r="AJ374" i="2"/>
  <c r="E374" i="2" s="1"/>
  <c r="AJ375" i="2" l="1"/>
  <c r="E375" i="2" s="1"/>
  <c r="AJ356" i="17"/>
  <c r="AJ357" i="17" l="1"/>
  <c r="AJ376" i="2"/>
  <c r="AJ377" i="2" l="1"/>
  <c r="E377" i="2" s="1"/>
  <c r="AJ358" i="17"/>
  <c r="AJ359" i="17" s="1"/>
  <c r="AJ378" i="2" l="1"/>
  <c r="AJ379" i="2" l="1"/>
  <c r="E378" i="2"/>
  <c r="E33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D211" i="15"/>
  <c r="E211" i="15"/>
  <c r="F211" i="15"/>
  <c r="G211" i="15"/>
  <c r="H211" i="15"/>
  <c r="I211" i="15"/>
  <c r="J211" i="15"/>
  <c r="K211" i="15"/>
  <c r="L211" i="15"/>
  <c r="M211" i="15"/>
  <c r="N211" i="15"/>
  <c r="D212" i="15"/>
  <c r="E212" i="15"/>
  <c r="F212" i="15"/>
  <c r="G212" i="15"/>
  <c r="H212" i="15"/>
  <c r="I212" i="15"/>
  <c r="J212" i="15"/>
  <c r="K212" i="15"/>
  <c r="L212" i="15"/>
  <c r="M212" i="15"/>
  <c r="N212" i="15"/>
  <c r="C212" i="15"/>
  <c r="C211" i="15"/>
  <c r="C96" i="15" l="1"/>
  <c r="C92" i="15"/>
  <c r="C94" i="15" s="1"/>
  <c r="D96" i="15"/>
  <c r="D92" i="15"/>
  <c r="D94" i="15" s="1"/>
  <c r="L96" i="15"/>
  <c r="L92" i="15"/>
  <c r="L94" i="15" s="1"/>
  <c r="J96" i="15"/>
  <c r="J92" i="15"/>
  <c r="J94" i="15" s="1"/>
  <c r="K96" i="15"/>
  <c r="K92" i="15"/>
  <c r="K94" i="15" s="1"/>
  <c r="E96" i="15"/>
  <c r="E92" i="15"/>
  <c r="E94" i="15" s="1"/>
  <c r="M96" i="15"/>
  <c r="M92" i="15"/>
  <c r="M94" i="15" s="1"/>
  <c r="F96" i="15"/>
  <c r="F92" i="15"/>
  <c r="F94" i="15" s="1"/>
  <c r="N96" i="15"/>
  <c r="N92" i="15"/>
  <c r="N94" i="15" s="1"/>
  <c r="H96" i="15"/>
  <c r="H92" i="15"/>
  <c r="H94" i="15" s="1"/>
  <c r="G96" i="15"/>
  <c r="G92" i="15"/>
  <c r="G94" i="15" s="1"/>
  <c r="I96" i="15"/>
  <c r="I92" i="15"/>
  <c r="I94" i="15" s="1"/>
  <c r="E484" i="2"/>
  <c r="E478" i="2"/>
  <c r="E485" i="2" s="1"/>
  <c r="E487" i="2" s="1"/>
  <c r="E488" i="2" s="1"/>
  <c r="E480" i="2" l="1"/>
  <c r="E481" i="2" l="1"/>
  <c r="N100" i="15" l="1"/>
  <c r="M100" i="15"/>
  <c r="L100" i="15"/>
  <c r="K100" i="15"/>
  <c r="J100" i="15"/>
  <c r="I100" i="15"/>
  <c r="I102" i="15" s="1"/>
  <c r="I104" i="15" s="1"/>
  <c r="H100" i="15"/>
  <c r="H102" i="15" s="1"/>
  <c r="H104" i="15" s="1"/>
  <c r="G100" i="15"/>
  <c r="F100" i="15"/>
  <c r="E100" i="15"/>
  <c r="D100" i="15"/>
  <c r="C100" i="15"/>
  <c r="C102" i="15" s="1"/>
  <c r="C104" i="15" s="1"/>
  <c r="D202" i="15"/>
  <c r="E202" i="15"/>
  <c r="F202" i="15"/>
  <c r="G202" i="15"/>
  <c r="H202" i="15"/>
  <c r="I202" i="15"/>
  <c r="J202" i="15"/>
  <c r="K202" i="15"/>
  <c r="L202" i="15"/>
  <c r="M202" i="15"/>
  <c r="N202" i="15"/>
  <c r="C202" i="15"/>
  <c r="D65" i="15"/>
  <c r="E65" i="15" s="1"/>
  <c r="F65" i="15" s="1"/>
  <c r="G65" i="15" s="1"/>
  <c r="H65" i="15" s="1"/>
  <c r="I65" i="15" s="1"/>
  <c r="J65" i="15" s="1"/>
  <c r="K65" i="15" s="1"/>
  <c r="L65" i="15" s="1"/>
  <c r="M65" i="15" s="1"/>
  <c r="N65" i="15" s="1"/>
  <c r="N60" i="15"/>
  <c r="N62" i="15" s="1"/>
  <c r="N64" i="15" s="1"/>
  <c r="M60" i="15"/>
  <c r="M62" i="15" s="1"/>
  <c r="M64" i="15" s="1"/>
  <c r="L60" i="15"/>
  <c r="L62" i="15" s="1"/>
  <c r="L64" i="15" s="1"/>
  <c r="K60" i="15"/>
  <c r="K62" i="15" s="1"/>
  <c r="K64" i="15" s="1"/>
  <c r="J60" i="15"/>
  <c r="J62" i="15" s="1"/>
  <c r="J64" i="15" s="1"/>
  <c r="I60" i="15"/>
  <c r="I62" i="15" s="1"/>
  <c r="I64" i="15" s="1"/>
  <c r="H60" i="15"/>
  <c r="H62" i="15" s="1"/>
  <c r="H64" i="15" s="1"/>
  <c r="G60" i="15"/>
  <c r="G62" i="15" s="1"/>
  <c r="G64" i="15" s="1"/>
  <c r="F60" i="15"/>
  <c r="F62" i="15" s="1"/>
  <c r="F64" i="15" s="1"/>
  <c r="E60" i="15"/>
  <c r="E62" i="15" s="1"/>
  <c r="E64" i="15" s="1"/>
  <c r="D60" i="15"/>
  <c r="D62" i="15" s="1"/>
  <c r="D64" i="15" s="1"/>
  <c r="C60" i="15"/>
  <c r="C62" i="15" s="1"/>
  <c r="C64" i="15" s="1"/>
  <c r="N50" i="15"/>
  <c r="M50" i="15"/>
  <c r="L50" i="15"/>
  <c r="K50" i="15"/>
  <c r="J50" i="15"/>
  <c r="I50" i="15"/>
  <c r="H50" i="15"/>
  <c r="G50" i="15"/>
  <c r="F50" i="15"/>
  <c r="E50" i="15"/>
  <c r="D50" i="15"/>
  <c r="C5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80" i="15"/>
  <c r="M80" i="15"/>
  <c r="M82" i="15" s="1"/>
  <c r="M84" i="15" s="1"/>
  <c r="L80" i="15"/>
  <c r="K80" i="15"/>
  <c r="J80" i="15"/>
  <c r="I80" i="15"/>
  <c r="I82" i="15" s="1"/>
  <c r="I84" i="15" s="1"/>
  <c r="H80" i="15"/>
  <c r="H82" i="15" s="1"/>
  <c r="H84" i="15" s="1"/>
  <c r="G80" i="15"/>
  <c r="G82" i="15" s="1"/>
  <c r="G84" i="15" s="1"/>
  <c r="F80" i="15"/>
  <c r="F82" i="15" s="1"/>
  <c r="F84" i="15" s="1"/>
  <c r="E80" i="15"/>
  <c r="D80" i="15"/>
  <c r="D82" i="15" s="1"/>
  <c r="D84" i="15" s="1"/>
  <c r="C80" i="15"/>
  <c r="N70" i="15"/>
  <c r="M70" i="15"/>
  <c r="L70" i="15"/>
  <c r="K70" i="15"/>
  <c r="J70" i="15"/>
  <c r="I70" i="15"/>
  <c r="H70" i="15"/>
  <c r="G70" i="15"/>
  <c r="G72" i="15" s="1"/>
  <c r="G74" i="15" s="1"/>
  <c r="F70" i="15"/>
  <c r="E70" i="15"/>
  <c r="D70" i="15"/>
  <c r="C70" i="15"/>
  <c r="H46" i="15" l="1"/>
  <c r="H42" i="15"/>
  <c r="H44" i="15" s="1"/>
  <c r="N85" i="15"/>
  <c r="N82" i="15"/>
  <c r="N84" i="15" s="1"/>
  <c r="M56" i="15"/>
  <c r="M52" i="15"/>
  <c r="M54" i="15" s="1"/>
  <c r="M85" i="15"/>
  <c r="J46" i="15"/>
  <c r="J42" i="15"/>
  <c r="J44" i="15" s="1"/>
  <c r="F56" i="15"/>
  <c r="F52" i="15"/>
  <c r="F54" i="15" s="1"/>
  <c r="N56" i="15"/>
  <c r="N52" i="15"/>
  <c r="N54" i="15" s="1"/>
  <c r="E85" i="15"/>
  <c r="E82" i="15"/>
  <c r="E84" i="15" s="1"/>
  <c r="E56" i="15"/>
  <c r="E52" i="15"/>
  <c r="E54" i="15" s="1"/>
  <c r="D75" i="15"/>
  <c r="D72" i="15"/>
  <c r="D74" i="15" s="1"/>
  <c r="H56" i="15"/>
  <c r="H52" i="15"/>
  <c r="H54" i="15" s="1"/>
  <c r="K105" i="15"/>
  <c r="K102" i="15"/>
  <c r="K104" i="15" s="1"/>
  <c r="L56" i="15"/>
  <c r="L52" i="15"/>
  <c r="L54" i="15" s="1"/>
  <c r="G105" i="15"/>
  <c r="G102" i="15"/>
  <c r="G104" i="15" s="1"/>
  <c r="I46" i="15"/>
  <c r="I42" i="15"/>
  <c r="I44" i="15" s="1"/>
  <c r="C75" i="15"/>
  <c r="C72" i="15"/>
  <c r="C74" i="15" s="1"/>
  <c r="L75" i="15"/>
  <c r="L72" i="15"/>
  <c r="L74" i="15" s="1"/>
  <c r="F75" i="15"/>
  <c r="F72" i="15"/>
  <c r="F74" i="15" s="1"/>
  <c r="N75" i="15"/>
  <c r="N72" i="15"/>
  <c r="N74" i="15" s="1"/>
  <c r="J85" i="15"/>
  <c r="J82" i="15"/>
  <c r="J84" i="15" s="1"/>
  <c r="E46" i="15"/>
  <c r="E42" i="15"/>
  <c r="E44" i="15" s="1"/>
  <c r="M46" i="15"/>
  <c r="M42" i="15"/>
  <c r="M44" i="15" s="1"/>
  <c r="I56" i="15"/>
  <c r="I52" i="15"/>
  <c r="I54" i="15" s="1"/>
  <c r="D105" i="15"/>
  <c r="D102" i="15"/>
  <c r="D104" i="15" s="1"/>
  <c r="L105" i="15"/>
  <c r="L102" i="15"/>
  <c r="L104" i="15" s="1"/>
  <c r="I75" i="15"/>
  <c r="I72" i="15"/>
  <c r="I74" i="15" s="1"/>
  <c r="D56" i="15"/>
  <c r="D52" i="15"/>
  <c r="D54" i="15" s="1"/>
  <c r="K75" i="15"/>
  <c r="K72" i="15"/>
  <c r="K74" i="15" s="1"/>
  <c r="C46" i="15"/>
  <c r="C42" i="15"/>
  <c r="C44" i="15" s="1"/>
  <c r="G56" i="15"/>
  <c r="G52" i="15"/>
  <c r="G54" i="15" s="1"/>
  <c r="J105" i="15"/>
  <c r="J102" i="15"/>
  <c r="J104" i="15" s="1"/>
  <c r="M75" i="15"/>
  <c r="M72" i="15"/>
  <c r="M74" i="15" s="1"/>
  <c r="L46" i="15"/>
  <c r="L42" i="15"/>
  <c r="L44" i="15" s="1"/>
  <c r="C85" i="15"/>
  <c r="C82" i="15"/>
  <c r="C84" i="15" s="1"/>
  <c r="K85" i="15"/>
  <c r="K82" i="15"/>
  <c r="K84" i="15" s="1"/>
  <c r="F46" i="15"/>
  <c r="F42" i="15"/>
  <c r="F44" i="15" s="1"/>
  <c r="N46" i="15"/>
  <c r="N42" i="15"/>
  <c r="N44" i="15" s="1"/>
  <c r="J56" i="15"/>
  <c r="J52" i="15"/>
  <c r="J54" i="15" s="1"/>
  <c r="E105" i="15"/>
  <c r="E102" i="15"/>
  <c r="E104" i="15" s="1"/>
  <c r="M105" i="15"/>
  <c r="M102" i="15"/>
  <c r="M104" i="15" s="1"/>
  <c r="J75" i="15"/>
  <c r="J72" i="15"/>
  <c r="J74" i="15" s="1"/>
  <c r="K46" i="15"/>
  <c r="K42" i="15"/>
  <c r="K44" i="15" s="1"/>
  <c r="E75" i="15"/>
  <c r="E72" i="15"/>
  <c r="E74" i="15" s="1"/>
  <c r="D46" i="15"/>
  <c r="D42" i="15"/>
  <c r="D44" i="15" s="1"/>
  <c r="H75" i="15"/>
  <c r="H72" i="15"/>
  <c r="H74" i="15" s="1"/>
  <c r="L85" i="15"/>
  <c r="L82" i="15"/>
  <c r="L84" i="15" s="1"/>
  <c r="G46" i="15"/>
  <c r="G42" i="15"/>
  <c r="G44" i="15" s="1"/>
  <c r="C56" i="15"/>
  <c r="C52" i="15"/>
  <c r="C54" i="15" s="1"/>
  <c r="K56" i="15"/>
  <c r="K52" i="15"/>
  <c r="K54" i="15" s="1"/>
  <c r="F105" i="15"/>
  <c r="F102" i="15"/>
  <c r="F104" i="15" s="1"/>
  <c r="N105" i="15"/>
  <c r="N102" i="15"/>
  <c r="N104" i="15" s="1"/>
  <c r="C105" i="15"/>
  <c r="D85" i="15"/>
  <c r="F85" i="15"/>
  <c r="H105" i="15"/>
  <c r="I105" i="15"/>
  <c r="O136" i="16"/>
  <c r="O137" i="16" s="1"/>
  <c r="N131" i="16"/>
  <c r="C128" i="16"/>
  <c r="H131" i="16"/>
  <c r="E131" i="16"/>
  <c r="M131" i="16"/>
  <c r="G85" i="15"/>
  <c r="H85" i="15"/>
  <c r="I85" i="15"/>
  <c r="G75" i="15"/>
  <c r="A7" i="16" l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M132" i="16"/>
  <c r="E132" i="16"/>
  <c r="H132" i="16"/>
  <c r="K132" i="16"/>
  <c r="J132" i="16"/>
  <c r="L132" i="16"/>
  <c r="I131" i="16"/>
  <c r="D132" i="16"/>
  <c r="C130" i="16"/>
  <c r="O128" i="16"/>
  <c r="G132" i="16"/>
  <c r="F131" i="16"/>
  <c r="N132" i="16"/>
  <c r="A41" i="16" l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G131" i="16"/>
  <c r="D131" i="16"/>
  <c r="C131" i="16"/>
  <c r="J131" i="16"/>
  <c r="C132" i="16"/>
  <c r="K131" i="16"/>
  <c r="F132" i="16"/>
  <c r="I132" i="16"/>
  <c r="L131" i="16"/>
  <c r="A52" i="16" l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O132" i="16"/>
  <c r="O131" i="16"/>
  <c r="A95" i="16" l="1"/>
  <c r="A96" i="16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H483" i="1"/>
  <c r="S498" i="2"/>
  <c r="T498" i="2"/>
  <c r="Q498" i="2"/>
  <c r="R498" i="2"/>
  <c r="U498" i="2"/>
  <c r="I483" i="1"/>
  <c r="T505" i="2"/>
  <c r="R505" i="2"/>
  <c r="Q505" i="2"/>
  <c r="S505" i="2"/>
  <c r="U505" i="2"/>
  <c r="L99" i="18"/>
  <c r="M99" i="18" s="1"/>
  <c r="J99" i="18"/>
  <c r="I99" i="18"/>
  <c r="F99" i="18"/>
  <c r="H99" i="18" s="1"/>
  <c r="L116" i="18"/>
  <c r="M116" i="18" s="1"/>
  <c r="J116" i="18"/>
  <c r="I116" i="18"/>
  <c r="F116" i="18"/>
  <c r="H116" i="18" s="1"/>
  <c r="L115" i="18"/>
  <c r="M115" i="18" s="1"/>
  <c r="J115" i="18"/>
  <c r="I115" i="18"/>
  <c r="F115" i="18"/>
  <c r="H115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4" i="18"/>
  <c r="M114" i="18" s="1"/>
  <c r="J114" i="18"/>
  <c r="I114" i="18"/>
  <c r="F114" i="18"/>
  <c r="H114" i="18" s="1"/>
  <c r="L94" i="18"/>
  <c r="M94" i="18" s="1"/>
  <c r="J94" i="18"/>
  <c r="I94" i="18"/>
  <c r="F94" i="18"/>
  <c r="H94" i="18" s="1"/>
  <c r="L93" i="18"/>
  <c r="M93" i="18" s="1"/>
  <c r="J93" i="18"/>
  <c r="I93" i="18"/>
  <c r="F93" i="18"/>
  <c r="H93" i="18" s="1"/>
  <c r="L92" i="18"/>
  <c r="M92" i="18" s="1"/>
  <c r="J92" i="18"/>
  <c r="I92" i="18"/>
  <c r="F92" i="18"/>
  <c r="H92" i="18" s="1"/>
  <c r="L91" i="18"/>
  <c r="M91" i="18" s="1"/>
  <c r="J91" i="18"/>
  <c r="I91" i="18"/>
  <c r="F91" i="18"/>
  <c r="H91" i="18" s="1"/>
  <c r="L90" i="18"/>
  <c r="M90" i="18" s="1"/>
  <c r="J90" i="18"/>
  <c r="I90" i="18"/>
  <c r="F90" i="18"/>
  <c r="H90" i="18" s="1"/>
  <c r="L89" i="18"/>
  <c r="M89" i="18" s="1"/>
  <c r="J89" i="18"/>
  <c r="I89" i="18"/>
  <c r="F89" i="18"/>
  <c r="H89" i="18" s="1"/>
  <c r="L88" i="18"/>
  <c r="M88" i="18" s="1"/>
  <c r="J88" i="18"/>
  <c r="I88" i="18"/>
  <c r="F88" i="18"/>
  <c r="H88" i="18" s="1"/>
  <c r="L87" i="18"/>
  <c r="M87" i="18" s="1"/>
  <c r="J87" i="18"/>
  <c r="I87" i="18"/>
  <c r="F87" i="18"/>
  <c r="H87" i="18" s="1"/>
  <c r="L86" i="18"/>
  <c r="M86" i="18" s="1"/>
  <c r="J86" i="18"/>
  <c r="I86" i="18"/>
  <c r="F86" i="18"/>
  <c r="H86" i="18" s="1"/>
  <c r="L85" i="18"/>
  <c r="M85" i="18" s="1"/>
  <c r="J85" i="18"/>
  <c r="I85" i="18"/>
  <c r="F85" i="18"/>
  <c r="H85" i="18" s="1"/>
  <c r="L84" i="18"/>
  <c r="M84" i="18" s="1"/>
  <c r="J84" i="18"/>
  <c r="I84" i="18"/>
  <c r="F84" i="18"/>
  <c r="H84" i="18" s="1"/>
  <c r="L83" i="18"/>
  <c r="M83" i="18" s="1"/>
  <c r="J83" i="18"/>
  <c r="I83" i="18"/>
  <c r="F83" i="18"/>
  <c r="H83" i="18" s="1"/>
  <c r="L82" i="18"/>
  <c r="M82" i="18" s="1"/>
  <c r="J82" i="18"/>
  <c r="I82" i="18"/>
  <c r="F82" i="18"/>
  <c r="H82" i="18" s="1"/>
  <c r="A120" i="16" l="1"/>
  <c r="A123" i="16"/>
  <c r="I19" i="18"/>
  <c r="F19" i="18"/>
  <c r="H19" i="18" s="1"/>
  <c r="J19" i="18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A121" i="16" l="1"/>
  <c r="A124" i="16"/>
  <c r="F229" i="1"/>
  <c r="A122" i="16" l="1"/>
  <c r="A128" i="16" s="1"/>
  <c r="A129" i="16" s="1"/>
  <c r="A130" i="16" s="1"/>
  <c r="A131" i="16" s="1"/>
  <c r="A132" i="16" s="1"/>
  <c r="A133" i="16" s="1"/>
  <c r="A134" i="16" s="1"/>
  <c r="A135" i="16" s="1"/>
  <c r="A136" i="16" s="1"/>
  <c r="C9" i="15"/>
  <c r="O39" i="15"/>
  <c r="D7" i="8" l="1"/>
  <c r="D7" i="9"/>
  <c r="AG355" i="2"/>
  <c r="L79" i="18" l="1"/>
  <c r="L80" i="18"/>
  <c r="L81" i="18"/>
  <c r="L95" i="18"/>
  <c r="L96" i="18"/>
  <c r="L97" i="18"/>
  <c r="L98" i="18"/>
  <c r="L100" i="18"/>
  <c r="L101" i="18"/>
  <c r="L102" i="18"/>
  <c r="L103" i="18"/>
  <c r="L104" i="18"/>
  <c r="L105" i="18"/>
  <c r="L106" i="18"/>
  <c r="L107" i="18"/>
  <c r="L108" i="18"/>
  <c r="L109" i="18"/>
  <c r="L117" i="18"/>
  <c r="L118" i="18"/>
  <c r="I77" i="18" l="1"/>
  <c r="I78" i="18"/>
  <c r="I79" i="18"/>
  <c r="I80" i="18"/>
  <c r="I81" i="18"/>
  <c r="I95" i="18"/>
  <c r="I96" i="18"/>
  <c r="I97" i="18"/>
  <c r="I98" i="18"/>
  <c r="I100" i="18"/>
  <c r="I101" i="18"/>
  <c r="I102" i="18"/>
  <c r="I103" i="18"/>
  <c r="I104" i="18"/>
  <c r="I105" i="18"/>
  <c r="I106" i="18"/>
  <c r="I107" i="18"/>
  <c r="I108" i="18"/>
  <c r="I109" i="18"/>
  <c r="I117" i="18"/>
  <c r="I118" i="18"/>
  <c r="J20" i="18"/>
  <c r="I20" i="18"/>
  <c r="F20" i="18"/>
  <c r="H20" i="18" s="1"/>
  <c r="F8" i="18"/>
  <c r="M97" i="18" l="1"/>
  <c r="J97" i="18"/>
  <c r="F97" i="18"/>
  <c r="H97" i="18" s="1"/>
  <c r="M96" i="18"/>
  <c r="J96" i="18"/>
  <c r="F96" i="18"/>
  <c r="H96" i="18" s="1"/>
  <c r="M95" i="18"/>
  <c r="J95" i="18"/>
  <c r="F95" i="18"/>
  <c r="H95" i="18" s="1"/>
  <c r="M81" i="18"/>
  <c r="J81" i="18"/>
  <c r="F81" i="18"/>
  <c r="H81" i="18" s="1"/>
  <c r="M80" i="18"/>
  <c r="J80" i="18"/>
  <c r="F80" i="18"/>
  <c r="H80" i="18" s="1"/>
  <c r="M79" i="18"/>
  <c r="J79" i="18"/>
  <c r="F79" i="18"/>
  <c r="H79" i="18" s="1"/>
  <c r="L78" i="18"/>
  <c r="M78" i="18" s="1"/>
  <c r="J78" i="18"/>
  <c r="F78" i="18"/>
  <c r="H78" i="18" s="1"/>
  <c r="M104" i="18"/>
  <c r="J104" i="18"/>
  <c r="F104" i="18"/>
  <c r="H104" i="18" s="1"/>
  <c r="M103" i="18"/>
  <c r="J103" i="18"/>
  <c r="F103" i="18"/>
  <c r="H103" i="18" s="1"/>
  <c r="M102" i="18"/>
  <c r="J102" i="18"/>
  <c r="F102" i="18"/>
  <c r="H102" i="18" s="1"/>
  <c r="M101" i="18"/>
  <c r="J101" i="18"/>
  <c r="F101" i="18"/>
  <c r="H101" i="18" s="1"/>
  <c r="M100" i="18"/>
  <c r="J100" i="18"/>
  <c r="F100" i="18"/>
  <c r="H100" i="18" s="1"/>
  <c r="M98" i="18"/>
  <c r="J98" i="18"/>
  <c r="F98" i="18"/>
  <c r="H98" i="18" s="1"/>
  <c r="A1" i="15" l="1"/>
  <c r="C8" i="17" l="1"/>
  <c r="C8" i="4"/>
  <c r="S523" i="2" l="1"/>
  <c r="T523" i="2"/>
  <c r="U523" i="2"/>
  <c r="V523" i="2"/>
  <c r="W523" i="2"/>
  <c r="X523" i="2"/>
  <c r="Y523" i="2"/>
  <c r="Z523" i="2"/>
  <c r="AA523" i="2"/>
  <c r="AB523" i="2"/>
  <c r="AC523" i="2"/>
  <c r="AD523" i="2"/>
  <c r="AE523" i="2"/>
  <c r="AF523" i="2"/>
  <c r="AG370" i="2"/>
  <c r="AH370" i="2" s="1"/>
  <c r="AG343" i="2"/>
  <c r="AH343" i="2" s="1"/>
  <c r="A35" i="4" l="1"/>
  <c r="A36" i="4" s="1"/>
  <c r="A37" i="4" s="1"/>
  <c r="A38" i="4" s="1"/>
  <c r="G11" i="17"/>
  <c r="G10" i="17"/>
  <c r="A39" i="4" l="1"/>
  <c r="A44" i="4"/>
  <c r="A50" i="4" s="1"/>
  <c r="A52" i="4" s="1"/>
  <c r="A43" i="4"/>
  <c r="A49" i="4" s="1"/>
  <c r="A40" i="4" l="1"/>
  <c r="A45" i="4"/>
  <c r="A46" i="4" l="1"/>
  <c r="A41" i="4"/>
  <c r="A42" i="4" l="1"/>
  <c r="A48" i="4" s="1"/>
  <c r="A47" i="4"/>
  <c r="F118" i="18" l="1"/>
  <c r="H118" i="18" s="1"/>
  <c r="J118" i="18"/>
  <c r="M118" i="18"/>
  <c r="M109" i="18"/>
  <c r="J109" i="18"/>
  <c r="F109" i="18"/>
  <c r="H109" i="18" s="1"/>
  <c r="M108" i="18"/>
  <c r="J108" i="18"/>
  <c r="F108" i="18"/>
  <c r="H108" i="18" s="1"/>
  <c r="M107" i="18"/>
  <c r="J107" i="18"/>
  <c r="F107" i="18"/>
  <c r="H107" i="18" s="1"/>
  <c r="M106" i="18"/>
  <c r="J106" i="18"/>
  <c r="F106" i="18"/>
  <c r="H106" i="18" s="1"/>
  <c r="M117" i="18"/>
  <c r="J117" i="18"/>
  <c r="F117" i="18"/>
  <c r="H117" i="18" s="1"/>
  <c r="M105" i="18"/>
  <c r="J105" i="18"/>
  <c r="F105" i="18"/>
  <c r="H105" i="18" s="1"/>
  <c r="A1" i="18" l="1"/>
  <c r="A1" i="9"/>
  <c r="A1" i="8"/>
  <c r="A1" i="16"/>
  <c r="F246" i="1" l="1"/>
  <c r="J8" i="18" l="1"/>
  <c r="I8" i="18"/>
  <c r="H8" i="18"/>
  <c r="AA496" i="2" l="1"/>
  <c r="AB496" i="2"/>
  <c r="AC496" i="2"/>
  <c r="AD496" i="2"/>
  <c r="AE496" i="2"/>
  <c r="AF496" i="2"/>
  <c r="H145" i="18" l="1"/>
  <c r="H144" i="18"/>
  <c r="H143" i="18"/>
  <c r="E119" i="18"/>
  <c r="O128" i="15" l="1"/>
  <c r="C17" i="15" s="1"/>
  <c r="O108" i="15"/>
  <c r="C15" i="15" s="1"/>
  <c r="O118" i="15"/>
  <c r="C16" i="15" s="1"/>
  <c r="D15" i="9" l="1"/>
  <c r="F15" i="9" s="1"/>
  <c r="D15" i="8"/>
  <c r="F15" i="8" s="1"/>
  <c r="D13" i="8"/>
  <c r="F13" i="8" s="1"/>
  <c r="D13" i="9"/>
  <c r="F13" i="9" s="1"/>
  <c r="D14" i="8"/>
  <c r="F14" i="8" s="1"/>
  <c r="D14" i="9"/>
  <c r="F14" i="9" s="1"/>
  <c r="O2" i="2"/>
  <c r="N2" i="2"/>
  <c r="M2" i="2"/>
  <c r="L2" i="2"/>
  <c r="F77" i="18" l="1"/>
  <c r="H77" i="18" s="1"/>
  <c r="L77" i="18"/>
  <c r="J77" i="18" l="1"/>
  <c r="M77" i="18"/>
  <c r="D119" i="18" l="1"/>
  <c r="D134" i="18" s="1"/>
  <c r="E52" i="18"/>
  <c r="D62" i="18" s="1"/>
  <c r="D52" i="18"/>
  <c r="D67" i="18" s="1"/>
  <c r="E21" i="18"/>
  <c r="D31" i="18" s="1"/>
  <c r="D21" i="18"/>
  <c r="D36" i="18" s="1"/>
  <c r="M198" i="15"/>
  <c r="K198" i="15"/>
  <c r="I198" i="15"/>
  <c r="E198" i="15"/>
  <c r="O88" i="15"/>
  <c r="E356" i="2"/>
  <c r="O78" i="15"/>
  <c r="O98" i="15"/>
  <c r="C14" i="15" s="1"/>
  <c r="O68" i="15"/>
  <c r="C11" i="15" s="1"/>
  <c r="O58" i="15"/>
  <c r="C10" i="15" s="1"/>
  <c r="F7" i="9"/>
  <c r="O38" i="15"/>
  <c r="F283" i="1"/>
  <c r="C6" i="8"/>
  <c r="B6" i="8"/>
  <c r="B7" i="9"/>
  <c r="C7" i="9"/>
  <c r="C6" i="9"/>
  <c r="B6" i="9"/>
  <c r="A32" i="15"/>
  <c r="O109" i="15"/>
  <c r="O110" i="15" s="1"/>
  <c r="F262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38" i="15" s="1"/>
  <c r="A188" i="15"/>
  <c r="A178" i="15"/>
  <c r="A168" i="15"/>
  <c r="A158" i="15"/>
  <c r="A148" i="15"/>
  <c r="A18" i="15"/>
  <c r="A17" i="15"/>
  <c r="A16" i="15"/>
  <c r="A15" i="15"/>
  <c r="A108" i="15" s="1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O179" i="15"/>
  <c r="O180" i="15" s="1"/>
  <c r="O169" i="15"/>
  <c r="O170" i="15" s="1"/>
  <c r="Q162" i="15"/>
  <c r="H20" i="15" s="1"/>
  <c r="R444" i="2" s="1"/>
  <c r="O162" i="15"/>
  <c r="O159" i="15"/>
  <c r="Q152" i="15"/>
  <c r="H19" i="15" s="1"/>
  <c r="Q444" i="2" s="1"/>
  <c r="O152" i="15"/>
  <c r="O149" i="15"/>
  <c r="Q142" i="15"/>
  <c r="H18" i="15" s="1"/>
  <c r="P444" i="2" s="1"/>
  <c r="O142" i="15"/>
  <c r="O139" i="15"/>
  <c r="O140" i="15" s="1"/>
  <c r="Q132" i="15"/>
  <c r="H17" i="15" s="1"/>
  <c r="O444" i="2" s="1"/>
  <c r="O132" i="15"/>
  <c r="O129" i="15"/>
  <c r="D17" i="15" s="1"/>
  <c r="O119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U15" i="15" s="1"/>
  <c r="W15" i="15" s="1"/>
  <c r="M16" i="15"/>
  <c r="U16" i="15" s="1"/>
  <c r="W16" i="15" s="1"/>
  <c r="M17" i="15"/>
  <c r="U17" i="15" s="1"/>
  <c r="W17" i="15" s="1"/>
  <c r="M18" i="15"/>
  <c r="U18" i="15" s="1"/>
  <c r="W18" i="15" s="1"/>
  <c r="M19" i="15"/>
  <c r="U19" i="15" s="1"/>
  <c r="W19" i="15" s="1"/>
  <c r="M20" i="15"/>
  <c r="U20" i="15" s="1"/>
  <c r="W20" i="15" s="1"/>
  <c r="M21" i="15"/>
  <c r="U21" i="15" s="1"/>
  <c r="W21" i="15" s="1"/>
  <c r="M22" i="15"/>
  <c r="U22" i="15" s="1"/>
  <c r="W22" i="15" s="1"/>
  <c r="M23" i="15"/>
  <c r="U23" i="15" s="1"/>
  <c r="W23" i="15" s="1"/>
  <c r="M5" i="15"/>
  <c r="E391" i="2"/>
  <c r="AF622" i="2"/>
  <c r="AE622" i="2"/>
  <c r="AD622" i="2"/>
  <c r="AC622" i="2"/>
  <c r="AB622" i="2"/>
  <c r="AA622" i="2"/>
  <c r="Z622" i="2"/>
  <c r="Y622" i="2"/>
  <c r="X622" i="2"/>
  <c r="W622" i="2"/>
  <c r="V622" i="2"/>
  <c r="AF596" i="2"/>
  <c r="AE596" i="2"/>
  <c r="AD596" i="2"/>
  <c r="AC596" i="2"/>
  <c r="AB596" i="2"/>
  <c r="AA596" i="2"/>
  <c r="Z596" i="2"/>
  <c r="Y596" i="2"/>
  <c r="X596" i="2"/>
  <c r="W596" i="2"/>
  <c r="V596" i="2"/>
  <c r="Q287" i="1"/>
  <c r="O202" i="15"/>
  <c r="Y425" i="2"/>
  <c r="X425" i="2"/>
  <c r="W425" i="2"/>
  <c r="V425" i="2"/>
  <c r="P424" i="2"/>
  <c r="Z424" i="2"/>
  <c r="U433" i="2"/>
  <c r="U436" i="2" s="1"/>
  <c r="T433" i="2"/>
  <c r="T436" i="2" s="1"/>
  <c r="S433" i="2"/>
  <c r="S436" i="2" s="1"/>
  <c r="R433" i="2"/>
  <c r="Q433" i="2"/>
  <c r="P433" i="2"/>
  <c r="P434" i="2" s="1"/>
  <c r="O433" i="2"/>
  <c r="O434" i="2" s="1"/>
  <c r="N433" i="2"/>
  <c r="N434" i="2" s="1"/>
  <c r="M433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D198" i="15"/>
  <c r="F198" i="15"/>
  <c r="H198" i="15"/>
  <c r="J198" i="15"/>
  <c r="L198" i="15"/>
  <c r="N198" i="15"/>
  <c r="O201" i="15"/>
  <c r="V432" i="2"/>
  <c r="V410" i="2" s="1"/>
  <c r="W432" i="2"/>
  <c r="W410" i="2" s="1"/>
  <c r="X432" i="2"/>
  <c r="X410" i="2" s="1"/>
  <c r="Y432" i="2"/>
  <c r="Y410" i="2" s="1"/>
  <c r="Z432" i="2"/>
  <c r="Z410" i="2" s="1"/>
  <c r="AA432" i="2"/>
  <c r="AA410" i="2" s="1"/>
  <c r="AB432" i="2"/>
  <c r="AB410" i="2" s="1"/>
  <c r="AC432" i="2"/>
  <c r="AC410" i="2" s="1"/>
  <c r="AD432" i="2"/>
  <c r="AD410" i="2" s="1"/>
  <c r="AE432" i="2"/>
  <c r="AE410" i="2" s="1"/>
  <c r="AF432" i="2"/>
  <c r="AF410" i="2" s="1"/>
  <c r="V423" i="2"/>
  <c r="W423" i="2"/>
  <c r="X423" i="2"/>
  <c r="Y423" i="2"/>
  <c r="Z423" i="2"/>
  <c r="AA423" i="2"/>
  <c r="AB423" i="2"/>
  <c r="AC423" i="2"/>
  <c r="AD423" i="2"/>
  <c r="AE423" i="2"/>
  <c r="AF423" i="2"/>
  <c r="V416" i="2"/>
  <c r="W416" i="2"/>
  <c r="X416" i="2"/>
  <c r="Y416" i="2"/>
  <c r="Z416" i="2"/>
  <c r="AA416" i="2"/>
  <c r="AB416" i="2"/>
  <c r="AC416" i="2"/>
  <c r="AD416" i="2"/>
  <c r="AE416" i="2"/>
  <c r="AF416" i="2"/>
  <c r="V449" i="2"/>
  <c r="V456" i="2" s="1"/>
  <c r="V463" i="2"/>
  <c r="V470" i="2" s="1"/>
  <c r="V477" i="2"/>
  <c r="V484" i="2" s="1"/>
  <c r="V496" i="2"/>
  <c r="V503" i="2"/>
  <c r="V569" i="2"/>
  <c r="V571" i="2"/>
  <c r="V580" i="2"/>
  <c r="V585" i="2"/>
  <c r="V605" i="2"/>
  <c r="V631" i="2" s="1"/>
  <c r="V610" i="2"/>
  <c r="V636" i="2" s="1"/>
  <c r="Q328" i="1"/>
  <c r="Q330" i="1" s="1"/>
  <c r="F356" i="1"/>
  <c r="F347" i="1"/>
  <c r="I352" i="1"/>
  <c r="P342" i="1"/>
  <c r="AB489" i="1"/>
  <c r="AC489" i="1" s="1"/>
  <c r="S20" i="1"/>
  <c r="S18" i="1"/>
  <c r="F24" i="1"/>
  <c r="F159" i="1"/>
  <c r="F168" i="1"/>
  <c r="F180" i="1"/>
  <c r="AE594" i="2"/>
  <c r="AE620" i="2" s="1"/>
  <c r="AE595" i="2"/>
  <c r="AE621" i="2" s="1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F458" i="2"/>
  <c r="E458" i="2"/>
  <c r="F429" i="2"/>
  <c r="O189" i="15"/>
  <c r="O190" i="15" s="1"/>
  <c r="O99" i="15"/>
  <c r="O100" i="15" s="1"/>
  <c r="O69" i="15"/>
  <c r="O70" i="15" s="1"/>
  <c r="O49" i="15"/>
  <c r="O50" i="15" s="1"/>
  <c r="D8" i="15"/>
  <c r="F430" i="2" s="1"/>
  <c r="E25" i="15"/>
  <c r="E29" i="15" s="1"/>
  <c r="H29" i="15" s="1"/>
  <c r="F54" i="1"/>
  <c r="F394" i="1"/>
  <c r="J56" i="1"/>
  <c r="J58" i="1" s="1"/>
  <c r="Q56" i="1"/>
  <c r="Q58" i="1" s="1"/>
  <c r="T56" i="1"/>
  <c r="T58" i="1" s="1"/>
  <c r="V56" i="1"/>
  <c r="V58" i="1"/>
  <c r="X56" i="1"/>
  <c r="X58" i="1" s="1"/>
  <c r="Z56" i="1"/>
  <c r="Q465" i="2"/>
  <c r="AG465" i="2" s="1"/>
  <c r="AH465" i="2" s="1"/>
  <c r="N8" i="10"/>
  <c r="O8" i="10"/>
  <c r="F8" i="10"/>
  <c r="K7" i="10"/>
  <c r="K8" i="10"/>
  <c r="L7" i="10"/>
  <c r="L8" i="10" s="1"/>
  <c r="R7" i="10"/>
  <c r="R8" i="10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/>
  <c r="AG498" i="2"/>
  <c r="AH498" i="2" s="1"/>
  <c r="I255" i="1"/>
  <c r="AD463" i="2"/>
  <c r="AD493" i="2" s="1"/>
  <c r="AC463" i="2"/>
  <c r="AC493" i="2" s="1"/>
  <c r="AA463" i="2"/>
  <c r="AA493" i="2" s="1"/>
  <c r="Z434" i="2"/>
  <c r="Z435" i="2" s="1"/>
  <c r="AB434" i="2"/>
  <c r="AB436" i="2" s="1"/>
  <c r="AD434" i="2"/>
  <c r="AD436" i="2" s="1"/>
  <c r="AA434" i="2"/>
  <c r="AA436" i="2" s="1"/>
  <c r="AC434" i="2"/>
  <c r="AC436" i="2" s="1"/>
  <c r="AE434" i="2"/>
  <c r="AE435" i="2" s="1"/>
  <c r="AF434" i="2"/>
  <c r="AF436" i="2" s="1"/>
  <c r="AE449" i="2"/>
  <c r="AE456" i="2" s="1"/>
  <c r="AF449" i="2"/>
  <c r="AF456" i="2" s="1"/>
  <c r="AG451" i="2"/>
  <c r="AH451" i="2" s="1"/>
  <c r="AE463" i="2"/>
  <c r="AE493" i="2" s="1"/>
  <c r="AF463" i="2"/>
  <c r="AF493" i="2" s="1"/>
  <c r="E470" i="2"/>
  <c r="AD472" i="2"/>
  <c r="AG472" i="2" s="1"/>
  <c r="AH472" i="2" s="1"/>
  <c r="AF477" i="2"/>
  <c r="AF484" i="2" s="1"/>
  <c r="AH479" i="2"/>
  <c r="AE484" i="2"/>
  <c r="AG486" i="2"/>
  <c r="AH486" i="2" s="1"/>
  <c r="E493" i="2"/>
  <c r="AF503" i="2"/>
  <c r="AF631" i="2"/>
  <c r="AF636" i="2"/>
  <c r="AE637" i="2"/>
  <c r="Z463" i="2"/>
  <c r="Z493" i="2" s="1"/>
  <c r="Z477" i="2"/>
  <c r="Z484" i="2" s="1"/>
  <c r="AD484" i="2"/>
  <c r="AB449" i="2"/>
  <c r="AB456" i="2" s="1"/>
  <c r="AB477" i="2"/>
  <c r="AB484" i="2" s="1"/>
  <c r="M41" i="1"/>
  <c r="M295" i="1" s="1"/>
  <c r="U29" i="1"/>
  <c r="R29" i="1"/>
  <c r="M32" i="1"/>
  <c r="Y49" i="1"/>
  <c r="Y303" i="1" s="1"/>
  <c r="F75" i="1"/>
  <c r="H156" i="1" s="1"/>
  <c r="AA28" i="1"/>
  <c r="AA29" i="1"/>
  <c r="AA30" i="1"/>
  <c r="AA31" i="1"/>
  <c r="AA32" i="1"/>
  <c r="AA33" i="1"/>
  <c r="AA40" i="1"/>
  <c r="AA41" i="1"/>
  <c r="AA42" i="1"/>
  <c r="AA43" i="1"/>
  <c r="AA111" i="1" s="1"/>
  <c r="AA44" i="1"/>
  <c r="AA45" i="1"/>
  <c r="AA299" i="1" s="1"/>
  <c r="AA46" i="1"/>
  <c r="AA206" i="1" s="1"/>
  <c r="AA47" i="1"/>
  <c r="AA224" i="1" s="1"/>
  <c r="AA48" i="1"/>
  <c r="AA390" i="1" s="1"/>
  <c r="AA157" i="1"/>
  <c r="AA49" i="1"/>
  <c r="AA407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48" i="1"/>
  <c r="P302" i="1" s="1"/>
  <c r="P49" i="1"/>
  <c r="P303" i="1" s="1"/>
  <c r="P50" i="1"/>
  <c r="P118" i="1" s="1"/>
  <c r="P51" i="1"/>
  <c r="P52" i="1"/>
  <c r="P406" i="1" s="1"/>
  <c r="W27" i="1"/>
  <c r="W28" i="1"/>
  <c r="W29" i="1"/>
  <c r="W30" i="1"/>
  <c r="W31" i="1"/>
  <c r="W32" i="1"/>
  <c r="W33" i="1"/>
  <c r="W41" i="1"/>
  <c r="W42" i="1"/>
  <c r="W43" i="1"/>
  <c r="W297" i="1" s="1"/>
  <c r="W44" i="1"/>
  <c r="W45" i="1"/>
  <c r="W299" i="1" s="1"/>
  <c r="W46" i="1"/>
  <c r="W223" i="1" s="1"/>
  <c r="W47" i="1"/>
  <c r="W115" i="1" s="1"/>
  <c r="W48" i="1"/>
  <c r="W210" i="1" s="1"/>
  <c r="W49" i="1"/>
  <c r="W407" i="1" s="1"/>
  <c r="W50" i="1"/>
  <c r="W387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44" i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5" i="1" s="1"/>
  <c r="K52" i="1"/>
  <c r="K406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43" i="1"/>
  <c r="K297" i="1" s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43" i="1"/>
  <c r="I111" i="1" s="1"/>
  <c r="I44" i="1"/>
  <c r="I45" i="1"/>
  <c r="I113" i="1" s="1"/>
  <c r="I46" i="1"/>
  <c r="I404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43" i="1"/>
  <c r="H111" i="1" s="1"/>
  <c r="H44" i="1"/>
  <c r="H205" i="1" s="1"/>
  <c r="H45" i="1"/>
  <c r="H299" i="1" s="1"/>
  <c r="H46" i="1"/>
  <c r="H114" i="1" s="1"/>
  <c r="H47" i="1"/>
  <c r="H405" i="1" s="1"/>
  <c r="H48" i="1"/>
  <c r="H390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K40" i="1"/>
  <c r="K51" i="1"/>
  <c r="F367" i="1"/>
  <c r="F461" i="1"/>
  <c r="F312" i="1"/>
  <c r="T328" i="1"/>
  <c r="T330" i="1" s="1"/>
  <c r="V328" i="1"/>
  <c r="V330" i="1"/>
  <c r="X328" i="1"/>
  <c r="X330" i="1" s="1"/>
  <c r="Z328" i="1"/>
  <c r="Z330" i="1" s="1"/>
  <c r="AB469" i="1"/>
  <c r="AC469" i="1" s="1"/>
  <c r="AB474" i="1"/>
  <c r="AC474" i="1" s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 s="1"/>
  <c r="AB487" i="1"/>
  <c r="AC487" i="1" s="1"/>
  <c r="AB488" i="1"/>
  <c r="AC488" i="1" s="1"/>
  <c r="AA477" i="2"/>
  <c r="AA484" i="2" s="1"/>
  <c r="AA449" i="2"/>
  <c r="AA456" i="2" s="1"/>
  <c r="F440" i="1"/>
  <c r="Z449" i="2"/>
  <c r="Z456" i="2" s="1"/>
  <c r="AB463" i="2"/>
  <c r="AB470" i="2" s="1"/>
  <c r="AC449" i="2"/>
  <c r="AC456" i="2" s="1"/>
  <c r="AC477" i="2"/>
  <c r="AC484" i="2" s="1"/>
  <c r="AD449" i="2"/>
  <c r="AD456" i="2" s="1"/>
  <c r="K365" i="1"/>
  <c r="K364" i="1"/>
  <c r="K178" i="1"/>
  <c r="Z503" i="2"/>
  <c r="Z496" i="2"/>
  <c r="X503" i="2"/>
  <c r="Y503" i="2"/>
  <c r="W503" i="2"/>
  <c r="Y463" i="2"/>
  <c r="Y493" i="2" s="1"/>
  <c r="W477" i="2"/>
  <c r="W484" i="2" s="1"/>
  <c r="Y449" i="2"/>
  <c r="Y456" i="2" s="1"/>
  <c r="W463" i="2"/>
  <c r="W470" i="2" s="1"/>
  <c r="X463" i="2"/>
  <c r="X470" i="2" s="1"/>
  <c r="Y496" i="2"/>
  <c r="AG505" i="2"/>
  <c r="AH505" i="2" s="1"/>
  <c r="X496" i="2"/>
  <c r="X477" i="2"/>
  <c r="X484" i="2" s="1"/>
  <c r="W496" i="2"/>
  <c r="X449" i="2"/>
  <c r="X456" i="2" s="1"/>
  <c r="Y477" i="2"/>
  <c r="Y484" i="2" s="1"/>
  <c r="W449" i="2"/>
  <c r="W456" i="2" s="1"/>
  <c r="G8" i="10"/>
  <c r="P7" i="10"/>
  <c r="S7" i="10" s="1"/>
  <c r="T7" i="10" s="1"/>
  <c r="AF610" i="2"/>
  <c r="AF585" i="2"/>
  <c r="AF581" i="2"/>
  <c r="AE571" i="2"/>
  <c r="Z571" i="2"/>
  <c r="AA571" i="2"/>
  <c r="Y571" i="2"/>
  <c r="AD571" i="2"/>
  <c r="AB571" i="2"/>
  <c r="AC571" i="2"/>
  <c r="AF571" i="2"/>
  <c r="AF595" i="2"/>
  <c r="AF621" i="2" s="1"/>
  <c r="X571" i="2"/>
  <c r="W571" i="2"/>
  <c r="E456" i="2"/>
  <c r="W580" i="2"/>
  <c r="W605" i="2"/>
  <c r="W631" i="2" s="1"/>
  <c r="AB605" i="2"/>
  <c r="AB631" i="2" s="1"/>
  <c r="AB580" i="2"/>
  <c r="AD585" i="2"/>
  <c r="AD610" i="2"/>
  <c r="AD636" i="2" s="1"/>
  <c r="AA580" i="2"/>
  <c r="AA605" i="2"/>
  <c r="AA631" i="2" s="1"/>
  <c r="AC610" i="2"/>
  <c r="AC636" i="2" s="1"/>
  <c r="AC585" i="2"/>
  <c r="Y610" i="2"/>
  <c r="Y636" i="2" s="1"/>
  <c r="Y585" i="2"/>
  <c r="X585" i="2"/>
  <c r="X610" i="2"/>
  <c r="X636" i="2" s="1"/>
  <c r="Z585" i="2"/>
  <c r="Z610" i="2"/>
  <c r="Z636" i="2" s="1"/>
  <c r="AE580" i="2"/>
  <c r="AE605" i="2"/>
  <c r="AE631" i="2" s="1"/>
  <c r="AF586" i="2"/>
  <c r="AA585" i="2"/>
  <c r="AA610" i="2"/>
  <c r="AA636" i="2" s="1"/>
  <c r="Y580" i="2"/>
  <c r="Y605" i="2"/>
  <c r="Y631" i="2" s="1"/>
  <c r="X605" i="2"/>
  <c r="X631" i="2" s="1"/>
  <c r="X580" i="2"/>
  <c r="Z605" i="2"/>
  <c r="Z631" i="2" s="1"/>
  <c r="Z580" i="2"/>
  <c r="AE610" i="2"/>
  <c r="AE636" i="2" s="1"/>
  <c r="AE638" i="2" s="1"/>
  <c r="AE585" i="2"/>
  <c r="AF605" i="2"/>
  <c r="AF580" i="2"/>
  <c r="AC605" i="2"/>
  <c r="AC631" i="2" s="1"/>
  <c r="AC580" i="2"/>
  <c r="W585" i="2"/>
  <c r="W610" i="2"/>
  <c r="W636" i="2" s="1"/>
  <c r="AB610" i="2"/>
  <c r="AB636" i="2" s="1"/>
  <c r="AB585" i="2"/>
  <c r="AD580" i="2"/>
  <c r="AD605" i="2"/>
  <c r="AD631" i="2" s="1"/>
  <c r="AD569" i="2"/>
  <c r="AC569" i="2"/>
  <c r="AF569" i="2"/>
  <c r="AF594" i="2"/>
  <c r="AF620" i="2" s="1"/>
  <c r="X569" i="2"/>
  <c r="AE569" i="2"/>
  <c r="AA569" i="2"/>
  <c r="W569" i="2"/>
  <c r="Y569" i="2"/>
  <c r="AB569" i="2"/>
  <c r="Z569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O79" i="15"/>
  <c r="D12" i="15" s="1"/>
  <c r="N12" i="15" s="1"/>
  <c r="O192" i="15"/>
  <c r="Q192" i="15"/>
  <c r="H23" i="15" s="1"/>
  <c r="U444" i="2" s="1"/>
  <c r="O66" i="15"/>
  <c r="F10" i="15" s="1"/>
  <c r="P66" i="15"/>
  <c r="G10" i="15" s="1"/>
  <c r="P76" i="15"/>
  <c r="G11" i="15" s="1"/>
  <c r="O76" i="15"/>
  <c r="F11" i="15" s="1"/>
  <c r="I445" i="2" s="1"/>
  <c r="I463" i="2" s="1"/>
  <c r="O86" i="15"/>
  <c r="F12" i="15" s="1"/>
  <c r="J445" i="2" s="1"/>
  <c r="J463" i="2" s="1"/>
  <c r="P86" i="15"/>
  <c r="G12" i="15" s="1"/>
  <c r="K139" i="1"/>
  <c r="F35" i="1"/>
  <c r="F199" i="1"/>
  <c r="F215" i="1"/>
  <c r="Y244" i="1"/>
  <c r="K89" i="1"/>
  <c r="K137" i="1"/>
  <c r="K138" i="1"/>
  <c r="K105" i="1"/>
  <c r="AA258" i="1"/>
  <c r="F170" i="1"/>
  <c r="F358" i="1"/>
  <c r="AF424" i="2"/>
  <c r="V424" i="2"/>
  <c r="Q424" i="2"/>
  <c r="I424" i="2"/>
  <c r="AC424" i="2"/>
  <c r="J424" i="2"/>
  <c r="S424" i="2"/>
  <c r="X424" i="2"/>
  <c r="H424" i="2"/>
  <c r="G424" i="2"/>
  <c r="AA424" i="2"/>
  <c r="AE424" i="2"/>
  <c r="R424" i="2"/>
  <c r="Y424" i="2"/>
  <c r="AD424" i="2"/>
  <c r="W424" i="2"/>
  <c r="U424" i="2"/>
  <c r="T424" i="2"/>
  <c r="AB424" i="2"/>
  <c r="L424" i="2"/>
  <c r="F424" i="2"/>
  <c r="P56" i="15"/>
  <c r="G9" i="15" s="1"/>
  <c r="O56" i="15"/>
  <c r="F9" i="15" s="1"/>
  <c r="G445" i="2" s="1"/>
  <c r="G463" i="2" s="1"/>
  <c r="V493" i="2"/>
  <c r="AA435" i="2"/>
  <c r="AC435" i="2"/>
  <c r="AA470" i="2"/>
  <c r="O89" i="15"/>
  <c r="D13" i="15" s="1"/>
  <c r="C198" i="15"/>
  <c r="G198" i="15"/>
  <c r="Y470" i="2"/>
  <c r="AD425" i="2"/>
  <c r="N436" i="2" l="1"/>
  <c r="N438" i="2" s="1"/>
  <c r="O436" i="2"/>
  <c r="O438" i="2" s="1"/>
  <c r="P435" i="2"/>
  <c r="P439" i="2" s="1"/>
  <c r="P436" i="2"/>
  <c r="A138" i="15"/>
  <c r="L18" i="15"/>
  <c r="D12" i="8"/>
  <c r="F12" i="8" s="1"/>
  <c r="D12" i="9"/>
  <c r="F12" i="9" s="1"/>
  <c r="C12" i="15"/>
  <c r="D9" i="9"/>
  <c r="F9" i="9" s="1"/>
  <c r="D9" i="8"/>
  <c r="F9" i="8" s="1"/>
  <c r="D8" i="9"/>
  <c r="F8" i="9" s="1"/>
  <c r="D8" i="8"/>
  <c r="F8" i="8" s="1"/>
  <c r="AB493" i="2"/>
  <c r="AB435" i="2"/>
  <c r="R51" i="1"/>
  <c r="O48" i="1"/>
  <c r="O390" i="1" s="1"/>
  <c r="M19" i="1"/>
  <c r="W177" i="1"/>
  <c r="M343" i="1"/>
  <c r="W352" i="1"/>
  <c r="R43" i="1"/>
  <c r="R297" i="1" s="1"/>
  <c r="M48" i="1"/>
  <c r="M390" i="1" s="1"/>
  <c r="AA19" i="1"/>
  <c r="P338" i="1"/>
  <c r="AA343" i="1"/>
  <c r="P353" i="1"/>
  <c r="I339" i="1"/>
  <c r="W344" i="1"/>
  <c r="I354" i="1"/>
  <c r="Y48" i="1"/>
  <c r="Y390" i="1" s="1"/>
  <c r="S47" i="1"/>
  <c r="S405" i="1" s="1"/>
  <c r="W255" i="1"/>
  <c r="W15" i="1"/>
  <c r="M22" i="1"/>
  <c r="W339" i="1"/>
  <c r="P345" i="1"/>
  <c r="W354" i="1"/>
  <c r="R258" i="1"/>
  <c r="Y41" i="1"/>
  <c r="Y109" i="1" s="1"/>
  <c r="S33" i="1"/>
  <c r="P434" i="1"/>
  <c r="P440" i="1" s="1"/>
  <c r="S16" i="1"/>
  <c r="AA22" i="1"/>
  <c r="P340" i="1"/>
  <c r="I350" i="1"/>
  <c r="Y33" i="1"/>
  <c r="U51" i="1"/>
  <c r="W175" i="1"/>
  <c r="K27" i="1"/>
  <c r="M17" i="1"/>
  <c r="S21" i="1"/>
  <c r="I341" i="1"/>
  <c r="W350" i="1"/>
  <c r="M33" i="1"/>
  <c r="U43" i="1"/>
  <c r="U111" i="1" s="1"/>
  <c r="U176" i="1"/>
  <c r="AA17" i="1"/>
  <c r="O156" i="1"/>
  <c r="W341" i="1"/>
  <c r="P351" i="1"/>
  <c r="R50" i="1"/>
  <c r="R387" i="1" s="1"/>
  <c r="R42" i="1"/>
  <c r="R402" i="1" s="1"/>
  <c r="R28" i="1"/>
  <c r="S46" i="1"/>
  <c r="S404" i="1" s="1"/>
  <c r="S32" i="1"/>
  <c r="U50" i="1"/>
  <c r="U207" i="1" s="1"/>
  <c r="U42" i="1"/>
  <c r="U204" i="1" s="1"/>
  <c r="U28" i="1"/>
  <c r="O42" i="1"/>
  <c r="O402" i="1" s="1"/>
  <c r="M166" i="1"/>
  <c r="AB166" i="1" s="1"/>
  <c r="AC166" i="1" s="1"/>
  <c r="K33" i="1"/>
  <c r="K255" i="1"/>
  <c r="AA255" i="1"/>
  <c r="AA262" i="1" s="1"/>
  <c r="R434" i="1"/>
  <c r="R440" i="1" s="1"/>
  <c r="U175" i="1"/>
  <c r="Y241" i="1"/>
  <c r="Y246" i="1" s="1"/>
  <c r="W176" i="1"/>
  <c r="H15" i="1"/>
  <c r="Y15" i="1"/>
  <c r="U16" i="1"/>
  <c r="O17" i="1"/>
  <c r="H18" i="1"/>
  <c r="U18" i="1"/>
  <c r="O19" i="1"/>
  <c r="H20" i="1"/>
  <c r="U20" i="1"/>
  <c r="O22" i="1"/>
  <c r="H21" i="1"/>
  <c r="U21" i="1"/>
  <c r="P156" i="1"/>
  <c r="K177" i="1"/>
  <c r="Y177" i="1"/>
  <c r="R338" i="1"/>
  <c r="K339" i="1"/>
  <c r="Y339" i="1"/>
  <c r="R340" i="1"/>
  <c r="K341" i="1"/>
  <c r="Y341" i="1"/>
  <c r="R342" i="1"/>
  <c r="O343" i="1"/>
  <c r="K344" i="1"/>
  <c r="Y344" i="1"/>
  <c r="R345" i="1"/>
  <c r="K350" i="1"/>
  <c r="Y350" i="1"/>
  <c r="R351" i="1"/>
  <c r="K352" i="1"/>
  <c r="Y352" i="1"/>
  <c r="R353" i="1"/>
  <c r="K354" i="1"/>
  <c r="Y354" i="1"/>
  <c r="S258" i="1"/>
  <c r="AA27" i="1"/>
  <c r="AA35" i="1" s="1"/>
  <c r="AA195" i="1" s="1"/>
  <c r="Y47" i="1"/>
  <c r="Y224" i="1" s="1"/>
  <c r="Y32" i="1"/>
  <c r="M31" i="1"/>
  <c r="R49" i="1"/>
  <c r="R303" i="1" s="1"/>
  <c r="R41" i="1"/>
  <c r="R109" i="1" s="1"/>
  <c r="R27" i="1"/>
  <c r="S45" i="1"/>
  <c r="S299" i="1" s="1"/>
  <c r="S31" i="1"/>
  <c r="U49" i="1"/>
  <c r="U226" i="1" s="1"/>
  <c r="U41" i="1"/>
  <c r="U295" i="1" s="1"/>
  <c r="U27" i="1"/>
  <c r="O41" i="1"/>
  <c r="O109" i="1" s="1"/>
  <c r="M47" i="1"/>
  <c r="M301" i="1" s="1"/>
  <c r="K32" i="1"/>
  <c r="M255" i="1"/>
  <c r="Y434" i="1"/>
  <c r="Y440" i="1" s="1"/>
  <c r="S434" i="1"/>
  <c r="S440" i="1" s="1"/>
  <c r="S175" i="1"/>
  <c r="K176" i="1"/>
  <c r="Y176" i="1"/>
  <c r="I15" i="1"/>
  <c r="AA15" i="1"/>
  <c r="W16" i="1"/>
  <c r="P17" i="1"/>
  <c r="I18" i="1"/>
  <c r="W18" i="1"/>
  <c r="P19" i="1"/>
  <c r="I20" i="1"/>
  <c r="W20" i="1"/>
  <c r="P22" i="1"/>
  <c r="I21" i="1"/>
  <c r="W21" i="1"/>
  <c r="R156" i="1"/>
  <c r="M177" i="1"/>
  <c r="AA177" i="1"/>
  <c r="S338" i="1"/>
  <c r="M339" i="1"/>
  <c r="AA339" i="1"/>
  <c r="S340" i="1"/>
  <c r="M341" i="1"/>
  <c r="AA341" i="1"/>
  <c r="S342" i="1"/>
  <c r="P343" i="1"/>
  <c r="M344" i="1"/>
  <c r="AA344" i="1"/>
  <c r="S345" i="1"/>
  <c r="M350" i="1"/>
  <c r="AA350" i="1"/>
  <c r="S351" i="1"/>
  <c r="M352" i="1"/>
  <c r="AA352" i="1"/>
  <c r="S353" i="1"/>
  <c r="M354" i="1"/>
  <c r="AA354" i="1"/>
  <c r="H258" i="1"/>
  <c r="U258" i="1"/>
  <c r="Y46" i="1"/>
  <c r="Y386" i="1" s="1"/>
  <c r="Y31" i="1"/>
  <c r="M30" i="1"/>
  <c r="R48" i="1"/>
  <c r="R116" i="1" s="1"/>
  <c r="R40" i="1"/>
  <c r="S52" i="1"/>
  <c r="S225" i="1" s="1"/>
  <c r="S44" i="1"/>
  <c r="S205" i="1" s="1"/>
  <c r="S30" i="1"/>
  <c r="U48" i="1"/>
  <c r="U210" i="1" s="1"/>
  <c r="U40" i="1"/>
  <c r="O52" i="1"/>
  <c r="O225" i="1" s="1"/>
  <c r="O40" i="1"/>
  <c r="M46" i="1"/>
  <c r="M404" i="1" s="1"/>
  <c r="K31" i="1"/>
  <c r="O255" i="1"/>
  <c r="H434" i="1"/>
  <c r="H440" i="1" s="1"/>
  <c r="U434" i="1"/>
  <c r="U440" i="1" s="1"/>
  <c r="R175" i="1"/>
  <c r="M176" i="1"/>
  <c r="AA176" i="1"/>
  <c r="K15" i="1"/>
  <c r="H16" i="1"/>
  <c r="Y16" i="1"/>
  <c r="R17" i="1"/>
  <c r="K18" i="1"/>
  <c r="Y18" i="1"/>
  <c r="R19" i="1"/>
  <c r="K20" i="1"/>
  <c r="Y20" i="1"/>
  <c r="R22" i="1"/>
  <c r="K21" i="1"/>
  <c r="Y21" i="1"/>
  <c r="S156" i="1"/>
  <c r="O177" i="1"/>
  <c r="H338" i="1"/>
  <c r="U338" i="1"/>
  <c r="O339" i="1"/>
  <c r="H340" i="1"/>
  <c r="U340" i="1"/>
  <c r="O341" i="1"/>
  <c r="H342" i="1"/>
  <c r="U342" i="1"/>
  <c r="R343" i="1"/>
  <c r="O344" i="1"/>
  <c r="H345" i="1"/>
  <c r="U345" i="1"/>
  <c r="O350" i="1"/>
  <c r="H351" i="1"/>
  <c r="U351" i="1"/>
  <c r="O352" i="1"/>
  <c r="H353" i="1"/>
  <c r="U353" i="1"/>
  <c r="O354" i="1"/>
  <c r="I258" i="1"/>
  <c r="I262" i="1" s="1"/>
  <c r="W258" i="1"/>
  <c r="W262" i="1" s="1"/>
  <c r="Y51" i="1"/>
  <c r="Y45" i="1"/>
  <c r="Y299" i="1" s="1"/>
  <c r="Y30" i="1"/>
  <c r="M29" i="1"/>
  <c r="R47" i="1"/>
  <c r="R224" i="1" s="1"/>
  <c r="R33" i="1"/>
  <c r="S51" i="1"/>
  <c r="S43" i="1"/>
  <c r="S297" i="1" s="1"/>
  <c r="S29" i="1"/>
  <c r="U47" i="1"/>
  <c r="U224" i="1" s="1"/>
  <c r="U33" i="1"/>
  <c r="O51" i="1"/>
  <c r="M52" i="1"/>
  <c r="M305" i="1" s="1"/>
  <c r="M45" i="1"/>
  <c r="M299" i="1" s="1"/>
  <c r="K30" i="1"/>
  <c r="P255" i="1"/>
  <c r="I434" i="1"/>
  <c r="I440" i="1" s="1"/>
  <c r="W434" i="1"/>
  <c r="W440" i="1" s="1"/>
  <c r="P175" i="1"/>
  <c r="O176" i="1"/>
  <c r="P15" i="1"/>
  <c r="I16" i="1"/>
  <c r="AA16" i="1"/>
  <c r="S17" i="1"/>
  <c r="M18" i="1"/>
  <c r="AA18" i="1"/>
  <c r="S19" i="1"/>
  <c r="M20" i="1"/>
  <c r="AA20" i="1"/>
  <c r="S22" i="1"/>
  <c r="M21" i="1"/>
  <c r="AA21" i="1"/>
  <c r="U156" i="1"/>
  <c r="P177" i="1"/>
  <c r="I338" i="1"/>
  <c r="W338" i="1"/>
  <c r="P339" i="1"/>
  <c r="I340" i="1"/>
  <c r="W340" i="1"/>
  <c r="P341" i="1"/>
  <c r="I342" i="1"/>
  <c r="W342" i="1"/>
  <c r="S343" i="1"/>
  <c r="P344" i="1"/>
  <c r="I345" i="1"/>
  <c r="W345" i="1"/>
  <c r="P350" i="1"/>
  <c r="I351" i="1"/>
  <c r="W351" i="1"/>
  <c r="P352" i="1"/>
  <c r="I353" i="1"/>
  <c r="W353" i="1"/>
  <c r="P354" i="1"/>
  <c r="K258" i="1"/>
  <c r="Y258" i="1"/>
  <c r="Y40" i="1"/>
  <c r="Y44" i="1"/>
  <c r="Y385" i="1" s="1"/>
  <c r="Y29" i="1"/>
  <c r="M28" i="1"/>
  <c r="R46" i="1"/>
  <c r="R404" i="1" s="1"/>
  <c r="R32" i="1"/>
  <c r="S50" i="1"/>
  <c r="S207" i="1" s="1"/>
  <c r="S42" i="1"/>
  <c r="S383" i="1" s="1"/>
  <c r="S28" i="1"/>
  <c r="U46" i="1"/>
  <c r="U300" i="1" s="1"/>
  <c r="U32" i="1"/>
  <c r="O154" i="1"/>
  <c r="AB154" i="1" s="1"/>
  <c r="AC154" i="1" s="1"/>
  <c r="M51" i="1"/>
  <c r="M44" i="1"/>
  <c r="M385" i="1" s="1"/>
  <c r="K29" i="1"/>
  <c r="R255" i="1"/>
  <c r="K434" i="1"/>
  <c r="K440" i="1" s="1"/>
  <c r="AA434" i="1"/>
  <c r="AA440" i="1" s="1"/>
  <c r="O175" i="1"/>
  <c r="M40" i="1"/>
  <c r="P176" i="1"/>
  <c r="R15" i="1"/>
  <c r="K16" i="1"/>
  <c r="H17" i="1"/>
  <c r="U17" i="1"/>
  <c r="O18" i="1"/>
  <c r="H19" i="1"/>
  <c r="U19" i="1"/>
  <c r="O20" i="1"/>
  <c r="H22" i="1"/>
  <c r="U22" i="1"/>
  <c r="O21" i="1"/>
  <c r="I156" i="1"/>
  <c r="W156" i="1"/>
  <c r="R177" i="1"/>
  <c r="K338" i="1"/>
  <c r="Y338" i="1"/>
  <c r="R339" i="1"/>
  <c r="K340" i="1"/>
  <c r="Y340" i="1"/>
  <c r="R341" i="1"/>
  <c r="K342" i="1"/>
  <c r="Y342" i="1"/>
  <c r="U343" i="1"/>
  <c r="R344" i="1"/>
  <c r="K345" i="1"/>
  <c r="Y345" i="1"/>
  <c r="R350" i="1"/>
  <c r="K351" i="1"/>
  <c r="Y351" i="1"/>
  <c r="R352" i="1"/>
  <c r="K353" i="1"/>
  <c r="Y353" i="1"/>
  <c r="R354" i="1"/>
  <c r="M258" i="1"/>
  <c r="Y52" i="1"/>
  <c r="Y406" i="1" s="1"/>
  <c r="Y43" i="1"/>
  <c r="Y111" i="1" s="1"/>
  <c r="Y28" i="1"/>
  <c r="M27" i="1"/>
  <c r="R45" i="1"/>
  <c r="R299" i="1" s="1"/>
  <c r="R31" i="1"/>
  <c r="S49" i="1"/>
  <c r="S117" i="1" s="1"/>
  <c r="S41" i="1"/>
  <c r="S109" i="1" s="1"/>
  <c r="S27" i="1"/>
  <c r="U45" i="1"/>
  <c r="U113" i="1" s="1"/>
  <c r="U31" i="1"/>
  <c r="O50" i="1"/>
  <c r="O118" i="1" s="1"/>
  <c r="M50" i="1"/>
  <c r="M118" i="1" s="1"/>
  <c r="M43" i="1"/>
  <c r="M297" i="1" s="1"/>
  <c r="K28" i="1"/>
  <c r="Y255" i="1"/>
  <c r="S255" i="1"/>
  <c r="M434" i="1"/>
  <c r="M440" i="1" s="1"/>
  <c r="AA175" i="1"/>
  <c r="M175" i="1"/>
  <c r="R176" i="1"/>
  <c r="S15" i="1"/>
  <c r="P16" i="1"/>
  <c r="I17" i="1"/>
  <c r="W17" i="1"/>
  <c r="P18" i="1"/>
  <c r="I19" i="1"/>
  <c r="W19" i="1"/>
  <c r="P20" i="1"/>
  <c r="I22" i="1"/>
  <c r="W22" i="1"/>
  <c r="P21" i="1"/>
  <c r="K156" i="1"/>
  <c r="Y156" i="1"/>
  <c r="S177" i="1"/>
  <c r="M338" i="1"/>
  <c r="AA338" i="1"/>
  <c r="S339" i="1"/>
  <c r="M340" i="1"/>
  <c r="AA340" i="1"/>
  <c r="S341" i="1"/>
  <c r="M342" i="1"/>
  <c r="AA342" i="1"/>
  <c r="W343" i="1"/>
  <c r="S344" i="1"/>
  <c r="M345" i="1"/>
  <c r="AA345" i="1"/>
  <c r="S350" i="1"/>
  <c r="M351" i="1"/>
  <c r="AA351" i="1"/>
  <c r="S352" i="1"/>
  <c r="M353" i="1"/>
  <c r="AA353" i="1"/>
  <c r="S354" i="1"/>
  <c r="O258" i="1"/>
  <c r="Y50" i="1"/>
  <c r="Y387" i="1" s="1"/>
  <c r="Y42" i="1"/>
  <c r="Y383" i="1" s="1"/>
  <c r="Y27" i="1"/>
  <c r="R52" i="1"/>
  <c r="R305" i="1" s="1"/>
  <c r="R44" i="1"/>
  <c r="R112" i="1" s="1"/>
  <c r="R30" i="1"/>
  <c r="S48" i="1"/>
  <c r="S210" i="1" s="1"/>
  <c r="S40" i="1"/>
  <c r="U52" i="1"/>
  <c r="U406" i="1" s="1"/>
  <c r="U44" i="1"/>
  <c r="U205" i="1" s="1"/>
  <c r="U30" i="1"/>
  <c r="O49" i="1"/>
  <c r="O117" i="1" s="1"/>
  <c r="M49" i="1"/>
  <c r="M226" i="1" s="1"/>
  <c r="M42" i="1"/>
  <c r="M204" i="1" s="1"/>
  <c r="H255" i="1"/>
  <c r="U255" i="1"/>
  <c r="O434" i="1"/>
  <c r="Y175" i="1"/>
  <c r="K175" i="1"/>
  <c r="S176" i="1"/>
  <c r="K162" i="1"/>
  <c r="AB162" i="1" s="1"/>
  <c r="AC162" i="1" s="1"/>
  <c r="U15" i="1"/>
  <c r="R16" i="1"/>
  <c r="K17" i="1"/>
  <c r="Y17" i="1"/>
  <c r="R18" i="1"/>
  <c r="K19" i="1"/>
  <c r="Y19" i="1"/>
  <c r="R20" i="1"/>
  <c r="K22" i="1"/>
  <c r="Y22" i="1"/>
  <c r="R21" i="1"/>
  <c r="M156" i="1"/>
  <c r="AA156" i="1"/>
  <c r="U177" i="1"/>
  <c r="O338" i="1"/>
  <c r="H339" i="1"/>
  <c r="U339" i="1"/>
  <c r="O340" i="1"/>
  <c r="H341" i="1"/>
  <c r="U341" i="1"/>
  <c r="O342" i="1"/>
  <c r="K343" i="1"/>
  <c r="Y343" i="1"/>
  <c r="U344" i="1"/>
  <c r="O345" i="1"/>
  <c r="H350" i="1"/>
  <c r="U350" i="1"/>
  <c r="O351" i="1"/>
  <c r="H352" i="1"/>
  <c r="U352" i="1"/>
  <c r="O353" i="1"/>
  <c r="H354" i="1"/>
  <c r="U354" i="1"/>
  <c r="P258" i="1"/>
  <c r="AG458" i="2"/>
  <c r="AH458" i="2" s="1"/>
  <c r="X493" i="2"/>
  <c r="M13" i="15"/>
  <c r="U13" i="15" s="1"/>
  <c r="W13" i="15" s="1"/>
  <c r="C13" i="15"/>
  <c r="C8" i="15"/>
  <c r="D6" i="9" s="1"/>
  <c r="F6" i="9" s="1"/>
  <c r="AA204" i="1"/>
  <c r="H383" i="1"/>
  <c r="H204" i="1"/>
  <c r="P221" i="1"/>
  <c r="I402" i="1"/>
  <c r="I204" i="1"/>
  <c r="K402" i="1"/>
  <c r="K204" i="1"/>
  <c r="W203" i="1"/>
  <c r="W204" i="1"/>
  <c r="AA298" i="1"/>
  <c r="AA205" i="1"/>
  <c r="I403" i="1"/>
  <c r="I205" i="1"/>
  <c r="W385" i="1"/>
  <c r="W205" i="1"/>
  <c r="K222" i="1"/>
  <c r="K205" i="1"/>
  <c r="AD435" i="2"/>
  <c r="AF582" i="2"/>
  <c r="AA494" i="2"/>
  <c r="P8" i="10"/>
  <c r="S8" i="10" s="1"/>
  <c r="T8" i="10" s="1"/>
  <c r="E429" i="2"/>
  <c r="AE352" i="2" s="1"/>
  <c r="E30" i="15"/>
  <c r="D18" i="15"/>
  <c r="P430" i="2" s="1"/>
  <c r="P503" i="2" s="1"/>
  <c r="H445" i="2"/>
  <c r="S174" i="15"/>
  <c r="J21" i="15" s="1"/>
  <c r="S442" i="2" s="1"/>
  <c r="U354" i="2"/>
  <c r="S354" i="2"/>
  <c r="O354" i="2"/>
  <c r="Q17" i="15"/>
  <c r="Q15" i="15"/>
  <c r="Q16" i="15"/>
  <c r="Q18" i="15"/>
  <c r="A128" i="15"/>
  <c r="L17" i="15"/>
  <c r="A118" i="15"/>
  <c r="L16" i="15"/>
  <c r="A98" i="15"/>
  <c r="L14" i="15"/>
  <c r="L15" i="15"/>
  <c r="O430" i="2"/>
  <c r="O503" i="2" s="1"/>
  <c r="Q9" i="15"/>
  <c r="E313" i="2"/>
  <c r="E316" i="2" s="1"/>
  <c r="E338" i="2" s="1"/>
  <c r="E358" i="2" s="1"/>
  <c r="A78" i="15"/>
  <c r="A68" i="15"/>
  <c r="AD341" i="2"/>
  <c r="AD365" i="2"/>
  <c r="AC341" i="2"/>
  <c r="Z341" i="2"/>
  <c r="AE341" i="2"/>
  <c r="W493" i="2"/>
  <c r="W494" i="2" s="1"/>
  <c r="AE470" i="2"/>
  <c r="AE365" i="2"/>
  <c r="AC425" i="2"/>
  <c r="Z470" i="2"/>
  <c r="Z365" i="2"/>
  <c r="AC365" i="2"/>
  <c r="AF365" i="2"/>
  <c r="AF341" i="2"/>
  <c r="AB365" i="2"/>
  <c r="AB341" i="2"/>
  <c r="Y365" i="2"/>
  <c r="Y341" i="2"/>
  <c r="V365" i="2"/>
  <c r="V341" i="2"/>
  <c r="AA365" i="2"/>
  <c r="AA341" i="2"/>
  <c r="X365" i="2"/>
  <c r="X341" i="2"/>
  <c r="W365" i="2"/>
  <c r="W341" i="2"/>
  <c r="AA425" i="2"/>
  <c r="Z436" i="2"/>
  <c r="AD470" i="2"/>
  <c r="V494" i="2"/>
  <c r="X494" i="2"/>
  <c r="AF435" i="2"/>
  <c r="AD494" i="2"/>
  <c r="AC494" i="2"/>
  <c r="S435" i="2"/>
  <c r="S439" i="2" s="1"/>
  <c r="AE436" i="2"/>
  <c r="AC470" i="2"/>
  <c r="AB425" i="2"/>
  <c r="AF425" i="2"/>
  <c r="Y494" i="2"/>
  <c r="AE494" i="2"/>
  <c r="AF494" i="2"/>
  <c r="AF587" i="2"/>
  <c r="AB494" i="2"/>
  <c r="AF470" i="2"/>
  <c r="Q20" i="15"/>
  <c r="Q22" i="15"/>
  <c r="N17" i="15"/>
  <c r="D11" i="15"/>
  <c r="N11" i="15" s="1"/>
  <c r="O174" i="15"/>
  <c r="R174" i="15" s="1"/>
  <c r="I21" i="15" s="1"/>
  <c r="S443" i="2" s="1"/>
  <c r="S449" i="2" s="1"/>
  <c r="U435" i="2"/>
  <c r="U439" i="2" s="1"/>
  <c r="D15" i="15"/>
  <c r="U425" i="2"/>
  <c r="D9" i="15"/>
  <c r="N9" i="15" s="1"/>
  <c r="O40" i="15"/>
  <c r="O130" i="15"/>
  <c r="O164" i="15"/>
  <c r="R164" i="15" s="1"/>
  <c r="I20" i="15" s="1"/>
  <c r="R443" i="2" s="1"/>
  <c r="S164" i="15"/>
  <c r="J20" i="15" s="1"/>
  <c r="R442" i="2" s="1"/>
  <c r="O60" i="15"/>
  <c r="O136" i="15"/>
  <c r="F17" i="15" s="1"/>
  <c r="P136" i="15"/>
  <c r="G17" i="15" s="1"/>
  <c r="N8" i="15"/>
  <c r="O80" i="15"/>
  <c r="G433" i="2"/>
  <c r="G434" i="2" s="1"/>
  <c r="O435" i="2"/>
  <c r="O439" i="2" s="1"/>
  <c r="N435" i="2"/>
  <c r="N439" i="2" s="1"/>
  <c r="G470" i="2"/>
  <c r="G493" i="2"/>
  <c r="G494" i="2" s="1"/>
  <c r="P146" i="15"/>
  <c r="G18" i="15" s="1"/>
  <c r="O134" i="15"/>
  <c r="R134" i="15" s="1"/>
  <c r="M9" i="15"/>
  <c r="U9" i="15" s="1"/>
  <c r="W9" i="15" s="1"/>
  <c r="D23" i="15"/>
  <c r="N23" i="15" s="1"/>
  <c r="D22" i="15"/>
  <c r="O166" i="15"/>
  <c r="F20" i="15" s="1"/>
  <c r="O90" i="15"/>
  <c r="S194" i="15"/>
  <c r="J23" i="15" s="1"/>
  <c r="U442" i="2" s="1"/>
  <c r="O154" i="15"/>
  <c r="R154" i="15" s="1"/>
  <c r="I19" i="15" s="1"/>
  <c r="Q443" i="2" s="1"/>
  <c r="A38" i="15"/>
  <c r="K433" i="2"/>
  <c r="K434" i="2" s="1"/>
  <c r="K436" i="2" s="1"/>
  <c r="H433" i="2"/>
  <c r="M10" i="15"/>
  <c r="U10" i="15" s="1"/>
  <c r="W10" i="15" s="1"/>
  <c r="F7" i="8"/>
  <c r="D14" i="15"/>
  <c r="N14" i="15" s="1"/>
  <c r="P96" i="15"/>
  <c r="G13" i="15" s="1"/>
  <c r="J430" i="2"/>
  <c r="J503" i="2" s="1"/>
  <c r="N10" i="15"/>
  <c r="H430" i="2"/>
  <c r="H503" i="2" s="1"/>
  <c r="S64" i="15"/>
  <c r="J10" i="15" s="1"/>
  <c r="H442" i="2" s="1"/>
  <c r="F503" i="2"/>
  <c r="F432" i="2"/>
  <c r="F410" i="2" s="1"/>
  <c r="F412" i="1"/>
  <c r="F414" i="1" s="1"/>
  <c r="F442" i="1" s="1"/>
  <c r="O144" i="15"/>
  <c r="R144" i="15" s="1"/>
  <c r="S144" i="15"/>
  <c r="J18" i="15" s="1"/>
  <c r="P442" i="2" s="1"/>
  <c r="O184" i="15"/>
  <c r="R184" i="15" s="1"/>
  <c r="I22" i="15" s="1"/>
  <c r="T443" i="2" s="1"/>
  <c r="S154" i="15"/>
  <c r="J19" i="15" s="1"/>
  <c r="Q442" i="2" s="1"/>
  <c r="D21" i="15"/>
  <c r="N21" i="15" s="1"/>
  <c r="N18" i="15"/>
  <c r="P166" i="15"/>
  <c r="G20" i="15" s="1"/>
  <c r="O196" i="15"/>
  <c r="F23" i="15" s="1"/>
  <c r="T484" i="2"/>
  <c r="O146" i="15"/>
  <c r="F18" i="15" s="1"/>
  <c r="O156" i="15"/>
  <c r="F19" i="15" s="1"/>
  <c r="D16" i="15"/>
  <c r="O120" i="15"/>
  <c r="O150" i="15"/>
  <c r="D19" i="15"/>
  <c r="D20" i="15"/>
  <c r="O160" i="15"/>
  <c r="L433" i="2"/>
  <c r="C25" i="15"/>
  <c r="M14" i="15"/>
  <c r="U14" i="15" s="1"/>
  <c r="W14" i="15" s="1"/>
  <c r="S184" i="15"/>
  <c r="J22" i="15" s="1"/>
  <c r="T442" i="2" s="1"/>
  <c r="O198" i="15"/>
  <c r="P156" i="15"/>
  <c r="G19" i="15" s="1"/>
  <c r="O194" i="15"/>
  <c r="R194" i="15" s="1"/>
  <c r="I23" i="15" s="1"/>
  <c r="U443" i="2" s="1"/>
  <c r="P196" i="15"/>
  <c r="G23" i="15" s="1"/>
  <c r="S134" i="15"/>
  <c r="J17" i="15" s="1"/>
  <c r="O442" i="2" s="1"/>
  <c r="AG429" i="2"/>
  <c r="T353" i="2"/>
  <c r="N353" i="2"/>
  <c r="W353" i="2"/>
  <c r="Q10" i="15"/>
  <c r="Q19" i="15"/>
  <c r="Q11" i="15"/>
  <c r="Q13" i="15"/>
  <c r="Q25" i="15"/>
  <c r="Q23" i="15"/>
  <c r="Q8" i="15"/>
  <c r="O25" i="15"/>
  <c r="Q21" i="15"/>
  <c r="Q12" i="15"/>
  <c r="Q14" i="15"/>
  <c r="M434" i="2"/>
  <c r="M436" i="2" s="1"/>
  <c r="S425" i="2"/>
  <c r="Q436" i="2"/>
  <c r="A58" i="15"/>
  <c r="D64" i="18"/>
  <c r="H56" i="18" a="1"/>
  <c r="H57" i="18" s="1"/>
  <c r="M119" i="18"/>
  <c r="D129" i="18" s="1"/>
  <c r="F328" i="1"/>
  <c r="F82" i="1"/>
  <c r="F56" i="1"/>
  <c r="F58" i="1" s="1"/>
  <c r="P304" i="1"/>
  <c r="M109" i="1"/>
  <c r="K221" i="1"/>
  <c r="P207" i="1"/>
  <c r="W111" i="1"/>
  <c r="W301" i="1"/>
  <c r="P387" i="1"/>
  <c r="W405" i="1"/>
  <c r="K115" i="1"/>
  <c r="H301" i="1"/>
  <c r="H224" i="1"/>
  <c r="K300" i="1"/>
  <c r="I305" i="1"/>
  <c r="AA383" i="1"/>
  <c r="W206" i="1"/>
  <c r="AA367" i="1"/>
  <c r="H119" i="1"/>
  <c r="P208" i="1"/>
  <c r="AA221" i="1"/>
  <c r="K114" i="1"/>
  <c r="W114" i="1"/>
  <c r="W207" i="1"/>
  <c r="AA203" i="1"/>
  <c r="K386" i="1"/>
  <c r="P117" i="1"/>
  <c r="W386" i="1"/>
  <c r="AA404" i="1"/>
  <c r="U168" i="1"/>
  <c r="K296" i="1"/>
  <c r="P388" i="1"/>
  <c r="K206" i="1"/>
  <c r="K404" i="1"/>
  <c r="Y168" i="1"/>
  <c r="AB240" i="1"/>
  <c r="AC240" i="1" s="1"/>
  <c r="S425" i="1"/>
  <c r="H115" i="1"/>
  <c r="AA386" i="1"/>
  <c r="W304" i="1"/>
  <c r="P402" i="1"/>
  <c r="H117" i="1"/>
  <c r="I297" i="1"/>
  <c r="AA116" i="1"/>
  <c r="H35" i="1"/>
  <c r="H371" i="1" s="1"/>
  <c r="AA403" i="1"/>
  <c r="H407" i="1"/>
  <c r="W388" i="1"/>
  <c r="K112" i="1"/>
  <c r="AB251" i="1"/>
  <c r="AC251" i="1" s="1"/>
  <c r="M367" i="1"/>
  <c r="H296" i="1"/>
  <c r="I206" i="1"/>
  <c r="H300" i="1"/>
  <c r="W222" i="1"/>
  <c r="W113" i="1"/>
  <c r="AA113" i="1"/>
  <c r="H404" i="1"/>
  <c r="K111" i="1"/>
  <c r="K403" i="1"/>
  <c r="I223" i="1"/>
  <c r="W117" i="1"/>
  <c r="W303" i="1"/>
  <c r="H168" i="1"/>
  <c r="W54" i="1"/>
  <c r="W310" i="1" s="1"/>
  <c r="K385" i="1"/>
  <c r="P110" i="1"/>
  <c r="AA110" i="1"/>
  <c r="AA402" i="1"/>
  <c r="H116" i="1"/>
  <c r="H295" i="1"/>
  <c r="Y208" i="1"/>
  <c r="I384" i="1"/>
  <c r="AA405" i="1"/>
  <c r="H302" i="1"/>
  <c r="U367" i="1"/>
  <c r="Y367" i="1"/>
  <c r="P35" i="1"/>
  <c r="P294" i="1" s="1"/>
  <c r="H208" i="1"/>
  <c r="I221" i="1"/>
  <c r="Y425" i="1"/>
  <c r="K298" i="1"/>
  <c r="P296" i="1"/>
  <c r="AA296" i="1"/>
  <c r="AA384" i="1"/>
  <c r="H112" i="1"/>
  <c r="AA297" i="1"/>
  <c r="P384" i="1"/>
  <c r="I299" i="1"/>
  <c r="AA223" i="1"/>
  <c r="P210" i="1"/>
  <c r="I296" i="1"/>
  <c r="H298" i="1"/>
  <c r="H385" i="1"/>
  <c r="P383" i="1"/>
  <c r="AA246" i="1"/>
  <c r="W246" i="1"/>
  <c r="H206" i="1"/>
  <c r="I390" i="1"/>
  <c r="I210" i="1"/>
  <c r="P116" i="1"/>
  <c r="AA302" i="1"/>
  <c r="W298" i="1"/>
  <c r="AB433" i="1"/>
  <c r="AC433" i="1" s="1"/>
  <c r="AB421" i="1"/>
  <c r="AC421" i="1" s="1"/>
  <c r="AB242" i="1"/>
  <c r="AC242" i="1" s="1"/>
  <c r="P295" i="1"/>
  <c r="W224" i="1"/>
  <c r="H113" i="1"/>
  <c r="I116" i="1"/>
  <c r="H305" i="1"/>
  <c r="P390" i="1"/>
  <c r="AA210" i="1"/>
  <c r="K224" i="1"/>
  <c r="H304" i="1"/>
  <c r="I298" i="1"/>
  <c r="AA168" i="1"/>
  <c r="AB155" i="1"/>
  <c r="AC155" i="1" s="1"/>
  <c r="W168" i="1"/>
  <c r="P168" i="1"/>
  <c r="P203" i="1"/>
  <c r="AB253" i="1"/>
  <c r="AC253" i="1" s="1"/>
  <c r="W112" i="1"/>
  <c r="P119" i="1"/>
  <c r="I385" i="1"/>
  <c r="AB428" i="1"/>
  <c r="AC428" i="1" s="1"/>
  <c r="AB438" i="1"/>
  <c r="AC438" i="1" s="1"/>
  <c r="M425" i="1"/>
  <c r="H388" i="1"/>
  <c r="P225" i="1"/>
  <c r="H406" i="1"/>
  <c r="H297" i="1"/>
  <c r="K301" i="1"/>
  <c r="P305" i="1"/>
  <c r="W403" i="1"/>
  <c r="H387" i="1"/>
  <c r="H207" i="1"/>
  <c r="K226" i="1"/>
  <c r="K388" i="1"/>
  <c r="K208" i="1"/>
  <c r="K303" i="1"/>
  <c r="K407" i="1"/>
  <c r="H384" i="1"/>
  <c r="H221" i="1"/>
  <c r="H203" i="1"/>
  <c r="I387" i="1"/>
  <c r="I304" i="1"/>
  <c r="I207" i="1"/>
  <c r="AB257" i="1"/>
  <c r="AC257" i="1" s="1"/>
  <c r="K387" i="1"/>
  <c r="K118" i="1"/>
  <c r="K207" i="1"/>
  <c r="K110" i="1"/>
  <c r="K383" i="1"/>
  <c r="K203" i="1"/>
  <c r="K384" i="1"/>
  <c r="R425" i="1"/>
  <c r="U246" i="1"/>
  <c r="W305" i="1"/>
  <c r="W225" i="1"/>
  <c r="AA304" i="1"/>
  <c r="AA387" i="1"/>
  <c r="AA118" i="1"/>
  <c r="AA112" i="1"/>
  <c r="AA222" i="1"/>
  <c r="AA54" i="1"/>
  <c r="AA401" i="1" s="1"/>
  <c r="S222" i="1"/>
  <c r="W302" i="1"/>
  <c r="K117" i="1"/>
  <c r="AB212" i="1"/>
  <c r="AC212" i="1" s="1"/>
  <c r="H54" i="1"/>
  <c r="H401" i="1" s="1"/>
  <c r="AB249" i="1"/>
  <c r="AC249" i="1" s="1"/>
  <c r="H110" i="1"/>
  <c r="H402" i="1"/>
  <c r="W406" i="1"/>
  <c r="AA385" i="1"/>
  <c r="AA207" i="1"/>
  <c r="AB420" i="1"/>
  <c r="AC420" i="1" s="1"/>
  <c r="H210" i="1"/>
  <c r="AB389" i="1"/>
  <c r="AC389" i="1" s="1"/>
  <c r="AB256" i="1"/>
  <c r="AC256" i="1" s="1"/>
  <c r="I114" i="1"/>
  <c r="I386" i="1"/>
  <c r="I300" i="1"/>
  <c r="I110" i="1"/>
  <c r="I203" i="1"/>
  <c r="I383" i="1"/>
  <c r="S367" i="1"/>
  <c r="AB429" i="1"/>
  <c r="AC429" i="1" s="1"/>
  <c r="K390" i="1"/>
  <c r="K116" i="1"/>
  <c r="K210" i="1"/>
  <c r="W404" i="1"/>
  <c r="W300" i="1"/>
  <c r="W221" i="1"/>
  <c r="W296" i="1"/>
  <c r="W402" i="1"/>
  <c r="W110" i="1"/>
  <c r="W384" i="1"/>
  <c r="AA406" i="1"/>
  <c r="AA225" i="1"/>
  <c r="AA119" i="1"/>
  <c r="AA303" i="1"/>
  <c r="AA117" i="1"/>
  <c r="AA226" i="1"/>
  <c r="AA208" i="1"/>
  <c r="AA388" i="1"/>
  <c r="AA115" i="1"/>
  <c r="AA301" i="1"/>
  <c r="H425" i="1"/>
  <c r="H222" i="1"/>
  <c r="H403" i="1"/>
  <c r="W226" i="1"/>
  <c r="W208" i="1"/>
  <c r="W109" i="1"/>
  <c r="W295" i="1"/>
  <c r="P226" i="1"/>
  <c r="P407" i="1"/>
  <c r="AB260" i="1"/>
  <c r="AC260" i="1" s="1"/>
  <c r="AB254" i="1"/>
  <c r="AC254" i="1" s="1"/>
  <c r="AB250" i="1"/>
  <c r="AC250" i="1" s="1"/>
  <c r="O246" i="1"/>
  <c r="O425" i="1"/>
  <c r="O367" i="1"/>
  <c r="P367" i="1"/>
  <c r="W367" i="1"/>
  <c r="K141" i="1"/>
  <c r="I168" i="1"/>
  <c r="AB163" i="1"/>
  <c r="AC163" i="1" s="1"/>
  <c r="AB164" i="1"/>
  <c r="AC164" i="1" s="1"/>
  <c r="O168" i="1"/>
  <c r="AB151" i="1"/>
  <c r="AC151" i="1" s="1"/>
  <c r="AB157" i="1"/>
  <c r="AC157" i="1" s="1"/>
  <c r="R168" i="1"/>
  <c r="AB165" i="1"/>
  <c r="AC165" i="1" s="1"/>
  <c r="I115" i="1"/>
  <c r="I224" i="1"/>
  <c r="I405" i="1"/>
  <c r="I301" i="1"/>
  <c r="K299" i="1"/>
  <c r="K113" i="1"/>
  <c r="K246" i="1"/>
  <c r="AB430" i="1"/>
  <c r="AC430" i="1" s="1"/>
  <c r="I425" i="1"/>
  <c r="AB422" i="1"/>
  <c r="AC422" i="1" s="1"/>
  <c r="AB243" i="1"/>
  <c r="AC243" i="1" s="1"/>
  <c r="I246" i="1"/>
  <c r="I35" i="1"/>
  <c r="I184" i="1" s="1"/>
  <c r="I208" i="1"/>
  <c r="I117" i="1"/>
  <c r="I388" i="1"/>
  <c r="I226" i="1"/>
  <c r="I303" i="1"/>
  <c r="I407" i="1"/>
  <c r="Y388" i="1"/>
  <c r="Y407" i="1"/>
  <c r="Y226" i="1"/>
  <c r="Y117" i="1"/>
  <c r="H386" i="1"/>
  <c r="H223" i="1"/>
  <c r="AB209" i="1"/>
  <c r="AC209" i="1" s="1"/>
  <c r="AB435" i="1"/>
  <c r="AC435" i="1" s="1"/>
  <c r="M246" i="1"/>
  <c r="I225" i="1"/>
  <c r="I406" i="1"/>
  <c r="AA109" i="1"/>
  <c r="AA295" i="1"/>
  <c r="AB152" i="1"/>
  <c r="AC152" i="1" s="1"/>
  <c r="K367" i="1"/>
  <c r="AB437" i="1"/>
  <c r="AC437" i="1" s="1"/>
  <c r="AB432" i="1"/>
  <c r="AC432" i="1" s="1"/>
  <c r="AB259" i="1"/>
  <c r="AC259" i="1" s="1"/>
  <c r="AB436" i="1"/>
  <c r="AC436" i="1" s="1"/>
  <c r="AB244" i="1"/>
  <c r="AC244" i="1" s="1"/>
  <c r="K225" i="1"/>
  <c r="K119" i="1"/>
  <c r="K305" i="1"/>
  <c r="R367" i="1"/>
  <c r="W118" i="1"/>
  <c r="AB423" i="1"/>
  <c r="AC423" i="1" s="1"/>
  <c r="H246" i="1"/>
  <c r="W383" i="1"/>
  <c r="AA300" i="1"/>
  <c r="AA114" i="1"/>
  <c r="S168" i="1"/>
  <c r="AA425" i="1"/>
  <c r="I54" i="1"/>
  <c r="I109" i="1"/>
  <c r="AB431" i="1"/>
  <c r="AC431" i="1" s="1"/>
  <c r="P425" i="1"/>
  <c r="AB419" i="1"/>
  <c r="AC419" i="1" s="1"/>
  <c r="O35" i="1"/>
  <c r="W116" i="1"/>
  <c r="W390" i="1"/>
  <c r="T435" i="2"/>
  <c r="T439" i="2" s="1"/>
  <c r="K430" i="2"/>
  <c r="K503" i="2" s="1"/>
  <c r="N13" i="15"/>
  <c r="J470" i="2"/>
  <c r="J493" i="2"/>
  <c r="J494" i="2" s="1"/>
  <c r="I470" i="2"/>
  <c r="I493" i="2"/>
  <c r="O96" i="15"/>
  <c r="F13" i="15" s="1"/>
  <c r="K445" i="2" s="1"/>
  <c r="K463" i="2" s="1"/>
  <c r="F231" i="1"/>
  <c r="U449" i="2"/>
  <c r="AB252" i="1"/>
  <c r="AC252" i="1" s="1"/>
  <c r="I112" i="1"/>
  <c r="I222" i="1"/>
  <c r="W35" i="1"/>
  <c r="AB153" i="1"/>
  <c r="AC153" i="1" s="1"/>
  <c r="W425" i="1"/>
  <c r="M11" i="15"/>
  <c r="U11" i="15" s="1"/>
  <c r="W11" i="15" s="1"/>
  <c r="I433" i="2"/>
  <c r="AB150" i="1"/>
  <c r="AC150" i="1" s="1"/>
  <c r="P246" i="1"/>
  <c r="S246" i="1"/>
  <c r="K295" i="1"/>
  <c r="K109" i="1"/>
  <c r="K425" i="1"/>
  <c r="U425" i="1"/>
  <c r="J433" i="2"/>
  <c r="H25" i="18" a="1"/>
  <c r="D33" i="18"/>
  <c r="A48" i="15"/>
  <c r="Z494" i="2"/>
  <c r="A88" i="15"/>
  <c r="D131" i="18"/>
  <c r="H123" i="18" a="1"/>
  <c r="R407" i="1" l="1"/>
  <c r="S303" i="1"/>
  <c r="S119" i="1"/>
  <c r="Y295" i="1"/>
  <c r="R388" i="1"/>
  <c r="O203" i="1"/>
  <c r="S388" i="1"/>
  <c r="R208" i="1"/>
  <c r="R207" i="1"/>
  <c r="S208" i="1"/>
  <c r="R210" i="1"/>
  <c r="M112" i="1"/>
  <c r="R115" i="1"/>
  <c r="R390" i="1"/>
  <c r="R117" i="1"/>
  <c r="M222" i="1"/>
  <c r="M225" i="1"/>
  <c r="O383" i="1"/>
  <c r="S301" i="1"/>
  <c r="U297" i="1"/>
  <c r="S406" i="1"/>
  <c r="S384" i="1"/>
  <c r="S110" i="1"/>
  <c r="S305" i="1"/>
  <c r="S115" i="1"/>
  <c r="Y119" i="1"/>
  <c r="Y225" i="1"/>
  <c r="S224" i="1"/>
  <c r="R435" i="2"/>
  <c r="R439" i="2" s="1"/>
  <c r="R436" i="2"/>
  <c r="S386" i="1"/>
  <c r="S223" i="1"/>
  <c r="Y110" i="1"/>
  <c r="O210" i="1"/>
  <c r="O302" i="1"/>
  <c r="S300" i="1"/>
  <c r="S206" i="1"/>
  <c r="S114" i="1"/>
  <c r="Y402" i="1"/>
  <c r="O116" i="1"/>
  <c r="C26" i="15"/>
  <c r="C29" i="15" s="1"/>
  <c r="C30" i="15" s="1"/>
  <c r="Q351" i="2"/>
  <c r="P354" i="2"/>
  <c r="U351" i="2"/>
  <c r="M354" i="2"/>
  <c r="Y354" i="2"/>
  <c r="R351" i="2"/>
  <c r="P351" i="2"/>
  <c r="V351" i="2"/>
  <c r="D11" i="8"/>
  <c r="F11" i="8" s="1"/>
  <c r="D11" i="9"/>
  <c r="F11" i="9" s="1"/>
  <c r="D10" i="8"/>
  <c r="F10" i="8" s="1"/>
  <c r="D10" i="9"/>
  <c r="F10" i="9" s="1"/>
  <c r="M12" i="15"/>
  <c r="U12" i="15" s="1"/>
  <c r="W12" i="15" s="1"/>
  <c r="F433" i="2"/>
  <c r="F434" i="2" s="1"/>
  <c r="F436" i="2" s="1"/>
  <c r="F438" i="2" s="1"/>
  <c r="M8" i="15"/>
  <c r="U8" i="15" s="1"/>
  <c r="W8" i="15" s="1"/>
  <c r="D6" i="8"/>
  <c r="F6" i="8" s="1"/>
  <c r="S111" i="1"/>
  <c r="H262" i="1"/>
  <c r="S385" i="1"/>
  <c r="S298" i="1"/>
  <c r="S113" i="1"/>
  <c r="S262" i="1"/>
  <c r="M262" i="1"/>
  <c r="K262" i="1"/>
  <c r="S403" i="1"/>
  <c r="S112" i="1"/>
  <c r="Y403" i="1"/>
  <c r="O208" i="1"/>
  <c r="Y298" i="1"/>
  <c r="R119" i="1"/>
  <c r="Y112" i="1"/>
  <c r="Y222" i="1"/>
  <c r="U206" i="1"/>
  <c r="R225" i="1"/>
  <c r="U223" i="1"/>
  <c r="O226" i="1"/>
  <c r="R406" i="1"/>
  <c r="U114" i="1"/>
  <c r="U386" i="1"/>
  <c r="Y205" i="1"/>
  <c r="O407" i="1"/>
  <c r="O303" i="1"/>
  <c r="O388" i="1"/>
  <c r="U404" i="1"/>
  <c r="U262" i="1"/>
  <c r="U180" i="1"/>
  <c r="M207" i="1"/>
  <c r="U402" i="1"/>
  <c r="U221" i="1"/>
  <c r="Y297" i="1"/>
  <c r="R180" i="1"/>
  <c r="P262" i="1"/>
  <c r="U299" i="1"/>
  <c r="O262" i="1"/>
  <c r="U118" i="1"/>
  <c r="M388" i="1"/>
  <c r="Y301" i="1"/>
  <c r="U301" i="1"/>
  <c r="U407" i="1"/>
  <c r="W180" i="1"/>
  <c r="Y262" i="1"/>
  <c r="S180" i="1"/>
  <c r="R113" i="1"/>
  <c r="U384" i="1"/>
  <c r="U110" i="1"/>
  <c r="U203" i="1"/>
  <c r="U296" i="1"/>
  <c r="M304" i="1"/>
  <c r="U109" i="1"/>
  <c r="AB109" i="1" s="1"/>
  <c r="AC109" i="1" s="1"/>
  <c r="U383" i="1"/>
  <c r="M387" i="1"/>
  <c r="R205" i="1"/>
  <c r="I356" i="1"/>
  <c r="O295" i="1"/>
  <c r="M205" i="1"/>
  <c r="K180" i="1"/>
  <c r="AB28" i="1"/>
  <c r="AC28" i="1" s="1"/>
  <c r="R302" i="1"/>
  <c r="O221" i="1"/>
  <c r="O110" i="1"/>
  <c r="S226" i="1"/>
  <c r="R226" i="1"/>
  <c r="M119" i="1"/>
  <c r="M403" i="1"/>
  <c r="R118" i="1"/>
  <c r="M298" i="1"/>
  <c r="R304" i="1"/>
  <c r="O296" i="1"/>
  <c r="M406" i="1"/>
  <c r="R405" i="1"/>
  <c r="S407" i="1"/>
  <c r="R111" i="1"/>
  <c r="O384" i="1"/>
  <c r="R301" i="1"/>
  <c r="AB241" i="1"/>
  <c r="AC241" i="1" s="1"/>
  <c r="M383" i="1"/>
  <c r="M384" i="1"/>
  <c r="M203" i="1"/>
  <c r="P180" i="1"/>
  <c r="R356" i="1"/>
  <c r="AB32" i="1"/>
  <c r="AC32" i="1" s="1"/>
  <c r="AA24" i="1"/>
  <c r="AA149" i="1" s="1"/>
  <c r="AA159" i="1" s="1"/>
  <c r="AA170" i="1" s="1"/>
  <c r="AB18" i="1"/>
  <c r="AC18" i="1" s="1"/>
  <c r="Y223" i="1"/>
  <c r="K168" i="1"/>
  <c r="AB434" i="1"/>
  <c r="AC434" i="1" s="1"/>
  <c r="U116" i="1"/>
  <c r="O304" i="1"/>
  <c r="Y300" i="1"/>
  <c r="U302" i="1"/>
  <c r="R298" i="1"/>
  <c r="M208" i="1"/>
  <c r="Y115" i="1"/>
  <c r="Y206" i="1"/>
  <c r="O387" i="1"/>
  <c r="U117" i="1"/>
  <c r="R385" i="1"/>
  <c r="U387" i="1"/>
  <c r="Y113" i="1"/>
  <c r="M117" i="1"/>
  <c r="AB49" i="1"/>
  <c r="AC49" i="1" s="1"/>
  <c r="Y405" i="1"/>
  <c r="U388" i="1"/>
  <c r="R222" i="1"/>
  <c r="U405" i="1"/>
  <c r="M407" i="1"/>
  <c r="U115" i="1"/>
  <c r="R403" i="1"/>
  <c r="Y404" i="1"/>
  <c r="Y114" i="1"/>
  <c r="U390" i="1"/>
  <c r="M303" i="1"/>
  <c r="U303" i="1"/>
  <c r="U304" i="1"/>
  <c r="O207" i="1"/>
  <c r="U208" i="1"/>
  <c r="AB342" i="1"/>
  <c r="AC342" i="1" s="1"/>
  <c r="AB27" i="1"/>
  <c r="AC27" i="1" s="1"/>
  <c r="AB40" i="1"/>
  <c r="AC40" i="1" s="1"/>
  <c r="M206" i="1"/>
  <c r="Y210" i="1"/>
  <c r="AB48" i="1"/>
  <c r="AC48" i="1" s="1"/>
  <c r="M114" i="1"/>
  <c r="M296" i="1"/>
  <c r="O356" i="1"/>
  <c r="H24" i="1"/>
  <c r="H80" i="1" s="1"/>
  <c r="U356" i="1"/>
  <c r="Y305" i="1"/>
  <c r="S35" i="1"/>
  <c r="S377" i="1" s="1"/>
  <c r="U112" i="1"/>
  <c r="Y221" i="1"/>
  <c r="S296" i="1"/>
  <c r="S402" i="1"/>
  <c r="S221" i="1"/>
  <c r="M402" i="1"/>
  <c r="U298" i="1"/>
  <c r="U385" i="1"/>
  <c r="M221" i="1"/>
  <c r="Y296" i="1"/>
  <c r="Y203" i="1"/>
  <c r="S204" i="1"/>
  <c r="U222" i="1"/>
  <c r="Y384" i="1"/>
  <c r="M110" i="1"/>
  <c r="S203" i="1"/>
  <c r="U403" i="1"/>
  <c r="M116" i="1"/>
  <c r="R295" i="1"/>
  <c r="R383" i="1"/>
  <c r="R204" i="1"/>
  <c r="H356" i="1"/>
  <c r="Y24" i="1"/>
  <c r="Y80" i="1" s="1"/>
  <c r="R24" i="1"/>
  <c r="R106" i="1" s="1"/>
  <c r="AB51" i="1"/>
  <c r="AC51" i="1" s="1"/>
  <c r="AB344" i="1"/>
  <c r="AC344" i="1" s="1"/>
  <c r="O180" i="1"/>
  <c r="M35" i="1"/>
  <c r="M183" i="1" s="1"/>
  <c r="AB353" i="1"/>
  <c r="AC353" i="1" s="1"/>
  <c r="M180" i="1"/>
  <c r="AB30" i="1"/>
  <c r="AC30" i="1" s="1"/>
  <c r="AA356" i="1"/>
  <c r="AA180" i="1"/>
  <c r="P24" i="1"/>
  <c r="P149" i="1" s="1"/>
  <c r="P159" i="1" s="1"/>
  <c r="P170" i="1" s="1"/>
  <c r="U35" i="1"/>
  <c r="U191" i="1" s="1"/>
  <c r="Y180" i="1"/>
  <c r="P356" i="1"/>
  <c r="AB341" i="1"/>
  <c r="AC341" i="1" s="1"/>
  <c r="Y54" i="1"/>
  <c r="Y137" i="1" s="1"/>
  <c r="R110" i="1"/>
  <c r="Y302" i="1"/>
  <c r="AB156" i="1"/>
  <c r="AC156" i="1" s="1"/>
  <c r="R206" i="1"/>
  <c r="AB255" i="1"/>
  <c r="AC255" i="1" s="1"/>
  <c r="O119" i="1"/>
  <c r="S356" i="1"/>
  <c r="AB21" i="1"/>
  <c r="AC21" i="1" s="1"/>
  <c r="AB17" i="1"/>
  <c r="AC17" i="1" s="1"/>
  <c r="AB29" i="1"/>
  <c r="AC29" i="1" s="1"/>
  <c r="AB340" i="1"/>
  <c r="AC340" i="1" s="1"/>
  <c r="S24" i="1"/>
  <c r="S293" i="1" s="1"/>
  <c r="AB16" i="1"/>
  <c r="AC16" i="1" s="1"/>
  <c r="R35" i="1"/>
  <c r="R191" i="1" s="1"/>
  <c r="AB345" i="1"/>
  <c r="AC345" i="1" s="1"/>
  <c r="K24" i="1"/>
  <c r="K337" i="1" s="1"/>
  <c r="K347" i="1" s="1"/>
  <c r="R54" i="1"/>
  <c r="R89" i="1" s="1"/>
  <c r="M356" i="1"/>
  <c r="W24" i="1"/>
  <c r="W85" i="1" s="1"/>
  <c r="AB354" i="1"/>
  <c r="AC354" i="1" s="1"/>
  <c r="AB339" i="1"/>
  <c r="AC339" i="1" s="1"/>
  <c r="U24" i="1"/>
  <c r="U149" i="1" s="1"/>
  <c r="U159" i="1" s="1"/>
  <c r="U170" i="1" s="1"/>
  <c r="AB15" i="1"/>
  <c r="AC15" i="1" s="1"/>
  <c r="AB33" i="1"/>
  <c r="AC33" i="1" s="1"/>
  <c r="Y35" i="1"/>
  <c r="Y191" i="1" s="1"/>
  <c r="R262" i="1"/>
  <c r="M111" i="1"/>
  <c r="Y204" i="1"/>
  <c r="AB22" i="1"/>
  <c r="AC22" i="1" s="1"/>
  <c r="AB31" i="1"/>
  <c r="AC31" i="1" s="1"/>
  <c r="Y356" i="1"/>
  <c r="AB343" i="1"/>
  <c r="AC343" i="1" s="1"/>
  <c r="O24" i="1"/>
  <c r="O149" i="1" s="1"/>
  <c r="O159" i="1" s="1"/>
  <c r="O170" i="1" s="1"/>
  <c r="W356" i="1"/>
  <c r="AB19" i="1"/>
  <c r="AC19" i="1" s="1"/>
  <c r="AB338" i="1"/>
  <c r="AC338" i="1" s="1"/>
  <c r="AB20" i="1"/>
  <c r="AC20" i="1" s="1"/>
  <c r="I24" i="1"/>
  <c r="I293" i="1" s="1"/>
  <c r="S302" i="1"/>
  <c r="R114" i="1"/>
  <c r="Y116" i="1"/>
  <c r="R300" i="1"/>
  <c r="M223" i="1"/>
  <c r="M54" i="1"/>
  <c r="M310" i="1" s="1"/>
  <c r="Y118" i="1"/>
  <c r="M168" i="1"/>
  <c r="R296" i="1"/>
  <c r="U305" i="1"/>
  <c r="AB352" i="1"/>
  <c r="AC352" i="1" s="1"/>
  <c r="M113" i="1"/>
  <c r="AB351" i="1"/>
  <c r="AC351" i="1" s="1"/>
  <c r="O440" i="1"/>
  <c r="AB440" i="1" s="1"/>
  <c r="AC440" i="1" s="1"/>
  <c r="R223" i="1"/>
  <c r="M300" i="1"/>
  <c r="S54" i="1"/>
  <c r="S227" i="1" s="1"/>
  <c r="K35" i="1"/>
  <c r="K372" i="1" s="1"/>
  <c r="U54" i="1"/>
  <c r="U310" i="1" s="1"/>
  <c r="AB50" i="1"/>
  <c r="AC50" i="1" s="1"/>
  <c r="S304" i="1"/>
  <c r="M24" i="1"/>
  <c r="M149" i="1" s="1"/>
  <c r="M159" i="1" s="1"/>
  <c r="R203" i="1"/>
  <c r="M302" i="1"/>
  <c r="AB41" i="1"/>
  <c r="AC41" i="1" s="1"/>
  <c r="AB350" i="1"/>
  <c r="AC350" i="1" s="1"/>
  <c r="M386" i="1"/>
  <c r="AB258" i="1"/>
  <c r="AC258" i="1" s="1"/>
  <c r="R384" i="1"/>
  <c r="S387" i="1"/>
  <c r="O305" i="1"/>
  <c r="U225" i="1"/>
  <c r="M115" i="1"/>
  <c r="S116" i="1"/>
  <c r="S295" i="1"/>
  <c r="R221" i="1"/>
  <c r="Y304" i="1"/>
  <c r="M210" i="1"/>
  <c r="R386" i="1"/>
  <c r="M224" i="1"/>
  <c r="AB52" i="1"/>
  <c r="AC52" i="1" s="1"/>
  <c r="AB42" i="1"/>
  <c r="AC42" i="1" s="1"/>
  <c r="M405" i="1"/>
  <c r="U119" i="1"/>
  <c r="S118" i="1"/>
  <c r="K356" i="1"/>
  <c r="Y207" i="1"/>
  <c r="O406" i="1"/>
  <c r="S390" i="1"/>
  <c r="I430" i="2"/>
  <c r="I432" i="2" s="1"/>
  <c r="I410" i="2" s="1"/>
  <c r="K438" i="2"/>
  <c r="Y351" i="2"/>
  <c r="T354" i="2"/>
  <c r="O353" i="2"/>
  <c r="X353" i="2"/>
  <c r="AD353" i="2"/>
  <c r="AH429" i="2"/>
  <c r="O351" i="2"/>
  <c r="AF351" i="2"/>
  <c r="N352" i="2"/>
  <c r="AE354" i="2"/>
  <c r="T351" i="2"/>
  <c r="AB354" i="2"/>
  <c r="AA353" i="2"/>
  <c r="AB353" i="2"/>
  <c r="AA354" i="2"/>
  <c r="V353" i="2"/>
  <c r="P353" i="2"/>
  <c r="S353" i="2"/>
  <c r="AE351" i="2"/>
  <c r="U352" i="2"/>
  <c r="V352" i="2"/>
  <c r="AB351" i="2"/>
  <c r="O352" i="2"/>
  <c r="AF354" i="2"/>
  <c r="U353" i="2"/>
  <c r="Y353" i="2"/>
  <c r="Q353" i="2"/>
  <c r="M353" i="2"/>
  <c r="AC352" i="2"/>
  <c r="Z352" i="2"/>
  <c r="AA351" i="2"/>
  <c r="Q352" i="2"/>
  <c r="W352" i="2"/>
  <c r="AC353" i="2"/>
  <c r="X351" i="2"/>
  <c r="Z351" i="2"/>
  <c r="R353" i="2"/>
  <c r="Z353" i="2"/>
  <c r="AA313" i="2"/>
  <c r="T352" i="2"/>
  <c r="Z354" i="2"/>
  <c r="AD352" i="2"/>
  <c r="P352" i="2"/>
  <c r="Y352" i="2"/>
  <c r="AA352" i="2"/>
  <c r="AF353" i="2"/>
  <c r="AE353" i="2"/>
  <c r="Q354" i="2"/>
  <c r="AD354" i="2"/>
  <c r="AF352" i="2"/>
  <c r="V354" i="2"/>
  <c r="X354" i="2"/>
  <c r="F345" i="2"/>
  <c r="I346" i="2"/>
  <c r="G348" i="2"/>
  <c r="H351" i="2"/>
  <c r="F353" i="2"/>
  <c r="I354" i="2"/>
  <c r="I350" i="2"/>
  <c r="F354" i="2"/>
  <c r="G345" i="2"/>
  <c r="H348" i="2"/>
  <c r="F350" i="2"/>
  <c r="I351" i="2"/>
  <c r="G353" i="2"/>
  <c r="H353" i="2"/>
  <c r="G352" i="2"/>
  <c r="H352" i="2"/>
  <c r="AH355" i="2"/>
  <c r="H345" i="2"/>
  <c r="F347" i="2"/>
  <c r="I348" i="2"/>
  <c r="G350" i="2"/>
  <c r="I345" i="2"/>
  <c r="G347" i="2"/>
  <c r="H350" i="2"/>
  <c r="F352" i="2"/>
  <c r="I353" i="2"/>
  <c r="H347" i="2"/>
  <c r="F349" i="2"/>
  <c r="F346" i="2"/>
  <c r="I347" i="2"/>
  <c r="G349" i="2"/>
  <c r="G346" i="2"/>
  <c r="H349" i="2"/>
  <c r="F351" i="2"/>
  <c r="I352" i="2"/>
  <c r="G354" i="2"/>
  <c r="H346" i="2"/>
  <c r="F348" i="2"/>
  <c r="I349" i="2"/>
  <c r="G351" i="2"/>
  <c r="H354" i="2"/>
  <c r="T174" i="15"/>
  <c r="K21" i="15" s="1"/>
  <c r="S441" i="2" s="1"/>
  <c r="W351" i="2"/>
  <c r="AB352" i="2"/>
  <c r="M352" i="2"/>
  <c r="R354" i="2"/>
  <c r="M351" i="2"/>
  <c r="AC351" i="2"/>
  <c r="R352" i="2"/>
  <c r="W354" i="2"/>
  <c r="S351" i="2"/>
  <c r="X352" i="2"/>
  <c r="AC354" i="2"/>
  <c r="N354" i="2"/>
  <c r="N351" i="2"/>
  <c r="AD351" i="2"/>
  <c r="S352" i="2"/>
  <c r="X313" i="2"/>
  <c r="O424" i="2"/>
  <c r="M435" i="2"/>
  <c r="M439" i="2" s="1"/>
  <c r="M438" i="2"/>
  <c r="N425" i="2"/>
  <c r="O425" i="2"/>
  <c r="G435" i="2"/>
  <c r="G439" i="2" s="1"/>
  <c r="G436" i="2"/>
  <c r="G438" i="2" s="1"/>
  <c r="H463" i="2"/>
  <c r="H470" i="2" s="1"/>
  <c r="P445" i="2"/>
  <c r="P463" i="2" s="1"/>
  <c r="U445" i="2"/>
  <c r="R445" i="2"/>
  <c r="Q445" i="2"/>
  <c r="S124" i="15"/>
  <c r="J16" i="15" s="1"/>
  <c r="N442" i="2" s="1"/>
  <c r="AE313" i="2"/>
  <c r="F313" i="2"/>
  <c r="F418" i="2" s="1"/>
  <c r="O313" i="2"/>
  <c r="Y313" i="2"/>
  <c r="G313" i="2"/>
  <c r="G418" i="2" s="1"/>
  <c r="U313" i="2"/>
  <c r="AD313" i="2"/>
  <c r="M313" i="2"/>
  <c r="J313" i="2"/>
  <c r="K313" i="2"/>
  <c r="K418" i="2" s="1"/>
  <c r="W313" i="2"/>
  <c r="AF313" i="2"/>
  <c r="Q313" i="2"/>
  <c r="AB313" i="2"/>
  <c r="H313" i="2"/>
  <c r="P313" i="2"/>
  <c r="Z313" i="2"/>
  <c r="L313" i="2"/>
  <c r="I313" i="2"/>
  <c r="S313" i="2"/>
  <c r="V313" i="2"/>
  <c r="N313" i="2"/>
  <c r="AC313" i="2"/>
  <c r="R313" i="2"/>
  <c r="T313" i="2"/>
  <c r="O432" i="2"/>
  <c r="O410" i="2" s="1"/>
  <c r="O126" i="15"/>
  <c r="F16" i="15" s="1"/>
  <c r="N445" i="2" s="1"/>
  <c r="N463" i="2" s="1"/>
  <c r="O116" i="15"/>
  <c r="F15" i="15" s="1"/>
  <c r="M445" i="2" s="1"/>
  <c r="M463" i="2" s="1"/>
  <c r="S94" i="15"/>
  <c r="J13" i="15" s="1"/>
  <c r="K442" i="2" s="1"/>
  <c r="P46" i="15"/>
  <c r="G8" i="15" s="1"/>
  <c r="I57" i="18"/>
  <c r="P126" i="15"/>
  <c r="G16" i="15" s="1"/>
  <c r="P116" i="15"/>
  <c r="G15" i="15" s="1"/>
  <c r="S114" i="15"/>
  <c r="J15" i="15" s="1"/>
  <c r="M442" i="2" s="1"/>
  <c r="O46" i="15"/>
  <c r="F8" i="15" s="1"/>
  <c r="F445" i="2" s="1"/>
  <c r="F463" i="2" s="1"/>
  <c r="M25" i="15"/>
  <c r="M26" i="15"/>
  <c r="O445" i="2"/>
  <c r="O463" i="2" s="1"/>
  <c r="O124" i="15"/>
  <c r="R124" i="15" s="1"/>
  <c r="I16" i="15" s="1"/>
  <c r="N443" i="2" s="1"/>
  <c r="N496" i="2" s="1"/>
  <c r="O122" i="15"/>
  <c r="Q122" i="15"/>
  <c r="H16" i="15" s="1"/>
  <c r="N444" i="2" s="1"/>
  <c r="O114" i="15"/>
  <c r="R114" i="15" s="1"/>
  <c r="I15" i="15" s="1"/>
  <c r="M443" i="2" s="1"/>
  <c r="M496" i="2" s="1"/>
  <c r="Q112" i="15"/>
  <c r="H15" i="15" s="1"/>
  <c r="M444" i="2" s="1"/>
  <c r="O112" i="15"/>
  <c r="Q82" i="15"/>
  <c r="H12" i="15" s="1"/>
  <c r="J444" i="2" s="1"/>
  <c r="O82" i="15"/>
  <c r="G430" i="2"/>
  <c r="R449" i="2"/>
  <c r="R456" i="2" s="1"/>
  <c r="R484" i="2" s="1"/>
  <c r="F365" i="2"/>
  <c r="F341" i="2"/>
  <c r="AE425" i="2"/>
  <c r="Z425" i="2"/>
  <c r="N15" i="15"/>
  <c r="M430" i="2"/>
  <c r="M503" i="2" s="1"/>
  <c r="O54" i="15"/>
  <c r="R54" i="15" s="1"/>
  <c r="I9" i="15" s="1"/>
  <c r="G443" i="2" s="1"/>
  <c r="Q52" i="15"/>
  <c r="U430" i="2"/>
  <c r="S54" i="15"/>
  <c r="J9" i="15" s="1"/>
  <c r="G442" i="2" s="1"/>
  <c r="Q449" i="2"/>
  <c r="Q456" i="2" s="1"/>
  <c r="L430" i="2"/>
  <c r="L503" i="2" s="1"/>
  <c r="T164" i="15"/>
  <c r="K20" i="15" s="1"/>
  <c r="R441" i="2" s="1"/>
  <c r="T134" i="15"/>
  <c r="K17" i="15" s="1"/>
  <c r="O441" i="2" s="1"/>
  <c r="Q92" i="15"/>
  <c r="H13" i="15" s="1"/>
  <c r="K444" i="2" s="1"/>
  <c r="I17" i="15"/>
  <c r="O443" i="2" s="1"/>
  <c r="O496" i="2" s="1"/>
  <c r="S430" i="2"/>
  <c r="T430" i="2"/>
  <c r="N22" i="15"/>
  <c r="T194" i="15"/>
  <c r="K23" i="15" s="1"/>
  <c r="U441" i="2" s="1"/>
  <c r="T154" i="15"/>
  <c r="K19" i="15" s="1"/>
  <c r="Q441" i="2" s="1"/>
  <c r="T184" i="15"/>
  <c r="K22" i="15" s="1"/>
  <c r="T441" i="2" s="1"/>
  <c r="S44" i="15"/>
  <c r="J8" i="15" s="1"/>
  <c r="F442" i="2" s="1"/>
  <c r="O52" i="15"/>
  <c r="K435" i="2"/>
  <c r="K439" i="2" s="1"/>
  <c r="H434" i="2"/>
  <c r="H436" i="2" s="1"/>
  <c r="H438" i="2" s="1"/>
  <c r="Z421" i="2"/>
  <c r="O92" i="15"/>
  <c r="J432" i="2"/>
  <c r="J410" i="2" s="1"/>
  <c r="H432" i="2"/>
  <c r="H410" i="2" s="1"/>
  <c r="O42" i="15"/>
  <c r="Q42" i="15"/>
  <c r="H8" i="15" s="1"/>
  <c r="F444" i="2" s="1"/>
  <c r="F416" i="1"/>
  <c r="F463" i="1" s="1"/>
  <c r="F465" i="1" s="1"/>
  <c r="T144" i="15"/>
  <c r="K18" i="15" s="1"/>
  <c r="P441" i="2" s="1"/>
  <c r="I18" i="15"/>
  <c r="P443" i="2" s="1"/>
  <c r="P496" i="2" s="1"/>
  <c r="R430" i="2"/>
  <c r="N20" i="15"/>
  <c r="N430" i="2"/>
  <c r="N503" i="2" s="1"/>
  <c r="N16" i="15"/>
  <c r="Q430" i="2"/>
  <c r="N19" i="15"/>
  <c r="P432" i="2"/>
  <c r="P410" i="2" s="1"/>
  <c r="E433" i="2"/>
  <c r="L434" i="2"/>
  <c r="D25" i="15"/>
  <c r="Q435" i="2"/>
  <c r="Q439" i="2" s="1"/>
  <c r="P438" i="2"/>
  <c r="P425" i="2" s="1"/>
  <c r="H58" i="18"/>
  <c r="D58" i="18" s="1"/>
  <c r="I56" i="18"/>
  <c r="D57" i="18" s="1"/>
  <c r="D63" i="18" s="1"/>
  <c r="D66" i="18" s="1"/>
  <c r="D68" i="18" s="1"/>
  <c r="H56" i="18"/>
  <c r="I58" i="18"/>
  <c r="F98" i="1"/>
  <c r="F101" i="1" s="1"/>
  <c r="F126" i="1" s="1"/>
  <c r="H197" i="1"/>
  <c r="F93" i="1"/>
  <c r="H188" i="1"/>
  <c r="K410" i="1"/>
  <c r="H194" i="1"/>
  <c r="H196" i="1"/>
  <c r="H190" i="1"/>
  <c r="H189" i="1"/>
  <c r="H372" i="1"/>
  <c r="I371" i="1"/>
  <c r="H185" i="1"/>
  <c r="H376" i="1"/>
  <c r="H375" i="1"/>
  <c r="H377" i="1"/>
  <c r="H195" i="1"/>
  <c r="H186" i="1"/>
  <c r="H191" i="1"/>
  <c r="H193" i="1"/>
  <c r="H187" i="1"/>
  <c r="H183" i="1"/>
  <c r="H184" i="1"/>
  <c r="H373" i="1"/>
  <c r="H370" i="1"/>
  <c r="H294" i="1"/>
  <c r="H107" i="1"/>
  <c r="H192" i="1"/>
  <c r="H86" i="1"/>
  <c r="H374" i="1"/>
  <c r="AA375" i="1"/>
  <c r="H220" i="1"/>
  <c r="AA108" i="1"/>
  <c r="W202" i="1"/>
  <c r="W408" i="1"/>
  <c r="W227" i="1"/>
  <c r="P86" i="1"/>
  <c r="P371" i="1"/>
  <c r="P191" i="1"/>
  <c r="AA107" i="1"/>
  <c r="AA183" i="1"/>
  <c r="W391" i="1"/>
  <c r="W105" i="1"/>
  <c r="W392" i="1"/>
  <c r="K229" i="1"/>
  <c r="P187" i="1"/>
  <c r="W382" i="1"/>
  <c r="P190" i="1"/>
  <c r="P185" i="1"/>
  <c r="P107" i="1"/>
  <c r="W108" i="1"/>
  <c r="K215" i="1"/>
  <c r="P183" i="1"/>
  <c r="W211" i="1"/>
  <c r="P186" i="1"/>
  <c r="P373" i="1"/>
  <c r="W401" i="1"/>
  <c r="P195" i="1"/>
  <c r="P196" i="1"/>
  <c r="AA190" i="1"/>
  <c r="P376" i="1"/>
  <c r="P375" i="1"/>
  <c r="AA306" i="1"/>
  <c r="P188" i="1"/>
  <c r="P184" i="1"/>
  <c r="H227" i="1"/>
  <c r="H408" i="1"/>
  <c r="H410" i="1" s="1"/>
  <c r="AA192" i="1"/>
  <c r="AA377" i="1"/>
  <c r="P194" i="1"/>
  <c r="W137" i="1"/>
  <c r="W87" i="1"/>
  <c r="W306" i="1"/>
  <c r="W213" i="1"/>
  <c r="P197" i="1"/>
  <c r="H56" i="1"/>
  <c r="W220" i="1"/>
  <c r="W139" i="1"/>
  <c r="AA371" i="1"/>
  <c r="W89" i="1"/>
  <c r="W78" i="1"/>
  <c r="P192" i="1"/>
  <c r="P372" i="1"/>
  <c r="AA310" i="1"/>
  <c r="P370" i="1"/>
  <c r="P374" i="1"/>
  <c r="AA86" i="1"/>
  <c r="P377" i="1"/>
  <c r="W136" i="1"/>
  <c r="W138" i="1"/>
  <c r="P189" i="1"/>
  <c r="P193" i="1"/>
  <c r="AB425" i="1"/>
  <c r="AC425" i="1" s="1"/>
  <c r="I190" i="1"/>
  <c r="AA392" i="1"/>
  <c r="AA139" i="1"/>
  <c r="AA196" i="1"/>
  <c r="AA197" i="1"/>
  <c r="AA376" i="1"/>
  <c r="AA370" i="1"/>
  <c r="AA372" i="1"/>
  <c r="AA189" i="1"/>
  <c r="AA294" i="1"/>
  <c r="AA193" i="1"/>
  <c r="AA211" i="1"/>
  <c r="AA105" i="1"/>
  <c r="AA185" i="1"/>
  <c r="AA191" i="1"/>
  <c r="AA187" i="1"/>
  <c r="AA186" i="1"/>
  <c r="AA188" i="1"/>
  <c r="AA382" i="1"/>
  <c r="AA136" i="1"/>
  <c r="AA220" i="1"/>
  <c r="AA194" i="1"/>
  <c r="AA374" i="1"/>
  <c r="AA56" i="1"/>
  <c r="AA184" i="1"/>
  <c r="AA373" i="1"/>
  <c r="AA137" i="1"/>
  <c r="AA78" i="1"/>
  <c r="AA138" i="1"/>
  <c r="AA202" i="1"/>
  <c r="AA213" i="1"/>
  <c r="K394" i="1"/>
  <c r="AA89" i="1"/>
  <c r="AA227" i="1"/>
  <c r="AA87" i="1"/>
  <c r="AA391" i="1"/>
  <c r="AA408" i="1"/>
  <c r="AA410" i="1" s="1"/>
  <c r="H306" i="1"/>
  <c r="H391" i="1"/>
  <c r="H136" i="1"/>
  <c r="H211" i="1"/>
  <c r="H310" i="1"/>
  <c r="H139" i="1"/>
  <c r="H392" i="1"/>
  <c r="H382" i="1"/>
  <c r="H137" i="1"/>
  <c r="H105" i="1"/>
  <c r="H89" i="1"/>
  <c r="H213" i="1"/>
  <c r="H78" i="1"/>
  <c r="H108" i="1"/>
  <c r="H202" i="1"/>
  <c r="H138" i="1"/>
  <c r="H87" i="1"/>
  <c r="I187" i="1"/>
  <c r="I370" i="1"/>
  <c r="I188" i="1"/>
  <c r="I186" i="1"/>
  <c r="I191" i="1"/>
  <c r="I377" i="1"/>
  <c r="I194" i="1"/>
  <c r="I86" i="1"/>
  <c r="I183" i="1"/>
  <c r="I197" i="1"/>
  <c r="I189" i="1"/>
  <c r="I374" i="1"/>
  <c r="I196" i="1"/>
  <c r="I192" i="1"/>
  <c r="I195" i="1"/>
  <c r="I376" i="1"/>
  <c r="I294" i="1"/>
  <c r="I107" i="1"/>
  <c r="I185" i="1"/>
  <c r="I373" i="1"/>
  <c r="I372" i="1"/>
  <c r="I193" i="1"/>
  <c r="I375" i="1"/>
  <c r="H124" i="18"/>
  <c r="I125" i="18"/>
  <c r="H125" i="18"/>
  <c r="D125" i="18" s="1"/>
  <c r="I124" i="18"/>
  <c r="H123" i="18"/>
  <c r="D123" i="18" s="1"/>
  <c r="I123" i="18"/>
  <c r="D124" i="18" s="1"/>
  <c r="D130" i="18" s="1"/>
  <c r="D133" i="18" s="1"/>
  <c r="D135" i="18" s="1"/>
  <c r="D136" i="18" s="1"/>
  <c r="I434" i="2"/>
  <c r="I436" i="2" s="1"/>
  <c r="I438" i="2" s="1"/>
  <c r="F233" i="1"/>
  <c r="F264" i="1" s="1"/>
  <c r="F237" i="1"/>
  <c r="F285" i="1" s="1"/>
  <c r="F129" i="1" s="1"/>
  <c r="S456" i="2"/>
  <c r="D33" i="9"/>
  <c r="O44" i="15"/>
  <c r="R44" i="15" s="1"/>
  <c r="H25" i="18"/>
  <c r="D25" i="18" s="1"/>
  <c r="I27" i="18"/>
  <c r="I26" i="18"/>
  <c r="H27" i="18"/>
  <c r="D27" i="18" s="1"/>
  <c r="H26" i="18"/>
  <c r="I25" i="18"/>
  <c r="D26" i="18" s="1"/>
  <c r="D32" i="18" s="1"/>
  <c r="D35" i="18" s="1"/>
  <c r="D37" i="18" s="1"/>
  <c r="D38" i="18" s="1"/>
  <c r="O62" i="15"/>
  <c r="Q62" i="15"/>
  <c r="O94" i="15"/>
  <c r="R94" i="15" s="1"/>
  <c r="I494" i="2"/>
  <c r="K432" i="2"/>
  <c r="K410" i="2" s="1"/>
  <c r="I105" i="1"/>
  <c r="I213" i="1"/>
  <c r="I220" i="1"/>
  <c r="I306" i="1"/>
  <c r="I108" i="1"/>
  <c r="I139" i="1"/>
  <c r="I392" i="1"/>
  <c r="I138" i="1"/>
  <c r="I78" i="1"/>
  <c r="I89" i="1"/>
  <c r="I211" i="1"/>
  <c r="I401" i="1"/>
  <c r="I202" i="1"/>
  <c r="I87" i="1"/>
  <c r="I227" i="1"/>
  <c r="I137" i="1"/>
  <c r="I408" i="1"/>
  <c r="I56" i="1"/>
  <c r="I136" i="1"/>
  <c r="I391" i="1"/>
  <c r="I382" i="1"/>
  <c r="I310" i="1"/>
  <c r="S74" i="15"/>
  <c r="J11" i="15" s="1"/>
  <c r="W371" i="1"/>
  <c r="W192" i="1"/>
  <c r="W194" i="1"/>
  <c r="W372" i="1"/>
  <c r="W189" i="1"/>
  <c r="W376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70" i="1"/>
  <c r="W375" i="1"/>
  <c r="W377" i="1"/>
  <c r="W56" i="1"/>
  <c r="W57" i="1" s="1"/>
  <c r="W374" i="1"/>
  <c r="W373" i="1"/>
  <c r="W197" i="1"/>
  <c r="W195" i="1"/>
  <c r="F235" i="1"/>
  <c r="U456" i="2"/>
  <c r="T425" i="2"/>
  <c r="O192" i="1"/>
  <c r="O372" i="1"/>
  <c r="O374" i="1"/>
  <c r="O186" i="1"/>
  <c r="O107" i="1"/>
  <c r="O184" i="1"/>
  <c r="O371" i="1"/>
  <c r="O187" i="1"/>
  <c r="O193" i="1"/>
  <c r="O197" i="1"/>
  <c r="O194" i="1"/>
  <c r="O195" i="1"/>
  <c r="O191" i="1"/>
  <c r="O185" i="1"/>
  <c r="O373" i="1"/>
  <c r="O370" i="1"/>
  <c r="O188" i="1"/>
  <c r="O375" i="1"/>
  <c r="O377" i="1"/>
  <c r="O183" i="1"/>
  <c r="O196" i="1"/>
  <c r="O376" i="1"/>
  <c r="O86" i="1"/>
  <c r="O189" i="1"/>
  <c r="O190" i="1"/>
  <c r="O294" i="1"/>
  <c r="J434" i="2"/>
  <c r="J436" i="2" s="1"/>
  <c r="O72" i="15"/>
  <c r="Q72" i="15"/>
  <c r="AB246" i="1"/>
  <c r="AC246" i="1" s="1"/>
  <c r="U484" i="2"/>
  <c r="F32" i="8" l="1"/>
  <c r="G7" i="8" s="1"/>
  <c r="D69" i="18"/>
  <c r="D70" i="18" s="1"/>
  <c r="D144" i="18" s="1"/>
  <c r="O472" i="1" s="1"/>
  <c r="D56" i="18"/>
  <c r="AB390" i="1"/>
  <c r="AC390" i="1" s="1"/>
  <c r="AB225" i="1"/>
  <c r="AC225" i="1" s="1"/>
  <c r="D32" i="8"/>
  <c r="L436" i="2"/>
  <c r="L438" i="2" s="1"/>
  <c r="U559" i="2"/>
  <c r="U627" i="2"/>
  <c r="U561" i="2"/>
  <c r="U621" i="2"/>
  <c r="U552" i="2"/>
  <c r="U575" i="2" s="1"/>
  <c r="S493" i="2"/>
  <c r="S494" i="2" s="1"/>
  <c r="T623" i="2"/>
  <c r="T560" i="2"/>
  <c r="S623" i="2"/>
  <c r="S560" i="2"/>
  <c r="U623" i="2"/>
  <c r="U560" i="2"/>
  <c r="AA71" i="1"/>
  <c r="AA57" i="1"/>
  <c r="AG433" i="2"/>
  <c r="AH433" i="2" s="1"/>
  <c r="F435" i="2"/>
  <c r="F439" i="2" s="1"/>
  <c r="F33" i="9"/>
  <c r="G15" i="9" s="1"/>
  <c r="G14" i="8"/>
  <c r="O337" i="1"/>
  <c r="O347" i="1" s="1"/>
  <c r="O358" i="1" s="1"/>
  <c r="AB388" i="1"/>
  <c r="AC388" i="1" s="1"/>
  <c r="S78" i="1"/>
  <c r="I503" i="2"/>
  <c r="R185" i="1"/>
  <c r="AB262" i="1"/>
  <c r="AC262" i="1" s="1"/>
  <c r="S401" i="1"/>
  <c r="S89" i="1"/>
  <c r="S211" i="1"/>
  <c r="S137" i="1"/>
  <c r="S382" i="1"/>
  <c r="S138" i="1"/>
  <c r="S105" i="1"/>
  <c r="S87" i="1"/>
  <c r="S392" i="1"/>
  <c r="S408" i="1"/>
  <c r="S136" i="1"/>
  <c r="S213" i="1"/>
  <c r="S391" i="1"/>
  <c r="S108" i="1"/>
  <c r="S139" i="1"/>
  <c r="S306" i="1"/>
  <c r="S202" i="1"/>
  <c r="S310" i="1"/>
  <c r="S220" i="1"/>
  <c r="Y89" i="1"/>
  <c r="S190" i="1"/>
  <c r="Y382" i="1"/>
  <c r="K191" i="1"/>
  <c r="Y310" i="1"/>
  <c r="Y227" i="1"/>
  <c r="Y85" i="1"/>
  <c r="Y105" i="1"/>
  <c r="Y87" i="1"/>
  <c r="Y149" i="1"/>
  <c r="Y159" i="1" s="1"/>
  <c r="Y170" i="1" s="1"/>
  <c r="P293" i="1"/>
  <c r="P80" i="1"/>
  <c r="S188" i="1"/>
  <c r="S371" i="1"/>
  <c r="AB117" i="1"/>
  <c r="AC117" i="1" s="1"/>
  <c r="AB407" i="1"/>
  <c r="AC407" i="1" s="1"/>
  <c r="S194" i="1"/>
  <c r="S186" i="1"/>
  <c r="S370" i="1"/>
  <c r="S375" i="1"/>
  <c r="S192" i="1"/>
  <c r="AB208" i="1"/>
  <c r="AC208" i="1" s="1"/>
  <c r="U86" i="1"/>
  <c r="AB303" i="1"/>
  <c r="AC303" i="1" s="1"/>
  <c r="S149" i="1"/>
  <c r="S159" i="1" s="1"/>
  <c r="S170" i="1" s="1"/>
  <c r="Y375" i="1"/>
  <c r="Y220" i="1"/>
  <c r="Y306" i="1"/>
  <c r="K194" i="1"/>
  <c r="S191" i="1"/>
  <c r="S197" i="1"/>
  <c r="S374" i="1"/>
  <c r="K149" i="1"/>
  <c r="K159" i="1" s="1"/>
  <c r="K170" i="1" s="1"/>
  <c r="Y293" i="1"/>
  <c r="AA85" i="1"/>
  <c r="Y197" i="1"/>
  <c r="Y108" i="1"/>
  <c r="R401" i="1"/>
  <c r="K186" i="1"/>
  <c r="K371" i="1"/>
  <c r="U392" i="1"/>
  <c r="S107" i="1"/>
  <c r="S86" i="1"/>
  <c r="S193" i="1"/>
  <c r="S376" i="1"/>
  <c r="S372" i="1"/>
  <c r="K85" i="1"/>
  <c r="Y106" i="1"/>
  <c r="R202" i="1"/>
  <c r="Y408" i="1"/>
  <c r="Y202" i="1"/>
  <c r="S185" i="1"/>
  <c r="K293" i="1"/>
  <c r="AA106" i="1"/>
  <c r="Y337" i="1"/>
  <c r="Y347" i="1" s="1"/>
  <c r="Y358" i="1" s="1"/>
  <c r="R78" i="1"/>
  <c r="S195" i="1"/>
  <c r="Y138" i="1"/>
  <c r="Y136" i="1"/>
  <c r="Y139" i="1"/>
  <c r="S294" i="1"/>
  <c r="Y392" i="1"/>
  <c r="K80" i="1"/>
  <c r="AA80" i="1"/>
  <c r="AA337" i="1"/>
  <c r="AA347" i="1" s="1"/>
  <c r="AA358" i="1" s="1"/>
  <c r="Y391" i="1"/>
  <c r="S56" i="1"/>
  <c r="S68" i="1" s="1"/>
  <c r="Y183" i="1"/>
  <c r="K377" i="1"/>
  <c r="Y213" i="1"/>
  <c r="Y211" i="1"/>
  <c r="S196" i="1"/>
  <c r="S373" i="1"/>
  <c r="K106" i="1"/>
  <c r="S187" i="1"/>
  <c r="AA293" i="1"/>
  <c r="U211" i="1"/>
  <c r="Y401" i="1"/>
  <c r="Y78" i="1"/>
  <c r="U108" i="1"/>
  <c r="U136" i="1"/>
  <c r="S183" i="1"/>
  <c r="S189" i="1"/>
  <c r="S184" i="1"/>
  <c r="R80" i="1"/>
  <c r="AB210" i="1"/>
  <c r="AC210" i="1" s="1"/>
  <c r="AB295" i="1"/>
  <c r="AC295" i="1" s="1"/>
  <c r="AB384" i="1"/>
  <c r="AC384" i="1" s="1"/>
  <c r="AB226" i="1"/>
  <c r="AC226" i="1" s="1"/>
  <c r="U187" i="1"/>
  <c r="P337" i="1"/>
  <c r="P347" i="1" s="1"/>
  <c r="P358" i="1" s="1"/>
  <c r="M108" i="1"/>
  <c r="P85" i="1"/>
  <c r="M408" i="1"/>
  <c r="W293" i="1"/>
  <c r="P106" i="1"/>
  <c r="AB406" i="1"/>
  <c r="AC406" i="1" s="1"/>
  <c r="U196" i="1"/>
  <c r="U192" i="1"/>
  <c r="AB383" i="1"/>
  <c r="AC383" i="1" s="1"/>
  <c r="AB296" i="1"/>
  <c r="AC296" i="1" s="1"/>
  <c r="AB110" i="1"/>
  <c r="AC110" i="1" s="1"/>
  <c r="U197" i="1"/>
  <c r="S229" i="1"/>
  <c r="U185" i="1"/>
  <c r="U376" i="1"/>
  <c r="S337" i="1"/>
  <c r="S347" i="1" s="1"/>
  <c r="S358" i="1" s="1"/>
  <c r="U371" i="1"/>
  <c r="M89" i="1"/>
  <c r="U373" i="1"/>
  <c r="M202" i="1"/>
  <c r="H337" i="1"/>
  <c r="H347" i="1" s="1"/>
  <c r="H358" i="1" s="1"/>
  <c r="U377" i="1"/>
  <c r="M211" i="1"/>
  <c r="AB207" i="1"/>
  <c r="AC207" i="1" s="1"/>
  <c r="AB387" i="1"/>
  <c r="AC387" i="1" s="1"/>
  <c r="M87" i="1"/>
  <c r="M139" i="1"/>
  <c r="M213" i="1"/>
  <c r="K358" i="1"/>
  <c r="S80" i="1"/>
  <c r="U189" i="1"/>
  <c r="U188" i="1"/>
  <c r="U370" i="1"/>
  <c r="M78" i="1"/>
  <c r="M306" i="1"/>
  <c r="M85" i="1"/>
  <c r="M293" i="1"/>
  <c r="U294" i="1"/>
  <c r="U184" i="1"/>
  <c r="U375" i="1"/>
  <c r="U374" i="1"/>
  <c r="M392" i="1"/>
  <c r="M401" i="1"/>
  <c r="M410" i="1" s="1"/>
  <c r="S106" i="1"/>
  <c r="U186" i="1"/>
  <c r="U195" i="1"/>
  <c r="U194" i="1"/>
  <c r="M138" i="1"/>
  <c r="M220" i="1"/>
  <c r="M137" i="1"/>
  <c r="M80" i="1"/>
  <c r="U372" i="1"/>
  <c r="U190" i="1"/>
  <c r="U193" i="1"/>
  <c r="M105" i="1"/>
  <c r="M382" i="1"/>
  <c r="M391" i="1"/>
  <c r="S85" i="1"/>
  <c r="U107" i="1"/>
  <c r="U183" i="1"/>
  <c r="M136" i="1"/>
  <c r="M227" i="1"/>
  <c r="M337" i="1"/>
  <c r="M347" i="1" s="1"/>
  <c r="M358" i="1" s="1"/>
  <c r="M106" i="1"/>
  <c r="M184" i="1"/>
  <c r="H149" i="1"/>
  <c r="H159" i="1" s="1"/>
  <c r="H170" i="1" s="1"/>
  <c r="R372" i="1"/>
  <c r="H293" i="1"/>
  <c r="M373" i="1"/>
  <c r="M195" i="1"/>
  <c r="H106" i="1"/>
  <c r="R186" i="1"/>
  <c r="M374" i="1"/>
  <c r="H85" i="1"/>
  <c r="M376" i="1"/>
  <c r="M186" i="1"/>
  <c r="M56" i="1"/>
  <c r="M71" i="1" s="1"/>
  <c r="AB35" i="1"/>
  <c r="AC35" i="1" s="1"/>
  <c r="Y371" i="1"/>
  <c r="Y193" i="1"/>
  <c r="R87" i="1"/>
  <c r="U87" i="1"/>
  <c r="R136" i="1"/>
  <c r="U137" i="1"/>
  <c r="AB116" i="1"/>
  <c r="AC116" i="1" s="1"/>
  <c r="Y377" i="1"/>
  <c r="U138" i="1"/>
  <c r="U408" i="1"/>
  <c r="R337" i="1"/>
  <c r="R347" i="1" s="1"/>
  <c r="R358" i="1" s="1"/>
  <c r="Y186" i="1"/>
  <c r="R310" i="1"/>
  <c r="U213" i="1"/>
  <c r="R408" i="1"/>
  <c r="R392" i="1"/>
  <c r="U391" i="1"/>
  <c r="R149" i="1"/>
  <c r="R159" i="1" s="1"/>
  <c r="R170" i="1" s="1"/>
  <c r="Y294" i="1"/>
  <c r="Y86" i="1"/>
  <c r="Y190" i="1"/>
  <c r="R391" i="1"/>
  <c r="U89" i="1"/>
  <c r="Y184" i="1"/>
  <c r="U382" i="1"/>
  <c r="U220" i="1"/>
  <c r="U227" i="1"/>
  <c r="U105" i="1"/>
  <c r="R137" i="1"/>
  <c r="O106" i="1"/>
  <c r="AB203" i="1"/>
  <c r="AC203" i="1" s="1"/>
  <c r="Y373" i="1"/>
  <c r="Y374" i="1"/>
  <c r="R227" i="1"/>
  <c r="Y370" i="1"/>
  <c r="Y185" i="1"/>
  <c r="Y188" i="1"/>
  <c r="R213" i="1"/>
  <c r="Y194" i="1"/>
  <c r="U139" i="1"/>
  <c r="R293" i="1"/>
  <c r="O293" i="1"/>
  <c r="Y187" i="1"/>
  <c r="Y196" i="1"/>
  <c r="Y372" i="1"/>
  <c r="Y107" i="1"/>
  <c r="R108" i="1"/>
  <c r="U401" i="1"/>
  <c r="R139" i="1"/>
  <c r="R306" i="1"/>
  <c r="U306" i="1"/>
  <c r="Y56" i="1"/>
  <c r="R220" i="1"/>
  <c r="O80" i="1"/>
  <c r="Y195" i="1"/>
  <c r="U56" i="1"/>
  <c r="Y376" i="1"/>
  <c r="Y192" i="1"/>
  <c r="Y189" i="1"/>
  <c r="R138" i="1"/>
  <c r="U78" i="1"/>
  <c r="U202" i="1"/>
  <c r="R105" i="1"/>
  <c r="R211" i="1"/>
  <c r="R382" i="1"/>
  <c r="R85" i="1"/>
  <c r="O85" i="1"/>
  <c r="AB305" i="1"/>
  <c r="AC305" i="1" s="1"/>
  <c r="M170" i="1"/>
  <c r="AB119" i="1"/>
  <c r="AC119" i="1" s="1"/>
  <c r="AB402" i="1"/>
  <c r="AC402" i="1" s="1"/>
  <c r="M194" i="1"/>
  <c r="AB168" i="1"/>
  <c r="AC168" i="1" s="1"/>
  <c r="R192" i="1"/>
  <c r="I149" i="1"/>
  <c r="I159" i="1" s="1"/>
  <c r="I170" i="1" s="1"/>
  <c r="R107" i="1"/>
  <c r="M185" i="1"/>
  <c r="M294" i="1"/>
  <c r="R56" i="1"/>
  <c r="R374" i="1"/>
  <c r="R370" i="1"/>
  <c r="M188" i="1"/>
  <c r="U80" i="1"/>
  <c r="AB118" i="1"/>
  <c r="AC118" i="1" s="1"/>
  <c r="R196" i="1"/>
  <c r="I80" i="1"/>
  <c r="R376" i="1"/>
  <c r="M187" i="1"/>
  <c r="M191" i="1"/>
  <c r="I85" i="1"/>
  <c r="R195" i="1"/>
  <c r="R183" i="1"/>
  <c r="M107" i="1"/>
  <c r="M189" i="1"/>
  <c r="M370" i="1"/>
  <c r="M371" i="1"/>
  <c r="R194" i="1"/>
  <c r="R190" i="1"/>
  <c r="M193" i="1"/>
  <c r="U337" i="1"/>
  <c r="U347" i="1" s="1"/>
  <c r="U358" i="1" s="1"/>
  <c r="AB221" i="1"/>
  <c r="AC221" i="1" s="1"/>
  <c r="AB356" i="1"/>
  <c r="AC356" i="1" s="1"/>
  <c r="AB302" i="1"/>
  <c r="AC302" i="1" s="1"/>
  <c r="I106" i="1"/>
  <c r="R193" i="1"/>
  <c r="R184" i="1"/>
  <c r="M372" i="1"/>
  <c r="M377" i="1"/>
  <c r="M197" i="1"/>
  <c r="M86" i="1"/>
  <c r="R187" i="1"/>
  <c r="R377" i="1"/>
  <c r="R188" i="1"/>
  <c r="M192" i="1"/>
  <c r="U85" i="1"/>
  <c r="I337" i="1"/>
  <c r="I347" i="1" s="1"/>
  <c r="I358" i="1" s="1"/>
  <c r="R371" i="1"/>
  <c r="R189" i="1"/>
  <c r="M190" i="1"/>
  <c r="M375" i="1"/>
  <c r="R197" i="1"/>
  <c r="R373" i="1"/>
  <c r="R375" i="1"/>
  <c r="U106" i="1"/>
  <c r="R86" i="1"/>
  <c r="R294" i="1"/>
  <c r="M196" i="1"/>
  <c r="U293" i="1"/>
  <c r="AB304" i="1"/>
  <c r="AC304" i="1" s="1"/>
  <c r="AB24" i="1"/>
  <c r="AC24" i="1" s="1"/>
  <c r="W337" i="1"/>
  <c r="W347" i="1" s="1"/>
  <c r="W358" i="1" s="1"/>
  <c r="W149" i="1"/>
  <c r="W159" i="1" s="1"/>
  <c r="W170" i="1" s="1"/>
  <c r="W106" i="1"/>
  <c r="W80" i="1"/>
  <c r="K86" i="1"/>
  <c r="K196" i="1"/>
  <c r="K376" i="1"/>
  <c r="K197" i="1"/>
  <c r="K185" i="1"/>
  <c r="K188" i="1"/>
  <c r="K189" i="1"/>
  <c r="K192" i="1"/>
  <c r="K195" i="1"/>
  <c r="E450" i="2"/>
  <c r="E457" i="2" s="1"/>
  <c r="E459" i="2" s="1"/>
  <c r="K183" i="1"/>
  <c r="K190" i="1"/>
  <c r="K187" i="1"/>
  <c r="K184" i="1"/>
  <c r="K375" i="1"/>
  <c r="K193" i="1"/>
  <c r="K107" i="1"/>
  <c r="K370" i="1"/>
  <c r="K56" i="1"/>
  <c r="K65" i="1" s="1"/>
  <c r="K374" i="1"/>
  <c r="K294" i="1"/>
  <c r="K373" i="1"/>
  <c r="G11" i="8"/>
  <c r="G8" i="8"/>
  <c r="H58" i="1"/>
  <c r="AG349" i="2"/>
  <c r="AH349" i="2" s="1"/>
  <c r="AG350" i="2"/>
  <c r="AH350" i="2" s="1"/>
  <c r="AG345" i="2"/>
  <c r="AH345" i="2" s="1"/>
  <c r="AG347" i="2"/>
  <c r="AH347" i="2" s="1"/>
  <c r="AG348" i="2"/>
  <c r="AH348" i="2" s="1"/>
  <c r="AG346" i="2"/>
  <c r="AH346" i="2" s="1"/>
  <c r="D29" i="15"/>
  <c r="D30" i="15" s="1"/>
  <c r="E430" i="2"/>
  <c r="E418" i="2"/>
  <c r="H9" i="15"/>
  <c r="G444" i="2" s="1"/>
  <c r="J438" i="2"/>
  <c r="H10" i="15"/>
  <c r="H444" i="2" s="1"/>
  <c r="H11" i="15"/>
  <c r="I444" i="2" s="1"/>
  <c r="AG353" i="2"/>
  <c r="AH353" i="2" s="1"/>
  <c r="AG354" i="2"/>
  <c r="AH354" i="2" s="1"/>
  <c r="AG352" i="2"/>
  <c r="AH352" i="2" s="1"/>
  <c r="AG351" i="2"/>
  <c r="AH351" i="2" s="1"/>
  <c r="N424" i="2"/>
  <c r="T421" i="2"/>
  <c r="M425" i="2"/>
  <c r="L432" i="2"/>
  <c r="L410" i="2" s="1"/>
  <c r="L341" i="2" s="1"/>
  <c r="K425" i="2"/>
  <c r="G432" i="2"/>
  <c r="G410" i="2" s="1"/>
  <c r="G503" i="2"/>
  <c r="G425" i="2"/>
  <c r="O421" i="2"/>
  <c r="F421" i="2"/>
  <c r="P421" i="2"/>
  <c r="G421" i="2"/>
  <c r="W421" i="2"/>
  <c r="X421" i="2"/>
  <c r="Y421" i="2"/>
  <c r="V421" i="2"/>
  <c r="AD421" i="2"/>
  <c r="AC421" i="2"/>
  <c r="AF421" i="2"/>
  <c r="S421" i="2"/>
  <c r="AA421" i="2"/>
  <c r="AB421" i="2"/>
  <c r="U421" i="2"/>
  <c r="AE421" i="2"/>
  <c r="N421" i="2"/>
  <c r="H493" i="2"/>
  <c r="H494" i="2" s="1"/>
  <c r="G449" i="2"/>
  <c r="G456" i="2" s="1"/>
  <c r="G477" i="2" s="1"/>
  <c r="G496" i="2"/>
  <c r="AG418" i="2"/>
  <c r="AE316" i="2"/>
  <c r="AE338" i="2" s="1"/>
  <c r="R493" i="2"/>
  <c r="R494" i="2" s="1"/>
  <c r="T493" i="2"/>
  <c r="T494" i="2" s="1"/>
  <c r="P493" i="2"/>
  <c r="P494" i="2" s="1"/>
  <c r="P470" i="2"/>
  <c r="U493" i="2"/>
  <c r="U494" i="2" s="1"/>
  <c r="Q493" i="2"/>
  <c r="Q494" i="2" s="1"/>
  <c r="AG313" i="2"/>
  <c r="AH313" i="2" s="1"/>
  <c r="O365" i="2"/>
  <c r="O341" i="2"/>
  <c r="N449" i="2"/>
  <c r="N456" i="2" s="1"/>
  <c r="T124" i="15"/>
  <c r="K16" i="15" s="1"/>
  <c r="N441" i="2" s="1"/>
  <c r="T114" i="15"/>
  <c r="K15" i="15" s="1"/>
  <c r="M441" i="2" s="1"/>
  <c r="F425" i="2"/>
  <c r="E144" i="18"/>
  <c r="P472" i="1" s="1"/>
  <c r="M493" i="2"/>
  <c r="M494" i="2" s="1"/>
  <c r="M470" i="2"/>
  <c r="P15" i="15"/>
  <c r="E42" i="4" s="1"/>
  <c r="P16" i="15"/>
  <c r="E43" i="4" s="1"/>
  <c r="P17" i="15"/>
  <c r="E44" i="4" s="1"/>
  <c r="O493" i="2"/>
  <c r="O494" i="2" s="1"/>
  <c r="O470" i="2"/>
  <c r="N493" i="2"/>
  <c r="N494" i="2" s="1"/>
  <c r="N470" i="2"/>
  <c r="M449" i="2"/>
  <c r="M456" i="2" s="1"/>
  <c r="M477" i="2" s="1"/>
  <c r="F470" i="2"/>
  <c r="F493" i="2"/>
  <c r="F494" i="2" s="1"/>
  <c r="AA9" i="1"/>
  <c r="M421" i="2"/>
  <c r="K365" i="2"/>
  <c r="K341" i="2"/>
  <c r="P365" i="2"/>
  <c r="P341" i="2"/>
  <c r="J365" i="2"/>
  <c r="J341" i="2"/>
  <c r="I365" i="2"/>
  <c r="I341" i="2"/>
  <c r="H365" i="2"/>
  <c r="H341" i="2"/>
  <c r="T54" i="15"/>
  <c r="K9" i="15" s="1"/>
  <c r="G441" i="2" s="1"/>
  <c r="O449" i="2"/>
  <c r="O456" i="2" s="1"/>
  <c r="O477" i="2" s="1"/>
  <c r="R421" i="2"/>
  <c r="R425" i="2"/>
  <c r="M432" i="2"/>
  <c r="M410" i="2" s="1"/>
  <c r="U432" i="2"/>
  <c r="U410" i="2" s="1"/>
  <c r="AG430" i="2"/>
  <c r="T432" i="2"/>
  <c r="T410" i="2" s="1"/>
  <c r="S432" i="2"/>
  <c r="S410" i="2" s="1"/>
  <c r="E435" i="2"/>
  <c r="K421" i="2"/>
  <c r="H435" i="2"/>
  <c r="H439" i="2" s="1"/>
  <c r="X316" i="2"/>
  <c r="X338" i="2" s="1"/>
  <c r="P449" i="2"/>
  <c r="P456" i="2" s="1"/>
  <c r="P477" i="2" s="1"/>
  <c r="P484" i="2" s="1"/>
  <c r="Y316" i="2"/>
  <c r="Y338" i="2" s="1"/>
  <c r="W316" i="2"/>
  <c r="W338" i="2" s="1"/>
  <c r="AD316" i="2"/>
  <c r="AD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AA316" i="2"/>
  <c r="AA338" i="2" s="1"/>
  <c r="L435" i="2"/>
  <c r="L439" i="2" s="1"/>
  <c r="Q432" i="2"/>
  <c r="Q410" i="2" s="1"/>
  <c r="R432" i="2"/>
  <c r="R410" i="2" s="1"/>
  <c r="N432" i="2"/>
  <c r="P10" i="15"/>
  <c r="E37" i="4" s="1"/>
  <c r="P8" i="15"/>
  <c r="E35" i="4" s="1"/>
  <c r="P11" i="15"/>
  <c r="E38" i="4" s="1"/>
  <c r="P18" i="15"/>
  <c r="E45" i="4" s="1"/>
  <c r="P25" i="15"/>
  <c r="P9" i="15"/>
  <c r="E36" i="4" s="1"/>
  <c r="N25" i="15"/>
  <c r="P22" i="15"/>
  <c r="E49" i="4" s="1"/>
  <c r="P21" i="15"/>
  <c r="E48" i="4" s="1"/>
  <c r="P14" i="15"/>
  <c r="E41" i="4" s="1"/>
  <c r="P23" i="15"/>
  <c r="E50" i="4" s="1"/>
  <c r="P13" i="15"/>
  <c r="E40" i="4" s="1"/>
  <c r="P12" i="15"/>
  <c r="E39" i="4" s="1"/>
  <c r="P20" i="15"/>
  <c r="E47" i="4" s="1"/>
  <c r="P19" i="15"/>
  <c r="E46" i="4" s="1"/>
  <c r="Q421" i="2"/>
  <c r="Q425" i="2"/>
  <c r="I364" i="1"/>
  <c r="K412" i="1"/>
  <c r="H229" i="1"/>
  <c r="H309" i="1"/>
  <c r="H379" i="1"/>
  <c r="H199" i="1"/>
  <c r="AA394" i="1"/>
  <c r="AA412" i="1" s="1"/>
  <c r="H8" i="1"/>
  <c r="H77" i="1"/>
  <c r="H64" i="1"/>
  <c r="H73" i="1"/>
  <c r="H71" i="1"/>
  <c r="W215" i="1"/>
  <c r="W229" i="1"/>
  <c r="H66" i="1"/>
  <c r="H72" i="1"/>
  <c r="W410" i="1"/>
  <c r="H67" i="1"/>
  <c r="H69" i="1"/>
  <c r="H68" i="1"/>
  <c r="H63" i="1"/>
  <c r="H70" i="1"/>
  <c r="K231" i="1"/>
  <c r="W394" i="1"/>
  <c r="H9" i="1"/>
  <c r="H65" i="1"/>
  <c r="H10" i="1"/>
  <c r="W141" i="1"/>
  <c r="P199" i="1"/>
  <c r="P379" i="1"/>
  <c r="AA141" i="1"/>
  <c r="AA379" i="1"/>
  <c r="AA199" i="1"/>
  <c r="AA215" i="1"/>
  <c r="H215" i="1"/>
  <c r="AA63" i="1"/>
  <c r="AA73" i="1"/>
  <c r="AA68" i="1"/>
  <c r="AA67" i="1"/>
  <c r="AA66" i="1"/>
  <c r="AA65" i="1"/>
  <c r="AA64" i="1"/>
  <c r="I199" i="1"/>
  <c r="AA77" i="1"/>
  <c r="AA58" i="1"/>
  <c r="AA229" i="1"/>
  <c r="AA8" i="1"/>
  <c r="AA69" i="1"/>
  <c r="AA72" i="1"/>
  <c r="AA309" i="1"/>
  <c r="AA10" i="1"/>
  <c r="H394" i="1"/>
  <c r="H412" i="1" s="1"/>
  <c r="H141" i="1"/>
  <c r="AA70" i="1"/>
  <c r="I379" i="1"/>
  <c r="O74" i="15"/>
  <c r="R74" i="15" s="1"/>
  <c r="I410" i="1"/>
  <c r="T94" i="15"/>
  <c r="K13" i="15" s="1"/>
  <c r="K441" i="2" s="1"/>
  <c r="I13" i="15"/>
  <c r="K443" i="2" s="1"/>
  <c r="K496" i="2" s="1"/>
  <c r="I442" i="2"/>
  <c r="I141" i="1"/>
  <c r="D39" i="18"/>
  <c r="D143" i="18" s="1"/>
  <c r="O471" i="1" s="1"/>
  <c r="O470" i="1" s="1"/>
  <c r="E143" i="18"/>
  <c r="J435" i="2"/>
  <c r="J439" i="2" s="1"/>
  <c r="W379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F330" i="1"/>
  <c r="F287" i="1"/>
  <c r="F133" i="1"/>
  <c r="F144" i="1" s="1"/>
  <c r="D137" i="18"/>
  <c r="D145" i="18" s="1"/>
  <c r="O473" i="1" s="1"/>
  <c r="E145" i="18"/>
  <c r="P473" i="1" s="1"/>
  <c r="O199" i="1"/>
  <c r="O379" i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4" i="1"/>
  <c r="I215" i="1"/>
  <c r="O64" i="15"/>
  <c r="R64" i="15" s="1"/>
  <c r="I8" i="15"/>
  <c r="T44" i="15"/>
  <c r="K8" i="15" s="1"/>
  <c r="I435" i="2"/>
  <c r="I439" i="2" s="1"/>
  <c r="AG434" i="2"/>
  <c r="AH434" i="2" s="1"/>
  <c r="G6" i="8" l="1"/>
  <c r="G12" i="8"/>
  <c r="G20" i="8"/>
  <c r="T423" i="2" s="1"/>
  <c r="G18" i="8"/>
  <c r="R423" i="2" s="1"/>
  <c r="G13" i="8"/>
  <c r="G21" i="8"/>
  <c r="U423" i="2" s="1"/>
  <c r="G16" i="8"/>
  <c r="P423" i="2" s="1"/>
  <c r="G9" i="8"/>
  <c r="I423" i="2" s="1"/>
  <c r="G17" i="8"/>
  <c r="Q423" i="2" s="1"/>
  <c r="G10" i="8"/>
  <c r="J423" i="2" s="1"/>
  <c r="G19" i="8"/>
  <c r="S423" i="2" s="1"/>
  <c r="G15" i="8"/>
  <c r="O423" i="2" s="1"/>
  <c r="O45" i="1"/>
  <c r="O46" i="1"/>
  <c r="O416" i="2"/>
  <c r="O417" i="2" s="1"/>
  <c r="S63" i="1"/>
  <c r="U626" i="2"/>
  <c r="U628" i="2" s="1"/>
  <c r="U600" i="2"/>
  <c r="Y71" i="1"/>
  <c r="Y57" i="1"/>
  <c r="S9" i="1"/>
  <c r="S57" i="1"/>
  <c r="U65" i="1"/>
  <c r="U57" i="1"/>
  <c r="R71" i="1"/>
  <c r="R57" i="1"/>
  <c r="M10" i="1"/>
  <c r="K73" i="1"/>
  <c r="AA12" i="1"/>
  <c r="W12" i="1"/>
  <c r="S71" i="1"/>
  <c r="S8" i="1"/>
  <c r="S70" i="1"/>
  <c r="S67" i="1"/>
  <c r="S64" i="1"/>
  <c r="S73" i="1"/>
  <c r="S65" i="1"/>
  <c r="S72" i="1"/>
  <c r="S309" i="1"/>
  <c r="G8" i="9"/>
  <c r="G16" i="9"/>
  <c r="P416" i="2" s="1"/>
  <c r="P417" i="2" s="1"/>
  <c r="G14" i="9"/>
  <c r="G6" i="9"/>
  <c r="G12" i="9"/>
  <c r="G18" i="9"/>
  <c r="R416" i="2" s="1"/>
  <c r="R417" i="2" s="1"/>
  <c r="G21" i="9"/>
  <c r="U416" i="2" s="1"/>
  <c r="U417" i="2" s="1"/>
  <c r="G10" i="9"/>
  <c r="G19" i="9"/>
  <c r="S416" i="2" s="1"/>
  <c r="S417" i="2" s="1"/>
  <c r="G17" i="9"/>
  <c r="Q416" i="2" s="1"/>
  <c r="Q417" i="2" s="1"/>
  <c r="G7" i="9"/>
  <c r="G13" i="9"/>
  <c r="G9" i="9"/>
  <c r="G11" i="9"/>
  <c r="G20" i="9"/>
  <c r="T416" i="2" s="1"/>
  <c r="T417" i="2" s="1"/>
  <c r="K71" i="1"/>
  <c r="Y229" i="1"/>
  <c r="S394" i="1"/>
  <c r="Y63" i="1"/>
  <c r="Y73" i="1"/>
  <c r="Y70" i="1"/>
  <c r="S141" i="1"/>
  <c r="S410" i="1"/>
  <c r="S215" i="1"/>
  <c r="S231" i="1" s="1"/>
  <c r="R63" i="1"/>
  <c r="Y141" i="1"/>
  <c r="Y410" i="1"/>
  <c r="E452" i="2"/>
  <c r="U452" i="2" s="1"/>
  <c r="U453" i="2" s="1"/>
  <c r="U64" i="1"/>
  <c r="AG450" i="2"/>
  <c r="AH450" i="2" s="1"/>
  <c r="U72" i="1"/>
  <c r="U58" i="1"/>
  <c r="U9" i="1"/>
  <c r="S66" i="1"/>
  <c r="S77" i="1"/>
  <c r="R10" i="1"/>
  <c r="S10" i="1"/>
  <c r="S69" i="1"/>
  <c r="S58" i="1"/>
  <c r="S379" i="1"/>
  <c r="U394" i="1"/>
  <c r="Y394" i="1"/>
  <c r="M309" i="1"/>
  <c r="Y215" i="1"/>
  <c r="S199" i="1"/>
  <c r="AB183" i="1"/>
  <c r="AC183" i="1" s="1"/>
  <c r="R410" i="1"/>
  <c r="Y58" i="1"/>
  <c r="Y67" i="1"/>
  <c r="Y64" i="1"/>
  <c r="AB191" i="1"/>
  <c r="AC191" i="1" s="1"/>
  <c r="Y68" i="1"/>
  <c r="Y309" i="1"/>
  <c r="M215" i="1"/>
  <c r="Y77" i="1"/>
  <c r="Y10" i="1"/>
  <c r="Y66" i="1"/>
  <c r="M65" i="1"/>
  <c r="Y9" i="1"/>
  <c r="R229" i="1"/>
  <c r="M64" i="1"/>
  <c r="Y72" i="1"/>
  <c r="M66" i="1"/>
  <c r="Y69" i="1"/>
  <c r="Y65" i="1"/>
  <c r="Y8" i="1"/>
  <c r="AG457" i="2"/>
  <c r="AH457" i="2" s="1"/>
  <c r="K67" i="1"/>
  <c r="K10" i="1"/>
  <c r="K63" i="1"/>
  <c r="K309" i="1"/>
  <c r="K64" i="1"/>
  <c r="AB347" i="1"/>
  <c r="AC347" i="1" s="1"/>
  <c r="K9" i="1"/>
  <c r="K72" i="1"/>
  <c r="AB85" i="1"/>
  <c r="AC85" i="1" s="1"/>
  <c r="K70" i="1"/>
  <c r="U229" i="1"/>
  <c r="K69" i="1"/>
  <c r="K8" i="1"/>
  <c r="K68" i="1"/>
  <c r="K77" i="1"/>
  <c r="K66" i="1"/>
  <c r="K58" i="1"/>
  <c r="AB189" i="1"/>
  <c r="AC189" i="1" s="1"/>
  <c r="R141" i="1"/>
  <c r="AB188" i="1"/>
  <c r="AC188" i="1" s="1"/>
  <c r="U215" i="1"/>
  <c r="AB376" i="1"/>
  <c r="AC376" i="1" s="1"/>
  <c r="M394" i="1"/>
  <c r="M412" i="1" s="1"/>
  <c r="U379" i="1"/>
  <c r="M141" i="1"/>
  <c r="AB370" i="1"/>
  <c r="AC370" i="1" s="1"/>
  <c r="AB294" i="1"/>
  <c r="AC294" i="1" s="1"/>
  <c r="M229" i="1"/>
  <c r="U199" i="1"/>
  <c r="M8" i="1"/>
  <c r="M77" i="1"/>
  <c r="AB107" i="1"/>
  <c r="AC107" i="1" s="1"/>
  <c r="AB377" i="1"/>
  <c r="AC377" i="1" s="1"/>
  <c r="AB371" i="1"/>
  <c r="AC371" i="1" s="1"/>
  <c r="AB187" i="1"/>
  <c r="AC187" i="1" s="1"/>
  <c r="R379" i="1"/>
  <c r="R394" i="1"/>
  <c r="AB293" i="1"/>
  <c r="AC293" i="1" s="1"/>
  <c r="U410" i="1"/>
  <c r="Y199" i="1"/>
  <c r="AB186" i="1"/>
  <c r="AC186" i="1" s="1"/>
  <c r="M9" i="1"/>
  <c r="AB194" i="1"/>
  <c r="AC194" i="1" s="1"/>
  <c r="U141" i="1"/>
  <c r="Y379" i="1"/>
  <c r="M68" i="1"/>
  <c r="M73" i="1"/>
  <c r="M70" i="1"/>
  <c r="AB184" i="1"/>
  <c r="AC184" i="1" s="1"/>
  <c r="M58" i="1"/>
  <c r="M69" i="1"/>
  <c r="M72" i="1"/>
  <c r="M63" i="1"/>
  <c r="M67" i="1"/>
  <c r="R68" i="1"/>
  <c r="U63" i="1"/>
  <c r="AB373" i="1"/>
  <c r="AC373" i="1" s="1"/>
  <c r="AB196" i="1"/>
  <c r="AC196" i="1" s="1"/>
  <c r="AB185" i="1"/>
  <c r="AC185" i="1" s="1"/>
  <c r="R215" i="1"/>
  <c r="AB159" i="1"/>
  <c r="AC159" i="1" s="1"/>
  <c r="U67" i="1"/>
  <c r="R65" i="1"/>
  <c r="R66" i="1"/>
  <c r="U69" i="1"/>
  <c r="R58" i="1"/>
  <c r="U71" i="1"/>
  <c r="R73" i="1"/>
  <c r="R64" i="1"/>
  <c r="R69" i="1"/>
  <c r="U66" i="1"/>
  <c r="R309" i="1"/>
  <c r="U309" i="1"/>
  <c r="U70" i="1"/>
  <c r="R8" i="1"/>
  <c r="R67" i="1"/>
  <c r="AB374" i="1"/>
  <c r="AC374" i="1" s="1"/>
  <c r="R77" i="1"/>
  <c r="U68" i="1"/>
  <c r="R9" i="1"/>
  <c r="U10" i="1"/>
  <c r="R72" i="1"/>
  <c r="U73" i="1"/>
  <c r="U8" i="1"/>
  <c r="R70" i="1"/>
  <c r="U77" i="1"/>
  <c r="AB372" i="1"/>
  <c r="AC372" i="1" s="1"/>
  <c r="AB190" i="1"/>
  <c r="AC190" i="1" s="1"/>
  <c r="AB197" i="1"/>
  <c r="AC197" i="1" s="1"/>
  <c r="AB80" i="1"/>
  <c r="AC80" i="1" s="1"/>
  <c r="AB106" i="1"/>
  <c r="AC106" i="1" s="1"/>
  <c r="AB195" i="1"/>
  <c r="AC195" i="1" s="1"/>
  <c r="AB149" i="1"/>
  <c r="AC149" i="1" s="1"/>
  <c r="AB193" i="1"/>
  <c r="AC193" i="1" s="1"/>
  <c r="K379" i="1"/>
  <c r="K414" i="1" s="1"/>
  <c r="K416" i="1" s="1"/>
  <c r="M199" i="1"/>
  <c r="M379" i="1"/>
  <c r="R199" i="1"/>
  <c r="AB375" i="1"/>
  <c r="AC375" i="1" s="1"/>
  <c r="AB337" i="1"/>
  <c r="AC337" i="1" s="1"/>
  <c r="AB86" i="1"/>
  <c r="AC86" i="1" s="1"/>
  <c r="AB192" i="1"/>
  <c r="AC192" i="1" s="1"/>
  <c r="K199" i="1"/>
  <c r="K233" i="1" s="1"/>
  <c r="K264" i="1" s="1"/>
  <c r="K275" i="1" s="1"/>
  <c r="G484" i="2"/>
  <c r="G487" i="2" s="1"/>
  <c r="G488" i="2" s="1"/>
  <c r="G489" i="2" s="1"/>
  <c r="G480" i="2"/>
  <c r="G481" i="2" s="1"/>
  <c r="G482" i="2" s="1"/>
  <c r="M484" i="2"/>
  <c r="M487" i="2" s="1"/>
  <c r="M488" i="2" s="1"/>
  <c r="M489" i="2" s="1"/>
  <c r="M480" i="2"/>
  <c r="M481" i="2" s="1"/>
  <c r="M482" i="2" s="1"/>
  <c r="P471" i="1"/>
  <c r="P470" i="1" s="1"/>
  <c r="P43" i="1" s="1"/>
  <c r="P297" i="1" s="1"/>
  <c r="K422" i="2"/>
  <c r="E439" i="2"/>
  <c r="K426" i="2" s="1"/>
  <c r="P46" i="1"/>
  <c r="P386" i="1" s="1"/>
  <c r="P47" i="1"/>
  <c r="G365" i="2"/>
  <c r="AG424" i="2"/>
  <c r="AH424" i="2" s="1"/>
  <c r="AG437" i="2"/>
  <c r="AH437" i="2" s="1"/>
  <c r="G341" i="2"/>
  <c r="L365" i="2"/>
  <c r="L425" i="2"/>
  <c r="AB472" i="1"/>
  <c r="AC472" i="1" s="1"/>
  <c r="AH418" i="2"/>
  <c r="M459" i="2"/>
  <c r="M460" i="2" s="1"/>
  <c r="H422" i="2"/>
  <c r="X422" i="2"/>
  <c r="AA422" i="2"/>
  <c r="AD422" i="2"/>
  <c r="Y422" i="2"/>
  <c r="AC422" i="2"/>
  <c r="W422" i="2"/>
  <c r="Z422" i="2"/>
  <c r="AB422" i="2"/>
  <c r="AE422" i="2"/>
  <c r="AF422" i="2"/>
  <c r="V422" i="2"/>
  <c r="Q422" i="2"/>
  <c r="R422" i="2"/>
  <c r="S422" i="2"/>
  <c r="G422" i="2"/>
  <c r="U422" i="2"/>
  <c r="O422" i="2"/>
  <c r="N422" i="2"/>
  <c r="F422" i="2"/>
  <c r="T422" i="2"/>
  <c r="J422" i="2"/>
  <c r="I422" i="2"/>
  <c r="L422" i="2"/>
  <c r="M422" i="2"/>
  <c r="P422" i="2"/>
  <c r="P45" i="1"/>
  <c r="P113" i="1" s="1"/>
  <c r="O43" i="1"/>
  <c r="O44" i="1"/>
  <c r="O206" i="1"/>
  <c r="O386" i="1"/>
  <c r="O114" i="1"/>
  <c r="O223" i="1"/>
  <c r="O300" i="1"/>
  <c r="O404" i="1"/>
  <c r="O113" i="1"/>
  <c r="O299" i="1"/>
  <c r="O47" i="1"/>
  <c r="AB473" i="1"/>
  <c r="AC473" i="1" s="1"/>
  <c r="T365" i="2"/>
  <c r="T341" i="2"/>
  <c r="U365" i="2"/>
  <c r="U341" i="2"/>
  <c r="R365" i="2"/>
  <c r="R341" i="2"/>
  <c r="S365" i="2"/>
  <c r="S341" i="2"/>
  <c r="M365" i="2"/>
  <c r="M341" i="2"/>
  <c r="Q365" i="2"/>
  <c r="Q341" i="2"/>
  <c r="H421" i="2"/>
  <c r="H425" i="2"/>
  <c r="AG503" i="2"/>
  <c r="AH503" i="2" s="1"/>
  <c r="N423" i="2"/>
  <c r="L423" i="2"/>
  <c r="M423" i="2"/>
  <c r="N410" i="2"/>
  <c r="AG432" i="2"/>
  <c r="AH432" i="2" s="1"/>
  <c r="AH430" i="2"/>
  <c r="L421" i="2"/>
  <c r="H177" i="1"/>
  <c r="I365" i="1"/>
  <c r="I367" i="1" s="1"/>
  <c r="I178" i="1"/>
  <c r="I177" i="1"/>
  <c r="I175" i="1"/>
  <c r="I176" i="1"/>
  <c r="H231" i="1"/>
  <c r="H233" i="1" s="1"/>
  <c r="H264" i="1" s="1"/>
  <c r="H277" i="1" s="1"/>
  <c r="H414" i="1"/>
  <c r="H442" i="1" s="1"/>
  <c r="H449" i="1" s="1"/>
  <c r="H12" i="1"/>
  <c r="W231" i="1"/>
  <c r="W235" i="1" s="1"/>
  <c r="H75" i="1"/>
  <c r="H308" i="1" s="1"/>
  <c r="W412" i="1"/>
  <c r="W414" i="1" s="1"/>
  <c r="W416" i="1" s="1"/>
  <c r="AG478" i="2"/>
  <c r="AH478" i="2" s="1"/>
  <c r="O459" i="2"/>
  <c r="O460" i="2" s="1"/>
  <c r="AG485" i="2"/>
  <c r="AH485" i="2" s="1"/>
  <c r="S459" i="2"/>
  <c r="S460" i="2" s="1"/>
  <c r="AA414" i="1"/>
  <c r="AA231" i="1"/>
  <c r="AA235" i="1" s="1"/>
  <c r="AA75" i="1"/>
  <c r="P480" i="2"/>
  <c r="P481" i="2" s="1"/>
  <c r="W480" i="2"/>
  <c r="W481" i="2" s="1"/>
  <c r="AD480" i="2"/>
  <c r="AD481" i="2" s="1"/>
  <c r="AA480" i="2"/>
  <c r="AA481" i="2" s="1"/>
  <c r="R480" i="2"/>
  <c r="R481" i="2" s="1"/>
  <c r="AF480" i="2"/>
  <c r="AF481" i="2" s="1"/>
  <c r="AC480" i="2"/>
  <c r="AC481" i="2" s="1"/>
  <c r="V480" i="2"/>
  <c r="V481" i="2" s="1"/>
  <c r="Z480" i="2"/>
  <c r="Z481" i="2" s="1"/>
  <c r="X480" i="2"/>
  <c r="X481" i="2" s="1"/>
  <c r="Y480" i="2"/>
  <c r="Y481" i="2" s="1"/>
  <c r="AE480" i="2"/>
  <c r="AE481" i="2" s="1"/>
  <c r="AB480" i="2"/>
  <c r="AB481" i="2" s="1"/>
  <c r="T480" i="2"/>
  <c r="T481" i="2" s="1"/>
  <c r="U480" i="2"/>
  <c r="U481" i="2" s="1"/>
  <c r="AG435" i="2"/>
  <c r="AH435" i="2" s="1"/>
  <c r="I421" i="2"/>
  <c r="I425" i="2"/>
  <c r="AG436" i="2"/>
  <c r="AH436" i="2" s="1"/>
  <c r="S484" i="2"/>
  <c r="S480" i="2"/>
  <c r="S481" i="2" s="1"/>
  <c r="I412" i="1"/>
  <c r="W75" i="1"/>
  <c r="I12" i="1"/>
  <c r="I75" i="1"/>
  <c r="V459" i="2"/>
  <c r="W459" i="2"/>
  <c r="AA459" i="2"/>
  <c r="AB459" i="2"/>
  <c r="AF459" i="2"/>
  <c r="Z459" i="2"/>
  <c r="AC459" i="2"/>
  <c r="E460" i="2"/>
  <c r="Y459" i="2"/>
  <c r="X459" i="2"/>
  <c r="AE459" i="2"/>
  <c r="P459" i="2"/>
  <c r="P460" i="2" s="1"/>
  <c r="AD459" i="2"/>
  <c r="R459" i="2"/>
  <c r="R460" i="2" s="1"/>
  <c r="G459" i="2"/>
  <c r="G460" i="2" s="1"/>
  <c r="T64" i="15"/>
  <c r="K10" i="15" s="1"/>
  <c r="H441" i="2" s="1"/>
  <c r="I10" i="15"/>
  <c r="H443" i="2" s="1"/>
  <c r="H496" i="2" s="1"/>
  <c r="N477" i="2"/>
  <c r="N459" i="2"/>
  <c r="N460" i="2" s="1"/>
  <c r="I231" i="1"/>
  <c r="AB170" i="1"/>
  <c r="AC170" i="1" s="1"/>
  <c r="U459" i="2"/>
  <c r="U460" i="2" s="1"/>
  <c r="K449" i="2"/>
  <c r="H423" i="2"/>
  <c r="G423" i="2"/>
  <c r="K423" i="2"/>
  <c r="F441" i="2"/>
  <c r="O484" i="2"/>
  <c r="O480" i="2"/>
  <c r="O481" i="2" s="1"/>
  <c r="AB358" i="1"/>
  <c r="AC358" i="1" s="1"/>
  <c r="J421" i="2"/>
  <c r="J425" i="2"/>
  <c r="Q459" i="2"/>
  <c r="Q460" i="2" s="1"/>
  <c r="I11" i="15"/>
  <c r="I443" i="2" s="1"/>
  <c r="T74" i="15"/>
  <c r="K11" i="15" s="1"/>
  <c r="I441" i="2" s="1"/>
  <c r="F443" i="2"/>
  <c r="K470" i="2"/>
  <c r="K493" i="2"/>
  <c r="Q484" i="2"/>
  <c r="Q480" i="2"/>
  <c r="Q481" i="2" s="1"/>
  <c r="H416" i="2" l="1"/>
  <c r="H417" i="2" s="1"/>
  <c r="J416" i="2"/>
  <c r="K416" i="2"/>
  <c r="K417" i="2" s="1"/>
  <c r="I416" i="2"/>
  <c r="I417" i="2" s="1"/>
  <c r="L416" i="2"/>
  <c r="L417" i="2" s="1"/>
  <c r="M416" i="2"/>
  <c r="M417" i="2" s="1"/>
  <c r="F416" i="2"/>
  <c r="G416" i="2"/>
  <c r="G417" i="2" s="1"/>
  <c r="N416" i="2"/>
  <c r="N417" i="2" s="1"/>
  <c r="J417" i="2"/>
  <c r="Y12" i="1"/>
  <c r="M12" i="1"/>
  <c r="S12" i="1"/>
  <c r="U12" i="1"/>
  <c r="R12" i="1"/>
  <c r="G33" i="9"/>
  <c r="E416" i="2" s="1"/>
  <c r="E417" i="2" s="1"/>
  <c r="Y231" i="1"/>
  <c r="Y235" i="1" s="1"/>
  <c r="S412" i="1"/>
  <c r="AD452" i="2"/>
  <c r="Q452" i="2"/>
  <c r="Q453" i="2" s="1"/>
  <c r="N452" i="2"/>
  <c r="N453" i="2" s="1"/>
  <c r="O452" i="2"/>
  <c r="O453" i="2" s="1"/>
  <c r="AF452" i="2"/>
  <c r="Y452" i="2"/>
  <c r="R452" i="2"/>
  <c r="R453" i="2" s="1"/>
  <c r="W452" i="2"/>
  <c r="P452" i="2"/>
  <c r="P453" i="2" s="1"/>
  <c r="AA452" i="2"/>
  <c r="V452" i="2"/>
  <c r="S452" i="2"/>
  <c r="S453" i="2" s="1"/>
  <c r="X452" i="2"/>
  <c r="E453" i="2"/>
  <c r="S454" i="2" s="1"/>
  <c r="AB452" i="2"/>
  <c r="AC452" i="2"/>
  <c r="AE452" i="2"/>
  <c r="Z452" i="2"/>
  <c r="G452" i="2"/>
  <c r="G453" i="2" s="1"/>
  <c r="M452" i="2"/>
  <c r="M453" i="2" s="1"/>
  <c r="AB470" i="1"/>
  <c r="AC470" i="1" s="1"/>
  <c r="AB471" i="1"/>
  <c r="AC471" i="1" s="1"/>
  <c r="S414" i="1"/>
  <c r="S416" i="1" s="1"/>
  <c r="Y412" i="1"/>
  <c r="Y414" i="1" s="1"/>
  <c r="Y442" i="1" s="1"/>
  <c r="Y452" i="1" s="1"/>
  <c r="S75" i="1"/>
  <c r="S122" i="1" s="1"/>
  <c r="S233" i="1"/>
  <c r="S264" i="1" s="1"/>
  <c r="S456" i="1" s="1"/>
  <c r="S237" i="1"/>
  <c r="S235" i="1"/>
  <c r="U412" i="1"/>
  <c r="U414" i="1" s="1"/>
  <c r="U416" i="1" s="1"/>
  <c r="U231" i="1"/>
  <c r="U235" i="1" s="1"/>
  <c r="R412" i="1"/>
  <c r="R414" i="1" s="1"/>
  <c r="R442" i="1" s="1"/>
  <c r="R452" i="1" s="1"/>
  <c r="R231" i="1"/>
  <c r="R237" i="1" s="1"/>
  <c r="K75" i="1"/>
  <c r="K308" i="1" s="1"/>
  <c r="Y75" i="1"/>
  <c r="Y121" i="1" s="1"/>
  <c r="M231" i="1"/>
  <c r="M235" i="1" s="1"/>
  <c r="K12" i="1"/>
  <c r="K237" i="1"/>
  <c r="K235" i="1"/>
  <c r="AB199" i="1"/>
  <c r="AC199" i="1" s="1"/>
  <c r="M414" i="1"/>
  <c r="M416" i="1" s="1"/>
  <c r="M75" i="1"/>
  <c r="M120" i="1" s="1"/>
  <c r="AB379" i="1"/>
  <c r="AC379" i="1" s="1"/>
  <c r="R75" i="1"/>
  <c r="R279" i="1" s="1"/>
  <c r="U75" i="1"/>
  <c r="U308" i="1" s="1"/>
  <c r="L426" i="2"/>
  <c r="P111" i="1"/>
  <c r="P44" i="1"/>
  <c r="P205" i="1" s="1"/>
  <c r="O205" i="1"/>
  <c r="O204" i="1"/>
  <c r="M426" i="2"/>
  <c r="H426" i="2"/>
  <c r="G426" i="2"/>
  <c r="J426" i="2"/>
  <c r="P404" i="1"/>
  <c r="AB404" i="1" s="1"/>
  <c r="AC404" i="1" s="1"/>
  <c r="P223" i="1"/>
  <c r="AB223" i="1" s="1"/>
  <c r="AC223" i="1" s="1"/>
  <c r="U426" i="2"/>
  <c r="O426" i="2"/>
  <c r="AB426" i="2"/>
  <c r="AF426" i="2"/>
  <c r="AD426" i="2"/>
  <c r="AC426" i="2"/>
  <c r="X426" i="2"/>
  <c r="S426" i="2"/>
  <c r="W426" i="2"/>
  <c r="F426" i="2"/>
  <c r="P426" i="2"/>
  <c r="Y426" i="2"/>
  <c r="Q426" i="2"/>
  <c r="Z426" i="2"/>
  <c r="R426" i="2"/>
  <c r="N426" i="2"/>
  <c r="AE426" i="2"/>
  <c r="AA426" i="2"/>
  <c r="T426" i="2"/>
  <c r="V426" i="2"/>
  <c r="P300" i="1"/>
  <c r="AB300" i="1" s="1"/>
  <c r="AC300" i="1" s="1"/>
  <c r="P206" i="1"/>
  <c r="AB206" i="1" s="1"/>
  <c r="AC206" i="1" s="1"/>
  <c r="P114" i="1"/>
  <c r="AB114" i="1" s="1"/>
  <c r="AC114" i="1" s="1"/>
  <c r="AB46" i="1"/>
  <c r="AC46" i="1" s="1"/>
  <c r="P301" i="1"/>
  <c r="P224" i="1"/>
  <c r="P115" i="1"/>
  <c r="P405" i="1"/>
  <c r="P299" i="1"/>
  <c r="AB299" i="1" s="1"/>
  <c r="AC299" i="1" s="1"/>
  <c r="I449" i="2"/>
  <c r="I496" i="2"/>
  <c r="AG438" i="2"/>
  <c r="AH438" i="2" s="1"/>
  <c r="AG422" i="2"/>
  <c r="AH422" i="2" s="1"/>
  <c r="AB45" i="1"/>
  <c r="AC45" i="1" s="1"/>
  <c r="O111" i="1"/>
  <c r="AB43" i="1"/>
  <c r="AC43" i="1" s="1"/>
  <c r="O297" i="1"/>
  <c r="AB297" i="1" s="1"/>
  <c r="AC297" i="1" s="1"/>
  <c r="AB113" i="1"/>
  <c r="AC113" i="1" s="1"/>
  <c r="O222" i="1"/>
  <c r="O112" i="1"/>
  <c r="O385" i="1"/>
  <c r="O403" i="1"/>
  <c r="O298" i="1"/>
  <c r="AB386" i="1"/>
  <c r="AC386" i="1" s="1"/>
  <c r="AB47" i="1"/>
  <c r="AC47" i="1" s="1"/>
  <c r="O301" i="1"/>
  <c r="O54" i="1"/>
  <c r="O224" i="1"/>
  <c r="O115" i="1"/>
  <c r="O405" i="1"/>
  <c r="N341" i="2"/>
  <c r="AG341" i="2" s="1"/>
  <c r="AH341" i="2" s="1"/>
  <c r="AG410" i="2"/>
  <c r="AH410" i="2" s="1"/>
  <c r="N365" i="2"/>
  <c r="AG365" i="2" s="1"/>
  <c r="AH365" i="2" s="1"/>
  <c r="K442" i="1"/>
  <c r="K274" i="1" s="1"/>
  <c r="AB177" i="1"/>
  <c r="AC177" i="1" s="1"/>
  <c r="H175" i="1"/>
  <c r="AB175" i="1" s="1"/>
  <c r="AC175" i="1" s="1"/>
  <c r="AB483" i="1"/>
  <c r="AC483" i="1" s="1"/>
  <c r="H178" i="1"/>
  <c r="AB178" i="1" s="1"/>
  <c r="AC178" i="1" s="1"/>
  <c r="H364" i="1"/>
  <c r="AB364" i="1" s="1"/>
  <c r="AC364" i="1" s="1"/>
  <c r="H176" i="1"/>
  <c r="AB176" i="1" s="1"/>
  <c r="AC176" i="1" s="1"/>
  <c r="H365" i="1"/>
  <c r="AB365" i="1" s="1"/>
  <c r="AC365" i="1" s="1"/>
  <c r="I180" i="1"/>
  <c r="H235" i="1"/>
  <c r="H280" i="1"/>
  <c r="W233" i="1"/>
  <c r="W264" i="1" s="1"/>
  <c r="W456" i="1" s="1"/>
  <c r="K448" i="1"/>
  <c r="W237" i="1"/>
  <c r="K455" i="1"/>
  <c r="H448" i="1"/>
  <c r="H452" i="1"/>
  <c r="H270" i="1"/>
  <c r="H458" i="1"/>
  <c r="K277" i="1"/>
  <c r="H120" i="1"/>
  <c r="H88" i="1"/>
  <c r="H91" i="1" s="1"/>
  <c r="H99" i="1" s="1"/>
  <c r="H453" i="1"/>
  <c r="K276" i="1"/>
  <c r="K450" i="1"/>
  <c r="H122" i="1"/>
  <c r="K269" i="1"/>
  <c r="K271" i="1"/>
  <c r="H82" i="1"/>
  <c r="E8" i="2" s="1"/>
  <c r="H459" i="1"/>
  <c r="H307" i="1"/>
  <c r="H312" i="1" s="1"/>
  <c r="E199" i="2" s="1"/>
  <c r="H276" i="1"/>
  <c r="K456" i="1"/>
  <c r="K454" i="1"/>
  <c r="H121" i="1"/>
  <c r="H274" i="1"/>
  <c r="H273" i="1"/>
  <c r="O487" i="2"/>
  <c r="O488" i="2" s="1"/>
  <c r="H455" i="1"/>
  <c r="H454" i="1"/>
  <c r="H275" i="1"/>
  <c r="W442" i="1"/>
  <c r="W452" i="1" s="1"/>
  <c r="H269" i="1"/>
  <c r="H456" i="1"/>
  <c r="H450" i="1"/>
  <c r="AA237" i="1"/>
  <c r="H271" i="1"/>
  <c r="AA442" i="1"/>
  <c r="AA416" i="1"/>
  <c r="AA233" i="1"/>
  <c r="AA264" i="1" s="1"/>
  <c r="AA276" i="1" s="1"/>
  <c r="AA121" i="1"/>
  <c r="AA308" i="1"/>
  <c r="AA307" i="1"/>
  <c r="AA458" i="1"/>
  <c r="AA88" i="1"/>
  <c r="AA91" i="1" s="1"/>
  <c r="AA99" i="1" s="1"/>
  <c r="AA280" i="1"/>
  <c r="AA459" i="1"/>
  <c r="AA279" i="1"/>
  <c r="AA120" i="1"/>
  <c r="AA122" i="1"/>
  <c r="W82" i="1"/>
  <c r="W130" i="1" s="1"/>
  <c r="AA82" i="1"/>
  <c r="Q482" i="2"/>
  <c r="U482" i="2"/>
  <c r="O482" i="2"/>
  <c r="S482" i="2"/>
  <c r="V482" i="2"/>
  <c r="W482" i="2"/>
  <c r="P482" i="2"/>
  <c r="AE482" i="2"/>
  <c r="Y482" i="2"/>
  <c r="Z482" i="2"/>
  <c r="AF482" i="2"/>
  <c r="X482" i="2"/>
  <c r="AB482" i="2"/>
  <c r="T482" i="2"/>
  <c r="AA482" i="2"/>
  <c r="AC482" i="2"/>
  <c r="R482" i="2"/>
  <c r="AD482" i="2"/>
  <c r="N484" i="2"/>
  <c r="N480" i="2"/>
  <c r="N481" i="2" s="1"/>
  <c r="N482" i="2" s="1"/>
  <c r="I426" i="2"/>
  <c r="AG439" i="2"/>
  <c r="AH439" i="2" s="1"/>
  <c r="K494" i="2"/>
  <c r="F496" i="2"/>
  <c r="F449" i="2"/>
  <c r="H449" i="2"/>
  <c r="M242" i="2"/>
  <c r="G461" i="2"/>
  <c r="M128" i="2"/>
  <c r="V128" i="2"/>
  <c r="AE242" i="2"/>
  <c r="O242" i="2"/>
  <c r="X461" i="2"/>
  <c r="W166" i="2"/>
  <c r="U242" i="2"/>
  <c r="M461" i="2"/>
  <c r="H242" i="2"/>
  <c r="G166" i="2"/>
  <c r="P166" i="2"/>
  <c r="F461" i="2"/>
  <c r="AC280" i="2"/>
  <c r="P461" i="2"/>
  <c r="K166" i="2"/>
  <c r="I242" i="2"/>
  <c r="G128" i="2"/>
  <c r="J461" i="2"/>
  <c r="T461" i="2"/>
  <c r="AE128" i="2"/>
  <c r="H280" i="2"/>
  <c r="AC242" i="2"/>
  <c r="W280" i="2"/>
  <c r="Q461" i="2"/>
  <c r="AB242" i="2"/>
  <c r="S280" i="2"/>
  <c r="R128" i="2"/>
  <c r="V242" i="2"/>
  <c r="N166" i="2"/>
  <c r="I280" i="2"/>
  <c r="N280" i="2"/>
  <c r="O461" i="2"/>
  <c r="Y166" i="2"/>
  <c r="S242" i="2"/>
  <c r="Y280" i="2"/>
  <c r="U461" i="2"/>
  <c r="P280" i="2"/>
  <c r="AE166" i="2"/>
  <c r="H166" i="2"/>
  <c r="Y461" i="2"/>
  <c r="L461" i="2"/>
  <c r="Q128" i="2"/>
  <c r="Q242" i="2"/>
  <c r="V461" i="2"/>
  <c r="F166" i="2"/>
  <c r="O166" i="2"/>
  <c r="AD280" i="2"/>
  <c r="J166" i="2"/>
  <c r="K461" i="2"/>
  <c r="N242" i="2"/>
  <c r="AA461" i="2"/>
  <c r="G280" i="2"/>
  <c r="AA242" i="2"/>
  <c r="AA128" i="2"/>
  <c r="Y128" i="2"/>
  <c r="X242" i="2"/>
  <c r="R166" i="2"/>
  <c r="I166" i="2"/>
  <c r="P242" i="2"/>
  <c r="T280" i="2"/>
  <c r="Z461" i="2"/>
  <c r="T166" i="2"/>
  <c r="H128" i="2"/>
  <c r="AC166" i="2"/>
  <c r="T128" i="2"/>
  <c r="AF166" i="2"/>
  <c r="X128" i="2"/>
  <c r="R461" i="2"/>
  <c r="X280" i="2"/>
  <c r="W461" i="2"/>
  <c r="L242" i="2"/>
  <c r="X166" i="2"/>
  <c r="K280" i="2"/>
  <c r="AA166" i="2"/>
  <c r="G242" i="2"/>
  <c r="AB461" i="2"/>
  <c r="Z280" i="2"/>
  <c r="L166" i="2"/>
  <c r="J242" i="2"/>
  <c r="H461" i="2"/>
  <c r="N461" i="2"/>
  <c r="O128" i="2"/>
  <c r="AF242" i="2"/>
  <c r="U280" i="2"/>
  <c r="AE280" i="2"/>
  <c r="AF461" i="2"/>
  <c r="O280" i="2"/>
  <c r="Z166" i="2"/>
  <c r="K128" i="2"/>
  <c r="V280" i="2"/>
  <c r="AF128" i="2"/>
  <c r="M280" i="2"/>
  <c r="K242" i="2"/>
  <c r="AD166" i="2"/>
  <c r="AD128" i="2"/>
  <c r="AC128" i="2"/>
  <c r="AC461" i="2"/>
  <c r="AB128" i="2"/>
  <c r="J280" i="2"/>
  <c r="Q280" i="2"/>
  <c r="U128" i="2"/>
  <c r="W128" i="2"/>
  <c r="AA280" i="2"/>
  <c r="F242" i="2"/>
  <c r="AD461" i="2"/>
  <c r="U166" i="2"/>
  <c r="M166" i="2"/>
  <c r="T242" i="2"/>
  <c r="V166" i="2"/>
  <c r="S461" i="2"/>
  <c r="F128" i="2"/>
  <c r="S166" i="2"/>
  <c r="Q166" i="2"/>
  <c r="I461" i="2"/>
  <c r="AB280" i="2"/>
  <c r="S128" i="2"/>
  <c r="J128" i="2"/>
  <c r="AF280" i="2"/>
  <c r="P128" i="2"/>
  <c r="N128" i="2"/>
  <c r="Y242" i="2"/>
  <c r="F280" i="2"/>
  <c r="AE461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8" i="1"/>
  <c r="W279" i="1"/>
  <c r="W88" i="1"/>
  <c r="W91" i="1" s="1"/>
  <c r="W99" i="1" s="1"/>
  <c r="W120" i="1"/>
  <c r="W459" i="1"/>
  <c r="W280" i="1"/>
  <c r="W307" i="1"/>
  <c r="W122" i="1"/>
  <c r="I414" i="1"/>
  <c r="AG425" i="2"/>
  <c r="AH425" i="2" s="1"/>
  <c r="G32" i="8"/>
  <c r="E423" i="2" s="1"/>
  <c r="F423" i="2"/>
  <c r="AG423" i="2" s="1"/>
  <c r="I233" i="1"/>
  <c r="I235" i="1"/>
  <c r="AG421" i="2"/>
  <c r="AH421" i="2" s="1"/>
  <c r="K456" i="2"/>
  <c r="K477" i="2" s="1"/>
  <c r="K452" i="2"/>
  <c r="K453" i="2" s="1"/>
  <c r="I459" i="1"/>
  <c r="I280" i="1"/>
  <c r="I279" i="1"/>
  <c r="I122" i="1"/>
  <c r="I88" i="1"/>
  <c r="I120" i="1"/>
  <c r="I458" i="1"/>
  <c r="I307" i="1"/>
  <c r="I121" i="1"/>
  <c r="I308" i="1"/>
  <c r="AG416" i="2" l="1"/>
  <c r="AH416" i="2" s="1"/>
  <c r="F417" i="2"/>
  <c r="AG417" i="2" s="1"/>
  <c r="G314" i="2"/>
  <c r="G316" i="2" s="1"/>
  <c r="G338" i="2" s="1"/>
  <c r="J314" i="2"/>
  <c r="J316" i="2" s="1"/>
  <c r="J338" i="2" s="1"/>
  <c r="L314" i="2"/>
  <c r="L316" i="2" s="1"/>
  <c r="L338" i="2" s="1"/>
  <c r="M314" i="2"/>
  <c r="M316" i="2" s="1"/>
  <c r="M338" i="2" s="1"/>
  <c r="I314" i="2"/>
  <c r="I316" i="2" s="1"/>
  <c r="I338" i="2" s="1"/>
  <c r="T314" i="2"/>
  <c r="T316" i="2" s="1"/>
  <c r="T338" i="2" s="1"/>
  <c r="S314" i="2"/>
  <c r="S316" i="2" s="1"/>
  <c r="S338" i="2" s="1"/>
  <c r="U314" i="2"/>
  <c r="U316" i="2" s="1"/>
  <c r="U338" i="2" s="1"/>
  <c r="P314" i="2"/>
  <c r="P316" i="2" s="1"/>
  <c r="P338" i="2" s="1"/>
  <c r="Q314" i="2"/>
  <c r="Q316" i="2" s="1"/>
  <c r="Q338" i="2" s="1"/>
  <c r="R314" i="2"/>
  <c r="R316" i="2" s="1"/>
  <c r="R338" i="2" s="1"/>
  <c r="K314" i="2"/>
  <c r="K316" i="2" s="1"/>
  <c r="K338" i="2" s="1"/>
  <c r="H314" i="2"/>
  <c r="H316" i="2" s="1"/>
  <c r="H338" i="2" s="1"/>
  <c r="N314" i="2"/>
  <c r="N316" i="2" s="1"/>
  <c r="N338" i="2" s="1"/>
  <c r="O314" i="2"/>
  <c r="O316" i="2" s="1"/>
  <c r="O338" i="2" s="1"/>
  <c r="Y233" i="1"/>
  <c r="Y264" i="1" s="1"/>
  <c r="Y454" i="1" s="1"/>
  <c r="Y237" i="1"/>
  <c r="S459" i="1"/>
  <c r="G90" i="2"/>
  <c r="G532" i="2" s="1"/>
  <c r="O454" i="2"/>
  <c r="S121" i="1"/>
  <c r="K13" i="2"/>
  <c r="T454" i="2"/>
  <c r="AC90" i="2"/>
  <c r="S13" i="2"/>
  <c r="Y204" i="2"/>
  <c r="M90" i="2"/>
  <c r="M532" i="2" s="1"/>
  <c r="Y52" i="2"/>
  <c r="O204" i="2"/>
  <c r="O514" i="2" s="1"/>
  <c r="O523" i="2" s="1"/>
  <c r="O552" i="2" s="1"/>
  <c r="O575" i="2" s="1"/>
  <c r="AF52" i="2"/>
  <c r="G13" i="2"/>
  <c r="Q454" i="2"/>
  <c r="F13" i="2"/>
  <c r="X52" i="2"/>
  <c r="R13" i="2"/>
  <c r="U237" i="1"/>
  <c r="T13" i="2"/>
  <c r="AB52" i="2"/>
  <c r="Z204" i="2"/>
  <c r="R52" i="2"/>
  <c r="Y13" i="2"/>
  <c r="K52" i="2"/>
  <c r="J204" i="2"/>
  <c r="J514" i="2" s="1"/>
  <c r="J523" i="2" s="1"/>
  <c r="J552" i="2" s="1"/>
  <c r="J575" i="2" s="1"/>
  <c r="G52" i="2"/>
  <c r="AD454" i="2"/>
  <c r="AD90" i="2"/>
  <c r="U13" i="2"/>
  <c r="Z454" i="2"/>
  <c r="I52" i="2"/>
  <c r="I90" i="2"/>
  <c r="I532" i="2" s="1"/>
  <c r="T90" i="2"/>
  <c r="Q90" i="2"/>
  <c r="Q532" i="2" s="1"/>
  <c r="T52" i="2"/>
  <c r="W454" i="2"/>
  <c r="X90" i="2"/>
  <c r="S90" i="2"/>
  <c r="H13" i="2"/>
  <c r="AC454" i="2"/>
  <c r="Q52" i="2"/>
  <c r="T204" i="2"/>
  <c r="N52" i="2"/>
  <c r="P204" i="2"/>
  <c r="P514" i="2" s="1"/>
  <c r="P523" i="2" s="1"/>
  <c r="R454" i="2"/>
  <c r="G204" i="2"/>
  <c r="G514" i="2" s="1"/>
  <c r="G523" i="2" s="1"/>
  <c r="G552" i="2" s="1"/>
  <c r="G575" i="2" s="1"/>
  <c r="P454" i="2"/>
  <c r="L90" i="2"/>
  <c r="L532" i="2" s="1"/>
  <c r="AB13" i="2"/>
  <c r="Q204" i="2"/>
  <c r="Q514" i="2" s="1"/>
  <c r="Q523" i="2" s="1"/>
  <c r="Q552" i="2" s="1"/>
  <c r="Q575" i="2" s="1"/>
  <c r="V204" i="2"/>
  <c r="AA90" i="2"/>
  <c r="N90" i="2"/>
  <c r="N532" i="2" s="1"/>
  <c r="U454" i="2"/>
  <c r="V454" i="2"/>
  <c r="AA13" i="2"/>
  <c r="H52" i="2"/>
  <c r="U90" i="2"/>
  <c r="L204" i="2"/>
  <c r="L514" i="2" s="1"/>
  <c r="P90" i="2"/>
  <c r="P532" i="2" s="1"/>
  <c r="F90" i="2"/>
  <c r="F532" i="2" s="1"/>
  <c r="F561" i="2" s="1"/>
  <c r="AC13" i="2"/>
  <c r="Z52" i="2"/>
  <c r="J90" i="2"/>
  <c r="J532" i="2" s="1"/>
  <c r="AF13" i="2"/>
  <c r="U52" i="2"/>
  <c r="M280" i="1"/>
  <c r="AE204" i="2"/>
  <c r="J52" i="2"/>
  <c r="AC204" i="2"/>
  <c r="F454" i="2"/>
  <c r="F204" i="2"/>
  <c r="AB454" i="2"/>
  <c r="AB204" i="2"/>
  <c r="O90" i="2"/>
  <c r="O532" i="2" s="1"/>
  <c r="AD204" i="2"/>
  <c r="AA52" i="2"/>
  <c r="AF454" i="2"/>
  <c r="Q13" i="2"/>
  <c r="N204" i="2"/>
  <c r="N514" i="2" s="1"/>
  <c r="O52" i="2"/>
  <c r="I13" i="2"/>
  <c r="M52" i="2"/>
  <c r="AE454" i="2"/>
  <c r="AF204" i="2"/>
  <c r="W52" i="2"/>
  <c r="V52" i="2"/>
  <c r="I454" i="2"/>
  <c r="J13" i="2"/>
  <c r="W13" i="2"/>
  <c r="AA454" i="2"/>
  <c r="V90" i="2"/>
  <c r="X454" i="2"/>
  <c r="Z13" i="2"/>
  <c r="S52" i="2"/>
  <c r="AA204" i="2"/>
  <c r="N454" i="2"/>
  <c r="M279" i="1"/>
  <c r="P52" i="2"/>
  <c r="AC52" i="2"/>
  <c r="AE90" i="2"/>
  <c r="G454" i="2"/>
  <c r="AD52" i="2"/>
  <c r="K90" i="2"/>
  <c r="K532" i="2" s="1"/>
  <c r="AB90" i="2"/>
  <c r="I204" i="2"/>
  <c r="I514" i="2" s="1"/>
  <c r="I523" i="2" s="1"/>
  <c r="I552" i="2" s="1"/>
  <c r="I575" i="2" s="1"/>
  <c r="K454" i="2"/>
  <c r="Y90" i="2"/>
  <c r="AE13" i="2"/>
  <c r="H204" i="2"/>
  <c r="H514" i="2" s="1"/>
  <c r="H523" i="2" s="1"/>
  <c r="H552" i="2" s="1"/>
  <c r="H575" i="2" s="1"/>
  <c r="L52" i="2"/>
  <c r="X204" i="2"/>
  <c r="L454" i="2"/>
  <c r="Y454" i="2"/>
  <c r="U204" i="2"/>
  <c r="W90" i="2"/>
  <c r="Z90" i="2"/>
  <c r="S204" i="2"/>
  <c r="H90" i="2"/>
  <c r="H532" i="2" s="1"/>
  <c r="P13" i="2"/>
  <c r="M308" i="1"/>
  <c r="H454" i="2"/>
  <c r="J454" i="2"/>
  <c r="V13" i="2"/>
  <c r="R90" i="2"/>
  <c r="R532" i="2" s="1"/>
  <c r="F52" i="2"/>
  <c r="AF90" i="2"/>
  <c r="M204" i="2"/>
  <c r="M514" i="2" s="1"/>
  <c r="M454" i="2"/>
  <c r="X13" i="2"/>
  <c r="AD13" i="2"/>
  <c r="W204" i="2"/>
  <c r="AE52" i="2"/>
  <c r="K204" i="2"/>
  <c r="K514" i="2" s="1"/>
  <c r="K523" i="2" s="1"/>
  <c r="K552" i="2" s="1"/>
  <c r="K575" i="2" s="1"/>
  <c r="R204" i="2"/>
  <c r="R514" i="2" s="1"/>
  <c r="R523" i="2" s="1"/>
  <c r="R552" i="2" s="1"/>
  <c r="R575" i="2" s="1"/>
  <c r="S442" i="1"/>
  <c r="S270" i="1" s="1"/>
  <c r="S276" i="1"/>
  <c r="S280" i="1"/>
  <c r="S307" i="1"/>
  <c r="S120" i="1"/>
  <c r="S279" i="1"/>
  <c r="S88" i="1"/>
  <c r="S91" i="1" s="1"/>
  <c r="S99" i="1" s="1"/>
  <c r="S82" i="1"/>
  <c r="S142" i="1" s="1"/>
  <c r="S458" i="1"/>
  <c r="S308" i="1"/>
  <c r="M233" i="1"/>
  <c r="M264" i="1" s="1"/>
  <c r="M277" i="1" s="1"/>
  <c r="K307" i="1"/>
  <c r="K312" i="1" s="1"/>
  <c r="E204" i="2" s="1"/>
  <c r="S450" i="1"/>
  <c r="S454" i="1"/>
  <c r="S455" i="1"/>
  <c r="M237" i="1"/>
  <c r="S269" i="1"/>
  <c r="S448" i="1"/>
  <c r="M442" i="1"/>
  <c r="M452" i="1" s="1"/>
  <c r="S277" i="1"/>
  <c r="S275" i="1"/>
  <c r="S271" i="1"/>
  <c r="M459" i="1"/>
  <c r="M122" i="1"/>
  <c r="M307" i="1"/>
  <c r="M121" i="1"/>
  <c r="M82" i="1"/>
  <c r="M142" i="1" s="1"/>
  <c r="M88" i="1"/>
  <c r="M91" i="1" s="1"/>
  <c r="M99" i="1" s="1"/>
  <c r="M458" i="1"/>
  <c r="U233" i="1"/>
  <c r="U264" i="1" s="1"/>
  <c r="U276" i="1" s="1"/>
  <c r="R235" i="1"/>
  <c r="R122" i="1"/>
  <c r="R233" i="1"/>
  <c r="R264" i="1" s="1"/>
  <c r="R454" i="1" s="1"/>
  <c r="R459" i="1"/>
  <c r="Y82" i="1"/>
  <c r="Y130" i="1" s="1"/>
  <c r="Y279" i="1"/>
  <c r="Y120" i="1"/>
  <c r="Y458" i="1"/>
  <c r="Y88" i="1"/>
  <c r="Y91" i="1" s="1"/>
  <c r="Y99" i="1" s="1"/>
  <c r="Y459" i="1"/>
  <c r="Y307" i="1"/>
  <c r="Y122" i="1"/>
  <c r="Y308" i="1"/>
  <c r="U442" i="1"/>
  <c r="U452" i="1" s="1"/>
  <c r="Y280" i="1"/>
  <c r="Y274" i="1"/>
  <c r="K459" i="1"/>
  <c r="Y416" i="1"/>
  <c r="K458" i="1"/>
  <c r="K279" i="1"/>
  <c r="Y449" i="1"/>
  <c r="Y270" i="1"/>
  <c r="K280" i="1"/>
  <c r="K121" i="1"/>
  <c r="Y453" i="1"/>
  <c r="K120" i="1"/>
  <c r="K88" i="1"/>
  <c r="K91" i="1" s="1"/>
  <c r="K99" i="1" s="1"/>
  <c r="K122" i="1"/>
  <c r="Y273" i="1"/>
  <c r="K82" i="1"/>
  <c r="K131" i="1" s="1"/>
  <c r="R82" i="1"/>
  <c r="R130" i="1" s="1"/>
  <c r="U280" i="1"/>
  <c r="R449" i="1"/>
  <c r="R453" i="1"/>
  <c r="R270" i="1"/>
  <c r="R273" i="1"/>
  <c r="R274" i="1"/>
  <c r="R120" i="1"/>
  <c r="R307" i="1"/>
  <c r="R121" i="1"/>
  <c r="R416" i="1"/>
  <c r="R280" i="1"/>
  <c r="R458" i="1"/>
  <c r="R308" i="1"/>
  <c r="R88" i="1"/>
  <c r="R91" i="1" s="1"/>
  <c r="R99" i="1" s="1"/>
  <c r="U307" i="1"/>
  <c r="U312" i="1" s="1"/>
  <c r="E220" i="2" s="1"/>
  <c r="I220" i="2" s="1"/>
  <c r="U82" i="1"/>
  <c r="U130" i="1" s="1"/>
  <c r="U459" i="1"/>
  <c r="U121" i="1"/>
  <c r="U279" i="1"/>
  <c r="U122" i="1"/>
  <c r="U120" i="1"/>
  <c r="U88" i="1"/>
  <c r="U91" i="1" s="1"/>
  <c r="U99" i="1" s="1"/>
  <c r="U458" i="1"/>
  <c r="AB111" i="1"/>
  <c r="AC111" i="1" s="1"/>
  <c r="K484" i="2"/>
  <c r="K487" i="2" s="1"/>
  <c r="K488" i="2" s="1"/>
  <c r="K489" i="2" s="1"/>
  <c r="K480" i="2"/>
  <c r="K481" i="2" s="1"/>
  <c r="K482" i="2" s="1"/>
  <c r="AB44" i="1"/>
  <c r="AC44" i="1" s="1"/>
  <c r="P54" i="1"/>
  <c r="P105" i="1" s="1"/>
  <c r="P204" i="1"/>
  <c r="AB204" i="1" s="1"/>
  <c r="AC204" i="1" s="1"/>
  <c r="P222" i="1"/>
  <c r="AB222" i="1" s="1"/>
  <c r="AC222" i="1" s="1"/>
  <c r="P385" i="1"/>
  <c r="AB385" i="1" s="1"/>
  <c r="AC385" i="1" s="1"/>
  <c r="P403" i="1"/>
  <c r="AB403" i="1" s="1"/>
  <c r="AC403" i="1" s="1"/>
  <c r="P298" i="1"/>
  <c r="AB298" i="1" s="1"/>
  <c r="AC298" i="1" s="1"/>
  <c r="P112" i="1"/>
  <c r="AB112" i="1" s="1"/>
  <c r="AC112" i="1" s="1"/>
  <c r="AB205" i="1"/>
  <c r="AC205" i="1" s="1"/>
  <c r="AB405" i="1"/>
  <c r="AC405" i="1" s="1"/>
  <c r="AB115" i="1"/>
  <c r="AC115" i="1" s="1"/>
  <c r="AB301" i="1"/>
  <c r="AC301" i="1" s="1"/>
  <c r="AB224" i="1"/>
  <c r="AC224" i="1" s="1"/>
  <c r="AG344" i="2"/>
  <c r="AH344" i="2" s="1"/>
  <c r="O87" i="1"/>
  <c r="O408" i="1"/>
  <c r="O89" i="1"/>
  <c r="O139" i="1"/>
  <c r="O220" i="1"/>
  <c r="E464" i="2"/>
  <c r="O392" i="1"/>
  <c r="O391" i="1"/>
  <c r="O136" i="1"/>
  <c r="O78" i="1"/>
  <c r="O211" i="1"/>
  <c r="O213" i="1"/>
  <c r="O382" i="1"/>
  <c r="O108" i="1"/>
  <c r="O137" i="1"/>
  <c r="O138" i="1"/>
  <c r="O401" i="1"/>
  <c r="O56" i="1"/>
  <c r="O57" i="1" s="1"/>
  <c r="O227" i="1"/>
  <c r="O202" i="1"/>
  <c r="O306" i="1"/>
  <c r="O105" i="1"/>
  <c r="O310" i="1"/>
  <c r="K270" i="1"/>
  <c r="K453" i="1"/>
  <c r="K449" i="1"/>
  <c r="K273" i="1"/>
  <c r="K452" i="1"/>
  <c r="H180" i="1"/>
  <c r="H237" i="1" s="1"/>
  <c r="H367" i="1"/>
  <c r="I237" i="1"/>
  <c r="W312" i="1"/>
  <c r="E223" i="2" s="1"/>
  <c r="W454" i="1"/>
  <c r="W269" i="1"/>
  <c r="W448" i="1"/>
  <c r="H130" i="1"/>
  <c r="W276" i="1"/>
  <c r="W275" i="1"/>
  <c r="W455" i="1"/>
  <c r="W277" i="1"/>
  <c r="W450" i="1"/>
  <c r="W271" i="1"/>
  <c r="AE487" i="2"/>
  <c r="AE488" i="2" s="1"/>
  <c r="AB487" i="2"/>
  <c r="AB488" i="2" s="1"/>
  <c r="U487" i="2"/>
  <c r="U488" i="2" s="1"/>
  <c r="AD487" i="2"/>
  <c r="AD488" i="2" s="1"/>
  <c r="H142" i="1"/>
  <c r="H98" i="1"/>
  <c r="H101" i="1" s="1"/>
  <c r="H104" i="1" s="1"/>
  <c r="H124" i="1" s="1"/>
  <c r="H126" i="1" s="1"/>
  <c r="H131" i="1"/>
  <c r="H93" i="1"/>
  <c r="Y487" i="2"/>
  <c r="Y488" i="2" s="1"/>
  <c r="W487" i="2"/>
  <c r="W488" i="2" s="1"/>
  <c r="AC487" i="2"/>
  <c r="AC488" i="2" s="1"/>
  <c r="T487" i="2"/>
  <c r="T488" i="2" s="1"/>
  <c r="Q487" i="2"/>
  <c r="Q488" i="2" s="1"/>
  <c r="W98" i="1"/>
  <c r="W101" i="1" s="1"/>
  <c r="W449" i="1"/>
  <c r="W142" i="1"/>
  <c r="E32" i="2"/>
  <c r="I32" i="2" s="1"/>
  <c r="AA456" i="1"/>
  <c r="S487" i="2"/>
  <c r="S488" i="2" s="1"/>
  <c r="AF487" i="2"/>
  <c r="AF488" i="2" s="1"/>
  <c r="AA487" i="2"/>
  <c r="AA488" i="2" s="1"/>
  <c r="X487" i="2"/>
  <c r="X488" i="2" s="1"/>
  <c r="R487" i="2"/>
  <c r="R488" i="2" s="1"/>
  <c r="N487" i="2"/>
  <c r="N488" i="2" s="1"/>
  <c r="O489" i="2"/>
  <c r="P487" i="2"/>
  <c r="P488" i="2" s="1"/>
  <c r="Z487" i="2"/>
  <c r="Z488" i="2" s="1"/>
  <c r="V487" i="2"/>
  <c r="V488" i="2" s="1"/>
  <c r="W274" i="1"/>
  <c r="W453" i="1"/>
  <c r="W273" i="1"/>
  <c r="W270" i="1"/>
  <c r="AA448" i="1"/>
  <c r="AA277" i="1"/>
  <c r="AA271" i="1"/>
  <c r="AA275" i="1"/>
  <c r="W131" i="1"/>
  <c r="AA450" i="1"/>
  <c r="AA454" i="1"/>
  <c r="AA269" i="1"/>
  <c r="AA455" i="1"/>
  <c r="AA274" i="1"/>
  <c r="AA452" i="1"/>
  <c r="AA453" i="1"/>
  <c r="AA273" i="1"/>
  <c r="AA270" i="1"/>
  <c r="AA449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312" i="1"/>
  <c r="I142" i="1"/>
  <c r="E9" i="2"/>
  <c r="I98" i="1"/>
  <c r="I131" i="1"/>
  <c r="I130" i="1"/>
  <c r="AG128" i="2"/>
  <c r="AH423" i="2"/>
  <c r="I442" i="1"/>
  <c r="I416" i="1"/>
  <c r="AG166" i="2"/>
  <c r="K459" i="2"/>
  <c r="K460" i="2" s="1"/>
  <c r="I452" i="2"/>
  <c r="I453" i="2" s="1"/>
  <c r="I456" i="2"/>
  <c r="I477" i="2" s="1"/>
  <c r="AG280" i="2"/>
  <c r="F452" i="2"/>
  <c r="F456" i="2"/>
  <c r="F477" i="2" s="1"/>
  <c r="AG426" i="2"/>
  <c r="AH426" i="2" s="1"/>
  <c r="W93" i="1"/>
  <c r="I264" i="1"/>
  <c r="F314" i="2"/>
  <c r="AH417" i="2"/>
  <c r="I91" i="1"/>
  <c r="I93" i="1" s="1"/>
  <c r="AG242" i="2"/>
  <c r="AG461" i="2"/>
  <c r="AH461" i="2" s="1"/>
  <c r="H456" i="2"/>
  <c r="H477" i="2" s="1"/>
  <c r="H452" i="2"/>
  <c r="H453" i="2" s="1"/>
  <c r="Q626" i="2" l="1"/>
  <c r="Q600" i="2"/>
  <c r="Q627" i="2"/>
  <c r="M312" i="1"/>
  <c r="E207" i="2" s="1"/>
  <c r="G207" i="2" s="1"/>
  <c r="Y276" i="1"/>
  <c r="Y269" i="1"/>
  <c r="Y277" i="1"/>
  <c r="Y450" i="1"/>
  <c r="Y275" i="1"/>
  <c r="Y448" i="1"/>
  <c r="Y455" i="1"/>
  <c r="Y456" i="1"/>
  <c r="Y271" i="1"/>
  <c r="AG314" i="2"/>
  <c r="AH314" i="2" s="1"/>
  <c r="R561" i="2"/>
  <c r="R627" i="2"/>
  <c r="N627" i="2"/>
  <c r="N561" i="2"/>
  <c r="O627" i="2"/>
  <c r="O561" i="2"/>
  <c r="O600" i="2"/>
  <c r="O626" i="2"/>
  <c r="I600" i="2"/>
  <c r="I626" i="2"/>
  <c r="Q561" i="2"/>
  <c r="J600" i="2"/>
  <c r="J626" i="2"/>
  <c r="M627" i="2"/>
  <c r="M561" i="2"/>
  <c r="G561" i="2"/>
  <c r="G627" i="2"/>
  <c r="K627" i="2"/>
  <c r="K561" i="2"/>
  <c r="J627" i="2"/>
  <c r="J561" i="2"/>
  <c r="I627" i="2"/>
  <c r="I561" i="2"/>
  <c r="R600" i="2"/>
  <c r="R626" i="2"/>
  <c r="H627" i="2"/>
  <c r="H561" i="2"/>
  <c r="K600" i="2"/>
  <c r="K626" i="2"/>
  <c r="H600" i="2"/>
  <c r="H626" i="2"/>
  <c r="G600" i="2"/>
  <c r="G626" i="2"/>
  <c r="M456" i="1"/>
  <c r="M450" i="1"/>
  <c r="M271" i="1"/>
  <c r="M275" i="1"/>
  <c r="M455" i="1"/>
  <c r="M269" i="1"/>
  <c r="S453" i="1"/>
  <c r="AG90" i="2"/>
  <c r="S449" i="1"/>
  <c r="AG13" i="2"/>
  <c r="AG532" i="2"/>
  <c r="AG454" i="2"/>
  <c r="AH454" i="2" s="1"/>
  <c r="AG204" i="2"/>
  <c r="AH204" i="2" s="1"/>
  <c r="AG52" i="2"/>
  <c r="S274" i="1"/>
  <c r="F514" i="2"/>
  <c r="F523" i="2" s="1"/>
  <c r="S273" i="1"/>
  <c r="S452" i="1"/>
  <c r="R142" i="1"/>
  <c r="S130" i="1"/>
  <c r="E25" i="2"/>
  <c r="F25" i="2" s="1"/>
  <c r="S131" i="1"/>
  <c r="S98" i="1"/>
  <c r="S101" i="1" s="1"/>
  <c r="S104" i="1" s="1"/>
  <c r="S124" i="1" s="1"/>
  <c r="S126" i="1" s="1"/>
  <c r="E64" i="2" s="1"/>
  <c r="R455" i="1"/>
  <c r="R277" i="1"/>
  <c r="S312" i="1"/>
  <c r="E216" i="2" s="1"/>
  <c r="T216" i="2" s="1"/>
  <c r="M454" i="1"/>
  <c r="M448" i="1"/>
  <c r="M276" i="1"/>
  <c r="S93" i="1"/>
  <c r="M274" i="1"/>
  <c r="M131" i="1"/>
  <c r="M93" i="1"/>
  <c r="M453" i="1"/>
  <c r="R276" i="1"/>
  <c r="M449" i="1"/>
  <c r="Y93" i="1"/>
  <c r="R269" i="1"/>
  <c r="M98" i="1"/>
  <c r="M101" i="1" s="1"/>
  <c r="M104" i="1" s="1"/>
  <c r="M124" i="1" s="1"/>
  <c r="M126" i="1" s="1"/>
  <c r="M278" i="1" s="1"/>
  <c r="E35" i="2"/>
  <c r="M35" i="2" s="1"/>
  <c r="R271" i="1"/>
  <c r="R450" i="1"/>
  <c r="R275" i="1"/>
  <c r="M270" i="1"/>
  <c r="E16" i="2"/>
  <c r="G16" i="2" s="1"/>
  <c r="M130" i="1"/>
  <c r="R456" i="1"/>
  <c r="M273" i="1"/>
  <c r="R448" i="1"/>
  <c r="U271" i="1"/>
  <c r="U277" i="1"/>
  <c r="U450" i="1"/>
  <c r="U275" i="1"/>
  <c r="U269" i="1"/>
  <c r="U454" i="1"/>
  <c r="U455" i="1"/>
  <c r="U456" i="1"/>
  <c r="U448" i="1"/>
  <c r="E13" i="2"/>
  <c r="U453" i="1"/>
  <c r="U270" i="1"/>
  <c r="Y142" i="1"/>
  <c r="U449" i="1"/>
  <c r="K98" i="1"/>
  <c r="K101" i="1" s="1"/>
  <c r="K104" i="1" s="1"/>
  <c r="K124" i="1" s="1"/>
  <c r="K126" i="1" s="1"/>
  <c r="Y98" i="1"/>
  <c r="Y101" i="1" s="1"/>
  <c r="Y104" i="1" s="1"/>
  <c r="Y124" i="1" s="1"/>
  <c r="Y126" i="1" s="1"/>
  <c r="Y131" i="1"/>
  <c r="U273" i="1"/>
  <c r="K130" i="1"/>
  <c r="K93" i="1"/>
  <c r="U274" i="1"/>
  <c r="K142" i="1"/>
  <c r="Y312" i="1"/>
  <c r="E226" i="2" s="1"/>
  <c r="X226" i="2" s="1"/>
  <c r="R131" i="1"/>
  <c r="R98" i="1"/>
  <c r="R101" i="1" s="1"/>
  <c r="R104" i="1" s="1"/>
  <c r="R124" i="1" s="1"/>
  <c r="R126" i="1" s="1"/>
  <c r="E24" i="2"/>
  <c r="R24" i="2" s="1"/>
  <c r="E29" i="2"/>
  <c r="L29" i="2" s="1"/>
  <c r="R93" i="1"/>
  <c r="U98" i="1"/>
  <c r="U101" i="1" s="1"/>
  <c r="U104" i="1" s="1"/>
  <c r="U124" i="1" s="1"/>
  <c r="U126" i="1" s="1"/>
  <c r="U142" i="1"/>
  <c r="U131" i="1"/>
  <c r="R312" i="1"/>
  <c r="E215" i="2" s="1"/>
  <c r="H215" i="2" s="1"/>
  <c r="U93" i="1"/>
  <c r="Q16" i="2"/>
  <c r="H416" i="1"/>
  <c r="I484" i="2"/>
  <c r="I487" i="2" s="1"/>
  <c r="I488" i="2" s="1"/>
  <c r="I489" i="2" s="1"/>
  <c r="I480" i="2"/>
  <c r="I481" i="2" s="1"/>
  <c r="I482" i="2" s="1"/>
  <c r="H484" i="2"/>
  <c r="H487" i="2" s="1"/>
  <c r="H488" i="2" s="1"/>
  <c r="H489" i="2" s="1"/>
  <c r="H480" i="2"/>
  <c r="H481" i="2" s="1"/>
  <c r="H482" i="2" s="1"/>
  <c r="F484" i="2"/>
  <c r="F487" i="2" s="1"/>
  <c r="F488" i="2" s="1"/>
  <c r="F489" i="2" s="1"/>
  <c r="F480" i="2"/>
  <c r="F481" i="2" s="1"/>
  <c r="F482" i="2" s="1"/>
  <c r="P137" i="1"/>
  <c r="AB137" i="1" s="1"/>
  <c r="AC137" i="1" s="1"/>
  <c r="P227" i="1"/>
  <c r="AB227" i="1" s="1"/>
  <c r="AC227" i="1" s="1"/>
  <c r="P78" i="1"/>
  <c r="AB78" i="1" s="1"/>
  <c r="AC78" i="1" s="1"/>
  <c r="P408" i="1"/>
  <c r="AB408" i="1" s="1"/>
  <c r="AC408" i="1" s="1"/>
  <c r="P139" i="1"/>
  <c r="AB139" i="1" s="1"/>
  <c r="AC139" i="1" s="1"/>
  <c r="P87" i="1"/>
  <c r="AB87" i="1" s="1"/>
  <c r="AC87" i="1" s="1"/>
  <c r="P89" i="1"/>
  <c r="AB89" i="1" s="1"/>
  <c r="AC89" i="1" s="1"/>
  <c r="AB105" i="1"/>
  <c r="AC105" i="1" s="1"/>
  <c r="AB54" i="1"/>
  <c r="AC54" i="1" s="1"/>
  <c r="P382" i="1"/>
  <c r="AB382" i="1" s="1"/>
  <c r="AC382" i="1" s="1"/>
  <c r="P392" i="1"/>
  <c r="AB392" i="1" s="1"/>
  <c r="AC392" i="1" s="1"/>
  <c r="P213" i="1"/>
  <c r="AB213" i="1" s="1"/>
  <c r="AC213" i="1" s="1"/>
  <c r="P56" i="1"/>
  <c r="O10" i="1" s="1"/>
  <c r="P391" i="1"/>
  <c r="P220" i="1"/>
  <c r="AB220" i="1" s="1"/>
  <c r="AC220" i="1" s="1"/>
  <c r="P136" i="1"/>
  <c r="AB136" i="1" s="1"/>
  <c r="AC136" i="1" s="1"/>
  <c r="P202" i="1"/>
  <c r="AB202" i="1" s="1"/>
  <c r="AC202" i="1" s="1"/>
  <c r="P108" i="1"/>
  <c r="AB108" i="1" s="1"/>
  <c r="AC108" i="1" s="1"/>
  <c r="P138" i="1"/>
  <c r="AB138" i="1" s="1"/>
  <c r="AC138" i="1" s="1"/>
  <c r="P401" i="1"/>
  <c r="P310" i="1"/>
  <c r="AB310" i="1" s="1"/>
  <c r="AC310" i="1" s="1"/>
  <c r="P211" i="1"/>
  <c r="P306" i="1"/>
  <c r="AB306" i="1" s="1"/>
  <c r="AC306" i="1" s="1"/>
  <c r="M523" i="2"/>
  <c r="M552" i="2" s="1"/>
  <c r="M575" i="2" s="1"/>
  <c r="N523" i="2"/>
  <c r="N552" i="2" s="1"/>
  <c r="N575" i="2" s="1"/>
  <c r="L523" i="2"/>
  <c r="O65" i="1"/>
  <c r="O77" i="1"/>
  <c r="O63" i="1"/>
  <c r="O8" i="1"/>
  <c r="O309" i="1"/>
  <c r="O69" i="1"/>
  <c r="O72" i="1"/>
  <c r="O68" i="1"/>
  <c r="O64" i="1"/>
  <c r="O9" i="1"/>
  <c r="O71" i="1"/>
  <c r="O67" i="1"/>
  <c r="O70" i="1"/>
  <c r="O58" i="1"/>
  <c r="O66" i="1"/>
  <c r="O73" i="1"/>
  <c r="O410" i="1"/>
  <c r="O394" i="1"/>
  <c r="O141" i="1"/>
  <c r="E466" i="2"/>
  <c r="E471" i="2"/>
  <c r="AG464" i="2"/>
  <c r="AH464" i="2" s="1"/>
  <c r="O215" i="1"/>
  <c r="O229" i="1"/>
  <c r="AB367" i="1"/>
  <c r="AC367" i="1" s="1"/>
  <c r="AB180" i="1"/>
  <c r="AC180" i="1" s="1"/>
  <c r="Z220" i="2"/>
  <c r="AF35" i="2"/>
  <c r="AB32" i="2"/>
  <c r="AD32" i="2"/>
  <c r="U32" i="2"/>
  <c r="M32" i="2"/>
  <c r="AF32" i="2"/>
  <c r="Q32" i="2"/>
  <c r="G32" i="2"/>
  <c r="AB489" i="2"/>
  <c r="J32" i="2"/>
  <c r="Z32" i="2"/>
  <c r="N32" i="2"/>
  <c r="S32" i="2"/>
  <c r="O32" i="2"/>
  <c r="X32" i="2"/>
  <c r="F32" i="2"/>
  <c r="AC32" i="2"/>
  <c r="P32" i="2"/>
  <c r="W32" i="2"/>
  <c r="R32" i="2"/>
  <c r="T32" i="2"/>
  <c r="AE32" i="2"/>
  <c r="K32" i="2"/>
  <c r="T489" i="2"/>
  <c r="H32" i="2"/>
  <c r="Y32" i="2"/>
  <c r="AA32" i="2"/>
  <c r="V32" i="2"/>
  <c r="L32" i="2"/>
  <c r="U489" i="2"/>
  <c r="AA489" i="2"/>
  <c r="AE489" i="2"/>
  <c r="AF489" i="2"/>
  <c r="V489" i="2"/>
  <c r="AD489" i="2"/>
  <c r="Y489" i="2"/>
  <c r="S489" i="2"/>
  <c r="Q489" i="2"/>
  <c r="R489" i="2"/>
  <c r="P489" i="2"/>
  <c r="Z489" i="2"/>
  <c r="AC489" i="2"/>
  <c r="X489" i="2"/>
  <c r="N489" i="2"/>
  <c r="W489" i="2"/>
  <c r="L220" i="2"/>
  <c r="AD220" i="2"/>
  <c r="J220" i="2"/>
  <c r="AC220" i="2"/>
  <c r="AF220" i="2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51" i="1"/>
  <c r="AA281" i="1"/>
  <c r="AA272" i="1"/>
  <c r="AA457" i="1"/>
  <c r="AA324" i="1"/>
  <c r="AA314" i="1"/>
  <c r="AA278" i="1"/>
  <c r="AA318" i="1"/>
  <c r="AA322" i="1"/>
  <c r="E77" i="2"/>
  <c r="AA320" i="1"/>
  <c r="AA326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AC207" i="2"/>
  <c r="V220" i="2"/>
  <c r="R220" i="2"/>
  <c r="N220" i="2"/>
  <c r="U220" i="2"/>
  <c r="X207" i="2"/>
  <c r="N207" i="2"/>
  <c r="AB220" i="2"/>
  <c r="AE220" i="2"/>
  <c r="U207" i="2"/>
  <c r="S207" i="2"/>
  <c r="M207" i="2"/>
  <c r="Q207" i="2"/>
  <c r="O207" i="2"/>
  <c r="V207" i="2"/>
  <c r="P207" i="2"/>
  <c r="T207" i="2"/>
  <c r="AB207" i="2"/>
  <c r="AD207" i="2"/>
  <c r="Y207" i="2"/>
  <c r="AE207" i="2"/>
  <c r="AA207" i="2"/>
  <c r="AF207" i="2"/>
  <c r="W207" i="2"/>
  <c r="R207" i="2"/>
  <c r="Z207" i="2"/>
  <c r="M220" i="2"/>
  <c r="S220" i="2"/>
  <c r="O220" i="2"/>
  <c r="Y220" i="2"/>
  <c r="Q220" i="2"/>
  <c r="X220" i="2"/>
  <c r="T220" i="2"/>
  <c r="G220" i="2"/>
  <c r="H220" i="2"/>
  <c r="P220" i="2"/>
  <c r="W220" i="2"/>
  <c r="H281" i="1"/>
  <c r="H451" i="1"/>
  <c r="H457" i="1"/>
  <c r="H322" i="1"/>
  <c r="E47" i="2"/>
  <c r="H318" i="1"/>
  <c r="H278" i="1"/>
  <c r="H320" i="1"/>
  <c r="H316" i="1"/>
  <c r="E275" i="2" s="1"/>
  <c r="H314" i="1"/>
  <c r="H324" i="1"/>
  <c r="H326" i="1"/>
  <c r="H272" i="1"/>
  <c r="AA220" i="2"/>
  <c r="K220" i="2"/>
  <c r="F220" i="2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F316" i="2"/>
  <c r="F459" i="2"/>
  <c r="E10" i="2"/>
  <c r="W104" i="1"/>
  <c r="W124" i="1" s="1"/>
  <c r="W126" i="1" s="1"/>
  <c r="I459" i="2"/>
  <c r="I460" i="2" s="1"/>
  <c r="F453" i="2"/>
  <c r="I452" i="1"/>
  <c r="I274" i="1"/>
  <c r="I273" i="1"/>
  <c r="I453" i="1"/>
  <c r="I270" i="1"/>
  <c r="I449" i="1"/>
  <c r="S84" i="15"/>
  <c r="J12" i="15" s="1"/>
  <c r="H459" i="2"/>
  <c r="H460" i="2" s="1"/>
  <c r="I99" i="1"/>
  <c r="I454" i="1"/>
  <c r="I275" i="1"/>
  <c r="I269" i="1"/>
  <c r="I450" i="1"/>
  <c r="I277" i="1"/>
  <c r="I456" i="1"/>
  <c r="I455" i="1"/>
  <c r="I271" i="1"/>
  <c r="I448" i="1"/>
  <c r="I276" i="1"/>
  <c r="E200" i="2"/>
  <c r="Q628" i="2" l="1"/>
  <c r="R628" i="2"/>
  <c r="K628" i="2"/>
  <c r="O628" i="2"/>
  <c r="J628" i="2"/>
  <c r="I628" i="2"/>
  <c r="N626" i="2"/>
  <c r="N628" i="2" s="1"/>
  <c r="N600" i="2"/>
  <c r="M600" i="2"/>
  <c r="M626" i="2"/>
  <c r="M628" i="2" s="1"/>
  <c r="G628" i="2"/>
  <c r="H628" i="2"/>
  <c r="P73" i="1"/>
  <c r="P57" i="1"/>
  <c r="O12" i="1"/>
  <c r="AD35" i="2"/>
  <c r="U35" i="2"/>
  <c r="AG514" i="2"/>
  <c r="AH13" i="2"/>
  <c r="AD216" i="2"/>
  <c r="AB24" i="2"/>
  <c r="W16" i="2"/>
  <c r="AE16" i="2"/>
  <c r="P16" i="2"/>
  <c r="R16" i="2"/>
  <c r="U24" i="2"/>
  <c r="U16" i="2"/>
  <c r="AA24" i="2"/>
  <c r="Z24" i="2"/>
  <c r="K25" i="2"/>
  <c r="Z25" i="2"/>
  <c r="L25" i="2"/>
  <c r="U25" i="2"/>
  <c r="H25" i="2"/>
  <c r="Q25" i="2"/>
  <c r="N25" i="2"/>
  <c r="AB25" i="2"/>
  <c r="AA29" i="2"/>
  <c r="G25" i="2"/>
  <c r="O25" i="2"/>
  <c r="AE25" i="2"/>
  <c r="AC25" i="2"/>
  <c r="Y25" i="2"/>
  <c r="W25" i="2"/>
  <c r="X25" i="2"/>
  <c r="I29" i="2"/>
  <c r="AA25" i="2"/>
  <c r="V25" i="2"/>
  <c r="J25" i="2"/>
  <c r="I25" i="2"/>
  <c r="AD25" i="2"/>
  <c r="P25" i="2"/>
  <c r="M25" i="2"/>
  <c r="T25" i="2"/>
  <c r="S25" i="2"/>
  <c r="AF25" i="2"/>
  <c r="R25" i="2"/>
  <c r="R26" i="2" s="1"/>
  <c r="S316" i="1"/>
  <c r="E292" i="2" s="1"/>
  <c r="M292" i="2" s="1"/>
  <c r="S322" i="1"/>
  <c r="S314" i="1"/>
  <c r="E254" i="2" s="1"/>
  <c r="S451" i="1"/>
  <c r="T16" i="2"/>
  <c r="S16" i="2"/>
  <c r="AC16" i="2"/>
  <c r="AB16" i="2"/>
  <c r="V16" i="2"/>
  <c r="X16" i="2"/>
  <c r="Y16" i="2"/>
  <c r="Z16" i="2"/>
  <c r="AD16" i="2"/>
  <c r="AF16" i="2"/>
  <c r="AA16" i="2"/>
  <c r="Y216" i="2"/>
  <c r="H216" i="2"/>
  <c r="H217" i="2" s="1"/>
  <c r="G216" i="2"/>
  <c r="AB216" i="2"/>
  <c r="M216" i="2"/>
  <c r="L216" i="2"/>
  <c r="R216" i="2"/>
  <c r="P216" i="2"/>
  <c r="V216" i="2"/>
  <c r="W216" i="2"/>
  <c r="F216" i="2"/>
  <c r="I216" i="2"/>
  <c r="U216" i="2"/>
  <c r="AA216" i="2"/>
  <c r="Q216" i="2"/>
  <c r="S216" i="2"/>
  <c r="J216" i="2"/>
  <c r="N216" i="2"/>
  <c r="AF216" i="2"/>
  <c r="K216" i="2"/>
  <c r="AE216" i="2"/>
  <c r="X216" i="2"/>
  <c r="AC216" i="2"/>
  <c r="Z216" i="2"/>
  <c r="O216" i="2"/>
  <c r="M324" i="1"/>
  <c r="S278" i="1"/>
  <c r="S320" i="1"/>
  <c r="M316" i="1"/>
  <c r="E283" i="2" s="1"/>
  <c r="AD283" i="2" s="1"/>
  <c r="S281" i="1"/>
  <c r="S457" i="1"/>
  <c r="S272" i="1"/>
  <c r="S318" i="1"/>
  <c r="S324" i="1"/>
  <c r="M320" i="1"/>
  <c r="S326" i="1"/>
  <c r="M281" i="1"/>
  <c r="H35" i="2"/>
  <c r="Q226" i="2"/>
  <c r="M318" i="1"/>
  <c r="Z35" i="2"/>
  <c r="AB35" i="2"/>
  <c r="I35" i="2"/>
  <c r="Q35" i="2"/>
  <c r="X35" i="2"/>
  <c r="M272" i="1"/>
  <c r="F35" i="2"/>
  <c r="S35" i="2"/>
  <c r="F226" i="2"/>
  <c r="G35" i="2"/>
  <c r="N35" i="2"/>
  <c r="AC35" i="2"/>
  <c r="O226" i="2"/>
  <c r="E55" i="2"/>
  <c r="AD55" i="2" s="1"/>
  <c r="AA226" i="2"/>
  <c r="M322" i="1"/>
  <c r="M451" i="1"/>
  <c r="T35" i="2"/>
  <c r="P35" i="2"/>
  <c r="V35" i="2"/>
  <c r="J35" i="2"/>
  <c r="AD226" i="2"/>
  <c r="M314" i="1"/>
  <c r="E245" i="2" s="1"/>
  <c r="K245" i="2" s="1"/>
  <c r="M326" i="1"/>
  <c r="R35" i="2"/>
  <c r="Y35" i="2"/>
  <c r="K35" i="2"/>
  <c r="U226" i="2"/>
  <c r="M457" i="1"/>
  <c r="L35" i="2"/>
  <c r="W35" i="2"/>
  <c r="O35" i="2"/>
  <c r="AE35" i="2"/>
  <c r="AA35" i="2"/>
  <c r="T215" i="2"/>
  <c r="T217" i="2" s="1"/>
  <c r="G215" i="2"/>
  <c r="AA215" i="2"/>
  <c r="E74" i="2"/>
  <c r="N74" i="2" s="1"/>
  <c r="Y278" i="1"/>
  <c r="Y326" i="1"/>
  <c r="Y272" i="1"/>
  <c r="Y314" i="1"/>
  <c r="E264" i="2" s="1"/>
  <c r="Y318" i="1"/>
  <c r="Y281" i="1"/>
  <c r="Y451" i="1"/>
  <c r="Y320" i="1"/>
  <c r="Y316" i="1"/>
  <c r="E302" i="2" s="1"/>
  <c r="W302" i="2" s="1"/>
  <c r="Y457" i="1"/>
  <c r="Y324" i="1"/>
  <c r="Y322" i="1"/>
  <c r="K451" i="1"/>
  <c r="K318" i="1"/>
  <c r="K320" i="1"/>
  <c r="K278" i="1"/>
  <c r="H226" i="2"/>
  <c r="L226" i="2"/>
  <c r="M226" i="2"/>
  <c r="S226" i="2"/>
  <c r="P226" i="2"/>
  <c r="R226" i="2"/>
  <c r="AC226" i="2"/>
  <c r="V226" i="2"/>
  <c r="Z226" i="2"/>
  <c r="AF226" i="2"/>
  <c r="AE226" i="2"/>
  <c r="W226" i="2"/>
  <c r="J226" i="2"/>
  <c r="Y226" i="2"/>
  <c r="I226" i="2"/>
  <c r="G226" i="2"/>
  <c r="N226" i="2"/>
  <c r="AB226" i="2"/>
  <c r="U272" i="1"/>
  <c r="U322" i="1"/>
  <c r="K324" i="1"/>
  <c r="K326" i="1"/>
  <c r="T226" i="2"/>
  <c r="K226" i="2"/>
  <c r="K316" i="1"/>
  <c r="E280" i="2" s="1"/>
  <c r="AH280" i="2" s="1"/>
  <c r="K314" i="1"/>
  <c r="E242" i="2" s="1"/>
  <c r="AH242" i="2" s="1"/>
  <c r="K272" i="1"/>
  <c r="K457" i="1"/>
  <c r="K322" i="1"/>
  <c r="E52" i="2"/>
  <c r="AH52" i="2" s="1"/>
  <c r="K281" i="1"/>
  <c r="AE29" i="2"/>
  <c r="M29" i="2"/>
  <c r="E63" i="2"/>
  <c r="K63" i="2" s="1"/>
  <c r="R324" i="1"/>
  <c r="R278" i="1"/>
  <c r="R320" i="1"/>
  <c r="R318" i="1"/>
  <c r="R451" i="1"/>
  <c r="R457" i="1"/>
  <c r="R326" i="1"/>
  <c r="R272" i="1"/>
  <c r="R314" i="1"/>
  <c r="E253" i="2" s="1"/>
  <c r="M253" i="2" s="1"/>
  <c r="R322" i="1"/>
  <c r="R316" i="1"/>
  <c r="E291" i="2" s="1"/>
  <c r="L291" i="2" s="1"/>
  <c r="R281" i="1"/>
  <c r="H29" i="2"/>
  <c r="X29" i="2"/>
  <c r="U320" i="1"/>
  <c r="AD29" i="2"/>
  <c r="X24" i="2"/>
  <c r="H24" i="2"/>
  <c r="H26" i="2" s="1"/>
  <c r="K29" i="2"/>
  <c r="G29" i="2"/>
  <c r="U29" i="2"/>
  <c r="U281" i="1"/>
  <c r="V29" i="2"/>
  <c r="U457" i="1"/>
  <c r="Y24" i="2"/>
  <c r="S29" i="2"/>
  <c r="U314" i="1"/>
  <c r="E258" i="2" s="1"/>
  <c r="AB258" i="2" s="1"/>
  <c r="U316" i="1"/>
  <c r="E296" i="2" s="1"/>
  <c r="AB296" i="2" s="1"/>
  <c r="M24" i="2"/>
  <c r="M26" i="2" s="1"/>
  <c r="J24" i="2"/>
  <c r="N24" i="2"/>
  <c r="G24" i="2"/>
  <c r="K24" i="2"/>
  <c r="F29" i="2"/>
  <c r="Q29" i="2"/>
  <c r="Y29" i="2"/>
  <c r="AC29" i="2"/>
  <c r="AB29" i="2"/>
  <c r="U324" i="1"/>
  <c r="U451" i="1"/>
  <c r="U461" i="1" s="1"/>
  <c r="U463" i="1" s="1"/>
  <c r="U465" i="1" s="1"/>
  <c r="E182" i="2" s="1"/>
  <c r="W182" i="2" s="1"/>
  <c r="S24" i="2"/>
  <c r="T24" i="2"/>
  <c r="V24" i="2"/>
  <c r="E26" i="2"/>
  <c r="P24" i="2"/>
  <c r="N29" i="2"/>
  <c r="W29" i="2"/>
  <c r="T29" i="2"/>
  <c r="Z29" i="2"/>
  <c r="O29" i="2"/>
  <c r="U278" i="1"/>
  <c r="U326" i="1"/>
  <c r="W24" i="2"/>
  <c r="AD24" i="2"/>
  <c r="F24" i="2"/>
  <c r="F26" i="2" s="1"/>
  <c r="I24" i="2"/>
  <c r="AC24" i="2"/>
  <c r="J29" i="2"/>
  <c r="AF29" i="2"/>
  <c r="R29" i="2"/>
  <c r="U318" i="1"/>
  <c r="P29" i="2"/>
  <c r="E68" i="2"/>
  <c r="AB68" i="2" s="1"/>
  <c r="Q24" i="2"/>
  <c r="O24" i="2"/>
  <c r="AF24" i="2"/>
  <c r="AE24" i="2"/>
  <c r="P215" i="2"/>
  <c r="J215" i="2"/>
  <c r="X215" i="2"/>
  <c r="X217" i="2" s="1"/>
  <c r="AC215" i="2"/>
  <c r="AC217" i="2" s="1"/>
  <c r="M215" i="2"/>
  <c r="U215" i="2"/>
  <c r="AB215" i="2"/>
  <c r="L215" i="2"/>
  <c r="R215" i="2"/>
  <c r="S215" i="2"/>
  <c r="W215" i="2"/>
  <c r="N215" i="2"/>
  <c r="Y215" i="2"/>
  <c r="K215" i="2"/>
  <c r="AD215" i="2"/>
  <c r="AE215" i="2"/>
  <c r="I215" i="2"/>
  <c r="I217" i="2" s="1"/>
  <c r="Q215" i="2"/>
  <c r="E217" i="2"/>
  <c r="F215" i="2"/>
  <c r="Z215" i="2"/>
  <c r="Z217" i="2" s="1"/>
  <c r="AF215" i="2"/>
  <c r="O215" i="2"/>
  <c r="V215" i="2"/>
  <c r="P410" i="1"/>
  <c r="AB410" i="1" s="1"/>
  <c r="AC410" i="1" s="1"/>
  <c r="P65" i="1"/>
  <c r="AB65" i="1" s="1"/>
  <c r="AC65" i="1" s="1"/>
  <c r="P69" i="1"/>
  <c r="AB69" i="1" s="1"/>
  <c r="AC69" i="1" s="1"/>
  <c r="P70" i="1"/>
  <c r="AB70" i="1" s="1"/>
  <c r="AC70" i="1" s="1"/>
  <c r="P229" i="1"/>
  <c r="AB229" i="1" s="1"/>
  <c r="AC229" i="1" s="1"/>
  <c r="P10" i="1"/>
  <c r="P215" i="1"/>
  <c r="AB215" i="1" s="1"/>
  <c r="AC215" i="1" s="1"/>
  <c r="AB401" i="1"/>
  <c r="AC401" i="1" s="1"/>
  <c r="AB73" i="1"/>
  <c r="AC73" i="1" s="1"/>
  <c r="P66" i="1"/>
  <c r="AB66" i="1" s="1"/>
  <c r="AC66" i="1" s="1"/>
  <c r="P71" i="1"/>
  <c r="AB71" i="1" s="1"/>
  <c r="AC71" i="1" s="1"/>
  <c r="P8" i="1"/>
  <c r="P72" i="1"/>
  <c r="AB72" i="1" s="1"/>
  <c r="AC72" i="1" s="1"/>
  <c r="P67" i="1"/>
  <c r="AB67" i="1" s="1"/>
  <c r="AC67" i="1" s="1"/>
  <c r="P309" i="1"/>
  <c r="AB309" i="1" s="1"/>
  <c r="AC309" i="1" s="1"/>
  <c r="P394" i="1"/>
  <c r="P63" i="1"/>
  <c r="AB63" i="1" s="1"/>
  <c r="AC63" i="1" s="1"/>
  <c r="P68" i="1"/>
  <c r="AB68" i="1" s="1"/>
  <c r="AC68" i="1" s="1"/>
  <c r="AB211" i="1"/>
  <c r="AC211" i="1" s="1"/>
  <c r="P141" i="1"/>
  <c r="AB141" i="1" s="1"/>
  <c r="AC141" i="1" s="1"/>
  <c r="AB391" i="1"/>
  <c r="AC391" i="1" s="1"/>
  <c r="AB56" i="1"/>
  <c r="AC56" i="1" s="1"/>
  <c r="P58" i="1"/>
  <c r="AB58" i="1" s="1"/>
  <c r="AC58" i="1" s="1"/>
  <c r="P9" i="1"/>
  <c r="AB9" i="1" s="1"/>
  <c r="AC9" i="1" s="1"/>
  <c r="P64" i="1"/>
  <c r="P77" i="1"/>
  <c r="AB77" i="1" s="1"/>
  <c r="AC77" i="1" s="1"/>
  <c r="AG523" i="2"/>
  <c r="O75" i="1"/>
  <c r="E473" i="2"/>
  <c r="AG471" i="2"/>
  <c r="AH471" i="2" s="1"/>
  <c r="X466" i="2"/>
  <c r="X467" i="2" s="1"/>
  <c r="S466" i="2"/>
  <c r="S467" i="2" s="1"/>
  <c r="AC466" i="2"/>
  <c r="AC467" i="2" s="1"/>
  <c r="AF466" i="2"/>
  <c r="AF467" i="2" s="1"/>
  <c r="AD466" i="2"/>
  <c r="AD467" i="2" s="1"/>
  <c r="Q466" i="2"/>
  <c r="Q467" i="2" s="1"/>
  <c r="I466" i="2"/>
  <c r="I467" i="2" s="1"/>
  <c r="AB466" i="2"/>
  <c r="AB467" i="2" s="1"/>
  <c r="V466" i="2"/>
  <c r="V467" i="2" s="1"/>
  <c r="U466" i="2"/>
  <c r="U467" i="2" s="1"/>
  <c r="R466" i="2"/>
  <c r="R467" i="2" s="1"/>
  <c r="AA466" i="2"/>
  <c r="AA467" i="2" s="1"/>
  <c r="Y466" i="2"/>
  <c r="Y467" i="2" s="1"/>
  <c r="H466" i="2"/>
  <c r="H467" i="2" s="1"/>
  <c r="G466" i="2"/>
  <c r="G467" i="2" s="1"/>
  <c r="N466" i="2"/>
  <c r="N467" i="2" s="1"/>
  <c r="Z466" i="2"/>
  <c r="Z467" i="2" s="1"/>
  <c r="E467" i="2"/>
  <c r="W466" i="2"/>
  <c r="W467" i="2" s="1"/>
  <c r="AE466" i="2"/>
  <c r="AE467" i="2" s="1"/>
  <c r="O466" i="2"/>
  <c r="O467" i="2" s="1"/>
  <c r="F466" i="2"/>
  <c r="J466" i="2"/>
  <c r="J467" i="2" s="1"/>
  <c r="T466" i="2"/>
  <c r="T467" i="2" s="1"/>
  <c r="P466" i="2"/>
  <c r="P467" i="2" s="1"/>
  <c r="M466" i="2"/>
  <c r="M467" i="2" s="1"/>
  <c r="K466" i="2"/>
  <c r="K467" i="2" s="1"/>
  <c r="O412" i="1"/>
  <c r="O231" i="1"/>
  <c r="AG32" i="2"/>
  <c r="AH32" i="2" s="1"/>
  <c r="AG229" i="2"/>
  <c r="AH229" i="2" s="1"/>
  <c r="AA461" i="1"/>
  <c r="AA463" i="1" s="1"/>
  <c r="AA465" i="1" s="1"/>
  <c r="E191" i="2" s="1"/>
  <c r="AA191" i="2" s="1"/>
  <c r="H283" i="1"/>
  <c r="H285" i="1" s="1"/>
  <c r="E123" i="2" s="1"/>
  <c r="AG38" i="2"/>
  <c r="AH38" i="2" s="1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8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AA283" i="1"/>
  <c r="AA285" i="1" s="1"/>
  <c r="I101" i="1"/>
  <c r="I104" i="1" s="1"/>
  <c r="AG220" i="2"/>
  <c r="AH220" i="2" s="1"/>
  <c r="E237" i="2"/>
  <c r="H328" i="1"/>
  <c r="H461" i="1"/>
  <c r="H463" i="1" s="1"/>
  <c r="H465" i="1" s="1"/>
  <c r="E161" i="2" s="1"/>
  <c r="W278" i="1"/>
  <c r="W451" i="1"/>
  <c r="W314" i="1"/>
  <c r="W457" i="1"/>
  <c r="W281" i="1"/>
  <c r="W272" i="1"/>
  <c r="W320" i="1"/>
  <c r="W318" i="1"/>
  <c r="W324" i="1"/>
  <c r="W322" i="1"/>
  <c r="E71" i="2"/>
  <c r="W326" i="1"/>
  <c r="W316" i="1"/>
  <c r="E299" i="2" s="1"/>
  <c r="F338" i="2"/>
  <c r="AG316" i="2"/>
  <c r="AH316" i="2" s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E201" i="2"/>
  <c r="K207" i="2"/>
  <c r="K16" i="2"/>
  <c r="J442" i="2"/>
  <c r="F460" i="2"/>
  <c r="F552" i="2"/>
  <c r="F575" i="2" s="1"/>
  <c r="AG223" i="2"/>
  <c r="AH223" i="2" s="1"/>
  <c r="AB10" i="1" l="1"/>
  <c r="AC10" i="1" s="1"/>
  <c r="AB8" i="1"/>
  <c r="AC8" i="1" s="1"/>
  <c r="P12" i="1"/>
  <c r="AB12" i="1" s="1"/>
  <c r="AC12" i="1" s="1"/>
  <c r="AB26" i="2"/>
  <c r="I74" i="2"/>
  <c r="K26" i="2"/>
  <c r="J74" i="2"/>
  <c r="Y55" i="2"/>
  <c r="V74" i="2"/>
  <c r="Y74" i="2"/>
  <c r="X74" i="2"/>
  <c r="AA26" i="2"/>
  <c r="K217" i="2"/>
  <c r="N26" i="2"/>
  <c r="W26" i="2"/>
  <c r="P26" i="2"/>
  <c r="AD217" i="2"/>
  <c r="AB217" i="2"/>
  <c r="G26" i="2"/>
  <c r="L302" i="2"/>
  <c r="AB302" i="2"/>
  <c r="J26" i="2"/>
  <c r="AE26" i="2"/>
  <c r="U26" i="2"/>
  <c r="AE292" i="2"/>
  <c r="J292" i="2"/>
  <c r="AB292" i="2"/>
  <c r="H292" i="2"/>
  <c r="U292" i="2"/>
  <c r="S292" i="2"/>
  <c r="Y292" i="2"/>
  <c r="AF292" i="2"/>
  <c r="Z292" i="2"/>
  <c r="R292" i="2"/>
  <c r="X292" i="2"/>
  <c r="G292" i="2"/>
  <c r="O292" i="2"/>
  <c r="V292" i="2"/>
  <c r="T292" i="2"/>
  <c r="AC26" i="2"/>
  <c r="F292" i="2"/>
  <c r="K292" i="2"/>
  <c r="N292" i="2"/>
  <c r="I26" i="2"/>
  <c r="P292" i="2"/>
  <c r="I292" i="2"/>
  <c r="N217" i="2"/>
  <c r="AD292" i="2"/>
  <c r="L292" i="2"/>
  <c r="L293" i="2" s="1"/>
  <c r="Q292" i="2"/>
  <c r="AC292" i="2"/>
  <c r="W217" i="2"/>
  <c r="W292" i="2"/>
  <c r="AA292" i="2"/>
  <c r="Y302" i="2"/>
  <c r="Z26" i="2"/>
  <c r="M283" i="2"/>
  <c r="X302" i="2"/>
  <c r="F68" i="2"/>
  <c r="Q217" i="2"/>
  <c r="I302" i="2"/>
  <c r="G68" i="2"/>
  <c r="R217" i="2"/>
  <c r="F302" i="2"/>
  <c r="G302" i="2"/>
  <c r="S26" i="2"/>
  <c r="AB283" i="2"/>
  <c r="K283" i="2"/>
  <c r="X26" i="2"/>
  <c r="Y283" i="2"/>
  <c r="AC283" i="2"/>
  <c r="S461" i="1"/>
  <c r="S463" i="1" s="1"/>
  <c r="S465" i="1" s="1"/>
  <c r="E178" i="2" s="1"/>
  <c r="V178" i="2" s="1"/>
  <c r="O283" i="2"/>
  <c r="R283" i="2"/>
  <c r="G258" i="2"/>
  <c r="AA258" i="2"/>
  <c r="Y26" i="2"/>
  <c r="Q26" i="2"/>
  <c r="AD26" i="2"/>
  <c r="AG25" i="2"/>
  <c r="AH25" i="2" s="1"/>
  <c r="V26" i="2"/>
  <c r="AF26" i="2"/>
  <c r="O26" i="2"/>
  <c r="W74" i="2"/>
  <c r="F74" i="2"/>
  <c r="AE74" i="2"/>
  <c r="U74" i="2"/>
  <c r="K55" i="2"/>
  <c r="G74" i="2"/>
  <c r="AC74" i="2"/>
  <c r="AD74" i="2"/>
  <c r="AA55" i="2"/>
  <c r="T74" i="2"/>
  <c r="L74" i="2"/>
  <c r="AA74" i="2"/>
  <c r="T55" i="2"/>
  <c r="AA217" i="2"/>
  <c r="P74" i="2"/>
  <c r="H74" i="2"/>
  <c r="K74" i="2"/>
  <c r="AB74" i="2"/>
  <c r="V55" i="2"/>
  <c r="M74" i="2"/>
  <c r="O74" i="2"/>
  <c r="S74" i="2"/>
  <c r="AC55" i="2"/>
  <c r="L217" i="2"/>
  <c r="AF74" i="2"/>
  <c r="Z74" i="2"/>
  <c r="R55" i="2"/>
  <c r="T26" i="2"/>
  <c r="Q74" i="2"/>
  <c r="R74" i="2"/>
  <c r="M55" i="2"/>
  <c r="Y217" i="2"/>
  <c r="AF258" i="2"/>
  <c r="G283" i="2"/>
  <c r="S283" i="2"/>
  <c r="X283" i="2"/>
  <c r="U283" i="2"/>
  <c r="AE283" i="2"/>
  <c r="T283" i="2"/>
  <c r="F291" i="2"/>
  <c r="U217" i="2"/>
  <c r="AE217" i="2"/>
  <c r="N283" i="2"/>
  <c r="P283" i="2"/>
  <c r="Q283" i="2"/>
  <c r="E293" i="2"/>
  <c r="M217" i="2"/>
  <c r="AA283" i="2"/>
  <c r="AF283" i="2"/>
  <c r="V283" i="2"/>
  <c r="W283" i="2"/>
  <c r="Z283" i="2"/>
  <c r="J258" i="2"/>
  <c r="Z258" i="2"/>
  <c r="M258" i="2"/>
  <c r="T291" i="2"/>
  <c r="AC291" i="2"/>
  <c r="V291" i="2"/>
  <c r="I291" i="2"/>
  <c r="H258" i="2"/>
  <c r="T258" i="2"/>
  <c r="X258" i="2"/>
  <c r="G291" i="2"/>
  <c r="Z291" i="2"/>
  <c r="R291" i="2"/>
  <c r="G217" i="2"/>
  <c r="F258" i="2"/>
  <c r="I258" i="2"/>
  <c r="R258" i="2"/>
  <c r="N291" i="2"/>
  <c r="AA291" i="2"/>
  <c r="S291" i="2"/>
  <c r="K258" i="2"/>
  <c r="AC258" i="2"/>
  <c r="Q258" i="2"/>
  <c r="AF291" i="2"/>
  <c r="AE291" i="2"/>
  <c r="J291" i="2"/>
  <c r="U291" i="2"/>
  <c r="S258" i="2"/>
  <c r="P258" i="2"/>
  <c r="V258" i="2"/>
  <c r="O258" i="2"/>
  <c r="P291" i="2"/>
  <c r="W291" i="2"/>
  <c r="AD291" i="2"/>
  <c r="AB291" i="2"/>
  <c r="S283" i="1"/>
  <c r="S285" i="1" s="1"/>
  <c r="E140" i="2" s="1"/>
  <c r="AD258" i="2"/>
  <c r="U258" i="2"/>
  <c r="L258" i="2"/>
  <c r="AE258" i="2"/>
  <c r="Q291" i="2"/>
  <c r="O291" i="2"/>
  <c r="H291" i="2"/>
  <c r="N258" i="2"/>
  <c r="W258" i="2"/>
  <c r="Y258" i="2"/>
  <c r="Y291" i="2"/>
  <c r="K291" i="2"/>
  <c r="X291" i="2"/>
  <c r="M291" i="2"/>
  <c r="M293" i="2" s="1"/>
  <c r="S217" i="2"/>
  <c r="P217" i="2"/>
  <c r="V217" i="2"/>
  <c r="J217" i="2"/>
  <c r="AG216" i="2"/>
  <c r="AH216" i="2" s="1"/>
  <c r="AF217" i="2"/>
  <c r="F217" i="2"/>
  <c r="M283" i="1"/>
  <c r="M285" i="1" s="1"/>
  <c r="E131" i="2" s="1"/>
  <c r="I131" i="2" s="1"/>
  <c r="V253" i="2"/>
  <c r="O253" i="2"/>
  <c r="N253" i="2"/>
  <c r="W253" i="2"/>
  <c r="S328" i="1"/>
  <c r="M328" i="1"/>
  <c r="Y461" i="1"/>
  <c r="Y463" i="1" s="1"/>
  <c r="Y465" i="1" s="1"/>
  <c r="E188" i="2" s="1"/>
  <c r="AF188" i="2" s="1"/>
  <c r="J302" i="2"/>
  <c r="AE302" i="2"/>
  <c r="P302" i="2"/>
  <c r="AD302" i="2"/>
  <c r="M68" i="2"/>
  <c r="U253" i="2"/>
  <c r="H253" i="2"/>
  <c r="AC253" i="2"/>
  <c r="H302" i="2"/>
  <c r="U302" i="2"/>
  <c r="AC68" i="2"/>
  <c r="G253" i="2"/>
  <c r="K253" i="2"/>
  <c r="AD253" i="2"/>
  <c r="M302" i="2"/>
  <c r="O302" i="2"/>
  <c r="N302" i="2"/>
  <c r="AE253" i="2"/>
  <c r="AB253" i="2"/>
  <c r="AF253" i="2"/>
  <c r="M461" i="1"/>
  <c r="M463" i="1" s="1"/>
  <c r="M465" i="1" s="1"/>
  <c r="E169" i="2" s="1"/>
  <c r="G169" i="2" s="1"/>
  <c r="AC302" i="2"/>
  <c r="T302" i="2"/>
  <c r="Z302" i="2"/>
  <c r="S302" i="2"/>
  <c r="O68" i="2"/>
  <c r="Q253" i="2"/>
  <c r="X253" i="2"/>
  <c r="I253" i="2"/>
  <c r="V302" i="2"/>
  <c r="R302" i="2"/>
  <c r="K302" i="2"/>
  <c r="AF302" i="2"/>
  <c r="AE68" i="2"/>
  <c r="AA253" i="2"/>
  <c r="Y253" i="2"/>
  <c r="J253" i="2"/>
  <c r="Z253" i="2"/>
  <c r="P253" i="2"/>
  <c r="S253" i="2"/>
  <c r="Q302" i="2"/>
  <c r="AA302" i="2"/>
  <c r="R68" i="2"/>
  <c r="I68" i="2"/>
  <c r="R253" i="2"/>
  <c r="T253" i="2"/>
  <c r="F253" i="2"/>
  <c r="L253" i="2"/>
  <c r="U283" i="1"/>
  <c r="U285" i="1" s="1"/>
  <c r="E144" i="2" s="1"/>
  <c r="Z144" i="2" s="1"/>
  <c r="K283" i="1"/>
  <c r="K285" i="1" s="1"/>
  <c r="K129" i="1" s="1"/>
  <c r="K133" i="1" s="1"/>
  <c r="K144" i="1" s="1"/>
  <c r="E90" i="2" s="1"/>
  <c r="E532" i="2" s="1"/>
  <c r="AH532" i="2" s="1"/>
  <c r="AG35" i="2"/>
  <c r="AH35" i="2" s="1"/>
  <c r="P55" i="2"/>
  <c r="X55" i="2"/>
  <c r="S55" i="2"/>
  <c r="Y283" i="1"/>
  <c r="Y285" i="1" s="1"/>
  <c r="Y287" i="1" s="1"/>
  <c r="N55" i="2"/>
  <c r="G55" i="2"/>
  <c r="Q55" i="2"/>
  <c r="W55" i="2"/>
  <c r="AF55" i="2"/>
  <c r="U55" i="2"/>
  <c r="AB55" i="2"/>
  <c r="Z55" i="2"/>
  <c r="O55" i="2"/>
  <c r="AE55" i="2"/>
  <c r="K296" i="2"/>
  <c r="AD296" i="2"/>
  <c r="V296" i="2"/>
  <c r="Y328" i="1"/>
  <c r="K461" i="1"/>
  <c r="K463" i="1" s="1"/>
  <c r="K465" i="1" s="1"/>
  <c r="E166" i="2" s="1"/>
  <c r="AH166" i="2" s="1"/>
  <c r="AG226" i="2"/>
  <c r="AH226" i="2" s="1"/>
  <c r="R328" i="1"/>
  <c r="I63" i="2"/>
  <c r="I65" i="2" s="1"/>
  <c r="K68" i="2"/>
  <c r="T68" i="2"/>
  <c r="AA68" i="2"/>
  <c r="Y68" i="2"/>
  <c r="L68" i="2"/>
  <c r="O63" i="2"/>
  <c r="O65" i="2" s="1"/>
  <c r="E65" i="2"/>
  <c r="AD63" i="2"/>
  <c r="AD65" i="2" s="1"/>
  <c r="Q68" i="2"/>
  <c r="P68" i="2"/>
  <c r="S68" i="2"/>
  <c r="K328" i="1"/>
  <c r="S63" i="2"/>
  <c r="S65" i="2" s="1"/>
  <c r="H63" i="2"/>
  <c r="H65" i="2" s="1"/>
  <c r="AE63" i="2"/>
  <c r="AE65" i="2" s="1"/>
  <c r="R461" i="1"/>
  <c r="R463" i="1" s="1"/>
  <c r="R465" i="1" s="1"/>
  <c r="E177" i="2" s="1"/>
  <c r="W177" i="2" s="1"/>
  <c r="Y63" i="2"/>
  <c r="Y65" i="2" s="1"/>
  <c r="H68" i="2"/>
  <c r="AD68" i="2"/>
  <c r="X68" i="2"/>
  <c r="P63" i="2"/>
  <c r="P65" i="2" s="1"/>
  <c r="AA63" i="2"/>
  <c r="AA65" i="2" s="1"/>
  <c r="AB63" i="2"/>
  <c r="AB65" i="2" s="1"/>
  <c r="X63" i="2"/>
  <c r="X65" i="2" s="1"/>
  <c r="W63" i="2"/>
  <c r="W65" i="2" s="1"/>
  <c r="R283" i="1"/>
  <c r="R285" i="1" s="1"/>
  <c r="R129" i="1" s="1"/>
  <c r="R133" i="1" s="1"/>
  <c r="R144" i="1" s="1"/>
  <c r="E101" i="2" s="1"/>
  <c r="AF101" i="2" s="1"/>
  <c r="Z63" i="2"/>
  <c r="Z65" i="2" s="1"/>
  <c r="K65" i="2"/>
  <c r="Z68" i="2"/>
  <c r="J68" i="2"/>
  <c r="AC63" i="2"/>
  <c r="AC65" i="2" s="1"/>
  <c r="Q63" i="2"/>
  <c r="Q65" i="2" s="1"/>
  <c r="T63" i="2"/>
  <c r="T65" i="2" s="1"/>
  <c r="AF63" i="2"/>
  <c r="AF65" i="2" s="1"/>
  <c r="W68" i="2"/>
  <c r="AF68" i="2"/>
  <c r="F63" i="2"/>
  <c r="F65" i="2" s="1"/>
  <c r="N63" i="2"/>
  <c r="N65" i="2" s="1"/>
  <c r="U63" i="2"/>
  <c r="U65" i="2" s="1"/>
  <c r="V63" i="2"/>
  <c r="V65" i="2" s="1"/>
  <c r="V68" i="2"/>
  <c r="N68" i="2"/>
  <c r="U68" i="2"/>
  <c r="R63" i="2"/>
  <c r="R65" i="2" s="1"/>
  <c r="J63" i="2"/>
  <c r="J65" i="2" s="1"/>
  <c r="M63" i="2"/>
  <c r="M65" i="2" s="1"/>
  <c r="G63" i="2"/>
  <c r="G65" i="2" s="1"/>
  <c r="Z296" i="2"/>
  <c r="L296" i="2"/>
  <c r="AA296" i="2"/>
  <c r="R296" i="2"/>
  <c r="AG29" i="2"/>
  <c r="AH29" i="2" s="1"/>
  <c r="H296" i="2"/>
  <c r="T296" i="2"/>
  <c r="U296" i="2"/>
  <c r="J296" i="2"/>
  <c r="Y296" i="2"/>
  <c r="S296" i="2"/>
  <c r="N296" i="2"/>
  <c r="P296" i="2"/>
  <c r="G296" i="2"/>
  <c r="AF296" i="2"/>
  <c r="X296" i="2"/>
  <c r="AE296" i="2"/>
  <c r="AC296" i="2"/>
  <c r="O296" i="2"/>
  <c r="U328" i="1"/>
  <c r="Q296" i="2"/>
  <c r="W296" i="2"/>
  <c r="F296" i="2"/>
  <c r="I296" i="2"/>
  <c r="M296" i="2"/>
  <c r="AG215" i="2"/>
  <c r="AH215" i="2" s="1"/>
  <c r="O217" i="2"/>
  <c r="P412" i="1"/>
  <c r="P414" i="1" s="1"/>
  <c r="P416" i="1" s="1"/>
  <c r="AB394" i="1"/>
  <c r="AC394" i="1" s="1"/>
  <c r="P231" i="1"/>
  <c r="P235" i="1" s="1"/>
  <c r="P75" i="1"/>
  <c r="P307" i="1" s="1"/>
  <c r="AB64" i="1"/>
  <c r="AC64" i="1" s="1"/>
  <c r="E512" i="2"/>
  <c r="E521" i="2" s="1"/>
  <c r="K468" i="2"/>
  <c r="E474" i="2"/>
  <c r="X473" i="2"/>
  <c r="X474" i="2" s="1"/>
  <c r="H473" i="2"/>
  <c r="H474" i="2" s="1"/>
  <c r="AD473" i="2"/>
  <c r="AD474" i="2" s="1"/>
  <c r="AB473" i="2"/>
  <c r="AB474" i="2" s="1"/>
  <c r="R473" i="2"/>
  <c r="R474" i="2" s="1"/>
  <c r="J473" i="2"/>
  <c r="J474" i="2" s="1"/>
  <c r="AC473" i="2"/>
  <c r="AC474" i="2" s="1"/>
  <c r="O473" i="2"/>
  <c r="O474" i="2" s="1"/>
  <c r="G473" i="2"/>
  <c r="G474" i="2" s="1"/>
  <c r="K473" i="2"/>
  <c r="K474" i="2" s="1"/>
  <c r="AE473" i="2"/>
  <c r="AE474" i="2" s="1"/>
  <c r="V473" i="2"/>
  <c r="V474" i="2" s="1"/>
  <c r="P473" i="2"/>
  <c r="P474" i="2" s="1"/>
  <c r="AA473" i="2"/>
  <c r="AA474" i="2" s="1"/>
  <c r="U473" i="2"/>
  <c r="U474" i="2" s="1"/>
  <c r="F473" i="2"/>
  <c r="M473" i="2"/>
  <c r="M474" i="2" s="1"/>
  <c r="Z473" i="2"/>
  <c r="Z474" i="2" s="1"/>
  <c r="S473" i="2"/>
  <c r="S474" i="2" s="1"/>
  <c r="Y473" i="2"/>
  <c r="Y474" i="2" s="1"/>
  <c r="AF473" i="2"/>
  <c r="AF474" i="2" s="1"/>
  <c r="I473" i="2"/>
  <c r="I474" i="2" s="1"/>
  <c r="N473" i="2"/>
  <c r="N474" i="2" s="1"/>
  <c r="T473" i="2"/>
  <c r="T474" i="2" s="1"/>
  <c r="W473" i="2"/>
  <c r="W474" i="2" s="1"/>
  <c r="Q473" i="2"/>
  <c r="Q474" i="2" s="1"/>
  <c r="O82" i="1"/>
  <c r="O235" i="1"/>
  <c r="O237" i="1"/>
  <c r="O233" i="1"/>
  <c r="F467" i="2"/>
  <c r="O468" i="2"/>
  <c r="AF468" i="2"/>
  <c r="AA468" i="2"/>
  <c r="T468" i="2"/>
  <c r="V468" i="2"/>
  <c r="Q468" i="2"/>
  <c r="M468" i="2"/>
  <c r="AE468" i="2"/>
  <c r="S468" i="2"/>
  <c r="X468" i="2"/>
  <c r="Z468" i="2"/>
  <c r="R468" i="2"/>
  <c r="G468" i="2"/>
  <c r="P468" i="2"/>
  <c r="AD468" i="2"/>
  <c r="J468" i="2"/>
  <c r="AB468" i="2"/>
  <c r="AC468" i="2"/>
  <c r="U468" i="2"/>
  <c r="Y468" i="2"/>
  <c r="N468" i="2"/>
  <c r="I468" i="2"/>
  <c r="W468" i="2"/>
  <c r="H468" i="2"/>
  <c r="O414" i="1"/>
  <c r="O121" i="1"/>
  <c r="O280" i="1"/>
  <c r="O458" i="1"/>
  <c r="O279" i="1"/>
  <c r="O307" i="1"/>
  <c r="O122" i="1"/>
  <c r="O88" i="1"/>
  <c r="O459" i="1"/>
  <c r="O308" i="1"/>
  <c r="O120" i="1"/>
  <c r="Y182" i="2"/>
  <c r="AA182" i="2"/>
  <c r="AB182" i="2"/>
  <c r="K182" i="2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H330" i="1"/>
  <c r="M191" i="2"/>
  <c r="T191" i="2"/>
  <c r="AE191" i="2"/>
  <c r="Z191" i="2"/>
  <c r="W461" i="1"/>
  <c r="W463" i="1" s="1"/>
  <c r="W465" i="1" s="1"/>
  <c r="E185" i="2" s="1"/>
  <c r="K185" i="2" s="1"/>
  <c r="AD191" i="2"/>
  <c r="G191" i="2"/>
  <c r="S191" i="2"/>
  <c r="H287" i="1"/>
  <c r="W191" i="2"/>
  <c r="AF191" i="2"/>
  <c r="X191" i="2"/>
  <c r="U191" i="2"/>
  <c r="I191" i="2"/>
  <c r="L191" i="2"/>
  <c r="P191" i="2"/>
  <c r="R191" i="2"/>
  <c r="Q191" i="2"/>
  <c r="N191" i="2"/>
  <c r="Y191" i="2"/>
  <c r="V191" i="2"/>
  <c r="H129" i="1"/>
  <c r="H133" i="1" s="1"/>
  <c r="H144" i="1" s="1"/>
  <c r="E85" i="2" s="1"/>
  <c r="E530" i="2" s="1"/>
  <c r="AA287" i="1"/>
  <c r="E153" i="2"/>
  <c r="AA129" i="1"/>
  <c r="AA133" i="1" s="1"/>
  <c r="AA144" i="1" s="1"/>
  <c r="E115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30" i="1"/>
  <c r="S245" i="2"/>
  <c r="U245" i="2"/>
  <c r="W245" i="2"/>
  <c r="N245" i="2"/>
  <c r="O245" i="2"/>
  <c r="M245" i="2"/>
  <c r="Q245" i="2"/>
  <c r="AF245" i="2"/>
  <c r="T245" i="2"/>
  <c r="X245" i="2"/>
  <c r="V245" i="2"/>
  <c r="Z245" i="2"/>
  <c r="AC245" i="2"/>
  <c r="R245" i="2"/>
  <c r="P245" i="2"/>
  <c r="AA245" i="2"/>
  <c r="AD245" i="2"/>
  <c r="Y245" i="2"/>
  <c r="AB245" i="2"/>
  <c r="G245" i="2"/>
  <c r="AE245" i="2"/>
  <c r="E497" i="2"/>
  <c r="E499" i="2" s="1"/>
  <c r="I55" i="2"/>
  <c r="I16" i="2"/>
  <c r="I207" i="2"/>
  <c r="H245" i="2"/>
  <c r="H283" i="2"/>
  <c r="AD254" i="2"/>
  <c r="AF254" i="2"/>
  <c r="AC254" i="2"/>
  <c r="Z254" i="2"/>
  <c r="Q254" i="2"/>
  <c r="K254" i="2"/>
  <c r="AE254" i="2"/>
  <c r="T254" i="2"/>
  <c r="R254" i="2"/>
  <c r="H254" i="2"/>
  <c r="U254" i="2"/>
  <c r="P254" i="2"/>
  <c r="L254" i="2"/>
  <c r="F254" i="2"/>
  <c r="X254" i="2"/>
  <c r="G254" i="2"/>
  <c r="V254" i="2"/>
  <c r="AA254" i="2"/>
  <c r="Y254" i="2"/>
  <c r="AB254" i="2"/>
  <c r="I254" i="2"/>
  <c r="J254" i="2"/>
  <c r="N254" i="2"/>
  <c r="M254" i="2"/>
  <c r="M255" i="2" s="1"/>
  <c r="O254" i="2"/>
  <c r="S254" i="2"/>
  <c r="W254" i="2"/>
  <c r="E255" i="2"/>
  <c r="I124" i="1"/>
  <c r="W283" i="1"/>
  <c r="W285" i="1" s="1"/>
  <c r="E261" i="2"/>
  <c r="W328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F600" i="2"/>
  <c r="F626" i="2"/>
  <c r="I283" i="2"/>
  <c r="I245" i="2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H16" i="2"/>
  <c r="H207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I293" i="2" l="1"/>
  <c r="Y293" i="2"/>
  <c r="AE101" i="2"/>
  <c r="S129" i="1"/>
  <c r="S133" i="1" s="1"/>
  <c r="S144" i="1" s="1"/>
  <c r="E102" i="2" s="1"/>
  <c r="E103" i="2" s="1"/>
  <c r="R101" i="2"/>
  <c r="H293" i="2"/>
  <c r="G293" i="2"/>
  <c r="R178" i="2"/>
  <c r="AA178" i="2"/>
  <c r="M178" i="2"/>
  <c r="AD178" i="2"/>
  <c r="T293" i="2"/>
  <c r="AE293" i="2"/>
  <c r="AC293" i="2"/>
  <c r="U293" i="2"/>
  <c r="R293" i="2"/>
  <c r="O293" i="2"/>
  <c r="W293" i="2"/>
  <c r="P293" i="2"/>
  <c r="O255" i="2"/>
  <c r="H101" i="2"/>
  <c r="K101" i="2"/>
  <c r="AB101" i="2"/>
  <c r="AB293" i="2"/>
  <c r="AB255" i="2"/>
  <c r="J293" i="2"/>
  <c r="N293" i="2"/>
  <c r="Q255" i="2"/>
  <c r="S101" i="2"/>
  <c r="X293" i="2"/>
  <c r="Q293" i="2"/>
  <c r="J101" i="2"/>
  <c r="AD101" i="2"/>
  <c r="P101" i="2"/>
  <c r="AA255" i="2"/>
  <c r="K293" i="2"/>
  <c r="AC101" i="2"/>
  <c r="V293" i="2"/>
  <c r="S293" i="2"/>
  <c r="AA293" i="2"/>
  <c r="AF178" i="2"/>
  <c r="I178" i="2"/>
  <c r="AE178" i="2"/>
  <c r="H178" i="2"/>
  <c r="X178" i="2"/>
  <c r="S178" i="2"/>
  <c r="K178" i="2"/>
  <c r="U178" i="2"/>
  <c r="Z178" i="2"/>
  <c r="AF293" i="2"/>
  <c r="J178" i="2"/>
  <c r="W178" i="2"/>
  <c r="W179" i="2" s="1"/>
  <c r="L178" i="2"/>
  <c r="AB178" i="2"/>
  <c r="O178" i="2"/>
  <c r="F178" i="2"/>
  <c r="T178" i="2"/>
  <c r="AC178" i="2"/>
  <c r="Q178" i="2"/>
  <c r="P178" i="2"/>
  <c r="N178" i="2"/>
  <c r="G178" i="2"/>
  <c r="Y178" i="2"/>
  <c r="AD293" i="2"/>
  <c r="AG292" i="2"/>
  <c r="AH292" i="2" s="1"/>
  <c r="Z293" i="2"/>
  <c r="Z169" i="2"/>
  <c r="Y169" i="2"/>
  <c r="AB169" i="2"/>
  <c r="AC169" i="2"/>
  <c r="O169" i="2"/>
  <c r="U169" i="2"/>
  <c r="P169" i="2"/>
  <c r="J255" i="2"/>
  <c r="K255" i="2"/>
  <c r="H169" i="2"/>
  <c r="R169" i="2"/>
  <c r="X169" i="2"/>
  <c r="S169" i="2"/>
  <c r="N169" i="2"/>
  <c r="I169" i="2"/>
  <c r="AF169" i="2"/>
  <c r="K169" i="2"/>
  <c r="V169" i="2"/>
  <c r="W169" i="2"/>
  <c r="AD169" i="2"/>
  <c r="AA169" i="2"/>
  <c r="T169" i="2"/>
  <c r="AE169" i="2"/>
  <c r="M169" i="2"/>
  <c r="Q169" i="2"/>
  <c r="U287" i="1"/>
  <c r="E150" i="2"/>
  <c r="AF150" i="2" s="1"/>
  <c r="Y129" i="1"/>
  <c r="Y133" i="1" s="1"/>
  <c r="Y144" i="1" s="1"/>
  <c r="E112" i="2" s="1"/>
  <c r="N112" i="2" s="1"/>
  <c r="Y330" i="1"/>
  <c r="AG74" i="2"/>
  <c r="AH74" i="2" s="1"/>
  <c r="M330" i="1"/>
  <c r="M287" i="1"/>
  <c r="M129" i="1"/>
  <c r="M133" i="1" s="1"/>
  <c r="M144" i="1" s="1"/>
  <c r="E93" i="2" s="1"/>
  <c r="O93" i="2" s="1"/>
  <c r="U129" i="1"/>
  <c r="U133" i="1" s="1"/>
  <c r="U144" i="1" s="1"/>
  <c r="E106" i="2" s="1"/>
  <c r="AA106" i="2" s="1"/>
  <c r="U330" i="1"/>
  <c r="AG291" i="2"/>
  <c r="AH291" i="2" s="1"/>
  <c r="F293" i="2"/>
  <c r="S330" i="1"/>
  <c r="AG258" i="2"/>
  <c r="AH258" i="2" s="1"/>
  <c r="V255" i="2"/>
  <c r="S287" i="1"/>
  <c r="L188" i="2"/>
  <c r="E128" i="2"/>
  <c r="E514" i="2" s="1"/>
  <c r="E523" i="2" s="1"/>
  <c r="AC255" i="2"/>
  <c r="S255" i="2"/>
  <c r="Q188" i="2"/>
  <c r="M188" i="2"/>
  <c r="X188" i="2"/>
  <c r="J188" i="2"/>
  <c r="N188" i="2"/>
  <c r="AG217" i="2"/>
  <c r="AH217" i="2" s="1"/>
  <c r="Y255" i="2"/>
  <c r="AF255" i="2"/>
  <c r="G255" i="2"/>
  <c r="N255" i="2"/>
  <c r="X255" i="2"/>
  <c r="I255" i="2"/>
  <c r="W255" i="2"/>
  <c r="R255" i="2"/>
  <c r="H255" i="2"/>
  <c r="P255" i="2"/>
  <c r="G144" i="2"/>
  <c r="H144" i="2"/>
  <c r="F144" i="2"/>
  <c r="F177" i="2"/>
  <c r="E179" i="2"/>
  <c r="N144" i="2"/>
  <c r="AF144" i="2"/>
  <c r="Q144" i="2"/>
  <c r="AA144" i="2"/>
  <c r="I188" i="2"/>
  <c r="G188" i="2"/>
  <c r="V188" i="2"/>
  <c r="AD144" i="2"/>
  <c r="L144" i="2"/>
  <c r="O144" i="2"/>
  <c r="O188" i="2"/>
  <c r="T188" i="2"/>
  <c r="H188" i="2"/>
  <c r="L255" i="2"/>
  <c r="AB144" i="2"/>
  <c r="J144" i="2"/>
  <c r="AE144" i="2"/>
  <c r="Y144" i="2"/>
  <c r="P188" i="2"/>
  <c r="W188" i="2"/>
  <c r="U188" i="2"/>
  <c r="I144" i="2"/>
  <c r="M144" i="2"/>
  <c r="V144" i="2"/>
  <c r="X144" i="2"/>
  <c r="W144" i="2"/>
  <c r="AC188" i="2"/>
  <c r="AB188" i="2"/>
  <c r="AD188" i="2"/>
  <c r="F188" i="2"/>
  <c r="P144" i="2"/>
  <c r="U144" i="2"/>
  <c r="S144" i="2"/>
  <c r="AC144" i="2"/>
  <c r="T144" i="2"/>
  <c r="S188" i="2"/>
  <c r="AE188" i="2"/>
  <c r="R188" i="2"/>
  <c r="AA188" i="2"/>
  <c r="K144" i="2"/>
  <c r="R144" i="2"/>
  <c r="Y188" i="2"/>
  <c r="K188" i="2"/>
  <c r="Z188" i="2"/>
  <c r="K287" i="1"/>
  <c r="K330" i="1"/>
  <c r="AH90" i="2"/>
  <c r="AE255" i="2"/>
  <c r="AG253" i="2"/>
  <c r="AH253" i="2" s="1"/>
  <c r="AG302" i="2"/>
  <c r="AH302" i="2" s="1"/>
  <c r="AD255" i="2"/>
  <c r="T255" i="2"/>
  <c r="Z255" i="2"/>
  <c r="U255" i="2"/>
  <c r="G177" i="2"/>
  <c r="U177" i="2"/>
  <c r="P442" i="1"/>
  <c r="P273" i="1" s="1"/>
  <c r="AG68" i="2"/>
  <c r="AH68" i="2" s="1"/>
  <c r="I101" i="2"/>
  <c r="O101" i="2"/>
  <c r="Y101" i="2"/>
  <c r="E139" i="2"/>
  <c r="S139" i="2" s="1"/>
  <c r="F101" i="2"/>
  <c r="Q101" i="2"/>
  <c r="U101" i="2"/>
  <c r="V101" i="2"/>
  <c r="M101" i="2"/>
  <c r="G101" i="2"/>
  <c r="X101" i="2"/>
  <c r="R287" i="1"/>
  <c r="N101" i="2"/>
  <c r="AA101" i="2"/>
  <c r="T101" i="2"/>
  <c r="Z101" i="2"/>
  <c r="W101" i="2"/>
  <c r="R330" i="1"/>
  <c r="M177" i="2"/>
  <c r="N177" i="2"/>
  <c r="Y177" i="2"/>
  <c r="S177" i="2"/>
  <c r="T177" i="2"/>
  <c r="AC177" i="2"/>
  <c r="AA177" i="2"/>
  <c r="K177" i="2"/>
  <c r="V177" i="2"/>
  <c r="V179" i="2" s="1"/>
  <c r="X177" i="2"/>
  <c r="AB177" i="2"/>
  <c r="AD177" i="2"/>
  <c r="P177" i="2"/>
  <c r="I177" i="2"/>
  <c r="J177" i="2"/>
  <c r="R177" i="2"/>
  <c r="R179" i="2" s="1"/>
  <c r="H177" i="2"/>
  <c r="L177" i="2"/>
  <c r="O177" i="2"/>
  <c r="Q177" i="2"/>
  <c r="AF177" i="2"/>
  <c r="Z177" i="2"/>
  <c r="AE177" i="2"/>
  <c r="AG296" i="2"/>
  <c r="AH296" i="2" s="1"/>
  <c r="AB75" i="1"/>
  <c r="AC75" i="1" s="1"/>
  <c r="AB412" i="1"/>
  <c r="AC412" i="1" s="1"/>
  <c r="AB235" i="1"/>
  <c r="AC235" i="1" s="1"/>
  <c r="AB231" i="1"/>
  <c r="AC231" i="1" s="1"/>
  <c r="P279" i="1"/>
  <c r="AB279" i="1" s="1"/>
  <c r="AC279" i="1" s="1"/>
  <c r="P458" i="1"/>
  <c r="AB458" i="1" s="1"/>
  <c r="AC458" i="1" s="1"/>
  <c r="P237" i="1"/>
  <c r="AB237" i="1" s="1"/>
  <c r="AC237" i="1" s="1"/>
  <c r="P233" i="1"/>
  <c r="P264" i="1" s="1"/>
  <c r="P275" i="1" s="1"/>
  <c r="P122" i="1"/>
  <c r="AB122" i="1" s="1"/>
  <c r="AC122" i="1" s="1"/>
  <c r="P280" i="1"/>
  <c r="AB280" i="1" s="1"/>
  <c r="AC280" i="1" s="1"/>
  <c r="P121" i="1"/>
  <c r="AB121" i="1" s="1"/>
  <c r="AC121" i="1" s="1"/>
  <c r="P120" i="1"/>
  <c r="AB120" i="1" s="1"/>
  <c r="AC120" i="1" s="1"/>
  <c r="P88" i="1"/>
  <c r="P91" i="1" s="1"/>
  <c r="P99" i="1" s="1"/>
  <c r="P459" i="1"/>
  <c r="AB459" i="1" s="1"/>
  <c r="AC459" i="1" s="1"/>
  <c r="P82" i="1"/>
  <c r="P98" i="1" s="1"/>
  <c r="P308" i="1"/>
  <c r="P312" i="1" s="1"/>
  <c r="E211" i="2" s="1"/>
  <c r="X211" i="2" s="1"/>
  <c r="F474" i="2"/>
  <c r="O91" i="1"/>
  <c r="O416" i="1"/>
  <c r="AB416" i="1" s="1"/>
  <c r="AC416" i="1" s="1"/>
  <c r="O442" i="1"/>
  <c r="AB414" i="1"/>
  <c r="AC414" i="1" s="1"/>
  <c r="AB307" i="1"/>
  <c r="AC307" i="1" s="1"/>
  <c r="O312" i="1"/>
  <c r="O264" i="1"/>
  <c r="O130" i="1"/>
  <c r="O131" i="1"/>
  <c r="O142" i="1"/>
  <c r="E19" i="2"/>
  <c r="O19" i="2" s="1"/>
  <c r="O98" i="1"/>
  <c r="M475" i="2"/>
  <c r="J475" i="2"/>
  <c r="AB475" i="2"/>
  <c r="R475" i="2"/>
  <c r="P475" i="2"/>
  <c r="X475" i="2"/>
  <c r="G475" i="2"/>
  <c r="Y475" i="2"/>
  <c r="Z475" i="2"/>
  <c r="AC475" i="2"/>
  <c r="O475" i="2"/>
  <c r="W475" i="2"/>
  <c r="Q475" i="2"/>
  <c r="K475" i="2"/>
  <c r="H475" i="2"/>
  <c r="U475" i="2"/>
  <c r="V475" i="2"/>
  <c r="AA475" i="2"/>
  <c r="AF475" i="2"/>
  <c r="AE475" i="2"/>
  <c r="S475" i="2"/>
  <c r="N475" i="2"/>
  <c r="T475" i="2"/>
  <c r="I475" i="2"/>
  <c r="AD475" i="2"/>
  <c r="F468" i="2"/>
  <c r="H131" i="2"/>
  <c r="L185" i="2"/>
  <c r="U185" i="2"/>
  <c r="AG182" i="2"/>
  <c r="AH182" i="2" s="1"/>
  <c r="Z185" i="2"/>
  <c r="S185" i="2"/>
  <c r="H185" i="2"/>
  <c r="V185" i="2"/>
  <c r="AE185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AB185" i="2"/>
  <c r="G185" i="2"/>
  <c r="I185" i="2"/>
  <c r="M185" i="2"/>
  <c r="P185" i="2"/>
  <c r="F185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E500" i="2"/>
  <c r="AG497" i="2"/>
  <c r="AH497" i="2" s="1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AF131" i="2"/>
  <c r="V131" i="2"/>
  <c r="R131" i="2"/>
  <c r="T131" i="2"/>
  <c r="AB131" i="2"/>
  <c r="Z131" i="2"/>
  <c r="AC131" i="2"/>
  <c r="K131" i="2"/>
  <c r="AG264" i="2"/>
  <c r="AH264" i="2" s="1"/>
  <c r="R102" i="2"/>
  <c r="F102" i="2"/>
  <c r="AA102" i="2"/>
  <c r="Q102" i="2"/>
  <c r="AE102" i="2"/>
  <c r="S102" i="2"/>
  <c r="G102" i="2"/>
  <c r="AC102" i="2"/>
  <c r="H102" i="2"/>
  <c r="K102" i="2"/>
  <c r="Y102" i="2"/>
  <c r="O102" i="2"/>
  <c r="L102" i="2"/>
  <c r="V102" i="2"/>
  <c r="AB102" i="2"/>
  <c r="M102" i="2"/>
  <c r="AF102" i="2"/>
  <c r="AF103" i="2" s="1"/>
  <c r="AD102" i="2"/>
  <c r="X102" i="2"/>
  <c r="J102" i="2"/>
  <c r="N102" i="2"/>
  <c r="Z102" i="2"/>
  <c r="I102" i="2"/>
  <c r="U102" i="2"/>
  <c r="T102" i="2"/>
  <c r="P102" i="2"/>
  <c r="W102" i="2"/>
  <c r="I126" i="1"/>
  <c r="O84" i="15"/>
  <c r="R84" i="15" s="1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Y140" i="2"/>
  <c r="X140" i="2"/>
  <c r="Q140" i="2"/>
  <c r="AB140" i="2"/>
  <c r="W287" i="1"/>
  <c r="W129" i="1"/>
  <c r="W133" i="1" s="1"/>
  <c r="W144" i="1" s="1"/>
  <c r="E109" i="2" s="1"/>
  <c r="W330" i="1"/>
  <c r="E147" i="2"/>
  <c r="AG254" i="2"/>
  <c r="AH254" i="2" s="1"/>
  <c r="F255" i="2"/>
  <c r="AC112" i="2" l="1"/>
  <c r="AE103" i="2"/>
  <c r="R103" i="2"/>
  <c r="W112" i="2"/>
  <c r="O112" i="2"/>
  <c r="AB106" i="2"/>
  <c r="O106" i="2"/>
  <c r="AA179" i="2"/>
  <c r="M179" i="2"/>
  <c r="AB103" i="2"/>
  <c r="K179" i="2"/>
  <c r="AD179" i="2"/>
  <c r="J103" i="2"/>
  <c r="O179" i="2"/>
  <c r="Y179" i="2"/>
  <c r="AB139" i="2"/>
  <c r="AB141" i="2" s="1"/>
  <c r="I179" i="2"/>
  <c r="AC179" i="2"/>
  <c r="M112" i="2"/>
  <c r="Z112" i="2"/>
  <c r="F112" i="2"/>
  <c r="S112" i="2"/>
  <c r="U112" i="2"/>
  <c r="AE112" i="2"/>
  <c r="P112" i="2"/>
  <c r="X112" i="2"/>
  <c r="AD112" i="2"/>
  <c r="K112" i="2"/>
  <c r="T112" i="2"/>
  <c r="AA112" i="2"/>
  <c r="Y112" i="2"/>
  <c r="AF112" i="2"/>
  <c r="G112" i="2"/>
  <c r="H112" i="2"/>
  <c r="L112" i="2"/>
  <c r="R112" i="2"/>
  <c r="Q112" i="2"/>
  <c r="J112" i="2"/>
  <c r="I112" i="2"/>
  <c r="V112" i="2"/>
  <c r="AB112" i="2"/>
  <c r="I106" i="2"/>
  <c r="AC106" i="2"/>
  <c r="U106" i="2"/>
  <c r="V106" i="2"/>
  <c r="X106" i="2"/>
  <c r="J106" i="2"/>
  <c r="H179" i="2"/>
  <c r="N106" i="2"/>
  <c r="Q106" i="2"/>
  <c r="Y106" i="2"/>
  <c r="T106" i="2"/>
  <c r="L106" i="2"/>
  <c r="M106" i="2"/>
  <c r="P179" i="2"/>
  <c r="R106" i="2"/>
  <c r="K106" i="2"/>
  <c r="Z106" i="2"/>
  <c r="Q179" i="2"/>
  <c r="AE179" i="2"/>
  <c r="H103" i="2"/>
  <c r="AC103" i="2"/>
  <c r="X179" i="2"/>
  <c r="K150" i="2"/>
  <c r="Y150" i="2"/>
  <c r="N150" i="2"/>
  <c r="L150" i="2"/>
  <c r="Y103" i="2"/>
  <c r="Z179" i="2"/>
  <c r="AF179" i="2"/>
  <c r="T179" i="2"/>
  <c r="AB179" i="2"/>
  <c r="S179" i="2"/>
  <c r="G179" i="2"/>
  <c r="AG293" i="2"/>
  <c r="AH293" i="2" s="1"/>
  <c r="AG178" i="2"/>
  <c r="AH178" i="2" s="1"/>
  <c r="U179" i="2"/>
  <c r="F179" i="2"/>
  <c r="AE150" i="2"/>
  <c r="AA150" i="2"/>
  <c r="H150" i="2"/>
  <c r="R150" i="2"/>
  <c r="X150" i="2"/>
  <c r="G150" i="2"/>
  <c r="Z150" i="2"/>
  <c r="AD150" i="2"/>
  <c r="L179" i="2"/>
  <c r="F150" i="2"/>
  <c r="T150" i="2"/>
  <c r="P150" i="2"/>
  <c r="N179" i="2"/>
  <c r="Q150" i="2"/>
  <c r="O150" i="2"/>
  <c r="J150" i="2"/>
  <c r="M150" i="2"/>
  <c r="AC150" i="2"/>
  <c r="I150" i="2"/>
  <c r="U150" i="2"/>
  <c r="AB150" i="2"/>
  <c r="V150" i="2"/>
  <c r="W150" i="2"/>
  <c r="S150" i="2"/>
  <c r="AC93" i="2"/>
  <c r="AD93" i="2"/>
  <c r="I93" i="2"/>
  <c r="AB93" i="2"/>
  <c r="S93" i="2"/>
  <c r="K93" i="2"/>
  <c r="P93" i="2"/>
  <c r="R93" i="2"/>
  <c r="Y93" i="2"/>
  <c r="V93" i="2"/>
  <c r="X93" i="2"/>
  <c r="AF93" i="2"/>
  <c r="N93" i="2"/>
  <c r="AA93" i="2"/>
  <c r="G93" i="2"/>
  <c r="U93" i="2"/>
  <c r="AE93" i="2"/>
  <c r="H93" i="2"/>
  <c r="M93" i="2"/>
  <c r="T93" i="2"/>
  <c r="Q93" i="2"/>
  <c r="Z93" i="2"/>
  <c r="W93" i="2"/>
  <c r="P139" i="2"/>
  <c r="P141" i="2" s="1"/>
  <c r="S106" i="2"/>
  <c r="AH128" i="2"/>
  <c r="AD106" i="2"/>
  <c r="W106" i="2"/>
  <c r="H106" i="2"/>
  <c r="AH514" i="2"/>
  <c r="AE106" i="2"/>
  <c r="P106" i="2"/>
  <c r="G106" i="2"/>
  <c r="F106" i="2"/>
  <c r="AF106" i="2"/>
  <c r="F103" i="2"/>
  <c r="Q103" i="2"/>
  <c r="P453" i="1"/>
  <c r="P270" i="1"/>
  <c r="AG255" i="2"/>
  <c r="AH255" i="2" s="1"/>
  <c r="AG144" i="2"/>
  <c r="AH144" i="2" s="1"/>
  <c r="AG188" i="2"/>
  <c r="AH188" i="2" s="1"/>
  <c r="P274" i="1"/>
  <c r="T103" i="2"/>
  <c r="U103" i="2"/>
  <c r="P452" i="1"/>
  <c r="P449" i="1"/>
  <c r="AD139" i="2"/>
  <c r="AD141" i="2" s="1"/>
  <c r="AA139" i="2"/>
  <c r="AA141" i="2" s="1"/>
  <c r="G103" i="2"/>
  <c r="O103" i="2"/>
  <c r="W103" i="2"/>
  <c r="M103" i="2"/>
  <c r="F139" i="2"/>
  <c r="F141" i="2" s="1"/>
  <c r="O139" i="2"/>
  <c r="O141" i="2" s="1"/>
  <c r="L139" i="2"/>
  <c r="L141" i="2" s="1"/>
  <c r="S141" i="2"/>
  <c r="M139" i="2"/>
  <c r="M141" i="2" s="1"/>
  <c r="X139" i="2"/>
  <c r="X141" i="2" s="1"/>
  <c r="V139" i="2"/>
  <c r="V141" i="2" s="1"/>
  <c r="AE139" i="2"/>
  <c r="AE141" i="2" s="1"/>
  <c r="G139" i="2"/>
  <c r="G141" i="2" s="1"/>
  <c r="Y139" i="2"/>
  <c r="Y141" i="2" s="1"/>
  <c r="N139" i="2"/>
  <c r="N141" i="2" s="1"/>
  <c r="W139" i="2"/>
  <c r="W141" i="2" s="1"/>
  <c r="U139" i="2"/>
  <c r="U141" i="2" s="1"/>
  <c r="K139" i="2"/>
  <c r="K141" i="2" s="1"/>
  <c r="R139" i="2"/>
  <c r="R141" i="2" s="1"/>
  <c r="E141" i="2"/>
  <c r="AC139" i="2"/>
  <c r="AC141" i="2" s="1"/>
  <c r="J139" i="2"/>
  <c r="J141" i="2" s="1"/>
  <c r="H139" i="2"/>
  <c r="H141" i="2" s="1"/>
  <c r="Q139" i="2"/>
  <c r="Q141" i="2" s="1"/>
  <c r="T139" i="2"/>
  <c r="T141" i="2" s="1"/>
  <c r="Z139" i="2"/>
  <c r="Z141" i="2" s="1"/>
  <c r="AF139" i="2"/>
  <c r="AF141" i="2" s="1"/>
  <c r="I139" i="2"/>
  <c r="AA103" i="2"/>
  <c r="AG177" i="2"/>
  <c r="AH177" i="2" s="1"/>
  <c r="J179" i="2"/>
  <c r="P130" i="1"/>
  <c r="AB130" i="1" s="1"/>
  <c r="AC130" i="1" s="1"/>
  <c r="AB82" i="1"/>
  <c r="AC82" i="1" s="1"/>
  <c r="E20" i="2"/>
  <c r="K20" i="2" s="1"/>
  <c r="P131" i="1"/>
  <c r="AB131" i="1" s="1"/>
  <c r="AC131" i="1" s="1"/>
  <c r="P456" i="1"/>
  <c r="P448" i="1"/>
  <c r="P450" i="1"/>
  <c r="P271" i="1"/>
  <c r="AB233" i="1"/>
  <c r="AC233" i="1" s="1"/>
  <c r="P142" i="1"/>
  <c r="AB142" i="1" s="1"/>
  <c r="AC142" i="1" s="1"/>
  <c r="P277" i="1"/>
  <c r="T211" i="2"/>
  <c r="P454" i="1"/>
  <c r="P276" i="1"/>
  <c r="AB88" i="1"/>
  <c r="AC88" i="1" s="1"/>
  <c r="P455" i="1"/>
  <c r="P269" i="1"/>
  <c r="P93" i="1"/>
  <c r="P101" i="1"/>
  <c r="P104" i="1" s="1"/>
  <c r="P124" i="1" s="1"/>
  <c r="P126" i="1" s="1"/>
  <c r="AC211" i="2"/>
  <c r="AF211" i="2"/>
  <c r="G211" i="2"/>
  <c r="AE211" i="2"/>
  <c r="M211" i="2"/>
  <c r="S211" i="2"/>
  <c r="F211" i="2"/>
  <c r="V211" i="2"/>
  <c r="Z211" i="2"/>
  <c r="O211" i="2"/>
  <c r="K211" i="2"/>
  <c r="U211" i="2"/>
  <c r="W211" i="2"/>
  <c r="H211" i="2"/>
  <c r="AD211" i="2"/>
  <c r="L211" i="2"/>
  <c r="I211" i="2"/>
  <c r="P211" i="2"/>
  <c r="N211" i="2"/>
  <c r="Q211" i="2"/>
  <c r="J211" i="2"/>
  <c r="R211" i="2"/>
  <c r="AA211" i="2"/>
  <c r="AB211" i="2"/>
  <c r="Y211" i="2"/>
  <c r="AB308" i="1"/>
  <c r="AC308" i="1" s="1"/>
  <c r="F475" i="2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5" i="1"/>
  <c r="O450" i="1"/>
  <c r="O456" i="1"/>
  <c r="O277" i="1"/>
  <c r="O276" i="1"/>
  <c r="O269" i="1"/>
  <c r="O271" i="1"/>
  <c r="O275" i="1"/>
  <c r="AB275" i="1" s="1"/>
  <c r="AC275" i="1" s="1"/>
  <c r="O448" i="1"/>
  <c r="O454" i="1"/>
  <c r="AB264" i="1"/>
  <c r="AC264" i="1" s="1"/>
  <c r="G19" i="2"/>
  <c r="N19" i="2"/>
  <c r="O273" i="1"/>
  <c r="AB273" i="1" s="1"/>
  <c r="AC273" i="1" s="1"/>
  <c r="O449" i="1"/>
  <c r="AB449" i="1" s="1"/>
  <c r="AC449" i="1" s="1"/>
  <c r="O453" i="1"/>
  <c r="O274" i="1"/>
  <c r="O452" i="1"/>
  <c r="O270" i="1"/>
  <c r="AB442" i="1"/>
  <c r="AC442" i="1" s="1"/>
  <c r="H19" i="2"/>
  <c r="K19" i="2"/>
  <c r="J19" i="2"/>
  <c r="M19" i="2"/>
  <c r="AE19" i="2"/>
  <c r="W19" i="2"/>
  <c r="R19" i="2"/>
  <c r="O93" i="1"/>
  <c r="S19" i="2"/>
  <c r="E210" i="2"/>
  <c r="F210" i="2" s="1"/>
  <c r="AB312" i="1"/>
  <c r="AC312" i="1" s="1"/>
  <c r="T19" i="2"/>
  <c r="U19" i="2"/>
  <c r="F19" i="2"/>
  <c r="X19" i="2"/>
  <c r="V19" i="2"/>
  <c r="AB98" i="1"/>
  <c r="AC98" i="1" s="1"/>
  <c r="AF19" i="2"/>
  <c r="AB19" i="2"/>
  <c r="AG185" i="2"/>
  <c r="AH185" i="2" s="1"/>
  <c r="AG153" i="2"/>
  <c r="AH153" i="2" s="1"/>
  <c r="AG115" i="2"/>
  <c r="AH115" i="2" s="1"/>
  <c r="I12" i="15"/>
  <c r="T84" i="15"/>
  <c r="K12" i="15" s="1"/>
  <c r="AD103" i="2"/>
  <c r="F93" i="2"/>
  <c r="F16" i="2"/>
  <c r="F55" i="2"/>
  <c r="F207" i="2"/>
  <c r="AG102" i="2"/>
  <c r="AH102" i="2" s="1"/>
  <c r="AG140" i="2"/>
  <c r="AH140" i="2" s="1"/>
  <c r="P103" i="2"/>
  <c r="K103" i="2"/>
  <c r="AG261" i="2"/>
  <c r="AH261" i="2" s="1"/>
  <c r="I278" i="1"/>
  <c r="I451" i="1"/>
  <c r="I314" i="1"/>
  <c r="I272" i="1"/>
  <c r="I316" i="1"/>
  <c r="I326" i="1"/>
  <c r="I281" i="1"/>
  <c r="I322" i="1"/>
  <c r="I320" i="1"/>
  <c r="I457" i="1"/>
  <c r="E48" i="2"/>
  <c r="I318" i="1"/>
  <c r="I324" i="1"/>
  <c r="N103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S103" i="2"/>
  <c r="Z103" i="2"/>
  <c r="V103" i="2"/>
  <c r="X103" i="2"/>
  <c r="I103" i="2"/>
  <c r="AG112" i="2" l="1"/>
  <c r="AH112" i="2" s="1"/>
  <c r="AG179" i="2"/>
  <c r="AH179" i="2" s="1"/>
  <c r="AG150" i="2"/>
  <c r="AH150" i="2" s="1"/>
  <c r="AB270" i="1"/>
  <c r="AC270" i="1" s="1"/>
  <c r="AG106" i="2"/>
  <c r="AH106" i="2" s="1"/>
  <c r="AB453" i="1"/>
  <c r="AC453" i="1" s="1"/>
  <c r="AB452" i="1"/>
  <c r="AC452" i="1" s="1"/>
  <c r="AB274" i="1"/>
  <c r="AC274" i="1" s="1"/>
  <c r="AG139" i="2"/>
  <c r="AH139" i="2" s="1"/>
  <c r="I141" i="2"/>
  <c r="AG141" i="2" s="1"/>
  <c r="AH141" i="2" s="1"/>
  <c r="F20" i="2"/>
  <c r="F21" i="2" s="1"/>
  <c r="AE20" i="2"/>
  <c r="AE21" i="2" s="1"/>
  <c r="O20" i="2"/>
  <c r="O21" i="2" s="1"/>
  <c r="AB277" i="1"/>
  <c r="AC277" i="1" s="1"/>
  <c r="N20" i="2"/>
  <c r="N21" i="2" s="1"/>
  <c r="AA20" i="2"/>
  <c r="AA21" i="2" s="1"/>
  <c r="W20" i="2"/>
  <c r="W21" i="2" s="1"/>
  <c r="AD20" i="2"/>
  <c r="AD21" i="2" s="1"/>
  <c r="Q20" i="2"/>
  <c r="Q21" i="2" s="1"/>
  <c r="U20" i="2"/>
  <c r="U21" i="2" s="1"/>
  <c r="S20" i="2"/>
  <c r="S21" i="2" s="1"/>
  <c r="K21" i="2"/>
  <c r="AF20" i="2"/>
  <c r="AF21" i="2" s="1"/>
  <c r="H20" i="2"/>
  <c r="H21" i="2" s="1"/>
  <c r="V20" i="2"/>
  <c r="V21" i="2" s="1"/>
  <c r="E21" i="2"/>
  <c r="E40" i="2" s="1"/>
  <c r="T20" i="2"/>
  <c r="T21" i="2" s="1"/>
  <c r="I20" i="2"/>
  <c r="I21" i="2" s="1"/>
  <c r="P20" i="2"/>
  <c r="P21" i="2" s="1"/>
  <c r="AC20" i="2"/>
  <c r="AC21" i="2" s="1"/>
  <c r="X20" i="2"/>
  <c r="R20" i="2"/>
  <c r="R21" i="2" s="1"/>
  <c r="Z20" i="2"/>
  <c r="Z21" i="2" s="1"/>
  <c r="M20" i="2"/>
  <c r="M21" i="2" s="1"/>
  <c r="Y20" i="2"/>
  <c r="Y21" i="2" s="1"/>
  <c r="J20" i="2"/>
  <c r="J21" i="2" s="1"/>
  <c r="G20" i="2"/>
  <c r="G21" i="2" s="1"/>
  <c r="L20" i="2"/>
  <c r="AB20" i="2"/>
  <c r="AB21" i="2" s="1"/>
  <c r="AB456" i="1"/>
  <c r="AC456" i="1" s="1"/>
  <c r="AB454" i="1"/>
  <c r="AC454" i="1" s="1"/>
  <c r="AB276" i="1"/>
  <c r="AC276" i="1" s="1"/>
  <c r="AB450" i="1"/>
  <c r="AC450" i="1" s="1"/>
  <c r="AB271" i="1"/>
  <c r="AC271" i="1" s="1"/>
  <c r="AB455" i="1"/>
  <c r="AC455" i="1" s="1"/>
  <c r="AB93" i="1"/>
  <c r="AC93" i="1" s="1"/>
  <c r="P322" i="1"/>
  <c r="P320" i="1"/>
  <c r="P316" i="1"/>
  <c r="E287" i="2" s="1"/>
  <c r="S287" i="2" s="1"/>
  <c r="P272" i="1"/>
  <c r="P451" i="1"/>
  <c r="P324" i="1"/>
  <c r="P318" i="1"/>
  <c r="P278" i="1"/>
  <c r="P457" i="1"/>
  <c r="P281" i="1"/>
  <c r="P326" i="1"/>
  <c r="E59" i="2"/>
  <c r="Y59" i="2" s="1"/>
  <c r="P314" i="1"/>
  <c r="E249" i="2" s="1"/>
  <c r="AE249" i="2" s="1"/>
  <c r="AG211" i="2"/>
  <c r="AH211" i="2" s="1"/>
  <c r="O101" i="1"/>
  <c r="AB101" i="1" s="1"/>
  <c r="AC101" i="1" s="1"/>
  <c r="AB448" i="1"/>
  <c r="AC448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AB269" i="1"/>
  <c r="AC269" i="1" s="1"/>
  <c r="E49" i="2"/>
  <c r="E238" i="2"/>
  <c r="I328" i="1"/>
  <c r="F131" i="2"/>
  <c r="F169" i="2"/>
  <c r="F283" i="2"/>
  <c r="F245" i="2"/>
  <c r="AG147" i="2"/>
  <c r="AH147" i="2" s="1"/>
  <c r="AG109" i="2"/>
  <c r="AH109" i="2" s="1"/>
  <c r="E276" i="2"/>
  <c r="J441" i="2"/>
  <c r="I461" i="1"/>
  <c r="I283" i="1"/>
  <c r="J443" i="2"/>
  <c r="J496" i="2" s="1"/>
  <c r="AG20" i="2" l="1"/>
  <c r="AH20" i="2" s="1"/>
  <c r="X21" i="2"/>
  <c r="AC59" i="2"/>
  <c r="N59" i="2"/>
  <c r="P59" i="2"/>
  <c r="AB59" i="2"/>
  <c r="L59" i="2"/>
  <c r="W59" i="2"/>
  <c r="X59" i="2"/>
  <c r="AD59" i="2"/>
  <c r="AA59" i="2"/>
  <c r="S59" i="2"/>
  <c r="O59" i="2"/>
  <c r="Z59" i="2"/>
  <c r="J59" i="2"/>
  <c r="AC287" i="2"/>
  <c r="K287" i="2"/>
  <c r="H59" i="2"/>
  <c r="F59" i="2"/>
  <c r="T59" i="2"/>
  <c r="V59" i="2"/>
  <c r="AF59" i="2"/>
  <c r="M59" i="2"/>
  <c r="U59" i="2"/>
  <c r="AE59" i="2"/>
  <c r="I59" i="2"/>
  <c r="G59" i="2"/>
  <c r="F249" i="2"/>
  <c r="O249" i="2"/>
  <c r="R287" i="2"/>
  <c r="I287" i="2"/>
  <c r="P461" i="1"/>
  <c r="P463" i="1" s="1"/>
  <c r="P465" i="1" s="1"/>
  <c r="E173" i="2" s="1"/>
  <c r="H173" i="2" s="1"/>
  <c r="H287" i="2"/>
  <c r="Q287" i="2"/>
  <c r="P287" i="2"/>
  <c r="Z287" i="2"/>
  <c r="M287" i="2"/>
  <c r="W287" i="2"/>
  <c r="X287" i="2"/>
  <c r="O287" i="2"/>
  <c r="V287" i="2"/>
  <c r="F287" i="2"/>
  <c r="AE287" i="2"/>
  <c r="AF249" i="2"/>
  <c r="AA249" i="2"/>
  <c r="Y249" i="2"/>
  <c r="K249" i="2"/>
  <c r="AD249" i="2"/>
  <c r="AC249" i="2"/>
  <c r="S249" i="2"/>
  <c r="Z249" i="2"/>
  <c r="J249" i="2"/>
  <c r="Q249" i="2"/>
  <c r="M249" i="2"/>
  <c r="N249" i="2"/>
  <c r="H249" i="2"/>
  <c r="V249" i="2"/>
  <c r="U249" i="2"/>
  <c r="P249" i="2"/>
  <c r="X249" i="2"/>
  <c r="R249" i="2"/>
  <c r="W249" i="2"/>
  <c r="G249" i="2"/>
  <c r="I249" i="2"/>
  <c r="AB249" i="2"/>
  <c r="T249" i="2"/>
  <c r="L249" i="2"/>
  <c r="T287" i="2"/>
  <c r="AA287" i="2"/>
  <c r="G287" i="2"/>
  <c r="P328" i="1"/>
  <c r="P283" i="1"/>
  <c r="P285" i="1" s="1"/>
  <c r="P129" i="1" s="1"/>
  <c r="P133" i="1" s="1"/>
  <c r="P144" i="1" s="1"/>
  <c r="E97" i="2" s="1"/>
  <c r="K97" i="2" s="1"/>
  <c r="K534" i="2" s="1"/>
  <c r="U287" i="2"/>
  <c r="Y287" i="2"/>
  <c r="K59" i="2"/>
  <c r="AD287" i="2"/>
  <c r="AF287" i="2"/>
  <c r="AB287" i="2"/>
  <c r="J287" i="2"/>
  <c r="L287" i="2"/>
  <c r="N287" i="2"/>
  <c r="R59" i="2"/>
  <c r="Q59" i="2"/>
  <c r="O104" i="1"/>
  <c r="AB104" i="1" s="1"/>
  <c r="AC104" i="1" s="1"/>
  <c r="J449" i="2"/>
  <c r="I285" i="1"/>
  <c r="E277" i="2"/>
  <c r="I463" i="1"/>
  <c r="E239" i="2"/>
  <c r="K563" i="2" l="1"/>
  <c r="K637" i="2"/>
  <c r="Y173" i="2"/>
  <c r="O173" i="2"/>
  <c r="AD97" i="2"/>
  <c r="AD534" i="2" s="1"/>
  <c r="AD563" i="2" s="1"/>
  <c r="AA173" i="2"/>
  <c r="K173" i="2"/>
  <c r="AB173" i="2"/>
  <c r="V173" i="2"/>
  <c r="S173" i="2"/>
  <c r="J173" i="2"/>
  <c r="F173" i="2"/>
  <c r="T173" i="2"/>
  <c r="AF173" i="2"/>
  <c r="X97" i="2"/>
  <c r="X534" i="2" s="1"/>
  <c r="X637" i="2" s="1"/>
  <c r="X638" i="2" s="1"/>
  <c r="I173" i="2"/>
  <c r="X173" i="2"/>
  <c r="R173" i="2"/>
  <c r="M97" i="2"/>
  <c r="M534" i="2" s="1"/>
  <c r="Q173" i="2"/>
  <c r="W173" i="2"/>
  <c r="AD173" i="2"/>
  <c r="J97" i="2"/>
  <c r="J534" i="2" s="1"/>
  <c r="M173" i="2"/>
  <c r="Z173" i="2"/>
  <c r="N173" i="2"/>
  <c r="AE173" i="2"/>
  <c r="G173" i="2"/>
  <c r="U173" i="2"/>
  <c r="P173" i="2"/>
  <c r="AC173" i="2"/>
  <c r="L173" i="2"/>
  <c r="AG249" i="2"/>
  <c r="AH249" i="2" s="1"/>
  <c r="AB97" i="2"/>
  <c r="AB534" i="2" s="1"/>
  <c r="AB637" i="2" s="1"/>
  <c r="AB638" i="2" s="1"/>
  <c r="W97" i="2"/>
  <c r="W534" i="2" s="1"/>
  <c r="W563" i="2" s="1"/>
  <c r="AF97" i="2"/>
  <c r="AF534" i="2" s="1"/>
  <c r="AF637" i="2" s="1"/>
  <c r="AF638" i="2" s="1"/>
  <c r="G97" i="2"/>
  <c r="G534" i="2" s="1"/>
  <c r="H97" i="2"/>
  <c r="H534" i="2" s="1"/>
  <c r="F97" i="2"/>
  <c r="F534" i="2" s="1"/>
  <c r="P330" i="1"/>
  <c r="P97" i="2"/>
  <c r="P534" i="2" s="1"/>
  <c r="AE97" i="2"/>
  <c r="N97" i="2"/>
  <c r="N534" i="2" s="1"/>
  <c r="E135" i="2"/>
  <c r="L97" i="2"/>
  <c r="L534" i="2" s="1"/>
  <c r="T97" i="2"/>
  <c r="T534" i="2" s="1"/>
  <c r="R97" i="2"/>
  <c r="R534" i="2" s="1"/>
  <c r="P287" i="1"/>
  <c r="E534" i="2"/>
  <c r="I97" i="2"/>
  <c r="I534" i="2" s="1"/>
  <c r="Y97" i="2"/>
  <c r="Y534" i="2" s="1"/>
  <c r="Y563" i="2" s="1"/>
  <c r="O97" i="2"/>
  <c r="O534" i="2" s="1"/>
  <c r="V97" i="2"/>
  <c r="V534" i="2" s="1"/>
  <c r="V563" i="2" s="1"/>
  <c r="AC97" i="2"/>
  <c r="AC534" i="2" s="1"/>
  <c r="AC637" i="2" s="1"/>
  <c r="AC638" i="2" s="1"/>
  <c r="Q97" i="2"/>
  <c r="Q534" i="2" s="1"/>
  <c r="AA97" i="2"/>
  <c r="AA534" i="2" s="1"/>
  <c r="AA637" i="2" s="1"/>
  <c r="AA638" i="2" s="1"/>
  <c r="U97" i="2"/>
  <c r="U534" i="2" s="1"/>
  <c r="Z97" i="2"/>
  <c r="Z534" i="2" s="1"/>
  <c r="Z563" i="2" s="1"/>
  <c r="S97" i="2"/>
  <c r="S534" i="2" s="1"/>
  <c r="AG59" i="2"/>
  <c r="AH59" i="2" s="1"/>
  <c r="AG287" i="2"/>
  <c r="AH287" i="2" s="1"/>
  <c r="O124" i="1"/>
  <c r="O126" i="1" s="1"/>
  <c r="AE499" i="2"/>
  <c r="AE500" i="2" s="1"/>
  <c r="AE501" i="2" s="1"/>
  <c r="M499" i="2"/>
  <c r="M500" i="2" s="1"/>
  <c r="M501" i="2" s="1"/>
  <c r="O499" i="2"/>
  <c r="O500" i="2" s="1"/>
  <c r="O501" i="2" s="1"/>
  <c r="Z499" i="2"/>
  <c r="Z500" i="2" s="1"/>
  <c r="Z501" i="2" s="1"/>
  <c r="AD499" i="2"/>
  <c r="AD500" i="2" s="1"/>
  <c r="AD501" i="2" s="1"/>
  <c r="V499" i="2"/>
  <c r="V500" i="2" s="1"/>
  <c r="V501" i="2" s="1"/>
  <c r="P499" i="2"/>
  <c r="P500" i="2" s="1"/>
  <c r="P501" i="2" s="1"/>
  <c r="W499" i="2"/>
  <c r="W500" i="2" s="1"/>
  <c r="W501" i="2" s="1"/>
  <c r="AC499" i="2"/>
  <c r="AC500" i="2" s="1"/>
  <c r="AC501" i="2" s="1"/>
  <c r="N499" i="2"/>
  <c r="N500" i="2" s="1"/>
  <c r="N501" i="2" s="1"/>
  <c r="R499" i="2"/>
  <c r="R500" i="2" s="1"/>
  <c r="R501" i="2" s="1"/>
  <c r="Q499" i="2"/>
  <c r="Q500" i="2" s="1"/>
  <c r="Q501" i="2" s="1"/>
  <c r="T499" i="2"/>
  <c r="T500" i="2" s="1"/>
  <c r="T501" i="2" s="1"/>
  <c r="AF499" i="2"/>
  <c r="AF500" i="2" s="1"/>
  <c r="AF501" i="2" s="1"/>
  <c r="AB499" i="2"/>
  <c r="AB500" i="2" s="1"/>
  <c r="AB501" i="2" s="1"/>
  <c r="K499" i="2"/>
  <c r="K500" i="2" s="1"/>
  <c r="K501" i="2" s="1"/>
  <c r="J499" i="2"/>
  <c r="J500" i="2" s="1"/>
  <c r="J501" i="2" s="1"/>
  <c r="F499" i="2"/>
  <c r="H499" i="2"/>
  <c r="H500" i="2" s="1"/>
  <c r="H501" i="2" s="1"/>
  <c r="Y499" i="2"/>
  <c r="Y500" i="2" s="1"/>
  <c r="Y501" i="2" s="1"/>
  <c r="U499" i="2"/>
  <c r="U500" i="2" s="1"/>
  <c r="U501" i="2" s="1"/>
  <c r="AA499" i="2"/>
  <c r="AA500" i="2" s="1"/>
  <c r="AA501" i="2" s="1"/>
  <c r="S499" i="2"/>
  <c r="S500" i="2" s="1"/>
  <c r="S501" i="2" s="1"/>
  <c r="X499" i="2"/>
  <c r="X500" i="2" s="1"/>
  <c r="X501" i="2" s="1"/>
  <c r="I499" i="2"/>
  <c r="I500" i="2" s="1"/>
  <c r="I501" i="2" s="1"/>
  <c r="G499" i="2"/>
  <c r="G500" i="2" s="1"/>
  <c r="G501" i="2" s="1"/>
  <c r="I465" i="1"/>
  <c r="I330" i="1"/>
  <c r="I129" i="1"/>
  <c r="E124" i="2"/>
  <c r="I287" i="1"/>
  <c r="J452" i="2"/>
  <c r="J456" i="2"/>
  <c r="J477" i="2" s="1"/>
  <c r="Q637" i="2" l="1"/>
  <c r="X563" i="2"/>
  <c r="T563" i="2"/>
  <c r="T637" i="2"/>
  <c r="H563" i="2"/>
  <c r="H637" i="2"/>
  <c r="L637" i="2"/>
  <c r="L563" i="2"/>
  <c r="G563" i="2"/>
  <c r="G637" i="2"/>
  <c r="O637" i="2"/>
  <c r="O563" i="2"/>
  <c r="S637" i="2"/>
  <c r="S563" i="2"/>
  <c r="N563" i="2"/>
  <c r="N637" i="2"/>
  <c r="M637" i="2"/>
  <c r="M563" i="2"/>
  <c r="I637" i="2"/>
  <c r="I563" i="2"/>
  <c r="U563" i="2"/>
  <c r="U637" i="2"/>
  <c r="Q563" i="2"/>
  <c r="R637" i="2"/>
  <c r="R563" i="2"/>
  <c r="J637" i="2"/>
  <c r="J563" i="2"/>
  <c r="N135" i="2"/>
  <c r="N516" i="2" s="1"/>
  <c r="E516" i="2"/>
  <c r="J484" i="2"/>
  <c r="J487" i="2" s="1"/>
  <c r="J488" i="2" s="1"/>
  <c r="J489" i="2" s="1"/>
  <c r="J480" i="2"/>
  <c r="J481" i="2" s="1"/>
  <c r="J482" i="2" s="1"/>
  <c r="AD637" i="2"/>
  <c r="AD638" i="2" s="1"/>
  <c r="L135" i="2"/>
  <c r="L516" i="2" s="1"/>
  <c r="W637" i="2"/>
  <c r="W638" i="2" s="1"/>
  <c r="W135" i="2"/>
  <c r="W516" i="2" s="1"/>
  <c r="W554" i="2" s="1"/>
  <c r="M135" i="2"/>
  <c r="M516" i="2" s="1"/>
  <c r="O135" i="2"/>
  <c r="O516" i="2" s="1"/>
  <c r="I135" i="2"/>
  <c r="I516" i="2" s="1"/>
  <c r="H135" i="2"/>
  <c r="H516" i="2" s="1"/>
  <c r="R135" i="2"/>
  <c r="R516" i="2" s="1"/>
  <c r="T135" i="2"/>
  <c r="J135" i="2"/>
  <c r="J516" i="2" s="1"/>
  <c r="AF135" i="2"/>
  <c r="AF516" i="2" s="1"/>
  <c r="F135" i="2"/>
  <c r="F516" i="2" s="1"/>
  <c r="G135" i="2"/>
  <c r="G516" i="2" s="1"/>
  <c r="U135" i="2"/>
  <c r="K135" i="2"/>
  <c r="K516" i="2" s="1"/>
  <c r="AC135" i="2"/>
  <c r="AC516" i="2" s="1"/>
  <c r="AC554" i="2" s="1"/>
  <c r="AG173" i="2"/>
  <c r="AH173" i="2" s="1"/>
  <c r="V637" i="2"/>
  <c r="V638" i="2" s="1"/>
  <c r="AD135" i="2"/>
  <c r="AD516" i="2" s="1"/>
  <c r="AD554" i="2" s="1"/>
  <c r="AB563" i="2"/>
  <c r="Z135" i="2"/>
  <c r="Z516" i="2" s="1"/>
  <c r="Z554" i="2" s="1"/>
  <c r="Y135" i="2"/>
  <c r="Y516" i="2" s="1"/>
  <c r="Y554" i="2" s="1"/>
  <c r="AC563" i="2"/>
  <c r="Q135" i="2"/>
  <c r="Q516" i="2" s="1"/>
  <c r="Y637" i="2"/>
  <c r="Y638" i="2" s="1"/>
  <c r="S135" i="2"/>
  <c r="S516" i="2" s="1"/>
  <c r="AA135" i="2"/>
  <c r="AA516" i="2" s="1"/>
  <c r="AA554" i="2" s="1"/>
  <c r="AE135" i="2"/>
  <c r="V135" i="2"/>
  <c r="V516" i="2" s="1"/>
  <c r="V554" i="2" s="1"/>
  <c r="P135" i="2"/>
  <c r="P516" i="2" s="1"/>
  <c r="AB135" i="2"/>
  <c r="AB516" i="2" s="1"/>
  <c r="AB554" i="2" s="1"/>
  <c r="Z637" i="2"/>
  <c r="Z638" i="2" s="1"/>
  <c r="AA563" i="2"/>
  <c r="X135" i="2"/>
  <c r="X516" i="2" s="1"/>
  <c r="X554" i="2" s="1"/>
  <c r="AG97" i="2"/>
  <c r="AH97" i="2" s="1"/>
  <c r="AB124" i="1"/>
  <c r="AC124" i="1" s="1"/>
  <c r="O272" i="1"/>
  <c r="O324" i="1"/>
  <c r="AB324" i="1" s="1"/>
  <c r="AC324" i="1" s="1"/>
  <c r="O322" i="1"/>
  <c r="AB322" i="1" s="1"/>
  <c r="AC322" i="1" s="1"/>
  <c r="O451" i="1"/>
  <c r="O326" i="1"/>
  <c r="AB326" i="1" s="1"/>
  <c r="AC326" i="1" s="1"/>
  <c r="O320" i="1"/>
  <c r="AB320" i="1" s="1"/>
  <c r="AC320" i="1" s="1"/>
  <c r="O316" i="1"/>
  <c r="O281" i="1"/>
  <c r="AB281" i="1" s="1"/>
  <c r="AC281" i="1" s="1"/>
  <c r="O457" i="1"/>
  <c r="AB457" i="1" s="1"/>
  <c r="AC457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63" i="2"/>
  <c r="AG534" i="2"/>
  <c r="AH534" i="2" s="1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500" i="2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53" i="2"/>
  <c r="E162" i="2"/>
  <c r="E504" i="2"/>
  <c r="E513" i="2"/>
  <c r="E522" i="2" s="1"/>
  <c r="E125" i="2"/>
  <c r="I133" i="1"/>
  <c r="J459" i="2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U516" i="2" l="1"/>
  <c r="T516" i="2"/>
  <c r="AG135" i="2"/>
  <c r="AH135" i="2" s="1"/>
  <c r="E248" i="2"/>
  <c r="O328" i="1"/>
  <c r="AB328" i="1" s="1"/>
  <c r="AC328" i="1" s="1"/>
  <c r="AB314" i="1"/>
  <c r="AC314" i="1" s="1"/>
  <c r="O283" i="1"/>
  <c r="AB272" i="1"/>
  <c r="AC272" i="1" s="1"/>
  <c r="O461" i="1"/>
  <c r="AB451" i="1"/>
  <c r="AC451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J58" i="2"/>
  <c r="J60" i="2" s="1"/>
  <c r="F58" i="2"/>
  <c r="E286" i="2"/>
  <c r="AB316" i="1"/>
  <c r="AC316" i="1" s="1"/>
  <c r="J512" i="2"/>
  <c r="J460" i="2"/>
  <c r="I144" i="1"/>
  <c r="O512" i="2"/>
  <c r="P512" i="2"/>
  <c r="N530" i="2"/>
  <c r="AF512" i="2"/>
  <c r="AB512" i="2"/>
  <c r="G512" i="2"/>
  <c r="T512" i="2"/>
  <c r="X512" i="2"/>
  <c r="N512" i="2"/>
  <c r="F501" i="2"/>
  <c r="U512" i="2"/>
  <c r="I512" i="2"/>
  <c r="Z512" i="2"/>
  <c r="AA512" i="2"/>
  <c r="AE512" i="2"/>
  <c r="K512" i="2"/>
  <c r="M512" i="2"/>
  <c r="V512" i="2"/>
  <c r="E163" i="2"/>
  <c r="O530" i="2"/>
  <c r="P530" i="2"/>
  <c r="R530" i="2"/>
  <c r="G530" i="2"/>
  <c r="AD512" i="2"/>
  <c r="AC512" i="2"/>
  <c r="Q530" i="2"/>
  <c r="Q512" i="2"/>
  <c r="K530" i="2"/>
  <c r="S512" i="2"/>
  <c r="M530" i="2"/>
  <c r="J530" i="2"/>
  <c r="E506" i="2"/>
  <c r="AG504" i="2"/>
  <c r="AH504" i="2" s="1"/>
  <c r="I530" i="2"/>
  <c r="W512" i="2"/>
  <c r="R512" i="2"/>
  <c r="H512" i="2"/>
  <c r="H530" i="2"/>
  <c r="Y512" i="2"/>
  <c r="Q621" i="2" l="1"/>
  <c r="H559" i="2"/>
  <c r="H621" i="2"/>
  <c r="M559" i="2"/>
  <c r="M621" i="2"/>
  <c r="R559" i="2"/>
  <c r="R621" i="2"/>
  <c r="O559" i="2"/>
  <c r="O621" i="2"/>
  <c r="K559" i="2"/>
  <c r="K621" i="2"/>
  <c r="I621" i="2"/>
  <c r="I559" i="2"/>
  <c r="N559" i="2"/>
  <c r="N621" i="2"/>
  <c r="Q559" i="2"/>
  <c r="J621" i="2"/>
  <c r="J559" i="2"/>
  <c r="G559" i="2"/>
  <c r="G621" i="2"/>
  <c r="AG516" i="2"/>
  <c r="E288" i="2"/>
  <c r="E307" i="2" s="1"/>
  <c r="E322" i="2" s="1"/>
  <c r="AB286" i="2"/>
  <c r="AB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O463" i="1"/>
  <c r="AB461" i="1"/>
  <c r="AC461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F161" i="2"/>
  <c r="F8" i="2"/>
  <c r="F199" i="2"/>
  <c r="F237" i="2"/>
  <c r="F123" i="2"/>
  <c r="F275" i="2"/>
  <c r="F85" i="2"/>
  <c r="F47" i="2"/>
  <c r="X550" i="2"/>
  <c r="X594" i="2" s="1"/>
  <c r="X620" i="2" s="1"/>
  <c r="AC550" i="2"/>
  <c r="AC594" i="2" s="1"/>
  <c r="AC620" i="2" s="1"/>
  <c r="W550" i="2"/>
  <c r="W594" i="2" s="1"/>
  <c r="W620" i="2" s="1"/>
  <c r="Z550" i="2"/>
  <c r="Z594" i="2" s="1"/>
  <c r="Z620" i="2" s="1"/>
  <c r="AA550" i="2"/>
  <c r="AA594" i="2" s="1"/>
  <c r="AA620" i="2" s="1"/>
  <c r="E86" i="2"/>
  <c r="AD550" i="2"/>
  <c r="AD594" i="2" s="1"/>
  <c r="AD620" i="2" s="1"/>
  <c r="V550" i="2"/>
  <c r="V594" i="2" s="1"/>
  <c r="V620" i="2" s="1"/>
  <c r="Y550" i="2"/>
  <c r="Y594" i="2" s="1"/>
  <c r="Y620" i="2" s="1"/>
  <c r="E507" i="2"/>
  <c r="G506" i="2"/>
  <c r="G507" i="2" s="1"/>
  <c r="F506" i="2"/>
  <c r="AD506" i="2"/>
  <c r="AD507" i="2" s="1"/>
  <c r="AB506" i="2"/>
  <c r="AB507" i="2" s="1"/>
  <c r="H506" i="2"/>
  <c r="H507" i="2" s="1"/>
  <c r="U506" i="2"/>
  <c r="U507" i="2" s="1"/>
  <c r="W506" i="2"/>
  <c r="W507" i="2" s="1"/>
  <c r="L506" i="2"/>
  <c r="L507" i="2" s="1"/>
  <c r="V506" i="2"/>
  <c r="V507" i="2" s="1"/>
  <c r="M506" i="2"/>
  <c r="M507" i="2" s="1"/>
  <c r="X506" i="2"/>
  <c r="X507" i="2" s="1"/>
  <c r="O506" i="2"/>
  <c r="O507" i="2" s="1"/>
  <c r="AA506" i="2"/>
  <c r="AA507" i="2" s="1"/>
  <c r="AC506" i="2"/>
  <c r="AC507" i="2" s="1"/>
  <c r="J506" i="2"/>
  <c r="J507" i="2" s="1"/>
  <c r="S506" i="2"/>
  <c r="S507" i="2" s="1"/>
  <c r="AE506" i="2"/>
  <c r="AE507" i="2" s="1"/>
  <c r="T506" i="2"/>
  <c r="T507" i="2" s="1"/>
  <c r="Q506" i="2"/>
  <c r="Q507" i="2" s="1"/>
  <c r="AF506" i="2"/>
  <c r="AF507" i="2" s="1"/>
  <c r="Z506" i="2"/>
  <c r="Z507" i="2" s="1"/>
  <c r="Y506" i="2"/>
  <c r="Y507" i="2" s="1"/>
  <c r="R506" i="2"/>
  <c r="R507" i="2" s="1"/>
  <c r="I506" i="2"/>
  <c r="I507" i="2" s="1"/>
  <c r="P506" i="2"/>
  <c r="P507" i="2" s="1"/>
  <c r="N506" i="2"/>
  <c r="N507" i="2" s="1"/>
  <c r="K506" i="2"/>
  <c r="K507" i="2" s="1"/>
  <c r="AB550" i="2"/>
  <c r="AB594" i="2" s="1"/>
  <c r="AB620" i="2" s="1"/>
  <c r="F288" i="2" l="1"/>
  <c r="F250" i="2"/>
  <c r="O465" i="1"/>
  <c r="AB463" i="1"/>
  <c r="AC463" i="1" s="1"/>
  <c r="O129" i="1"/>
  <c r="E134" i="2"/>
  <c r="O330" i="1"/>
  <c r="AB330" i="1" s="1"/>
  <c r="AC330" i="1" s="1"/>
  <c r="O287" i="1"/>
  <c r="AB287" i="1" s="1"/>
  <c r="AC287" i="1" s="1"/>
  <c r="AB285" i="1"/>
  <c r="AC285" i="1" s="1"/>
  <c r="F530" i="2"/>
  <c r="AA508" i="2"/>
  <c r="AC508" i="2"/>
  <c r="J508" i="2"/>
  <c r="S508" i="2"/>
  <c r="AE508" i="2"/>
  <c r="T508" i="2"/>
  <c r="P508" i="2"/>
  <c r="Q508" i="2"/>
  <c r="AF508" i="2"/>
  <c r="Z508" i="2"/>
  <c r="Y508" i="2"/>
  <c r="R508" i="2"/>
  <c r="G508" i="2"/>
  <c r="I508" i="2"/>
  <c r="K508" i="2"/>
  <c r="AD508" i="2"/>
  <c r="AB508" i="2"/>
  <c r="N508" i="2"/>
  <c r="H508" i="2"/>
  <c r="U508" i="2"/>
  <c r="W508" i="2"/>
  <c r="L508" i="2"/>
  <c r="V508" i="2"/>
  <c r="M508" i="2"/>
  <c r="X508" i="2"/>
  <c r="O508" i="2"/>
  <c r="E531" i="2"/>
  <c r="E87" i="2"/>
  <c r="F512" i="2"/>
  <c r="F507" i="2"/>
  <c r="AG507" i="2" s="1"/>
  <c r="AH507" i="2" s="1"/>
  <c r="AG506" i="2"/>
  <c r="AH506" i="2" s="1"/>
  <c r="E136" i="2" l="1"/>
  <c r="E155" i="2" s="1"/>
  <c r="E319" i="2" s="1"/>
  <c r="E324" i="2" s="1"/>
  <c r="E362" i="2" s="1"/>
  <c r="T134" i="2"/>
  <c r="T515" i="2" s="1"/>
  <c r="K134" i="2"/>
  <c r="K515" i="2" s="1"/>
  <c r="U134" i="2"/>
  <c r="U515" i="2" s="1"/>
  <c r="Q134" i="2"/>
  <c r="Q515" i="2" s="1"/>
  <c r="I134" i="2"/>
  <c r="I515" i="2" s="1"/>
  <c r="S134" i="2"/>
  <c r="S515" i="2" s="1"/>
  <c r="AC134" i="2"/>
  <c r="O134" i="2"/>
  <c r="O515" i="2" s="1"/>
  <c r="AD134" i="2"/>
  <c r="E515" i="2"/>
  <c r="AE134" i="2"/>
  <c r="G134" i="2"/>
  <c r="G515" i="2" s="1"/>
  <c r="H134" i="2"/>
  <c r="H515" i="2" s="1"/>
  <c r="Z134" i="2"/>
  <c r="AA134" i="2"/>
  <c r="X134" i="2"/>
  <c r="N134" i="2"/>
  <c r="N515" i="2" s="1"/>
  <c r="J134" i="2"/>
  <c r="J136" i="2" s="1"/>
  <c r="AF134" i="2"/>
  <c r="V134" i="2"/>
  <c r="M134" i="2"/>
  <c r="M515" i="2" s="1"/>
  <c r="W134" i="2"/>
  <c r="Y134" i="2"/>
  <c r="F134" i="2"/>
  <c r="F515" i="2" s="1"/>
  <c r="R134" i="2"/>
  <c r="R515" i="2" s="1"/>
  <c r="P134" i="2"/>
  <c r="P515" i="2" s="1"/>
  <c r="AB134" i="2"/>
  <c r="O133" i="1"/>
  <c r="AB129" i="1"/>
  <c r="AC129" i="1" s="1"/>
  <c r="E172" i="2"/>
  <c r="AB465" i="1"/>
  <c r="AC465" i="1" s="1"/>
  <c r="F508" i="2"/>
  <c r="V162" i="2"/>
  <c r="V163" i="2" s="1"/>
  <c r="V200" i="2"/>
  <c r="V201" i="2" s="1"/>
  <c r="V231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O86" i="2"/>
  <c r="O238" i="2"/>
  <c r="O239" i="2" s="1"/>
  <c r="O269" i="2" s="1"/>
  <c r="O321" i="2" s="1"/>
  <c r="O9" i="2"/>
  <c r="O162" i="2"/>
  <c r="O163" i="2" s="1"/>
  <c r="O124" i="2"/>
  <c r="O276" i="2"/>
  <c r="O277" i="2" s="1"/>
  <c r="O307" i="2" s="1"/>
  <c r="O322" i="2" s="1"/>
  <c r="O200" i="2"/>
  <c r="O201" i="2" s="1"/>
  <c r="O231" i="2" s="1"/>
  <c r="O48" i="2"/>
  <c r="O49" i="2" s="1"/>
  <c r="O79" i="2" s="1"/>
  <c r="L9" i="2"/>
  <c r="L124" i="2"/>
  <c r="L200" i="2"/>
  <c r="L48" i="2"/>
  <c r="L276" i="2"/>
  <c r="L162" i="2"/>
  <c r="L86" i="2"/>
  <c r="L238" i="2"/>
  <c r="N200" i="2"/>
  <c r="N201" i="2" s="1"/>
  <c r="N231" i="2" s="1"/>
  <c r="N86" i="2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200" i="2"/>
  <c r="I201" i="2" s="1"/>
  <c r="I231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J207" i="2"/>
  <c r="J55" i="2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124" i="2"/>
  <c r="X162" i="2"/>
  <c r="X163" i="2" s="1"/>
  <c r="W200" i="2"/>
  <c r="W201" i="2" s="1"/>
  <c r="W231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E124" i="2"/>
  <c r="AE162" i="2"/>
  <c r="AE163" i="2" s="1"/>
  <c r="AE200" i="2"/>
  <c r="AE201" i="2" s="1"/>
  <c r="AE231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124" i="2"/>
  <c r="F559" i="2"/>
  <c r="M48" i="2"/>
  <c r="M49" i="2" s="1"/>
  <c r="M79" i="2" s="1"/>
  <c r="M162" i="2"/>
  <c r="M163" i="2" s="1"/>
  <c r="M276" i="2"/>
  <c r="M277" i="2" s="1"/>
  <c r="M307" i="2" s="1"/>
  <c r="M322" i="2" s="1"/>
  <c r="M124" i="2"/>
  <c r="M200" i="2"/>
  <c r="M201" i="2" s="1"/>
  <c r="M231" i="2" s="1"/>
  <c r="M86" i="2"/>
  <c r="M9" i="2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9" i="2"/>
  <c r="S10" i="2" s="1"/>
  <c r="S40" i="2" s="1"/>
  <c r="N40" i="2" l="1"/>
  <c r="M40" i="2"/>
  <c r="O40" i="2"/>
  <c r="E326" i="2"/>
  <c r="W136" i="2"/>
  <c r="W515" i="2"/>
  <c r="S136" i="2"/>
  <c r="R136" i="2"/>
  <c r="M136" i="2"/>
  <c r="N136" i="2"/>
  <c r="H136" i="2"/>
  <c r="AD136" i="2"/>
  <c r="AD515" i="2"/>
  <c r="I136" i="2"/>
  <c r="K136" i="2"/>
  <c r="U136" i="2"/>
  <c r="O144" i="1"/>
  <c r="AB133" i="1"/>
  <c r="AC133" i="1" s="1"/>
  <c r="F136" i="2"/>
  <c r="V136" i="2"/>
  <c r="V515" i="2"/>
  <c r="X136" i="2"/>
  <c r="X515" i="2"/>
  <c r="G136" i="2"/>
  <c r="O136" i="2"/>
  <c r="Q136" i="2"/>
  <c r="T136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T172" i="2"/>
  <c r="T174" i="2" s="1"/>
  <c r="T193" i="2" s="1"/>
  <c r="AB172" i="2"/>
  <c r="AB174" i="2" s="1"/>
  <c r="AB193" i="2" s="1"/>
  <c r="P136" i="2"/>
  <c r="Z136" i="2"/>
  <c r="Z515" i="2"/>
  <c r="AB515" i="2"/>
  <c r="AB136" i="2"/>
  <c r="Y515" i="2"/>
  <c r="Y136" i="2"/>
  <c r="AF515" i="2"/>
  <c r="AF136" i="2"/>
  <c r="AA136" i="2"/>
  <c r="AA515" i="2"/>
  <c r="AE136" i="2"/>
  <c r="AE515" i="2"/>
  <c r="AC136" i="2"/>
  <c r="AC515" i="2"/>
  <c r="S320" i="2"/>
  <c r="S513" i="2"/>
  <c r="S125" i="2"/>
  <c r="Q513" i="2"/>
  <c r="Q125" i="2"/>
  <c r="R320" i="2"/>
  <c r="AE513" i="2"/>
  <c r="AE125" i="2"/>
  <c r="AF513" i="2"/>
  <c r="AF125" i="2"/>
  <c r="AB513" i="2"/>
  <c r="AB125" i="2"/>
  <c r="W320" i="2"/>
  <c r="T320" i="2"/>
  <c r="I513" i="2"/>
  <c r="I522" i="2" s="1"/>
  <c r="I551" i="2" s="1"/>
  <c r="I571" i="2" s="1"/>
  <c r="I125" i="2"/>
  <c r="I531" i="2"/>
  <c r="I87" i="2"/>
  <c r="N320" i="2"/>
  <c r="O513" i="2"/>
  <c r="O125" i="2"/>
  <c r="O531" i="2"/>
  <c r="O87" i="2"/>
  <c r="J79" i="2"/>
  <c r="J231" i="2"/>
  <c r="P531" i="2"/>
  <c r="P87" i="2"/>
  <c r="Y513" i="2"/>
  <c r="Y125" i="2"/>
  <c r="H531" i="2"/>
  <c r="H87" i="2"/>
  <c r="V320" i="2"/>
  <c r="M531" i="2"/>
  <c r="M87" i="2"/>
  <c r="AA513" i="2"/>
  <c r="AA125" i="2"/>
  <c r="AF320" i="2"/>
  <c r="G531" i="2"/>
  <c r="G87" i="2"/>
  <c r="W513" i="2"/>
  <c r="W125" i="2"/>
  <c r="T513" i="2"/>
  <c r="T125" i="2"/>
  <c r="N513" i="2"/>
  <c r="N125" i="2"/>
  <c r="J40" i="2"/>
  <c r="J513" i="2"/>
  <c r="J522" i="2" s="1"/>
  <c r="J551" i="2" s="1"/>
  <c r="J571" i="2" s="1"/>
  <c r="J125" i="2"/>
  <c r="P320" i="2"/>
  <c r="K320" i="2"/>
  <c r="H320" i="2"/>
  <c r="H513" i="2"/>
  <c r="H522" i="2" s="1"/>
  <c r="H551" i="2" s="1"/>
  <c r="H571" i="2" s="1"/>
  <c r="H125" i="2"/>
  <c r="E393" i="2"/>
  <c r="R531" i="2"/>
  <c r="R87" i="2"/>
  <c r="R513" i="2"/>
  <c r="R125" i="2"/>
  <c r="AD320" i="2"/>
  <c r="AD513" i="2"/>
  <c r="AD125" i="2"/>
  <c r="M320" i="2"/>
  <c r="AA320" i="2"/>
  <c r="AE320" i="2"/>
  <c r="G320" i="2"/>
  <c r="X513" i="2"/>
  <c r="X125" i="2"/>
  <c r="AC513" i="2"/>
  <c r="AC125" i="2"/>
  <c r="Z513" i="2"/>
  <c r="Z125" i="2"/>
  <c r="L531" i="2"/>
  <c r="O320" i="2"/>
  <c r="F48" i="2"/>
  <c r="F200" i="2"/>
  <c r="AG508" i="2"/>
  <c r="AH508" i="2" s="1"/>
  <c r="F276" i="2"/>
  <c r="F86" i="2"/>
  <c r="F238" i="2"/>
  <c r="F162" i="2"/>
  <c r="F9" i="2"/>
  <c r="F124" i="2"/>
  <c r="Q320" i="2"/>
  <c r="Q531" i="2"/>
  <c r="Q87" i="2"/>
  <c r="U320" i="2"/>
  <c r="U513" i="2"/>
  <c r="U125" i="2"/>
  <c r="M513" i="2"/>
  <c r="M125" i="2"/>
  <c r="G513" i="2"/>
  <c r="G522" i="2" s="1"/>
  <c r="G551" i="2" s="1"/>
  <c r="G571" i="2" s="1"/>
  <c r="G125" i="2"/>
  <c r="AB320" i="2"/>
  <c r="X320" i="2"/>
  <c r="AC320" i="2"/>
  <c r="Z320" i="2"/>
  <c r="I320" i="2"/>
  <c r="N531" i="2"/>
  <c r="N87" i="2"/>
  <c r="L513" i="2"/>
  <c r="L522" i="2" s="1"/>
  <c r="L551" i="2" s="1"/>
  <c r="L571" i="2" s="1"/>
  <c r="J245" i="2"/>
  <c r="J283" i="2"/>
  <c r="J131" i="2"/>
  <c r="J169" i="2"/>
  <c r="J531" i="2"/>
  <c r="J87" i="2"/>
  <c r="P513" i="2"/>
  <c r="P125" i="2"/>
  <c r="Y320" i="2"/>
  <c r="K531" i="2"/>
  <c r="K87" i="2"/>
  <c r="K513" i="2"/>
  <c r="K522" i="2" s="1"/>
  <c r="K551" i="2" s="1"/>
  <c r="K571" i="2" s="1"/>
  <c r="K125" i="2"/>
  <c r="V513" i="2"/>
  <c r="V125" i="2"/>
  <c r="Q623" i="2" l="1"/>
  <c r="K374" i="2"/>
  <c r="K375" i="2"/>
  <c r="K376" i="2"/>
  <c r="K373" i="2"/>
  <c r="K378" i="2"/>
  <c r="M560" i="2"/>
  <c r="M623" i="2"/>
  <c r="I623" i="2"/>
  <c r="I560" i="2"/>
  <c r="L623" i="2"/>
  <c r="L560" i="2"/>
  <c r="I596" i="2"/>
  <c r="I622" i="2"/>
  <c r="G596" i="2"/>
  <c r="G622" i="2"/>
  <c r="R560" i="2"/>
  <c r="R623" i="2"/>
  <c r="G560" i="2"/>
  <c r="G623" i="2"/>
  <c r="H623" i="2"/>
  <c r="H560" i="2"/>
  <c r="O623" i="2"/>
  <c r="O560" i="2"/>
  <c r="J596" i="2"/>
  <c r="J622" i="2"/>
  <c r="K623" i="2"/>
  <c r="K560" i="2"/>
  <c r="N623" i="2"/>
  <c r="N560" i="2"/>
  <c r="J623" i="2"/>
  <c r="J560" i="2"/>
  <c r="K596" i="2"/>
  <c r="K622" i="2"/>
  <c r="L622" i="2"/>
  <c r="L596" i="2"/>
  <c r="Q560" i="2"/>
  <c r="H596" i="2"/>
  <c r="H622" i="2"/>
  <c r="J515" i="2"/>
  <c r="I194" i="2"/>
  <c r="H194" i="2"/>
  <c r="G194" i="2"/>
  <c r="AA155" i="2"/>
  <c r="AA319" i="2" s="1"/>
  <c r="AA324" i="2" s="1"/>
  <c r="N155" i="2"/>
  <c r="N319" i="2" s="1"/>
  <c r="N324" i="2" s="1"/>
  <c r="N362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62" i="2" s="1"/>
  <c r="H155" i="2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62" i="2" s="1"/>
  <c r="R155" i="2"/>
  <c r="R319" i="2" s="1"/>
  <c r="R324" i="2" s="1"/>
  <c r="R362" i="2" s="1"/>
  <c r="Z155" i="2"/>
  <c r="Z319" i="2" s="1"/>
  <c r="Z324" i="2" s="1"/>
  <c r="X155" i="2"/>
  <c r="X319" i="2" s="1"/>
  <c r="X324" i="2" s="1"/>
  <c r="T155" i="2"/>
  <c r="T319" i="2" s="1"/>
  <c r="T324" i="2" s="1"/>
  <c r="T362" i="2" s="1"/>
  <c r="Y155" i="2"/>
  <c r="Y319" i="2" s="1"/>
  <c r="Y324" i="2" s="1"/>
  <c r="AB155" i="2"/>
  <c r="AB319" i="2" s="1"/>
  <c r="AB324" i="2" s="1"/>
  <c r="O155" i="2"/>
  <c r="O319" i="2" s="1"/>
  <c r="O324" i="2" s="1"/>
  <c r="AF155" i="2"/>
  <c r="AF319" i="2" s="1"/>
  <c r="AF324" i="2" s="1"/>
  <c r="Q155" i="2"/>
  <c r="Q319" i="2" s="1"/>
  <c r="Q324" i="2" s="1"/>
  <c r="AD553" i="2"/>
  <c r="W553" i="2"/>
  <c r="AC553" i="2"/>
  <c r="AA553" i="2"/>
  <c r="X553" i="2"/>
  <c r="E96" i="2"/>
  <c r="AB144" i="1"/>
  <c r="AC144" i="1" s="1"/>
  <c r="AC1" i="1" s="1"/>
  <c r="AB553" i="2"/>
  <c r="V155" i="2"/>
  <c r="V319" i="2" s="1"/>
  <c r="V324" i="2" s="1"/>
  <c r="V362" i="2" s="1"/>
  <c r="Y553" i="2"/>
  <c r="Z553" i="2"/>
  <c r="AE155" i="2"/>
  <c r="AE319" i="2" s="1"/>
  <c r="AE324" i="2" s="1"/>
  <c r="F174" i="2"/>
  <c r="V553" i="2"/>
  <c r="K155" i="2"/>
  <c r="K319" i="2" s="1"/>
  <c r="K324" i="2" s="1"/>
  <c r="K362" i="2" s="1"/>
  <c r="M155" i="2"/>
  <c r="M319" i="2" s="1"/>
  <c r="M324" i="2" s="1"/>
  <c r="M326" i="2" s="1"/>
  <c r="U517" i="2"/>
  <c r="AG238" i="2"/>
  <c r="AH238" i="2" s="1"/>
  <c r="F239" i="2"/>
  <c r="AG200" i="2"/>
  <c r="AH200" i="2" s="1"/>
  <c r="F201" i="2"/>
  <c r="X551" i="2"/>
  <c r="X595" i="2" s="1"/>
  <c r="X621" i="2" s="1"/>
  <c r="X517" i="2"/>
  <c r="AD551" i="2"/>
  <c r="AD595" i="2" s="1"/>
  <c r="AD621" i="2" s="1"/>
  <c r="AD517" i="2"/>
  <c r="E395" i="2"/>
  <c r="E403" i="2" s="1"/>
  <c r="W551" i="2"/>
  <c r="W595" i="2" s="1"/>
  <c r="W621" i="2" s="1"/>
  <c r="W517" i="2"/>
  <c r="AA551" i="2"/>
  <c r="AA595" i="2" s="1"/>
  <c r="AA621" i="2" s="1"/>
  <c r="AA517" i="2"/>
  <c r="F513" i="2"/>
  <c r="F522" i="2" s="1"/>
  <c r="AG124" i="2"/>
  <c r="AH124" i="2" s="1"/>
  <c r="F125" i="2"/>
  <c r="AG86" i="2"/>
  <c r="AH86" i="2" s="1"/>
  <c r="F531" i="2"/>
  <c r="F87" i="2"/>
  <c r="AG48" i="2"/>
  <c r="AH48" i="2" s="1"/>
  <c r="F49" i="2"/>
  <c r="J307" i="2"/>
  <c r="J322" i="2" s="1"/>
  <c r="N517" i="2"/>
  <c r="O517" i="2"/>
  <c r="I517" i="2"/>
  <c r="AB551" i="2"/>
  <c r="AB595" i="2" s="1"/>
  <c r="AB621" i="2" s="1"/>
  <c r="AB517" i="2"/>
  <c r="AE517" i="2"/>
  <c r="Q517" i="2"/>
  <c r="V551" i="2"/>
  <c r="V595" i="2" s="1"/>
  <c r="V621" i="2" s="1"/>
  <c r="V517" i="2"/>
  <c r="P517" i="2"/>
  <c r="J193" i="2"/>
  <c r="M517" i="2"/>
  <c r="AG9" i="2"/>
  <c r="AH9" i="2" s="1"/>
  <c r="F10" i="2"/>
  <c r="AG276" i="2"/>
  <c r="AH276" i="2" s="1"/>
  <c r="F277" i="2"/>
  <c r="J269" i="2"/>
  <c r="J321" i="2" s="1"/>
  <c r="AC551" i="2"/>
  <c r="AC595" i="2" s="1"/>
  <c r="AC621" i="2" s="1"/>
  <c r="AC517" i="2"/>
  <c r="R517" i="2"/>
  <c r="H517" i="2"/>
  <c r="T517" i="2"/>
  <c r="J320" i="2"/>
  <c r="K517" i="2"/>
  <c r="G517" i="2"/>
  <c r="AG162" i="2"/>
  <c r="AH162" i="2" s="1"/>
  <c r="F163" i="2"/>
  <c r="Z551" i="2"/>
  <c r="Z595" i="2" s="1"/>
  <c r="Z621" i="2" s="1"/>
  <c r="Z517" i="2"/>
  <c r="J155" i="2"/>
  <c r="J319" i="2" s="1"/>
  <c r="Y551" i="2"/>
  <c r="Y595" i="2" s="1"/>
  <c r="Y621" i="2" s="1"/>
  <c r="Y517" i="2"/>
  <c r="AF517" i="2"/>
  <c r="S517" i="2"/>
  <c r="Q601" i="2" l="1"/>
  <c r="Q602" i="2" s="1"/>
  <c r="Q611" i="2"/>
  <c r="Q595" i="2"/>
  <c r="Q597" i="2"/>
  <c r="L659" i="2"/>
  <c r="F16" i="17" s="1"/>
  <c r="J194" i="2"/>
  <c r="H319" i="2"/>
  <c r="H324" i="2" s="1"/>
  <c r="H326" i="2" s="1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33" i="2"/>
  <c r="E535" i="2" s="1"/>
  <c r="J96" i="2"/>
  <c r="M96" i="2"/>
  <c r="V96" i="2"/>
  <c r="Q96" i="2"/>
  <c r="Z96" i="2"/>
  <c r="E98" i="2"/>
  <c r="E117" i="2" s="1"/>
  <c r="E118" i="2" s="1"/>
  <c r="AF96" i="2"/>
  <c r="T96" i="2"/>
  <c r="O96" i="2"/>
  <c r="T326" i="2"/>
  <c r="M362" i="2"/>
  <c r="J517" i="2"/>
  <c r="W362" i="2"/>
  <c r="V326" i="2"/>
  <c r="S326" i="2"/>
  <c r="N326" i="2"/>
  <c r="P326" i="2"/>
  <c r="G362" i="2"/>
  <c r="K326" i="2"/>
  <c r="R326" i="2"/>
  <c r="J324" i="2"/>
  <c r="J326" i="2" s="1"/>
  <c r="U362" i="2"/>
  <c r="U326" i="2"/>
  <c r="AF362" i="2"/>
  <c r="AF326" i="2"/>
  <c r="Z326" i="2"/>
  <c r="Z362" i="2"/>
  <c r="F40" i="2"/>
  <c r="I362" i="2"/>
  <c r="I326" i="2"/>
  <c r="AD326" i="2"/>
  <c r="AD362" i="2"/>
  <c r="F560" i="2"/>
  <c r="AG513" i="2"/>
  <c r="F517" i="2"/>
  <c r="Q362" i="2"/>
  <c r="Q326" i="2"/>
  <c r="O362" i="2"/>
  <c r="O326" i="2"/>
  <c r="F231" i="2"/>
  <c r="AA362" i="2"/>
  <c r="AA326" i="2"/>
  <c r="X362" i="2"/>
  <c r="X326" i="2"/>
  <c r="F193" i="2"/>
  <c r="F307" i="2"/>
  <c r="F79" i="2"/>
  <c r="AE326" i="2"/>
  <c r="AE362" i="2"/>
  <c r="Y362" i="2"/>
  <c r="Y326" i="2"/>
  <c r="AC362" i="2"/>
  <c r="AC326" i="2"/>
  <c r="F155" i="2"/>
  <c r="AB362" i="2"/>
  <c r="AB326" i="2"/>
  <c r="F269" i="2"/>
  <c r="F194" i="2" l="1"/>
  <c r="H362" i="2"/>
  <c r="M533" i="2"/>
  <c r="M98" i="2"/>
  <c r="M117" i="2" s="1"/>
  <c r="M118" i="2" s="1"/>
  <c r="W98" i="2"/>
  <c r="W117" i="2" s="1"/>
  <c r="W533" i="2"/>
  <c r="Z98" i="2"/>
  <c r="Z117" i="2" s="1"/>
  <c r="Z533" i="2"/>
  <c r="J98" i="2"/>
  <c r="J117" i="2" s="1"/>
  <c r="J118" i="2" s="1"/>
  <c r="J533" i="2"/>
  <c r="AA98" i="2"/>
  <c r="AA117" i="2" s="1"/>
  <c r="AA533" i="2"/>
  <c r="AC533" i="2"/>
  <c r="AC98" i="2"/>
  <c r="AC117" i="2" s="1"/>
  <c r="N98" i="2"/>
  <c r="N117" i="2" s="1"/>
  <c r="N118" i="2" s="1"/>
  <c r="N533" i="2"/>
  <c r="Y98" i="2"/>
  <c r="Y117" i="2" s="1"/>
  <c r="Y533" i="2"/>
  <c r="X98" i="2"/>
  <c r="X117" i="2" s="1"/>
  <c r="X533" i="2"/>
  <c r="H98" i="2"/>
  <c r="H117" i="2" s="1"/>
  <c r="H118" i="2" s="1"/>
  <c r="H533" i="2"/>
  <c r="AF98" i="2"/>
  <c r="AF117" i="2" s="1"/>
  <c r="AF533" i="2"/>
  <c r="AF632" i="2" s="1"/>
  <c r="AF633" i="2" s="1"/>
  <c r="Q98" i="2"/>
  <c r="Q117" i="2" s="1"/>
  <c r="Q118" i="2" s="1"/>
  <c r="Q533" i="2"/>
  <c r="G98" i="2"/>
  <c r="G117" i="2" s="1"/>
  <c r="G118" i="2" s="1"/>
  <c r="G533" i="2"/>
  <c r="AB98" i="2"/>
  <c r="AB117" i="2" s="1"/>
  <c r="AB533" i="2"/>
  <c r="R98" i="2"/>
  <c r="R117" i="2" s="1"/>
  <c r="R118" i="2" s="1"/>
  <c r="R533" i="2"/>
  <c r="AD98" i="2"/>
  <c r="AD117" i="2" s="1"/>
  <c r="AD533" i="2"/>
  <c r="O98" i="2"/>
  <c r="O117" i="2" s="1"/>
  <c r="O118" i="2" s="1"/>
  <c r="O533" i="2"/>
  <c r="E328" i="2"/>
  <c r="F533" i="2"/>
  <c r="F98" i="2"/>
  <c r="AE533" i="2"/>
  <c r="AE632" i="2" s="1"/>
  <c r="AE633" i="2" s="1"/>
  <c r="AE98" i="2"/>
  <c r="AE117" i="2" s="1"/>
  <c r="T98" i="2"/>
  <c r="T117" i="2" s="1"/>
  <c r="T118" i="2" s="1"/>
  <c r="T533" i="2"/>
  <c r="V533" i="2"/>
  <c r="V98" i="2"/>
  <c r="V117" i="2" s="1"/>
  <c r="P98" i="2"/>
  <c r="P117" i="2" s="1"/>
  <c r="P118" i="2" s="1"/>
  <c r="P533" i="2"/>
  <c r="U98" i="2"/>
  <c r="U117" i="2" s="1"/>
  <c r="U118" i="2" s="1"/>
  <c r="U533" i="2"/>
  <c r="S98" i="2"/>
  <c r="S117" i="2" s="1"/>
  <c r="S118" i="2" s="1"/>
  <c r="S533" i="2"/>
  <c r="K98" i="2"/>
  <c r="K117" i="2" s="1"/>
  <c r="K533" i="2"/>
  <c r="I98" i="2"/>
  <c r="I117" i="2" s="1"/>
  <c r="I118" i="2" s="1"/>
  <c r="I533" i="2"/>
  <c r="J362" i="2"/>
  <c r="F321" i="2"/>
  <c r="F322" i="2"/>
  <c r="AH513" i="2"/>
  <c r="F320" i="2"/>
  <c r="F319" i="2"/>
  <c r="Q606" i="2" l="1"/>
  <c r="Q632" i="2"/>
  <c r="K118" i="2"/>
  <c r="K377" i="2"/>
  <c r="K372" i="2"/>
  <c r="I562" i="2"/>
  <c r="I632" i="2"/>
  <c r="H562" i="2"/>
  <c r="H632" i="2"/>
  <c r="K562" i="2"/>
  <c r="K632" i="2"/>
  <c r="O562" i="2"/>
  <c r="O632" i="2"/>
  <c r="G632" i="2"/>
  <c r="G562" i="2"/>
  <c r="M562" i="2"/>
  <c r="M632" i="2"/>
  <c r="N562" i="2"/>
  <c r="N632" i="2"/>
  <c r="Q562" i="2"/>
  <c r="J562" i="2"/>
  <c r="J632" i="2"/>
  <c r="R562" i="2"/>
  <c r="R632" i="2"/>
  <c r="S535" i="2"/>
  <c r="T535" i="2"/>
  <c r="U562" i="2"/>
  <c r="U535" i="2"/>
  <c r="U632" i="2"/>
  <c r="P367" i="2"/>
  <c r="P369" i="2"/>
  <c r="AC367" i="2"/>
  <c r="AC522" i="2" s="1"/>
  <c r="AC369" i="2"/>
  <c r="M367" i="2"/>
  <c r="M369" i="2"/>
  <c r="W367" i="2"/>
  <c r="W522" i="2" s="1"/>
  <c r="W369" i="2"/>
  <c r="AA367" i="2"/>
  <c r="AA522" i="2" s="1"/>
  <c r="AA369" i="2"/>
  <c r="K367" i="2"/>
  <c r="K369" i="2"/>
  <c r="G367" i="2"/>
  <c r="G369" i="2"/>
  <c r="S367" i="2"/>
  <c r="S369" i="2"/>
  <c r="H367" i="2"/>
  <c r="H369" i="2"/>
  <c r="X367" i="2"/>
  <c r="X522" i="2" s="1"/>
  <c r="X369" i="2"/>
  <c r="T367" i="2"/>
  <c r="T369" i="2"/>
  <c r="AE367" i="2"/>
  <c r="AE522" i="2" s="1"/>
  <c r="AE369" i="2"/>
  <c r="AD367" i="2"/>
  <c r="AD522" i="2" s="1"/>
  <c r="AD369" i="2"/>
  <c r="Q367" i="2"/>
  <c r="Q369" i="2"/>
  <c r="Y367" i="2"/>
  <c r="Y522" i="2" s="1"/>
  <c r="Y369" i="2"/>
  <c r="J367" i="2"/>
  <c r="J369" i="2"/>
  <c r="I367" i="2"/>
  <c r="I369" i="2"/>
  <c r="AB367" i="2"/>
  <c r="AB522" i="2" s="1"/>
  <c r="AB369" i="2"/>
  <c r="U367" i="2"/>
  <c r="U369" i="2"/>
  <c r="V367" i="2"/>
  <c r="V522" i="2" s="1"/>
  <c r="V369" i="2"/>
  <c r="O367" i="2"/>
  <c r="O369" i="2"/>
  <c r="R367" i="2"/>
  <c r="R369" i="2"/>
  <c r="AF367" i="2"/>
  <c r="AF522" i="2" s="1"/>
  <c r="AF369" i="2"/>
  <c r="N367" i="2"/>
  <c r="N369" i="2"/>
  <c r="Z367" i="2"/>
  <c r="Z522" i="2" s="1"/>
  <c r="Z369" i="2"/>
  <c r="S379" i="2"/>
  <c r="S368" i="2"/>
  <c r="P379" i="2"/>
  <c r="P368" i="2"/>
  <c r="AD379" i="2"/>
  <c r="AD368" i="2"/>
  <c r="Q379" i="2"/>
  <c r="Q368" i="2"/>
  <c r="Y379" i="2"/>
  <c r="Y368" i="2"/>
  <c r="J379" i="2"/>
  <c r="J368" i="2"/>
  <c r="U379" i="2"/>
  <c r="U368" i="2"/>
  <c r="T379" i="2"/>
  <c r="T368" i="2"/>
  <c r="O379" i="2"/>
  <c r="O368" i="2"/>
  <c r="R379" i="2"/>
  <c r="R368" i="2"/>
  <c r="G379" i="2"/>
  <c r="G368" i="2"/>
  <c r="AF379" i="2"/>
  <c r="AF368" i="2"/>
  <c r="X379" i="2"/>
  <c r="X368" i="2"/>
  <c r="N379" i="2"/>
  <c r="N368" i="2"/>
  <c r="AA379" i="2"/>
  <c r="AA368" i="2"/>
  <c r="Z379" i="2"/>
  <c r="Z368" i="2"/>
  <c r="I379" i="2"/>
  <c r="I368" i="2"/>
  <c r="AB379" i="2"/>
  <c r="AB368" i="2"/>
  <c r="H379" i="2"/>
  <c r="H368" i="2"/>
  <c r="W379" i="2"/>
  <c r="W368" i="2"/>
  <c r="V379" i="2"/>
  <c r="V368" i="2"/>
  <c r="M379" i="2"/>
  <c r="M368" i="2"/>
  <c r="K379" i="2"/>
  <c r="K368" i="2"/>
  <c r="AE379" i="2"/>
  <c r="AE368" i="2"/>
  <c r="AC379" i="2"/>
  <c r="AC368" i="2"/>
  <c r="AE372" i="2"/>
  <c r="AE378" i="2"/>
  <c r="AC372" i="2"/>
  <c r="AC378" i="2"/>
  <c r="V372" i="2"/>
  <c r="V378" i="2"/>
  <c r="M372" i="2"/>
  <c r="M378" i="2"/>
  <c r="I372" i="2"/>
  <c r="I378" i="2"/>
  <c r="S372" i="2"/>
  <c r="S378" i="2"/>
  <c r="P372" i="2"/>
  <c r="P378" i="2"/>
  <c r="AD372" i="2"/>
  <c r="AD378" i="2"/>
  <c r="AB372" i="2"/>
  <c r="AB378" i="2"/>
  <c r="Q372" i="2"/>
  <c r="Q378" i="2"/>
  <c r="H372" i="2"/>
  <c r="H378" i="2"/>
  <c r="Y372" i="2"/>
  <c r="Y378" i="2"/>
  <c r="J372" i="2"/>
  <c r="J378" i="2"/>
  <c r="W372" i="2"/>
  <c r="W378" i="2"/>
  <c r="U372" i="2"/>
  <c r="U378" i="2"/>
  <c r="T372" i="2"/>
  <c r="T378" i="2"/>
  <c r="O372" i="2"/>
  <c r="O378" i="2"/>
  <c r="R372" i="2"/>
  <c r="R378" i="2"/>
  <c r="G372" i="2"/>
  <c r="G378" i="2"/>
  <c r="AF372" i="2"/>
  <c r="AF378" i="2"/>
  <c r="X372" i="2"/>
  <c r="X378" i="2"/>
  <c r="N372" i="2"/>
  <c r="N378" i="2"/>
  <c r="AA372" i="2"/>
  <c r="AA378" i="2"/>
  <c r="Z372" i="2"/>
  <c r="Z378" i="2"/>
  <c r="AE328" i="2"/>
  <c r="AE397" i="2" s="1"/>
  <c r="AE381" i="2"/>
  <c r="AC328" i="2"/>
  <c r="AC397" i="2" s="1"/>
  <c r="AC381" i="2"/>
  <c r="V328" i="2"/>
  <c r="V397" i="2" s="1"/>
  <c r="V381" i="2"/>
  <c r="M381" i="2"/>
  <c r="I381" i="2"/>
  <c r="S386" i="2"/>
  <c r="S381" i="2"/>
  <c r="P373" i="2"/>
  <c r="P381" i="2"/>
  <c r="AD380" i="2"/>
  <c r="AD381" i="2"/>
  <c r="AB375" i="2"/>
  <c r="AB381" i="2"/>
  <c r="Q387" i="2"/>
  <c r="Q381" i="2"/>
  <c r="H381" i="2"/>
  <c r="Y328" i="2"/>
  <c r="Y397" i="2" s="1"/>
  <c r="Y381" i="2"/>
  <c r="J381" i="2"/>
  <c r="W328" i="2"/>
  <c r="W397" i="2" s="1"/>
  <c r="W381" i="2"/>
  <c r="K381" i="2"/>
  <c r="U328" i="2"/>
  <c r="U397" i="2" s="1"/>
  <c r="U381" i="2"/>
  <c r="T328" i="2"/>
  <c r="T397" i="2" s="1"/>
  <c r="T381" i="2"/>
  <c r="O381" i="2"/>
  <c r="R328" i="2"/>
  <c r="R397" i="2" s="1"/>
  <c r="R381" i="2"/>
  <c r="G381" i="2"/>
  <c r="AF328" i="2"/>
  <c r="AF397" i="2" s="1"/>
  <c r="AF381" i="2"/>
  <c r="X328" i="2"/>
  <c r="X397" i="2" s="1"/>
  <c r="X381" i="2"/>
  <c r="N381" i="2"/>
  <c r="AA385" i="2"/>
  <c r="AA381" i="2"/>
  <c r="Z384" i="2"/>
  <c r="Z381" i="2"/>
  <c r="J328" i="2"/>
  <c r="J397" i="2" s="1"/>
  <c r="M328" i="2"/>
  <c r="M330" i="2" s="1"/>
  <c r="K328" i="2"/>
  <c r="K397" i="2" s="1"/>
  <c r="O328" i="2"/>
  <c r="O397" i="2" s="1"/>
  <c r="N380" i="2"/>
  <c r="I371" i="2"/>
  <c r="H328" i="2"/>
  <c r="H397" i="2" s="1"/>
  <c r="G328" i="2"/>
  <c r="G397" i="2" s="1"/>
  <c r="Y380" i="2"/>
  <c r="AF389" i="2"/>
  <c r="M385" i="2"/>
  <c r="X386" i="2"/>
  <c r="X390" i="2"/>
  <c r="X375" i="2"/>
  <c r="X399" i="2"/>
  <c r="X377" i="2"/>
  <c r="X388" i="2"/>
  <c r="N376" i="2"/>
  <c r="X385" i="2"/>
  <c r="X382" i="2"/>
  <c r="X387" i="2"/>
  <c r="X373" i="2"/>
  <c r="Z385" i="2"/>
  <c r="N375" i="2"/>
  <c r="X380" i="2"/>
  <c r="N371" i="2"/>
  <c r="AA380" i="2"/>
  <c r="AA386" i="2"/>
  <c r="X374" i="2"/>
  <c r="X389" i="2"/>
  <c r="X371" i="2"/>
  <c r="X384" i="2"/>
  <c r="J383" i="2"/>
  <c r="J375" i="2"/>
  <c r="W374" i="2"/>
  <c r="H383" i="2"/>
  <c r="J388" i="2"/>
  <c r="J377" i="2"/>
  <c r="J390" i="2"/>
  <c r="Y382" i="2"/>
  <c r="Y388" i="2"/>
  <c r="Y375" i="2"/>
  <c r="Y374" i="2"/>
  <c r="J389" i="2"/>
  <c r="H373" i="2"/>
  <c r="Y376" i="2"/>
  <c r="Y390" i="2"/>
  <c r="W380" i="2"/>
  <c r="M382" i="2"/>
  <c r="M384" i="2"/>
  <c r="G390" i="2"/>
  <c r="O377" i="2"/>
  <c r="R387" i="2"/>
  <c r="R374" i="2"/>
  <c r="M390" i="2"/>
  <c r="M373" i="2"/>
  <c r="J374" i="2"/>
  <c r="J384" i="2"/>
  <c r="W399" i="2"/>
  <c r="W377" i="2"/>
  <c r="W386" i="2"/>
  <c r="Y373" i="2"/>
  <c r="H389" i="2"/>
  <c r="J380" i="2"/>
  <c r="J376" i="2"/>
  <c r="Y389" i="2"/>
  <c r="Y384" i="2"/>
  <c r="M387" i="2"/>
  <c r="M383" i="2"/>
  <c r="M376" i="2"/>
  <c r="M380" i="2"/>
  <c r="G383" i="2"/>
  <c r="M377" i="2"/>
  <c r="AF386" i="2"/>
  <c r="J371" i="2"/>
  <c r="J382" i="2"/>
  <c r="J386" i="2"/>
  <c r="J373" i="2"/>
  <c r="J385" i="2"/>
  <c r="J399" i="2"/>
  <c r="W371" i="2"/>
  <c r="W387" i="2"/>
  <c r="W385" i="2"/>
  <c r="Y371" i="2"/>
  <c r="W375" i="2"/>
  <c r="J387" i="2"/>
  <c r="H387" i="2"/>
  <c r="Y385" i="2"/>
  <c r="W388" i="2"/>
  <c r="Y399" i="2"/>
  <c r="W373" i="2"/>
  <c r="W376" i="2"/>
  <c r="W389" i="2"/>
  <c r="Y383" i="2"/>
  <c r="Y377" i="2"/>
  <c r="Y387" i="2"/>
  <c r="Y386" i="2"/>
  <c r="M389" i="2"/>
  <c r="O388" i="2"/>
  <c r="R377" i="2"/>
  <c r="R373" i="2"/>
  <c r="M374" i="2"/>
  <c r="AF375" i="2"/>
  <c r="AF371" i="2"/>
  <c r="AB389" i="2"/>
  <c r="O399" i="2"/>
  <c r="M399" i="2"/>
  <c r="M386" i="2"/>
  <c r="M375" i="2"/>
  <c r="O374" i="2"/>
  <c r="M371" i="2"/>
  <c r="M388" i="2"/>
  <c r="AF377" i="2"/>
  <c r="AF384" i="2"/>
  <c r="AD371" i="2"/>
  <c r="AD390" i="2"/>
  <c r="Q385" i="2"/>
  <c r="AB387" i="2"/>
  <c r="AC399" i="2"/>
  <c r="AB382" i="2"/>
  <c r="AB374" i="2"/>
  <c r="AD387" i="2"/>
  <c r="AC384" i="2"/>
  <c r="Q373" i="2"/>
  <c r="Q386" i="2"/>
  <c r="K387" i="2"/>
  <c r="AC376" i="2"/>
  <c r="AD385" i="2"/>
  <c r="AD389" i="2"/>
  <c r="H399" i="2"/>
  <c r="H384" i="2"/>
  <c r="G387" i="2"/>
  <c r="G374" i="2"/>
  <c r="G399" i="2"/>
  <c r="O383" i="2"/>
  <c r="O390" i="2"/>
  <c r="O376" i="2"/>
  <c r="R380" i="2"/>
  <c r="O373" i="2"/>
  <c r="H371" i="2"/>
  <c r="G385" i="2"/>
  <c r="AF380" i="2"/>
  <c r="AF373" i="2"/>
  <c r="AC375" i="2"/>
  <c r="AE388" i="2"/>
  <c r="AF383" i="2"/>
  <c r="AC390" i="2"/>
  <c r="AC373" i="2"/>
  <c r="AC371" i="2"/>
  <c r="AC389" i="2"/>
  <c r="AF388" i="2"/>
  <c r="T383" i="2"/>
  <c r="U383" i="2"/>
  <c r="AE377" i="2"/>
  <c r="AF399" i="2"/>
  <c r="AF382" i="2"/>
  <c r="AF385" i="2"/>
  <c r="AC386" i="2"/>
  <c r="O380" i="2"/>
  <c r="R386" i="2"/>
  <c r="O371" i="2"/>
  <c r="H386" i="2"/>
  <c r="H375" i="2"/>
  <c r="H374" i="2"/>
  <c r="G388" i="2"/>
  <c r="O386" i="2"/>
  <c r="G386" i="2"/>
  <c r="O389" i="2"/>
  <c r="G377" i="2"/>
  <c r="G376" i="2"/>
  <c r="G382" i="2"/>
  <c r="G375" i="2"/>
  <c r="H377" i="2"/>
  <c r="G371" i="2"/>
  <c r="T373" i="2"/>
  <c r="AF390" i="2"/>
  <c r="T376" i="2"/>
  <c r="AE374" i="2"/>
  <c r="AE384" i="2"/>
  <c r="T374" i="2"/>
  <c r="AE375" i="2"/>
  <c r="AE387" i="2"/>
  <c r="V399" i="2"/>
  <c r="AF387" i="2"/>
  <c r="U385" i="2"/>
  <c r="V386" i="2"/>
  <c r="H385" i="2"/>
  <c r="R399" i="2"/>
  <c r="O384" i="2"/>
  <c r="R388" i="2"/>
  <c r="R375" i="2"/>
  <c r="O387" i="2"/>
  <c r="H390" i="2"/>
  <c r="H376" i="2"/>
  <c r="R383" i="2"/>
  <c r="O375" i="2"/>
  <c r="R376" i="2"/>
  <c r="H380" i="2"/>
  <c r="R384" i="2"/>
  <c r="R389" i="2"/>
  <c r="K382" i="2"/>
  <c r="O382" i="2"/>
  <c r="R390" i="2"/>
  <c r="H388" i="2"/>
  <c r="K384" i="2"/>
  <c r="R385" i="2"/>
  <c r="R382" i="2"/>
  <c r="G380" i="2"/>
  <c r="H382" i="2"/>
  <c r="R371" i="2"/>
  <c r="G373" i="2"/>
  <c r="G389" i="2"/>
  <c r="G384" i="2"/>
  <c r="O385" i="2"/>
  <c r="T385" i="2"/>
  <c r="AC374" i="2"/>
  <c r="AC377" i="2"/>
  <c r="AF376" i="2"/>
  <c r="T377" i="2"/>
  <c r="AC382" i="2"/>
  <c r="T380" i="2"/>
  <c r="U384" i="2"/>
  <c r="AC385" i="2"/>
  <c r="AC383" i="2"/>
  <c r="AF374" i="2"/>
  <c r="AC387" i="2"/>
  <c r="S374" i="2"/>
  <c r="P382" i="2"/>
  <c r="I390" i="2"/>
  <c r="S373" i="2"/>
  <c r="AD328" i="2"/>
  <c r="AD388" i="2"/>
  <c r="AD373" i="2"/>
  <c r="AD384" i="2"/>
  <c r="AD377" i="2"/>
  <c r="AD376" i="2"/>
  <c r="AD374" i="2"/>
  <c r="AD383" i="2"/>
  <c r="AD375" i="2"/>
  <c r="AD386" i="2"/>
  <c r="AD382" i="2"/>
  <c r="AD399" i="2"/>
  <c r="AB328" i="2"/>
  <c r="AB371" i="2"/>
  <c r="AB383" i="2"/>
  <c r="AB385" i="2"/>
  <c r="AB377" i="2"/>
  <c r="AB384" i="2"/>
  <c r="AB386" i="2"/>
  <c r="AB399" i="2"/>
  <c r="AB390" i="2"/>
  <c r="AB388" i="2"/>
  <c r="AB376" i="2"/>
  <c r="AB380" i="2"/>
  <c r="AB373" i="2"/>
  <c r="Q328" i="2"/>
  <c r="Q377" i="2"/>
  <c r="Q371" i="2"/>
  <c r="Q382" i="2"/>
  <c r="Q388" i="2"/>
  <c r="Q383" i="2"/>
  <c r="Q376" i="2"/>
  <c r="Q384" i="2"/>
  <c r="Q399" i="2"/>
  <c r="Q390" i="2"/>
  <c r="Q380" i="2"/>
  <c r="Q375" i="2"/>
  <c r="Q374" i="2"/>
  <c r="Q389" i="2"/>
  <c r="P389" i="2"/>
  <c r="E330" i="2"/>
  <c r="E397" i="2"/>
  <c r="E401" i="2" s="1"/>
  <c r="N328" i="2"/>
  <c r="N389" i="2"/>
  <c r="N373" i="2"/>
  <c r="N384" i="2"/>
  <c r="N382" i="2"/>
  <c r="N383" i="2"/>
  <c r="N386" i="2"/>
  <c r="N388" i="2"/>
  <c r="N399" i="2"/>
  <c r="N374" i="2"/>
  <c r="N387" i="2"/>
  <c r="N377" i="2"/>
  <c r="N385" i="2"/>
  <c r="N390" i="2"/>
  <c r="AA328" i="2"/>
  <c r="AA377" i="2"/>
  <c r="AA389" i="2"/>
  <c r="AA376" i="2"/>
  <c r="AA390" i="2"/>
  <c r="AA373" i="2"/>
  <c r="AA384" i="2"/>
  <c r="AA387" i="2"/>
  <c r="AA382" i="2"/>
  <c r="AA374" i="2"/>
  <c r="AA383" i="2"/>
  <c r="AA375" i="2"/>
  <c r="AA388" i="2"/>
  <c r="AA371" i="2"/>
  <c r="AA399" i="2"/>
  <c r="Z328" i="2"/>
  <c r="Z383" i="2"/>
  <c r="Z371" i="2"/>
  <c r="Z399" i="2"/>
  <c r="Z386" i="2"/>
  <c r="Z380" i="2"/>
  <c r="Z382" i="2"/>
  <c r="Z376" i="2"/>
  <c r="Z387" i="2"/>
  <c r="Z377" i="2"/>
  <c r="Z373" i="2"/>
  <c r="Z374" i="2"/>
  <c r="Z375" i="2"/>
  <c r="Z390" i="2"/>
  <c r="Z388" i="2"/>
  <c r="Z389" i="2"/>
  <c r="I328" i="2"/>
  <c r="I386" i="2"/>
  <c r="I383" i="2"/>
  <c r="I399" i="2"/>
  <c r="I387" i="2"/>
  <c r="I373" i="2"/>
  <c r="I385" i="2"/>
  <c r="I376" i="2"/>
  <c r="I380" i="2"/>
  <c r="I377" i="2"/>
  <c r="I382" i="2"/>
  <c r="I384" i="2"/>
  <c r="I388" i="2"/>
  <c r="I375" i="2"/>
  <c r="S328" i="2"/>
  <c r="S385" i="2"/>
  <c r="S382" i="2"/>
  <c r="S371" i="2"/>
  <c r="S377" i="2"/>
  <c r="S376" i="2"/>
  <c r="S383" i="2"/>
  <c r="S380" i="2"/>
  <c r="S388" i="2"/>
  <c r="S387" i="2"/>
  <c r="S384" i="2"/>
  <c r="S399" i="2"/>
  <c r="S389" i="2"/>
  <c r="P328" i="2"/>
  <c r="P383" i="2"/>
  <c r="P384" i="2"/>
  <c r="P387" i="2"/>
  <c r="P371" i="2"/>
  <c r="P380" i="2"/>
  <c r="P399" i="2"/>
  <c r="P377" i="2"/>
  <c r="P385" i="2"/>
  <c r="P390" i="2"/>
  <c r="P388" i="2"/>
  <c r="P376" i="2"/>
  <c r="X632" i="2"/>
  <c r="X633" i="2" s="1"/>
  <c r="X562" i="2"/>
  <c r="W562" i="2"/>
  <c r="W632" i="2"/>
  <c r="W633" i="2" s="1"/>
  <c r="P374" i="2"/>
  <c r="I389" i="2"/>
  <c r="I374" i="2"/>
  <c r="P375" i="2"/>
  <c r="P386" i="2"/>
  <c r="S375" i="2"/>
  <c r="S390" i="2"/>
  <c r="K535" i="2"/>
  <c r="F117" i="2"/>
  <c r="F118" i="2" s="1"/>
  <c r="K389" i="2"/>
  <c r="K388" i="2"/>
  <c r="K386" i="2"/>
  <c r="V377" i="2"/>
  <c r="AE371" i="2"/>
  <c r="U373" i="2"/>
  <c r="U386" i="2"/>
  <c r="V382" i="2"/>
  <c r="U390" i="2"/>
  <c r="T390" i="2"/>
  <c r="V383" i="2"/>
  <c r="V373" i="2"/>
  <c r="U399" i="2"/>
  <c r="V374" i="2"/>
  <c r="T375" i="2"/>
  <c r="AE399" i="2"/>
  <c r="AE389" i="2"/>
  <c r="O535" i="2"/>
  <c r="R535" i="2"/>
  <c r="G535" i="2"/>
  <c r="Y632" i="2"/>
  <c r="Y633" i="2" s="1"/>
  <c r="Y562" i="2"/>
  <c r="J535" i="2"/>
  <c r="K390" i="2"/>
  <c r="AE373" i="2"/>
  <c r="AE376" i="2"/>
  <c r="V387" i="2"/>
  <c r="V380" i="2"/>
  <c r="AE390" i="2"/>
  <c r="V376" i="2"/>
  <c r="T382" i="2"/>
  <c r="T387" i="2"/>
  <c r="U387" i="2"/>
  <c r="V385" i="2"/>
  <c r="AE385" i="2"/>
  <c r="U382" i="2"/>
  <c r="X376" i="2"/>
  <c r="AC380" i="2"/>
  <c r="U377" i="2"/>
  <c r="W382" i="2"/>
  <c r="U388" i="2"/>
  <c r="V388" i="2"/>
  <c r="AE386" i="2"/>
  <c r="X383" i="2"/>
  <c r="T384" i="2"/>
  <c r="H535" i="2"/>
  <c r="AC562" i="2"/>
  <c r="AC632" i="2"/>
  <c r="AC633" i="2" s="1"/>
  <c r="V562" i="2"/>
  <c r="V632" i="2"/>
  <c r="V633" i="2" s="1"/>
  <c r="K385" i="2"/>
  <c r="K371" i="2"/>
  <c r="I535" i="2"/>
  <c r="P535" i="2"/>
  <c r="F562" i="2"/>
  <c r="F535" i="2"/>
  <c r="K380" i="2"/>
  <c r="K399" i="2"/>
  <c r="K383" i="2"/>
  <c r="T388" i="2"/>
  <c r="V384" i="2"/>
  <c r="T389" i="2"/>
  <c r="U380" i="2"/>
  <c r="U375" i="2"/>
  <c r="U374" i="2"/>
  <c r="U389" i="2"/>
  <c r="V390" i="2"/>
  <c r="U371" i="2"/>
  <c r="V371" i="2"/>
  <c r="AC388" i="2"/>
  <c r="W383" i="2"/>
  <c r="U376" i="2"/>
  <c r="V375" i="2"/>
  <c r="T371" i="2"/>
  <c r="AE382" i="2"/>
  <c r="T386" i="2"/>
  <c r="W390" i="2"/>
  <c r="AE380" i="2"/>
  <c r="T399" i="2"/>
  <c r="V389" i="2"/>
  <c r="AE383" i="2"/>
  <c r="W384" i="2"/>
  <c r="AD562" i="2"/>
  <c r="AD632" i="2"/>
  <c r="AD633" i="2" s="1"/>
  <c r="AB632" i="2"/>
  <c r="AB633" i="2" s="1"/>
  <c r="AB562" i="2"/>
  <c r="Q535" i="2"/>
  <c r="N535" i="2"/>
  <c r="AA632" i="2"/>
  <c r="AA633" i="2" s="1"/>
  <c r="AA562" i="2"/>
  <c r="Z562" i="2"/>
  <c r="Z632" i="2"/>
  <c r="Z633" i="2" s="1"/>
  <c r="M535" i="2"/>
  <c r="F324" i="2"/>
  <c r="N522" i="2" l="1"/>
  <c r="N551" i="2" s="1"/>
  <c r="N571" i="2" s="1"/>
  <c r="N622" i="2" s="1"/>
  <c r="S522" i="2"/>
  <c r="S551" i="2" s="1"/>
  <c r="S571" i="2" s="1"/>
  <c r="S622" i="2" s="1"/>
  <c r="S659" i="2" s="1"/>
  <c r="U522" i="2"/>
  <c r="U551" i="2" s="1"/>
  <c r="U571" i="2" s="1"/>
  <c r="U622" i="2" s="1"/>
  <c r="U659" i="2" s="1"/>
  <c r="T522" i="2"/>
  <c r="T540" i="2" s="1"/>
  <c r="M522" i="2"/>
  <c r="M551" i="2" s="1"/>
  <c r="M571" i="2" s="1"/>
  <c r="M596" i="2" s="1"/>
  <c r="R522" i="2"/>
  <c r="R551" i="2" s="1"/>
  <c r="R571" i="2" s="1"/>
  <c r="R596" i="2" s="1"/>
  <c r="Q522" i="2"/>
  <c r="Q551" i="2" s="1"/>
  <c r="Q571" i="2" s="1"/>
  <c r="O522" i="2"/>
  <c r="O551" i="2" s="1"/>
  <c r="O571" i="2" s="1"/>
  <c r="O622" i="2" s="1"/>
  <c r="O659" i="2" s="1"/>
  <c r="F19" i="17" s="1"/>
  <c r="P522" i="2"/>
  <c r="F367" i="2"/>
  <c r="F369" i="2"/>
  <c r="AA525" i="2"/>
  <c r="AA524" i="2"/>
  <c r="AD525" i="2"/>
  <c r="AD524" i="2"/>
  <c r="AC525" i="2"/>
  <c r="AC524" i="2"/>
  <c r="AB525" i="2"/>
  <c r="AB524" i="2"/>
  <c r="AE525" i="2"/>
  <c r="AE524" i="2"/>
  <c r="V525" i="2"/>
  <c r="V524" i="2"/>
  <c r="X525" i="2"/>
  <c r="X524" i="2"/>
  <c r="Y525" i="2"/>
  <c r="Y524" i="2"/>
  <c r="W525" i="2"/>
  <c r="W524" i="2"/>
  <c r="Z525" i="2"/>
  <c r="Z524" i="2"/>
  <c r="AF525" i="2"/>
  <c r="AF524" i="2"/>
  <c r="F379" i="2"/>
  <c r="F368" i="2"/>
  <c r="U330" i="2"/>
  <c r="U401" i="2"/>
  <c r="G25" i="4" s="1"/>
  <c r="AC330" i="2"/>
  <c r="AC581" i="2" s="1"/>
  <c r="AC582" i="2" s="1"/>
  <c r="W330" i="2"/>
  <c r="W331" i="2" s="1"/>
  <c r="Y330" i="2"/>
  <c r="Y586" i="2" s="1"/>
  <c r="Y587" i="2" s="1"/>
  <c r="T401" i="2"/>
  <c r="V330" i="2"/>
  <c r="V581" i="2" s="1"/>
  <c r="V582" i="2" s="1"/>
  <c r="X330" i="2"/>
  <c r="X586" i="2" s="1"/>
  <c r="X587" i="2" s="1"/>
  <c r="F372" i="2"/>
  <c r="F378" i="2"/>
  <c r="R401" i="2"/>
  <c r="T330" i="2"/>
  <c r="F381" i="2"/>
  <c r="AE330" i="2"/>
  <c r="AE581" i="2" s="1"/>
  <c r="AE582" i="2" s="1"/>
  <c r="AF330" i="2"/>
  <c r="AF331" i="2" s="1"/>
  <c r="R330" i="2"/>
  <c r="K330" i="2"/>
  <c r="K644" i="2" s="1"/>
  <c r="O401" i="2"/>
  <c r="O330" i="2"/>
  <c r="M397" i="2"/>
  <c r="M401" i="2" s="1"/>
  <c r="H330" i="2"/>
  <c r="H644" i="2" s="1"/>
  <c r="G330" i="2"/>
  <c r="G644" i="2" s="1"/>
  <c r="J330" i="2"/>
  <c r="J644" i="2" s="1"/>
  <c r="J401" i="2"/>
  <c r="K401" i="2"/>
  <c r="G401" i="2"/>
  <c r="H401" i="2"/>
  <c r="I397" i="2"/>
  <c r="I401" i="2" s="1"/>
  <c r="I330" i="2"/>
  <c r="I644" i="2" s="1"/>
  <c r="V606" i="2"/>
  <c r="V607" i="2" s="1"/>
  <c r="X606" i="2"/>
  <c r="X607" i="2" s="1"/>
  <c r="AF606" i="2"/>
  <c r="AF607" i="2" s="1"/>
  <c r="E644" i="2"/>
  <c r="AB606" i="2"/>
  <c r="AB607" i="2" s="1"/>
  <c r="Y606" i="2"/>
  <c r="Y607" i="2" s="1"/>
  <c r="Z606" i="2"/>
  <c r="Z607" i="2" s="1"/>
  <c r="AD606" i="2"/>
  <c r="AD607" i="2" s="1"/>
  <c r="AC606" i="2"/>
  <c r="AC607" i="2" s="1"/>
  <c r="W606" i="2"/>
  <c r="W607" i="2" s="1"/>
  <c r="AE606" i="2"/>
  <c r="AE607" i="2" s="1"/>
  <c r="E331" i="2"/>
  <c r="AA606" i="2"/>
  <c r="AA607" i="2" s="1"/>
  <c r="M331" i="2"/>
  <c r="Z397" i="2"/>
  <c r="Z330" i="2"/>
  <c r="AA397" i="2"/>
  <c r="AA330" i="2"/>
  <c r="Q397" i="2"/>
  <c r="Q401" i="2" s="1"/>
  <c r="Q330" i="2"/>
  <c r="S397" i="2"/>
  <c r="S401" i="2" s="1"/>
  <c r="S330" i="2"/>
  <c r="S331" i="2" s="1"/>
  <c r="AB397" i="2"/>
  <c r="AB330" i="2"/>
  <c r="P397" i="2"/>
  <c r="P401" i="2" s="1"/>
  <c r="P330" i="2"/>
  <c r="P331" i="2" s="1"/>
  <c r="N397" i="2"/>
  <c r="N401" i="2" s="1"/>
  <c r="N330" i="2"/>
  <c r="N644" i="2" s="1"/>
  <c r="F383" i="2"/>
  <c r="F373" i="2"/>
  <c r="F375" i="2"/>
  <c r="F376" i="2"/>
  <c r="F386" i="2"/>
  <c r="F328" i="2"/>
  <c r="F377" i="2"/>
  <c r="F371" i="2"/>
  <c r="F387" i="2"/>
  <c r="F389" i="2"/>
  <c r="F399" i="2"/>
  <c r="F385" i="2"/>
  <c r="F382" i="2"/>
  <c r="F380" i="2"/>
  <c r="F384" i="2"/>
  <c r="F388" i="2"/>
  <c r="F374" i="2"/>
  <c r="F390" i="2"/>
  <c r="AD397" i="2"/>
  <c r="AD330" i="2"/>
  <c r="F362" i="2"/>
  <c r="F326" i="2"/>
  <c r="Q596" i="2" l="1"/>
  <c r="Q653" i="2" s="1"/>
  <c r="Q622" i="2"/>
  <c r="Q659" i="2" s="1"/>
  <c r="G13" i="4"/>
  <c r="G17" i="4"/>
  <c r="G12" i="4"/>
  <c r="G22" i="4"/>
  <c r="H22" i="4" s="1"/>
  <c r="R403" i="2"/>
  <c r="G23" i="4"/>
  <c r="H23" i="4" s="1"/>
  <c r="S403" i="2"/>
  <c r="G11" i="4"/>
  <c r="G19" i="4"/>
  <c r="O403" i="2"/>
  <c r="H25" i="4"/>
  <c r="U403" i="2"/>
  <c r="G18" i="4"/>
  <c r="G21" i="4"/>
  <c r="H21" i="4" s="1"/>
  <c r="Q403" i="2"/>
  <c r="G20" i="4"/>
  <c r="G24" i="4"/>
  <c r="H24" i="4" s="1"/>
  <c r="T403" i="2"/>
  <c r="T551" i="2"/>
  <c r="T571" i="2" s="1"/>
  <c r="T596" i="2" s="1"/>
  <c r="N596" i="2"/>
  <c r="U540" i="2"/>
  <c r="M622" i="2"/>
  <c r="M659" i="2" s="1"/>
  <c r="R622" i="2"/>
  <c r="R659" i="2" s="1"/>
  <c r="S596" i="2"/>
  <c r="S540" i="2"/>
  <c r="O596" i="2"/>
  <c r="U596" i="2"/>
  <c r="G15" i="4"/>
  <c r="U597" i="2"/>
  <c r="U595" i="2"/>
  <c r="S597" i="2"/>
  <c r="T597" i="2"/>
  <c r="U601" i="2"/>
  <c r="U602" i="2" s="1"/>
  <c r="J601" i="2"/>
  <c r="J602" i="2" s="1"/>
  <c r="G601" i="2"/>
  <c r="G602" i="2" s="1"/>
  <c r="R601" i="2"/>
  <c r="R602" i="2" s="1"/>
  <c r="H601" i="2"/>
  <c r="H602" i="2" s="1"/>
  <c r="N601" i="2"/>
  <c r="N602" i="2" s="1"/>
  <c r="K601" i="2"/>
  <c r="K602" i="2" s="1"/>
  <c r="M601" i="2"/>
  <c r="M602" i="2" s="1"/>
  <c r="I601" i="2"/>
  <c r="I602" i="2" s="1"/>
  <c r="O601" i="2"/>
  <c r="O602" i="2" s="1"/>
  <c r="K611" i="2"/>
  <c r="T611" i="2"/>
  <c r="I611" i="2"/>
  <c r="R611" i="2"/>
  <c r="H611" i="2"/>
  <c r="G611" i="2"/>
  <c r="U611" i="2"/>
  <c r="N611" i="2"/>
  <c r="J611" i="2"/>
  <c r="S611" i="2"/>
  <c r="L611" i="2"/>
  <c r="O611" i="2"/>
  <c r="M611" i="2"/>
  <c r="H595" i="2"/>
  <c r="R595" i="2"/>
  <c r="I595" i="2"/>
  <c r="J595" i="2"/>
  <c r="O595" i="2"/>
  <c r="G595" i="2"/>
  <c r="N595" i="2"/>
  <c r="M595" i="2"/>
  <c r="K595" i="2"/>
  <c r="L597" i="2"/>
  <c r="L653" i="2" s="1"/>
  <c r="G597" i="2"/>
  <c r="M597" i="2"/>
  <c r="M653" i="2" s="1"/>
  <c r="J597" i="2"/>
  <c r="I597" i="2"/>
  <c r="H597" i="2"/>
  <c r="K597" i="2"/>
  <c r="O597" i="2"/>
  <c r="N597" i="2"/>
  <c r="R597" i="2"/>
  <c r="R653" i="2" s="1"/>
  <c r="J606" i="2"/>
  <c r="I606" i="2"/>
  <c r="O606" i="2"/>
  <c r="N606" i="2"/>
  <c r="H606" i="2"/>
  <c r="R606" i="2"/>
  <c r="G606" i="2"/>
  <c r="K606" i="2"/>
  <c r="M606" i="2"/>
  <c r="U606" i="2"/>
  <c r="F551" i="2"/>
  <c r="F571" i="2" s="1"/>
  <c r="F596" i="2" s="1"/>
  <c r="J331" i="2"/>
  <c r="G14" i="4"/>
  <c r="W586" i="2"/>
  <c r="W587" i="2" s="1"/>
  <c r="V586" i="2"/>
  <c r="V587" i="2" s="1"/>
  <c r="U331" i="2"/>
  <c r="W581" i="2"/>
  <c r="W582" i="2" s="1"/>
  <c r="AC331" i="2"/>
  <c r="AC586" i="2"/>
  <c r="AC587" i="2" s="1"/>
  <c r="V331" i="2"/>
  <c r="Y581" i="2"/>
  <c r="Y582" i="2" s="1"/>
  <c r="T331" i="2"/>
  <c r="Y331" i="2"/>
  <c r="X331" i="2"/>
  <c r="X581" i="2"/>
  <c r="X582" i="2" s="1"/>
  <c r="O331" i="2"/>
  <c r="R331" i="2"/>
  <c r="AE331" i="2"/>
  <c r="AE586" i="2"/>
  <c r="AE587" i="2" s="1"/>
  <c r="K331" i="2"/>
  <c r="H331" i="2"/>
  <c r="G331" i="2"/>
  <c r="AB581" i="2"/>
  <c r="AB582" i="2" s="1"/>
  <c r="AB331" i="2"/>
  <c r="AB586" i="2"/>
  <c r="AB587" i="2" s="1"/>
  <c r="Q331" i="2"/>
  <c r="AA331" i="2"/>
  <c r="AA581" i="2"/>
  <c r="AA582" i="2" s="1"/>
  <c r="AA586" i="2"/>
  <c r="AA587" i="2" s="1"/>
  <c r="I331" i="2"/>
  <c r="AD331" i="2"/>
  <c r="AD586" i="2"/>
  <c r="AD587" i="2" s="1"/>
  <c r="AD581" i="2"/>
  <c r="AD582" i="2" s="1"/>
  <c r="C591" i="2"/>
  <c r="Q591" i="2" s="1"/>
  <c r="F601" i="2"/>
  <c r="F602" i="2" s="1"/>
  <c r="Z611" i="2"/>
  <c r="Z612" i="2" s="1"/>
  <c r="AF611" i="2"/>
  <c r="AF612" i="2" s="1"/>
  <c r="AD611" i="2"/>
  <c r="AD612" i="2" s="1"/>
  <c r="W611" i="2"/>
  <c r="W612" i="2" s="1"/>
  <c r="F595" i="2"/>
  <c r="E650" i="2"/>
  <c r="F611" i="2"/>
  <c r="Y611" i="2"/>
  <c r="Y612" i="2" s="1"/>
  <c r="F597" i="2"/>
  <c r="V611" i="2"/>
  <c r="V612" i="2" s="1"/>
  <c r="X611" i="2"/>
  <c r="X612" i="2" s="1"/>
  <c r="AE611" i="2"/>
  <c r="AE612" i="2" s="1"/>
  <c r="AB611" i="2"/>
  <c r="AB612" i="2" s="1"/>
  <c r="AA611" i="2"/>
  <c r="AA612" i="2" s="1"/>
  <c r="F606" i="2"/>
  <c r="AC611" i="2"/>
  <c r="AC612" i="2" s="1"/>
  <c r="N331" i="2"/>
  <c r="F397" i="2"/>
  <c r="Z331" i="2"/>
  <c r="Z581" i="2"/>
  <c r="Z582" i="2" s="1"/>
  <c r="Z586" i="2"/>
  <c r="Z587" i="2" s="1"/>
  <c r="F330" i="2"/>
  <c r="Q644" i="2" l="1"/>
  <c r="Q576" i="2"/>
  <c r="Q577" i="2" s="1"/>
  <c r="Q586" i="2"/>
  <c r="Q570" i="2"/>
  <c r="Q572" i="2"/>
  <c r="Q647" i="2" s="1"/>
  <c r="Q581" i="2"/>
  <c r="T653" i="2"/>
  <c r="S653" i="2"/>
  <c r="T622" i="2"/>
  <c r="T659" i="2" s="1"/>
  <c r="O653" i="2"/>
  <c r="U653" i="2"/>
  <c r="T591" i="2"/>
  <c r="N591" i="2"/>
  <c r="U591" i="2"/>
  <c r="O591" i="2"/>
  <c r="L591" i="2"/>
  <c r="M591" i="2"/>
  <c r="G591" i="2"/>
  <c r="H591" i="2"/>
  <c r="I591" i="2"/>
  <c r="K591" i="2"/>
  <c r="S591" i="2"/>
  <c r="R591" i="2"/>
  <c r="J591" i="2"/>
  <c r="H650" i="2"/>
  <c r="I650" i="2"/>
  <c r="J650" i="2"/>
  <c r="K650" i="2"/>
  <c r="L650" i="2" s="1"/>
  <c r="M650" i="2" s="1"/>
  <c r="N650" i="2"/>
  <c r="O650" i="2" s="1"/>
  <c r="G650" i="2"/>
  <c r="F622" i="2"/>
  <c r="AH523" i="2"/>
  <c r="F591" i="2"/>
  <c r="C617" i="2"/>
  <c r="L541" i="2"/>
  <c r="P541" i="2"/>
  <c r="F541" i="2"/>
  <c r="G541" i="2"/>
  <c r="K540" i="2"/>
  <c r="R540" i="2"/>
  <c r="H540" i="2"/>
  <c r="Q540" i="2"/>
  <c r="J541" i="2"/>
  <c r="N541" i="2"/>
  <c r="E541" i="2"/>
  <c r="I540" i="2"/>
  <c r="G540" i="2"/>
  <c r="F623" i="2"/>
  <c r="H541" i="2"/>
  <c r="F617" i="2"/>
  <c r="F627" i="2"/>
  <c r="F628" i="2" s="1"/>
  <c r="R541" i="2"/>
  <c r="E539" i="2"/>
  <c r="J540" i="2"/>
  <c r="Q541" i="2"/>
  <c r="M541" i="2"/>
  <c r="F621" i="2"/>
  <c r="O540" i="2"/>
  <c r="K541" i="2"/>
  <c r="O541" i="2"/>
  <c r="E540" i="2"/>
  <c r="M540" i="2"/>
  <c r="F540" i="2"/>
  <c r="E656" i="2"/>
  <c r="F656" i="2" s="1"/>
  <c r="G656" i="2" s="1"/>
  <c r="H656" i="2" s="1"/>
  <c r="I656" i="2" s="1"/>
  <c r="J656" i="2" s="1"/>
  <c r="K656" i="2" s="1"/>
  <c r="L656" i="2" s="1"/>
  <c r="M656" i="2" s="1"/>
  <c r="N656" i="2" s="1"/>
  <c r="O656" i="2" s="1"/>
  <c r="I541" i="2"/>
  <c r="N540" i="2"/>
  <c r="P540" i="2"/>
  <c r="F401" i="2"/>
  <c r="F650" i="2"/>
  <c r="F331" i="2"/>
  <c r="F644" i="2"/>
  <c r="AG541" i="2" l="1"/>
  <c r="AH541" i="2" s="1"/>
  <c r="F637" i="2"/>
  <c r="F632" i="2"/>
  <c r="G10" i="4"/>
  <c r="C204" i="15" l="1"/>
  <c r="C206" i="15" l="1"/>
  <c r="M204" i="15"/>
  <c r="M206" i="15" s="1"/>
  <c r="K204" i="15"/>
  <c r="K206" i="15" s="1"/>
  <c r="J204" i="15"/>
  <c r="J206" i="15" s="1"/>
  <c r="I204" i="15"/>
  <c r="I206" i="15" s="1"/>
  <c r="G204" i="15"/>
  <c r="G206" i="15" s="1"/>
  <c r="E204" i="15"/>
  <c r="E206" i="15" s="1"/>
  <c r="P106" i="15"/>
  <c r="G14" i="15" s="1"/>
  <c r="N204" i="15"/>
  <c r="N206" i="15" s="1"/>
  <c r="L204" i="15"/>
  <c r="L206" i="15" s="1"/>
  <c r="H204" i="15"/>
  <c r="H206" i="15" s="1"/>
  <c r="F204" i="15"/>
  <c r="F206" i="15" s="1"/>
  <c r="O106" i="15"/>
  <c r="F14" i="15" s="1"/>
  <c r="L445" i="2" s="1"/>
  <c r="E35" i="15" l="1"/>
  <c r="E207" i="15"/>
  <c r="J35" i="15"/>
  <c r="J207" i="15"/>
  <c r="K35" i="15"/>
  <c r="K207" i="15"/>
  <c r="G35" i="15"/>
  <c r="G207" i="15"/>
  <c r="F35" i="15"/>
  <c r="F207" i="15"/>
  <c r="H35" i="15"/>
  <c r="H207" i="15"/>
  <c r="L35" i="15"/>
  <c r="L207" i="15"/>
  <c r="M35" i="15"/>
  <c r="M207" i="15"/>
  <c r="N35" i="15"/>
  <c r="N207" i="15"/>
  <c r="C35" i="15"/>
  <c r="C207" i="15"/>
  <c r="I35" i="15"/>
  <c r="I207" i="15"/>
  <c r="L463" i="2"/>
  <c r="L627" i="2"/>
  <c r="L561" i="2"/>
  <c r="L552" i="2"/>
  <c r="L575" i="2" s="1"/>
  <c r="L601" i="2"/>
  <c r="O102" i="15"/>
  <c r="Q102" i="15"/>
  <c r="H14" i="15" s="1"/>
  <c r="S104" i="15"/>
  <c r="J14" i="15" s="1"/>
  <c r="L626" i="2" l="1"/>
  <c r="L628" i="2" s="1"/>
  <c r="L600" i="2"/>
  <c r="L602" i="2" s="1"/>
  <c r="AG463" i="2"/>
  <c r="AH463" i="2" s="1"/>
  <c r="L470" i="2"/>
  <c r="L493" i="2"/>
  <c r="L444" i="2"/>
  <c r="J25" i="15"/>
  <c r="E442" i="2" s="1"/>
  <c r="L442" i="2"/>
  <c r="AG442" i="2" s="1"/>
  <c r="O104" i="15"/>
  <c r="R104" i="15" s="1"/>
  <c r="D204" i="15"/>
  <c r="AH442" i="2" l="1"/>
  <c r="T104" i="15"/>
  <c r="K14" i="15" s="1"/>
  <c r="I14" i="15"/>
  <c r="L494" i="2"/>
  <c r="AG493" i="2"/>
  <c r="AH493" i="2" s="1"/>
  <c r="D206" i="15"/>
  <c r="O204" i="15"/>
  <c r="O206" i="15" s="1"/>
  <c r="O207" i="15" s="1"/>
  <c r="L473" i="2"/>
  <c r="AG470" i="2"/>
  <c r="AH470" i="2" s="1"/>
  <c r="L466" i="2"/>
  <c r="D35" i="15" l="1"/>
  <c r="D207" i="15"/>
  <c r="L474" i="2"/>
  <c r="AG473" i="2"/>
  <c r="AH473" i="2" s="1"/>
  <c r="L101" i="2"/>
  <c r="AG494" i="2"/>
  <c r="AH494" i="2" s="1"/>
  <c r="L24" i="2"/>
  <c r="L63" i="2"/>
  <c r="AG466" i="2"/>
  <c r="AH466" i="2" s="1"/>
  <c r="L467" i="2"/>
  <c r="L441" i="2"/>
  <c r="AG441" i="2" s="1"/>
  <c r="K25" i="15"/>
  <c r="E441" i="2" s="1"/>
  <c r="L443" i="2"/>
  <c r="I25" i="15"/>
  <c r="E443" i="2" s="1"/>
  <c r="L496" i="2" l="1"/>
  <c r="L449" i="2"/>
  <c r="AH441" i="2"/>
  <c r="AD342" i="2"/>
  <c r="AD356" i="2" s="1"/>
  <c r="AD358" i="2" s="1"/>
  <c r="O342" i="2"/>
  <c r="O356" i="2" s="1"/>
  <c r="O358" i="2" s="1"/>
  <c r="D19" i="4" s="1"/>
  <c r="Z342" i="2"/>
  <c r="Z356" i="2" s="1"/>
  <c r="Z358" i="2" s="1"/>
  <c r="T342" i="2"/>
  <c r="T356" i="2" s="1"/>
  <c r="T358" i="2" s="1"/>
  <c r="D24" i="4" s="1"/>
  <c r="AF342" i="2"/>
  <c r="AF356" i="2" s="1"/>
  <c r="AF358" i="2" s="1"/>
  <c r="P342" i="2"/>
  <c r="P356" i="2" s="1"/>
  <c r="P358" i="2" s="1"/>
  <c r="D20" i="4" s="1"/>
  <c r="AA366" i="2"/>
  <c r="P366" i="2"/>
  <c r="M366" i="2"/>
  <c r="G366" i="2"/>
  <c r="K342" i="2"/>
  <c r="K356" i="2" s="1"/>
  <c r="K358" i="2" s="1"/>
  <c r="D15" i="4" s="1"/>
  <c r="W342" i="2"/>
  <c r="W356" i="2" s="1"/>
  <c r="W358" i="2" s="1"/>
  <c r="S342" i="2"/>
  <c r="S356" i="2" s="1"/>
  <c r="S358" i="2" s="1"/>
  <c r="D23" i="4" s="1"/>
  <c r="F413" i="2"/>
  <c r="AA342" i="2"/>
  <c r="AA356" i="2" s="1"/>
  <c r="AA358" i="2" s="1"/>
  <c r="J342" i="2"/>
  <c r="J356" i="2" s="1"/>
  <c r="J358" i="2" s="1"/>
  <c r="U366" i="2"/>
  <c r="U391" i="2" s="1"/>
  <c r="U393" i="2" s="1"/>
  <c r="Q366" i="2"/>
  <c r="AB342" i="2"/>
  <c r="AB356" i="2" s="1"/>
  <c r="AB358" i="2" s="1"/>
  <c r="AC342" i="2"/>
  <c r="AC356" i="2" s="1"/>
  <c r="AC358" i="2" s="1"/>
  <c r="X342" i="2"/>
  <c r="X356" i="2" s="1"/>
  <c r="X358" i="2" s="1"/>
  <c r="AD366" i="2"/>
  <c r="Z366" i="2"/>
  <c r="M413" i="2"/>
  <c r="AD413" i="2"/>
  <c r="Q413" i="2"/>
  <c r="L342" i="2"/>
  <c r="L356" i="2" s="1"/>
  <c r="L358" i="2" s="1"/>
  <c r="D16" i="4" s="1"/>
  <c r="S366" i="2"/>
  <c r="S391" i="2" s="1"/>
  <c r="S393" i="2" s="1"/>
  <c r="V366" i="2"/>
  <c r="AF366" i="2"/>
  <c r="H366" i="2"/>
  <c r="AB413" i="2"/>
  <c r="Y413" i="2"/>
  <c r="L413" i="2"/>
  <c r="M342" i="2"/>
  <c r="M356" i="2" s="1"/>
  <c r="M358" i="2" s="1"/>
  <c r="D17" i="4" s="1"/>
  <c r="AE366" i="2"/>
  <c r="AC366" i="2"/>
  <c r="T413" i="2"/>
  <c r="AA413" i="2"/>
  <c r="W413" i="2"/>
  <c r="J366" i="2"/>
  <c r="R342" i="2"/>
  <c r="R356" i="2" s="1"/>
  <c r="R358" i="2" s="1"/>
  <c r="D22" i="4" s="1"/>
  <c r="Y366" i="2"/>
  <c r="K366" i="2"/>
  <c r="AB366" i="2"/>
  <c r="T366" i="2"/>
  <c r="T391" i="2" s="1"/>
  <c r="T393" i="2" s="1"/>
  <c r="Y342" i="2"/>
  <c r="Y356" i="2" s="1"/>
  <c r="Y358" i="2" s="1"/>
  <c r="L366" i="2"/>
  <c r="Q342" i="2"/>
  <c r="Q356" i="2" s="1"/>
  <c r="Q358" i="2" s="1"/>
  <c r="D21" i="4" s="1"/>
  <c r="N342" i="2"/>
  <c r="N356" i="2" s="1"/>
  <c r="N358" i="2" s="1"/>
  <c r="D18" i="4" s="1"/>
  <c r="F366" i="2"/>
  <c r="V342" i="2"/>
  <c r="V356" i="2" s="1"/>
  <c r="V358" i="2" s="1"/>
  <c r="F342" i="2"/>
  <c r="I342" i="2"/>
  <c r="I356" i="2" s="1"/>
  <c r="I358" i="2" s="1"/>
  <c r="O413" i="2"/>
  <c r="N413" i="2"/>
  <c r="AC413" i="2"/>
  <c r="W366" i="2"/>
  <c r="H342" i="2"/>
  <c r="H356" i="2" s="1"/>
  <c r="H358" i="2" s="1"/>
  <c r="I366" i="2"/>
  <c r="O366" i="2"/>
  <c r="G413" i="2"/>
  <c r="J413" i="2"/>
  <c r="AE342" i="2"/>
  <c r="AE356" i="2" s="1"/>
  <c r="AE358" i="2" s="1"/>
  <c r="G342" i="2"/>
  <c r="G356" i="2" s="1"/>
  <c r="G358" i="2" s="1"/>
  <c r="X366" i="2"/>
  <c r="I413" i="2"/>
  <c r="X413" i="2"/>
  <c r="AE413" i="2"/>
  <c r="Z413" i="2"/>
  <c r="N366" i="2"/>
  <c r="H413" i="2"/>
  <c r="K413" i="2"/>
  <c r="U413" i="2"/>
  <c r="AF413" i="2"/>
  <c r="P413" i="2"/>
  <c r="S413" i="2"/>
  <c r="U342" i="2"/>
  <c r="U356" i="2" s="1"/>
  <c r="U358" i="2" s="1"/>
  <c r="D25" i="4" s="1"/>
  <c r="R366" i="2"/>
  <c r="R413" i="2"/>
  <c r="V413" i="2"/>
  <c r="AG24" i="2"/>
  <c r="AH24" i="2" s="1"/>
  <c r="L26" i="2"/>
  <c r="AG26" i="2" s="1"/>
  <c r="AH26" i="2" s="1"/>
  <c r="L103" i="2"/>
  <c r="AG103" i="2" s="1"/>
  <c r="AH103" i="2" s="1"/>
  <c r="AG101" i="2"/>
  <c r="AH101" i="2" s="1"/>
  <c r="AG474" i="2"/>
  <c r="AH474" i="2" s="1"/>
  <c r="L475" i="2"/>
  <c r="AG63" i="2"/>
  <c r="AH63" i="2" s="1"/>
  <c r="L65" i="2"/>
  <c r="AG65" i="2" s="1"/>
  <c r="AH65" i="2" s="1"/>
  <c r="AG443" i="2"/>
  <c r="AH443" i="2" s="1"/>
  <c r="AG467" i="2"/>
  <c r="AH467" i="2" s="1"/>
  <c r="L468" i="2"/>
  <c r="H391" i="2" l="1"/>
  <c r="H521" i="2"/>
  <c r="H550" i="2" s="1"/>
  <c r="H569" i="2" s="1"/>
  <c r="Z521" i="2"/>
  <c r="Z526" i="2" s="1"/>
  <c r="Z393" i="2"/>
  <c r="Z395" i="2" s="1"/>
  <c r="Z403" i="2" s="1"/>
  <c r="AA393" i="2"/>
  <c r="AA395" i="2" s="1"/>
  <c r="AA403" i="2" s="1"/>
  <c r="AA521" i="2"/>
  <c r="AA526" i="2" s="1"/>
  <c r="D14" i="4"/>
  <c r="O521" i="2"/>
  <c r="O550" i="2" s="1"/>
  <c r="O569" i="2" s="1"/>
  <c r="O391" i="2"/>
  <c r="O393" i="2" s="1"/>
  <c r="D13" i="4"/>
  <c r="T521" i="2"/>
  <c r="T539" i="2" s="1"/>
  <c r="AF521" i="2"/>
  <c r="AF526" i="2" s="1"/>
  <c r="AF393" i="2"/>
  <c r="AF395" i="2" s="1"/>
  <c r="AF403" i="2" s="1"/>
  <c r="AD521" i="2"/>
  <c r="AD526" i="2" s="1"/>
  <c r="AD393" i="2"/>
  <c r="AD395" i="2" s="1"/>
  <c r="AD403" i="2" s="1"/>
  <c r="AG413" i="2"/>
  <c r="AH413" i="2" s="1"/>
  <c r="R391" i="2"/>
  <c r="R393" i="2" s="1"/>
  <c r="R521" i="2"/>
  <c r="R550" i="2" s="1"/>
  <c r="R569" i="2" s="1"/>
  <c r="L58" i="2"/>
  <c r="L210" i="2"/>
  <c r="L96" i="2"/>
  <c r="L19" i="2"/>
  <c r="AG468" i="2"/>
  <c r="AH468" i="2" s="1"/>
  <c r="I391" i="2"/>
  <c r="I521" i="2"/>
  <c r="I550" i="2" s="1"/>
  <c r="I569" i="2" s="1"/>
  <c r="F356" i="2"/>
  <c r="F358" i="2" s="1"/>
  <c r="AG342" i="2"/>
  <c r="AB521" i="2"/>
  <c r="AB526" i="2" s="1"/>
  <c r="AB393" i="2"/>
  <c r="AB395" i="2" s="1"/>
  <c r="AB403" i="2" s="1"/>
  <c r="AC521" i="2"/>
  <c r="AC526" i="2" s="1"/>
  <c r="AC393" i="2"/>
  <c r="AC395" i="2" s="1"/>
  <c r="AC403" i="2" s="1"/>
  <c r="V521" i="2"/>
  <c r="V526" i="2" s="1"/>
  <c r="V393" i="2"/>
  <c r="V395" i="2" s="1"/>
  <c r="V403" i="2" s="1"/>
  <c r="N521" i="2"/>
  <c r="N550" i="2" s="1"/>
  <c r="N569" i="2" s="1"/>
  <c r="N391" i="2"/>
  <c r="N393" i="2" s="1"/>
  <c r="AG496" i="2"/>
  <c r="AH496" i="2" s="1"/>
  <c r="L499" i="2"/>
  <c r="D12" i="4"/>
  <c r="K521" i="2"/>
  <c r="K550" i="2" s="1"/>
  <c r="K569" i="2" s="1"/>
  <c r="K391" i="2"/>
  <c r="K393" i="2" s="1"/>
  <c r="AE521" i="2"/>
  <c r="AE526" i="2" s="1"/>
  <c r="AE393" i="2"/>
  <c r="AE395" i="2" s="1"/>
  <c r="AE403" i="2" s="1"/>
  <c r="S521" i="2"/>
  <c r="L248" i="2"/>
  <c r="L172" i="2"/>
  <c r="AG475" i="2"/>
  <c r="AH475" i="2" s="1"/>
  <c r="L134" i="2"/>
  <c r="L286" i="2"/>
  <c r="P521" i="2"/>
  <c r="P391" i="2"/>
  <c r="P393" i="2" s="1"/>
  <c r="L452" i="2"/>
  <c r="L456" i="2"/>
  <c r="L477" i="2" s="1"/>
  <c r="X521" i="2"/>
  <c r="X526" i="2" s="1"/>
  <c r="X393" i="2"/>
  <c r="X395" i="2" s="1"/>
  <c r="X403" i="2" s="1"/>
  <c r="W521" i="2"/>
  <c r="W526" i="2" s="1"/>
  <c r="W393" i="2"/>
  <c r="W395" i="2" s="1"/>
  <c r="W403" i="2" s="1"/>
  <c r="AG366" i="2"/>
  <c r="AH366" i="2" s="1"/>
  <c r="F391" i="2"/>
  <c r="F393" i="2" s="1"/>
  <c r="F521" i="2"/>
  <c r="Y521" i="2"/>
  <c r="Y526" i="2" s="1"/>
  <c r="Y393" i="2"/>
  <c r="Y395" i="2" s="1"/>
  <c r="Y403" i="2" s="1"/>
  <c r="D11" i="4"/>
  <c r="Q391" i="2"/>
  <c r="Q393" i="2" s="1"/>
  <c r="Q521" i="2"/>
  <c r="Q550" i="2" s="1"/>
  <c r="Q569" i="2" s="1"/>
  <c r="G391" i="2"/>
  <c r="G521" i="2"/>
  <c r="G550" i="2" s="1"/>
  <c r="G569" i="2" s="1"/>
  <c r="J391" i="2"/>
  <c r="J521" i="2"/>
  <c r="J550" i="2" s="1"/>
  <c r="J569" i="2" s="1"/>
  <c r="U521" i="2"/>
  <c r="U539" i="2" s="1"/>
  <c r="M391" i="2"/>
  <c r="M393" i="2" s="1"/>
  <c r="M521" i="2"/>
  <c r="M550" i="2" s="1"/>
  <c r="M569" i="2" s="1"/>
  <c r="Q594" i="2" l="1"/>
  <c r="Q620" i="2"/>
  <c r="I393" i="2"/>
  <c r="E13" i="4" s="1"/>
  <c r="F13" i="4" s="1"/>
  <c r="J393" i="2"/>
  <c r="E14" i="4" s="1"/>
  <c r="F14" i="4" s="1"/>
  <c r="G393" i="2"/>
  <c r="E11" i="4" s="1"/>
  <c r="F11" i="4" s="1"/>
  <c r="H393" i="2"/>
  <c r="E12" i="4" s="1"/>
  <c r="F12" i="4" s="1"/>
  <c r="T395" i="2"/>
  <c r="T566" i="2" s="1"/>
  <c r="E24" i="4"/>
  <c r="F24" i="4" s="1"/>
  <c r="P395" i="2"/>
  <c r="E20" i="4"/>
  <c r="F20" i="4" s="1"/>
  <c r="S395" i="2"/>
  <c r="S566" i="2" s="1"/>
  <c r="E23" i="4"/>
  <c r="F23" i="4" s="1"/>
  <c r="N395" i="2"/>
  <c r="E18" i="4"/>
  <c r="F18" i="4" s="1"/>
  <c r="R395" i="2"/>
  <c r="R572" i="2" s="1"/>
  <c r="R647" i="2" s="1"/>
  <c r="E22" i="4"/>
  <c r="F22" i="4" s="1"/>
  <c r="O395" i="2"/>
  <c r="O576" i="2" s="1"/>
  <c r="O577" i="2" s="1"/>
  <c r="E19" i="4"/>
  <c r="F19" i="4" s="1"/>
  <c r="Q395" i="2"/>
  <c r="E21" i="4"/>
  <c r="F21" i="4" s="1"/>
  <c r="U395" i="2"/>
  <c r="U581" i="2" s="1"/>
  <c r="E25" i="4"/>
  <c r="F25" i="4" s="1"/>
  <c r="U550" i="2"/>
  <c r="U569" i="2" s="1"/>
  <c r="O620" i="2"/>
  <c r="O594" i="2"/>
  <c r="G620" i="2"/>
  <c r="G594" i="2"/>
  <c r="M594" i="2"/>
  <c r="M620" i="2"/>
  <c r="N594" i="2"/>
  <c r="N620" i="2"/>
  <c r="R620" i="2"/>
  <c r="R594" i="2"/>
  <c r="K594" i="2"/>
  <c r="K620" i="2"/>
  <c r="I620" i="2"/>
  <c r="I594" i="2"/>
  <c r="H594" i="2"/>
  <c r="H620" i="2"/>
  <c r="J594" i="2"/>
  <c r="J620" i="2"/>
  <c r="L484" i="2"/>
  <c r="L487" i="2" s="1"/>
  <c r="L488" i="2" s="1"/>
  <c r="L489" i="2" s="1"/>
  <c r="L480" i="2"/>
  <c r="L481" i="2" s="1"/>
  <c r="L482" i="2" s="1"/>
  <c r="M395" i="2"/>
  <c r="M403" i="2" s="1"/>
  <c r="E17" i="4"/>
  <c r="F17" i="4" s="1"/>
  <c r="K395" i="2"/>
  <c r="K403" i="2" s="1"/>
  <c r="E15" i="4"/>
  <c r="F15" i="4" s="1"/>
  <c r="H15" i="4" s="1"/>
  <c r="L500" i="2"/>
  <c r="AG499" i="2"/>
  <c r="AH499" i="2" s="1"/>
  <c r="I539" i="2"/>
  <c r="R539" i="2"/>
  <c r="L21" i="2"/>
  <c r="AG21" i="2" s="1"/>
  <c r="AH21" i="2" s="1"/>
  <c r="AG19" i="2"/>
  <c r="AH19" i="2" s="1"/>
  <c r="L453" i="2"/>
  <c r="K539" i="2"/>
  <c r="N539" i="2"/>
  <c r="L98" i="2"/>
  <c r="AG98" i="2" s="1"/>
  <c r="AH98" i="2" s="1"/>
  <c r="AG96" i="2"/>
  <c r="AH96" i="2" s="1"/>
  <c r="AG134" i="2"/>
  <c r="L136" i="2"/>
  <c r="AG136" i="2" s="1"/>
  <c r="AH136" i="2" s="1"/>
  <c r="M539" i="2"/>
  <c r="F550" i="2"/>
  <c r="F569" i="2" s="1"/>
  <c r="F539" i="2"/>
  <c r="L459" i="2"/>
  <c r="L212" i="2"/>
  <c r="AG212" i="2" s="1"/>
  <c r="AH212" i="2" s="1"/>
  <c r="AG210" i="2"/>
  <c r="AH210" i="2" s="1"/>
  <c r="O539" i="2"/>
  <c r="H539" i="2"/>
  <c r="AG172" i="2"/>
  <c r="AH172" i="2" s="1"/>
  <c r="L174" i="2"/>
  <c r="AG174" i="2" s="1"/>
  <c r="AH174" i="2" s="1"/>
  <c r="G539" i="2"/>
  <c r="F395" i="2"/>
  <c r="F403" i="2" s="1"/>
  <c r="P539" i="2"/>
  <c r="AG356" i="2"/>
  <c r="AH342" i="2"/>
  <c r="AG58" i="2"/>
  <c r="AH58" i="2" s="1"/>
  <c r="L60" i="2"/>
  <c r="AG60" i="2" s="1"/>
  <c r="AH60" i="2" s="1"/>
  <c r="L250" i="2"/>
  <c r="AG250" i="2" s="1"/>
  <c r="AH250" i="2" s="1"/>
  <c r="AG248" i="2"/>
  <c r="AH248" i="2" s="1"/>
  <c r="Q539" i="2"/>
  <c r="J539" i="2"/>
  <c r="L288" i="2"/>
  <c r="AG288" i="2" s="1"/>
  <c r="AH288" i="2" s="1"/>
  <c r="AG286" i="2"/>
  <c r="AH286" i="2" s="1"/>
  <c r="S539" i="2"/>
  <c r="D10" i="4"/>
  <c r="H395" i="2" l="1"/>
  <c r="H403" i="2" s="1"/>
  <c r="H566" i="2" s="1"/>
  <c r="P403" i="2"/>
  <c r="N403" i="2"/>
  <c r="N581" i="2" s="1"/>
  <c r="G395" i="2"/>
  <c r="J395" i="2"/>
  <c r="I395" i="2"/>
  <c r="H18" i="4"/>
  <c r="H13" i="4"/>
  <c r="H19" i="4"/>
  <c r="H20" i="4"/>
  <c r="H17" i="4"/>
  <c r="H12" i="4"/>
  <c r="H14" i="4"/>
  <c r="H11" i="4"/>
  <c r="R570" i="2"/>
  <c r="R586" i="2"/>
  <c r="T572" i="2"/>
  <c r="T647" i="2" s="1"/>
  <c r="R576" i="2"/>
  <c r="R577" i="2" s="1"/>
  <c r="T644" i="2"/>
  <c r="O566" i="2"/>
  <c r="S586" i="2"/>
  <c r="S572" i="2"/>
  <c r="S647" i="2" s="1"/>
  <c r="O644" i="2"/>
  <c r="O581" i="2"/>
  <c r="R566" i="2"/>
  <c r="O572" i="2"/>
  <c r="O647" i="2" s="1"/>
  <c r="R644" i="2"/>
  <c r="O586" i="2"/>
  <c r="R581" i="2"/>
  <c r="T586" i="2"/>
  <c r="O570" i="2"/>
  <c r="U586" i="2"/>
  <c r="Q566" i="2"/>
  <c r="S644" i="2"/>
  <c r="U566" i="2"/>
  <c r="U570" i="2"/>
  <c r="U572" i="2"/>
  <c r="U647" i="2" s="1"/>
  <c r="U576" i="2"/>
  <c r="U577" i="2" s="1"/>
  <c r="U644" i="2"/>
  <c r="K566" i="2"/>
  <c r="K576" i="2"/>
  <c r="K577" i="2" s="1"/>
  <c r="K586" i="2"/>
  <c r="K570" i="2"/>
  <c r="K572" i="2"/>
  <c r="K581" i="2"/>
  <c r="M644" i="2"/>
  <c r="M566" i="2"/>
  <c r="M576" i="2"/>
  <c r="M577" i="2" s="1"/>
  <c r="M586" i="2"/>
  <c r="M570" i="2"/>
  <c r="M572" i="2"/>
  <c r="M647" i="2" s="1"/>
  <c r="M581" i="2"/>
  <c r="U594" i="2"/>
  <c r="U620" i="2"/>
  <c r="AG482" i="2"/>
  <c r="AH482" i="2" s="1"/>
  <c r="L55" i="2"/>
  <c r="AG55" i="2" s="1"/>
  <c r="AH55" i="2" s="1"/>
  <c r="AG16" i="2"/>
  <c r="AH16" i="2" s="1"/>
  <c r="L93" i="2"/>
  <c r="L207" i="2"/>
  <c r="AG207" i="2" s="1"/>
  <c r="AH207" i="2" s="1"/>
  <c r="L283" i="2"/>
  <c r="AG283" i="2" s="1"/>
  <c r="AH283" i="2" s="1"/>
  <c r="L169" i="2"/>
  <c r="AG169" i="2" s="1"/>
  <c r="AH169" i="2" s="1"/>
  <c r="L245" i="2"/>
  <c r="AG245" i="2" s="1"/>
  <c r="AH245" i="2" s="1"/>
  <c r="L131" i="2"/>
  <c r="AG489" i="2"/>
  <c r="AH489" i="2" s="1"/>
  <c r="D27" i="4"/>
  <c r="F620" i="2"/>
  <c r="F594" i="2"/>
  <c r="AH134" i="2"/>
  <c r="E10" i="4"/>
  <c r="AG477" i="2"/>
  <c r="AH477" i="2" s="1"/>
  <c r="F17" i="17"/>
  <c r="L460" i="2"/>
  <c r="AG500" i="2"/>
  <c r="AH500" i="2" s="1"/>
  <c r="L501" i="2"/>
  <c r="AH356" i="2"/>
  <c r="AG358" i="2"/>
  <c r="AH358" i="2" s="1"/>
  <c r="N570" i="2" l="1"/>
  <c r="N566" i="2"/>
  <c r="H581" i="2"/>
  <c r="H572" i="2"/>
  <c r="N576" i="2"/>
  <c r="N577" i="2" s="1"/>
  <c r="H570" i="2"/>
  <c r="N572" i="2"/>
  <c r="H586" i="2"/>
  <c r="H576" i="2"/>
  <c r="H577" i="2" s="1"/>
  <c r="N586" i="2"/>
  <c r="J403" i="2"/>
  <c r="J572" i="2" s="1"/>
  <c r="G403" i="2"/>
  <c r="G586" i="2" s="1"/>
  <c r="I403" i="2"/>
  <c r="I581" i="2" s="1"/>
  <c r="D47" i="4"/>
  <c r="D50" i="4"/>
  <c r="D49" i="4"/>
  <c r="D42" i="4"/>
  <c r="D44" i="4"/>
  <c r="D45" i="4"/>
  <c r="D41" i="4"/>
  <c r="D40" i="4"/>
  <c r="D48" i="4"/>
  <c r="D46" i="4"/>
  <c r="D43" i="4"/>
  <c r="D36" i="4"/>
  <c r="D38" i="4"/>
  <c r="D37" i="4"/>
  <c r="D39" i="4"/>
  <c r="L515" i="2"/>
  <c r="AG93" i="2"/>
  <c r="AH93" i="2" s="1"/>
  <c r="L533" i="2"/>
  <c r="AG131" i="2"/>
  <c r="D52" i="4"/>
  <c r="AG501" i="2"/>
  <c r="AH501" i="2" s="1"/>
  <c r="L47" i="2"/>
  <c r="L161" i="2"/>
  <c r="L199" i="2"/>
  <c r="L237" i="2"/>
  <c r="L85" i="2"/>
  <c r="L123" i="2"/>
  <c r="L275" i="2"/>
  <c r="L8" i="2"/>
  <c r="AG484" i="2"/>
  <c r="AH484" i="2" s="1"/>
  <c r="F572" i="2"/>
  <c r="F566" i="2"/>
  <c r="F576" i="2"/>
  <c r="F577" i="2" s="1"/>
  <c r="F586" i="2"/>
  <c r="F581" i="2"/>
  <c r="F570" i="2"/>
  <c r="F10" i="4"/>
  <c r="AG481" i="2"/>
  <c r="AH481" i="2" s="1"/>
  <c r="AG480" i="2"/>
  <c r="AH480" i="2" s="1"/>
  <c r="D35" i="4"/>
  <c r="J586" i="2" l="1"/>
  <c r="J570" i="2"/>
  <c r="J581" i="2"/>
  <c r="I576" i="2"/>
  <c r="I577" i="2" s="1"/>
  <c r="J566" i="2"/>
  <c r="G572" i="2"/>
  <c r="I566" i="2"/>
  <c r="I570" i="2"/>
  <c r="G566" i="2"/>
  <c r="I572" i="2"/>
  <c r="I586" i="2"/>
  <c r="G581" i="2"/>
  <c r="G570" i="2"/>
  <c r="J576" i="2"/>
  <c r="J577" i="2" s="1"/>
  <c r="G576" i="2"/>
  <c r="G577" i="2" s="1"/>
  <c r="H10" i="4"/>
  <c r="L606" i="2"/>
  <c r="L632" i="2"/>
  <c r="L562" i="2"/>
  <c r="AH131" i="2"/>
  <c r="AG515" i="2"/>
  <c r="AH515" i="2" s="1"/>
  <c r="AG533" i="2"/>
  <c r="AH533" i="2" s="1"/>
  <c r="AG85" i="2"/>
  <c r="AH85" i="2" s="1"/>
  <c r="L530" i="2"/>
  <c r="L87" i="2"/>
  <c r="AG237" i="2"/>
  <c r="AH237" i="2" s="1"/>
  <c r="L239" i="2"/>
  <c r="AG161" i="2"/>
  <c r="AH161" i="2" s="1"/>
  <c r="L163" i="2"/>
  <c r="L49" i="2"/>
  <c r="AG47" i="2"/>
  <c r="AH47" i="2" s="1"/>
  <c r="L201" i="2"/>
  <c r="AG199" i="2"/>
  <c r="AH199" i="2" s="1"/>
  <c r="AG8" i="2"/>
  <c r="AH8" i="2" s="1"/>
  <c r="AG275" i="2"/>
  <c r="AH275" i="2" s="1"/>
  <c r="L277" i="2"/>
  <c r="AG488" i="2"/>
  <c r="AH488" i="2" s="1"/>
  <c r="AG487" i="2"/>
  <c r="AH487" i="2" s="1"/>
  <c r="L512" i="2"/>
  <c r="AG123" i="2"/>
  <c r="AH123" i="2" s="1"/>
  <c r="L125" i="2"/>
  <c r="L595" i="2" l="1"/>
  <c r="L621" i="2"/>
  <c r="L559" i="2"/>
  <c r="AG163" i="2"/>
  <c r="AH163" i="2" s="1"/>
  <c r="L193" i="2"/>
  <c r="L79" i="2"/>
  <c r="AG79" i="2" s="1"/>
  <c r="AH79" i="2" s="1"/>
  <c r="AG49" i="2"/>
  <c r="AH49" i="2" s="1"/>
  <c r="AG10" i="2"/>
  <c r="AH10" i="2" s="1"/>
  <c r="L40" i="2"/>
  <c r="AG40" i="2" s="1"/>
  <c r="AH40" i="2" s="1"/>
  <c r="L521" i="2"/>
  <c r="L550" i="2" s="1"/>
  <c r="L569" i="2" s="1"/>
  <c r="AG512" i="2"/>
  <c r="L517" i="2"/>
  <c r="AG87" i="2"/>
  <c r="AH87" i="2" s="1"/>
  <c r="L117" i="2"/>
  <c r="AG125" i="2"/>
  <c r="AH125" i="2" s="1"/>
  <c r="L155" i="2"/>
  <c r="AG201" i="2"/>
  <c r="AH201" i="2" s="1"/>
  <c r="L231" i="2"/>
  <c r="AG530" i="2"/>
  <c r="AH530" i="2" s="1"/>
  <c r="L535" i="2"/>
  <c r="AG535" i="2" s="1"/>
  <c r="AH535" i="2" s="1"/>
  <c r="L307" i="2"/>
  <c r="AG277" i="2"/>
  <c r="AH277" i="2" s="1"/>
  <c r="L269" i="2"/>
  <c r="AG239" i="2"/>
  <c r="AH239" i="2" s="1"/>
  <c r="L620" i="2" l="1"/>
  <c r="L594" i="2"/>
  <c r="L367" i="2"/>
  <c r="L118" i="2"/>
  <c r="AG118" i="2" s="1"/>
  <c r="AH118" i="2" s="1"/>
  <c r="L369" i="2"/>
  <c r="AG369" i="2" s="1"/>
  <c r="AH369" i="2" s="1"/>
  <c r="L539" i="2"/>
  <c r="AG539" i="2" s="1"/>
  <c r="AH539" i="2" s="1"/>
  <c r="AG521" i="2"/>
  <c r="AH521" i="2" s="1"/>
  <c r="AG155" i="2"/>
  <c r="L319" i="2"/>
  <c r="AG231" i="2"/>
  <c r="AH231" i="2" s="1"/>
  <c r="L320" i="2"/>
  <c r="AG320" i="2" s="1"/>
  <c r="AH320" i="2" s="1"/>
  <c r="L376" i="2"/>
  <c r="AG376" i="2" s="1"/>
  <c r="AH376" i="2" s="1"/>
  <c r="L375" i="2"/>
  <c r="AG375" i="2" s="1"/>
  <c r="AH375" i="2" s="1"/>
  <c r="AG193" i="2"/>
  <c r="AH193" i="2" s="1"/>
  <c r="L368" i="2"/>
  <c r="L373" i="2"/>
  <c r="AG373" i="2" s="1"/>
  <c r="AH373" i="2" s="1"/>
  <c r="L374" i="2"/>
  <c r="AG374" i="2" s="1"/>
  <c r="AH374" i="2" s="1"/>
  <c r="AG307" i="2"/>
  <c r="AH307" i="2" s="1"/>
  <c r="L322" i="2"/>
  <c r="AG322" i="2" s="1"/>
  <c r="AH322" i="2" s="1"/>
  <c r="L328" i="2"/>
  <c r="L378" i="2"/>
  <c r="AG378" i="2" s="1"/>
  <c r="AH378" i="2" s="1"/>
  <c r="L372" i="2"/>
  <c r="AG372" i="2" s="1"/>
  <c r="AH372" i="2" s="1"/>
  <c r="L380" i="2"/>
  <c r="AG380" i="2" s="1"/>
  <c r="AH380" i="2" s="1"/>
  <c r="L383" i="2"/>
  <c r="AG383" i="2" s="1"/>
  <c r="AH383" i="2" s="1"/>
  <c r="L399" i="2"/>
  <c r="AG399" i="2" s="1"/>
  <c r="AH399" i="2" s="1"/>
  <c r="L379" i="2"/>
  <c r="AG379" i="2" s="1"/>
  <c r="AH379" i="2" s="1"/>
  <c r="L387" i="2"/>
  <c r="AG387" i="2" s="1"/>
  <c r="AH387" i="2" s="1"/>
  <c r="L384" i="2"/>
  <c r="AG384" i="2" s="1"/>
  <c r="AH384" i="2" s="1"/>
  <c r="L381" i="2"/>
  <c r="AG381" i="2" s="1"/>
  <c r="AH381" i="2" s="1"/>
  <c r="L371" i="2"/>
  <c r="AG371" i="2" s="1"/>
  <c r="AH371" i="2" s="1"/>
  <c r="L377" i="2"/>
  <c r="AG377" i="2" s="1"/>
  <c r="AH377" i="2" s="1"/>
  <c r="L388" i="2"/>
  <c r="AG388" i="2" s="1"/>
  <c r="AH388" i="2" s="1"/>
  <c r="L382" i="2"/>
  <c r="AG382" i="2" s="1"/>
  <c r="AH382" i="2" s="1"/>
  <c r="L385" i="2"/>
  <c r="AG385" i="2" s="1"/>
  <c r="AH385" i="2" s="1"/>
  <c r="L389" i="2"/>
  <c r="AG389" i="2" s="1"/>
  <c r="AH389" i="2" s="1"/>
  <c r="L386" i="2"/>
  <c r="AG386" i="2" s="1"/>
  <c r="AH386" i="2" s="1"/>
  <c r="AG117" i="2"/>
  <c r="AH117" i="2" s="1"/>
  <c r="L390" i="2"/>
  <c r="AG390" i="2" s="1"/>
  <c r="AH390" i="2" s="1"/>
  <c r="AG269" i="2"/>
  <c r="AH269" i="2" s="1"/>
  <c r="L321" i="2"/>
  <c r="AG321" i="2" s="1"/>
  <c r="AH321" i="2" s="1"/>
  <c r="AG517" i="2"/>
  <c r="AH512" i="2"/>
  <c r="AG367" i="2" l="1"/>
  <c r="AH367" i="2" s="1"/>
  <c r="AH155" i="2"/>
  <c r="AG522" i="2"/>
  <c r="AH522" i="2" s="1"/>
  <c r="L540" i="2"/>
  <c r="AG540" i="2" s="1"/>
  <c r="AH540" i="2" s="1"/>
  <c r="AG319" i="2"/>
  <c r="AH319" i="2" s="1"/>
  <c r="L324" i="2"/>
  <c r="AG368" i="2"/>
  <c r="AH368" i="2" s="1"/>
  <c r="L391" i="2"/>
  <c r="AG391" i="2" s="1"/>
  <c r="AH391" i="2" s="1"/>
  <c r="L397" i="2"/>
  <c r="AG328" i="2"/>
  <c r="AH328" i="2" s="1"/>
  <c r="L326" i="2" l="1"/>
  <c r="L362" i="2"/>
  <c r="L393" i="2" s="1"/>
  <c r="AG324" i="2"/>
  <c r="AH324" i="2" s="1"/>
  <c r="AG397" i="2"/>
  <c r="AH397" i="2" s="1"/>
  <c r="L401" i="2"/>
  <c r="AG401" i="2" l="1"/>
  <c r="AH401" i="2" s="1"/>
  <c r="G16" i="4"/>
  <c r="G27" i="4" s="1"/>
  <c r="E16" i="4"/>
  <c r="E27" i="4" s="1"/>
  <c r="AG362" i="2"/>
  <c r="AH362" i="2" s="1"/>
  <c r="L330" i="2"/>
  <c r="AG326" i="2"/>
  <c r="F16" i="4" l="1"/>
  <c r="L331" i="2"/>
  <c r="AH326" i="2"/>
  <c r="AG330" i="2"/>
  <c r="AH330" i="2" s="1"/>
  <c r="L395" i="2"/>
  <c r="L403" i="2" s="1"/>
  <c r="AG393" i="2"/>
  <c r="AH393" i="2" s="1"/>
  <c r="H16" i="4" l="1"/>
  <c r="F27" i="4"/>
  <c r="E52" i="4"/>
  <c r="AG395" i="2"/>
  <c r="AH395" i="2" s="1"/>
  <c r="H27" i="4" l="1"/>
  <c r="L644" i="2"/>
  <c r="L566" i="2"/>
  <c r="L576" i="2"/>
  <c r="L577" i="2" s="1"/>
  <c r="L586" i="2"/>
  <c r="L572" i="2"/>
  <c r="L647" i="2" s="1"/>
  <c r="L581" i="2"/>
  <c r="L570" i="2"/>
  <c r="AH516" i="2" l="1"/>
  <c r="D515" i="2"/>
  <c r="D524" i="2" s="1"/>
  <c r="E517" i="2"/>
  <c r="AH517" i="2" s="1"/>
  <c r="D516" i="2"/>
  <c r="D525" i="2" s="1"/>
  <c r="E525" i="2" l="1"/>
  <c r="J525" i="2"/>
  <c r="J554" i="2" s="1"/>
  <c r="H525" i="2"/>
  <c r="H554" i="2" s="1"/>
  <c r="U525" i="2"/>
  <c r="K525" i="2"/>
  <c r="M525" i="2"/>
  <c r="N525" i="2"/>
  <c r="P525" i="2"/>
  <c r="P543" i="2" s="1"/>
  <c r="T525" i="2"/>
  <c r="R525" i="2"/>
  <c r="O525" i="2"/>
  <c r="Q525" i="2"/>
  <c r="S525" i="2"/>
  <c r="G525" i="2"/>
  <c r="G554" i="2" s="1"/>
  <c r="I525" i="2"/>
  <c r="I554" i="2" s="1"/>
  <c r="F525" i="2"/>
  <c r="L525" i="2"/>
  <c r="E524" i="2"/>
  <c r="Q524" i="2"/>
  <c r="J524" i="2"/>
  <c r="J553" i="2" s="1"/>
  <c r="J605" i="2" s="1"/>
  <c r="H524" i="2"/>
  <c r="H553" i="2" s="1"/>
  <c r="U524" i="2"/>
  <c r="M524" i="2"/>
  <c r="K524" i="2"/>
  <c r="K553" i="2" s="1"/>
  <c r="N524" i="2"/>
  <c r="P524" i="2"/>
  <c r="S524" i="2"/>
  <c r="I524" i="2"/>
  <c r="I553" i="2" s="1"/>
  <c r="T524" i="2"/>
  <c r="R524" i="2"/>
  <c r="O524" i="2"/>
  <c r="G524" i="2"/>
  <c r="G553" i="2" s="1"/>
  <c r="F524" i="2"/>
  <c r="L524" i="2"/>
  <c r="L553" i="2" s="1"/>
  <c r="E542" i="2"/>
  <c r="O553" i="2" l="1"/>
  <c r="O542" i="2"/>
  <c r="O526" i="2"/>
  <c r="N554" i="2"/>
  <c r="N543" i="2"/>
  <c r="U542" i="2"/>
  <c r="U553" i="2"/>
  <c r="U526" i="2"/>
  <c r="T542" i="2"/>
  <c r="T526" i="2"/>
  <c r="U543" i="2"/>
  <c r="U554" i="2"/>
  <c r="M554" i="2"/>
  <c r="M543" i="2"/>
  <c r="S554" i="2"/>
  <c r="S543" i="2"/>
  <c r="Q553" i="2"/>
  <c r="Q542" i="2"/>
  <c r="Q526" i="2"/>
  <c r="O554" i="2"/>
  <c r="O543" i="2"/>
  <c r="Q554" i="2"/>
  <c r="Q543" i="2"/>
  <c r="P542" i="2"/>
  <c r="P544" i="2" s="1"/>
  <c r="P526" i="2"/>
  <c r="R554" i="2"/>
  <c r="R543" i="2"/>
  <c r="M553" i="2"/>
  <c r="M542" i="2"/>
  <c r="M526" i="2"/>
  <c r="R553" i="2"/>
  <c r="R542" i="2"/>
  <c r="R526" i="2"/>
  <c r="S542" i="2"/>
  <c r="S526" i="2"/>
  <c r="N553" i="2"/>
  <c r="N542" i="2"/>
  <c r="N544" i="2" s="1"/>
  <c r="N526" i="2"/>
  <c r="T554" i="2"/>
  <c r="T543" i="2"/>
  <c r="K580" i="2"/>
  <c r="K605" i="2"/>
  <c r="K607" i="2" s="1"/>
  <c r="K653" i="2" s="1"/>
  <c r="H610" i="2"/>
  <c r="H585" i="2"/>
  <c r="H587" i="2" s="1"/>
  <c r="H646" i="2" s="1"/>
  <c r="G580" i="2"/>
  <c r="G605" i="2"/>
  <c r="G607" i="2" s="1"/>
  <c r="G653" i="2" s="1"/>
  <c r="L605" i="2"/>
  <c r="L580" i="2"/>
  <c r="L582" i="2" s="1"/>
  <c r="L648" i="2" s="1"/>
  <c r="L543" i="2"/>
  <c r="L554" i="2"/>
  <c r="I605" i="2"/>
  <c r="I607" i="2" s="1"/>
  <c r="I653" i="2" s="1"/>
  <c r="I580" i="2"/>
  <c r="I585" i="2"/>
  <c r="I587" i="2" s="1"/>
  <c r="I646" i="2" s="1"/>
  <c r="I610" i="2"/>
  <c r="J580" i="2"/>
  <c r="J607" i="2"/>
  <c r="J653" i="2" s="1"/>
  <c r="K543" i="2"/>
  <c r="K554" i="2"/>
  <c r="G585" i="2"/>
  <c r="G587" i="2" s="1"/>
  <c r="G646" i="2" s="1"/>
  <c r="G610" i="2"/>
  <c r="H605" i="2"/>
  <c r="H607" i="2" s="1"/>
  <c r="H653" i="2" s="1"/>
  <c r="H580" i="2"/>
  <c r="J585" i="2"/>
  <c r="J587" i="2" s="1"/>
  <c r="J646" i="2" s="1"/>
  <c r="J610" i="2"/>
  <c r="E526" i="2"/>
  <c r="E527" i="2" s="1"/>
  <c r="E528" i="2" s="1"/>
  <c r="L542" i="2"/>
  <c r="L526" i="2"/>
  <c r="F543" i="2"/>
  <c r="F554" i="2"/>
  <c r="AG525" i="2"/>
  <c r="AH525" i="2" s="1"/>
  <c r="I542" i="2"/>
  <c r="I526" i="2"/>
  <c r="H543" i="2"/>
  <c r="K542" i="2"/>
  <c r="K526" i="2"/>
  <c r="I543" i="2"/>
  <c r="J542" i="2"/>
  <c r="J526" i="2"/>
  <c r="G542" i="2"/>
  <c r="G526" i="2"/>
  <c r="G543" i="2"/>
  <c r="F542" i="2"/>
  <c r="F553" i="2"/>
  <c r="F526" i="2"/>
  <c r="AG524" i="2"/>
  <c r="AH524" i="2" s="1"/>
  <c r="H542" i="2"/>
  <c r="H526" i="2"/>
  <c r="J543" i="2"/>
  <c r="E543" i="2"/>
  <c r="E544" i="2" s="1"/>
  <c r="E546" i="2" s="1"/>
  <c r="R544" i="2" l="1"/>
  <c r="U544" i="2"/>
  <c r="Q580" i="2"/>
  <c r="Q582" i="2" s="1"/>
  <c r="Q648" i="2" s="1"/>
  <c r="Q605" i="2"/>
  <c r="Q585" i="2"/>
  <c r="Q587" i="2" s="1"/>
  <c r="Q646" i="2" s="1"/>
  <c r="Q610" i="2"/>
  <c r="M544" i="2"/>
  <c r="T585" i="2"/>
  <c r="T587" i="2" s="1"/>
  <c r="T646" i="2" s="1"/>
  <c r="T610" i="2"/>
  <c r="R605" i="2"/>
  <c r="R580" i="2"/>
  <c r="R582" i="2" s="1"/>
  <c r="R648" i="2" s="1"/>
  <c r="S610" i="2"/>
  <c r="S585" i="2"/>
  <c r="S587" i="2" s="1"/>
  <c r="S646" i="2" s="1"/>
  <c r="U580" i="2"/>
  <c r="U582" i="2" s="1"/>
  <c r="U648" i="2" s="1"/>
  <c r="U605" i="2"/>
  <c r="N580" i="2"/>
  <c r="N605" i="2"/>
  <c r="N607" i="2" s="1"/>
  <c r="N653" i="2" s="1"/>
  <c r="M605" i="2"/>
  <c r="M580" i="2"/>
  <c r="M582" i="2" s="1"/>
  <c r="M648" i="2" s="1"/>
  <c r="O585" i="2"/>
  <c r="O587" i="2" s="1"/>
  <c r="O646" i="2" s="1"/>
  <c r="O610" i="2"/>
  <c r="U610" i="2"/>
  <c r="U585" i="2"/>
  <c r="U587" i="2" s="1"/>
  <c r="U646" i="2" s="1"/>
  <c r="N585" i="2"/>
  <c r="N587" i="2" s="1"/>
  <c r="N646" i="2" s="1"/>
  <c r="N610" i="2"/>
  <c r="M585" i="2"/>
  <c r="M587" i="2" s="1"/>
  <c r="M646" i="2" s="1"/>
  <c r="M610" i="2"/>
  <c r="S544" i="2"/>
  <c r="R585" i="2"/>
  <c r="R587" i="2" s="1"/>
  <c r="R646" i="2" s="1"/>
  <c r="R610" i="2"/>
  <c r="Q544" i="2"/>
  <c r="O544" i="2"/>
  <c r="T544" i="2"/>
  <c r="O605" i="2"/>
  <c r="O580" i="2"/>
  <c r="O582" i="2" s="1"/>
  <c r="O648" i="2" s="1"/>
  <c r="AG543" i="2"/>
  <c r="AH543" i="2" s="1"/>
  <c r="AG542" i="2"/>
  <c r="AH542" i="2" s="1"/>
  <c r="K544" i="2"/>
  <c r="L544" i="2"/>
  <c r="L631" i="2"/>
  <c r="L633" i="2" s="1"/>
  <c r="L660" i="2" s="1"/>
  <c r="G16" i="17" s="1"/>
  <c r="L607" i="2"/>
  <c r="L654" i="2" s="1"/>
  <c r="J582" i="2"/>
  <c r="J647" i="2" s="1"/>
  <c r="J631" i="2"/>
  <c r="J633" i="2" s="1"/>
  <c r="J659" i="2" s="1"/>
  <c r="H631" i="2"/>
  <c r="H633" i="2" s="1"/>
  <c r="H659" i="2" s="1"/>
  <c r="F12" i="17" s="1"/>
  <c r="H582" i="2"/>
  <c r="H647" i="2" s="1"/>
  <c r="G631" i="2"/>
  <c r="G633" i="2" s="1"/>
  <c r="G659" i="2" s="1"/>
  <c r="G582" i="2"/>
  <c r="G647" i="2" s="1"/>
  <c r="H612" i="2"/>
  <c r="H652" i="2" s="1"/>
  <c r="H636" i="2"/>
  <c r="H638" i="2" s="1"/>
  <c r="H658" i="2" s="1"/>
  <c r="J636" i="2"/>
  <c r="J638" i="2" s="1"/>
  <c r="J658" i="2" s="1"/>
  <c r="J612" i="2"/>
  <c r="J652" i="2" s="1"/>
  <c r="G612" i="2"/>
  <c r="G652" i="2" s="1"/>
  <c r="G636" i="2"/>
  <c r="G638" i="2" s="1"/>
  <c r="G658" i="2" s="1"/>
  <c r="I631" i="2"/>
  <c r="I633" i="2" s="1"/>
  <c r="I659" i="2" s="1"/>
  <c r="F13" i="17" s="1"/>
  <c r="I582" i="2"/>
  <c r="I647" i="2" s="1"/>
  <c r="L610" i="2"/>
  <c r="L585" i="2"/>
  <c r="L587" i="2" s="1"/>
  <c r="L646" i="2" s="1"/>
  <c r="I612" i="2"/>
  <c r="I652" i="2" s="1"/>
  <c r="I636" i="2"/>
  <c r="I638" i="2" s="1"/>
  <c r="I658" i="2" s="1"/>
  <c r="K610" i="2"/>
  <c r="K585" i="2"/>
  <c r="K587" i="2" s="1"/>
  <c r="K646" i="2" s="1"/>
  <c r="K631" i="2"/>
  <c r="K633" i="2" s="1"/>
  <c r="K659" i="2" s="1"/>
  <c r="F15" i="17" s="1"/>
  <c r="K582" i="2"/>
  <c r="K647" i="2" s="1"/>
  <c r="F544" i="2"/>
  <c r="H544" i="2"/>
  <c r="I544" i="2"/>
  <c r="J544" i="2"/>
  <c r="G544" i="2"/>
  <c r="AG526" i="2"/>
  <c r="AH526" i="2" s="1"/>
  <c r="F610" i="2"/>
  <c r="F585" i="2"/>
  <c r="F587" i="2" s="1"/>
  <c r="F646" i="2" s="1"/>
  <c r="F580" i="2"/>
  <c r="F605" i="2"/>
  <c r="F607" i="2" s="1"/>
  <c r="F653" i="2" s="1"/>
  <c r="Q636" i="2" l="1"/>
  <c r="Q638" i="2" s="1"/>
  <c r="Q658" i="2" s="1"/>
  <c r="Q612" i="2"/>
  <c r="Q652" i="2" s="1"/>
  <c r="Q607" i="2"/>
  <c r="Q654" i="2" s="1"/>
  <c r="Q631" i="2"/>
  <c r="Q633" i="2" s="1"/>
  <c r="Q660" i="2" s="1"/>
  <c r="O607" i="2"/>
  <c r="O654" i="2" s="1"/>
  <c r="O631" i="2"/>
  <c r="O633" i="2" s="1"/>
  <c r="O660" i="2" s="1"/>
  <c r="G19" i="17" s="1"/>
  <c r="U636" i="2"/>
  <c r="U638" i="2" s="1"/>
  <c r="U658" i="2" s="1"/>
  <c r="U612" i="2"/>
  <c r="U652" i="2" s="1"/>
  <c r="M612" i="2"/>
  <c r="M652" i="2" s="1"/>
  <c r="M636" i="2"/>
  <c r="M638" i="2" s="1"/>
  <c r="M658" i="2" s="1"/>
  <c r="E17" i="17" s="1"/>
  <c r="O636" i="2"/>
  <c r="O638" i="2" s="1"/>
  <c r="O658" i="2" s="1"/>
  <c r="E19" i="17" s="1"/>
  <c r="O612" i="2"/>
  <c r="O652" i="2" s="1"/>
  <c r="S612" i="2"/>
  <c r="S652" i="2" s="1"/>
  <c r="S636" i="2"/>
  <c r="S638" i="2" s="1"/>
  <c r="S658" i="2" s="1"/>
  <c r="M631" i="2"/>
  <c r="M633" i="2" s="1"/>
  <c r="M660" i="2" s="1"/>
  <c r="G17" i="17" s="1"/>
  <c r="M607" i="2"/>
  <c r="M654" i="2" s="1"/>
  <c r="R631" i="2"/>
  <c r="R633" i="2" s="1"/>
  <c r="R660" i="2" s="1"/>
  <c r="R607" i="2"/>
  <c r="R654" i="2" s="1"/>
  <c r="U607" i="2"/>
  <c r="U654" i="2" s="1"/>
  <c r="U631" i="2"/>
  <c r="U633" i="2" s="1"/>
  <c r="U660" i="2" s="1"/>
  <c r="N636" i="2"/>
  <c r="N638" i="2" s="1"/>
  <c r="N658" i="2" s="1"/>
  <c r="E18" i="17" s="1"/>
  <c r="N612" i="2"/>
  <c r="N652" i="2" s="1"/>
  <c r="T612" i="2"/>
  <c r="T652" i="2" s="1"/>
  <c r="T636" i="2"/>
  <c r="T638" i="2" s="1"/>
  <c r="T658" i="2" s="1"/>
  <c r="R612" i="2"/>
  <c r="R652" i="2" s="1"/>
  <c r="R636" i="2"/>
  <c r="R638" i="2" s="1"/>
  <c r="R658" i="2" s="1"/>
  <c r="N631" i="2"/>
  <c r="N633" i="2" s="1"/>
  <c r="N659" i="2" s="1"/>
  <c r="F18" i="17" s="1"/>
  <c r="N582" i="2"/>
  <c r="N647" i="2" s="1"/>
  <c r="AG544" i="2"/>
  <c r="AH544" i="2" s="1"/>
  <c r="K612" i="2"/>
  <c r="K652" i="2" s="1"/>
  <c r="K636" i="2"/>
  <c r="K638" i="2" s="1"/>
  <c r="K658" i="2" s="1"/>
  <c r="E15" i="17" s="1"/>
  <c r="F14" i="17"/>
  <c r="L612" i="2"/>
  <c r="L652" i="2" s="1"/>
  <c r="L636" i="2"/>
  <c r="L638" i="2" s="1"/>
  <c r="L658" i="2" s="1"/>
  <c r="E16" i="17" s="1"/>
  <c r="F636" i="2"/>
  <c r="F638" i="2" s="1"/>
  <c r="F658" i="2" s="1"/>
  <c r="E10" i="17" s="1"/>
  <c r="F612" i="2"/>
  <c r="F652" i="2" s="1"/>
  <c r="G13" i="17"/>
  <c r="E13" i="17"/>
  <c r="E12" i="17"/>
  <c r="E11" i="17"/>
  <c r="F631" i="2"/>
  <c r="F633" i="2" s="1"/>
  <c r="F659" i="2" s="1"/>
  <c r="F10" i="17" s="1"/>
  <c r="F582" i="2"/>
  <c r="F647" i="2" s="1"/>
  <c r="G12" i="17"/>
  <c r="G14" i="17" l="1"/>
  <c r="E14" i="17"/>
  <c r="F11" i="17"/>
  <c r="AH1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AF414" i="2"/>
  <c r="AG414" i="2"/>
  <c r="AH414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5" i="2"/>
  <c r="AG415" i="2"/>
  <c r="AH415" i="2"/>
  <c r="E444" i="2"/>
  <c r="S444" i="2"/>
  <c r="T444" i="2"/>
  <c r="AG444" i="2"/>
  <c r="AH444" i="2"/>
  <c r="E445" i="2"/>
  <c r="S445" i="2"/>
  <c r="T445" i="2"/>
  <c r="AG445" i="2"/>
  <c r="AH445" i="2"/>
  <c r="T449" i="2"/>
  <c r="AG449" i="2"/>
  <c r="AH449" i="2"/>
  <c r="T452" i="2"/>
  <c r="AG452" i="2"/>
  <c r="AH452" i="2"/>
  <c r="T453" i="2"/>
  <c r="AG453" i="2"/>
  <c r="AH453" i="2"/>
  <c r="T456" i="2"/>
  <c r="AG456" i="2"/>
  <c r="AH456" i="2"/>
  <c r="T459" i="2"/>
  <c r="AG459" i="2"/>
  <c r="AH459" i="2"/>
  <c r="T460" i="2"/>
  <c r="AG460" i="2"/>
  <c r="AH460" i="2"/>
  <c r="S550" i="2"/>
  <c r="T550" i="2"/>
  <c r="S552" i="2"/>
  <c r="T552" i="2"/>
  <c r="S553" i="2"/>
  <c r="T553" i="2"/>
  <c r="S559" i="2"/>
  <c r="T559" i="2"/>
  <c r="S561" i="2"/>
  <c r="T561" i="2"/>
  <c r="S562" i="2"/>
  <c r="T562" i="2"/>
  <c r="S569" i="2"/>
  <c r="T569" i="2"/>
  <c r="S570" i="2"/>
  <c r="T570" i="2"/>
  <c r="S575" i="2"/>
  <c r="T575" i="2"/>
  <c r="S576" i="2"/>
  <c r="T576" i="2"/>
  <c r="S577" i="2"/>
  <c r="T577" i="2"/>
  <c r="S580" i="2"/>
  <c r="T580" i="2"/>
  <c r="S581" i="2"/>
  <c r="T581" i="2"/>
  <c r="S582" i="2"/>
  <c r="T582" i="2"/>
  <c r="S594" i="2"/>
  <c r="T594" i="2"/>
  <c r="S595" i="2"/>
  <c r="T595" i="2"/>
  <c r="S600" i="2"/>
  <c r="T600" i="2"/>
  <c r="S601" i="2"/>
  <c r="T601" i="2"/>
  <c r="S602" i="2"/>
  <c r="T602" i="2"/>
  <c r="S605" i="2"/>
  <c r="T605" i="2"/>
  <c r="S606" i="2"/>
  <c r="T606" i="2"/>
  <c r="S607" i="2"/>
  <c r="T607" i="2"/>
  <c r="S620" i="2"/>
  <c r="T620" i="2"/>
  <c r="S621" i="2"/>
  <c r="T621" i="2"/>
  <c r="S626" i="2"/>
  <c r="T626" i="2"/>
  <c r="S627" i="2"/>
  <c r="T627" i="2"/>
  <c r="S628" i="2"/>
  <c r="T628" i="2"/>
  <c r="S631" i="2"/>
  <c r="T631" i="2"/>
  <c r="S632" i="2"/>
  <c r="T632" i="2"/>
  <c r="S633" i="2"/>
  <c r="T633" i="2"/>
  <c r="S648" i="2"/>
  <c r="T648" i="2"/>
  <c r="S654" i="2"/>
  <c r="T654" i="2"/>
  <c r="S660" i="2"/>
  <c r="T660" i="2"/>
  <c r="F21" i="15"/>
  <c r="G21" i="15"/>
  <c r="H21" i="15"/>
  <c r="F22" i="15"/>
  <c r="G22" i="15"/>
  <c r="H22" i="15"/>
  <c r="F25" i="15"/>
  <c r="G25" i="15"/>
  <c r="H25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Q172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Q182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</calcChain>
</file>

<file path=xl/sharedStrings.xml><?xml version="1.0" encoding="utf-8"?>
<sst xmlns="http://schemas.openxmlformats.org/spreadsheetml/2006/main" count="2459" uniqueCount="1207">
  <si>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</si>
  <si>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</si>
  <si>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</si>
  <si>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</si>
  <si>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</si>
  <si>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</si>
  <si>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</si>
  <si>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</si>
  <si>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</si>
  <si>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</si>
  <si>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</si>
  <si>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</si>
  <si>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</si>
  <si>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</si>
  <si>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</si>
  <si>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</si>
  <si>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</si>
  <si>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</si>
  <si>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</si>
  <si>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</si>
  <si>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</si>
  <si>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</si>
  <si>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</si>
  <si>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</si>
  <si>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</si>
  <si>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</si>
  <si>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</si>
  <si>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</si>
  <si>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</si>
  <si>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</si>
  <si>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</si>
  <si>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</si>
  <si>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</si>
  <si>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</si>
  <si>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</si>
  <si>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</si>
  <si>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</si>
  <si>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</si>
  <si>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</si>
  <si>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</si>
  <si>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</si>
  <si>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</si>
  <si>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</si>
  <si>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</si>
  <si>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</si>
  <si>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</si>
  <si>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</si>
  <si>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</si>
  <si>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</si>
  <si>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</si>
  <si>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</si>
  <si>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</si>
  <si>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</si>
  <si>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</si>
  <si>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</si>
  <si>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</si>
  <si>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</si>
  <si>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</si>
  <si>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</si>
  <si>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</si>
  <si>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</si>
  <si>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</si>
  <si>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</si>
  <si>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</si>
  <si>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</si>
  <si>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</si>
  <si>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</si>
  <si>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</si>
  <si>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</si>
  <si>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</si>
  <si>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</si>
  <si>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</si>
  <si>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</si>
  <si>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</si>
  <si>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</si>
  <si>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</si>
  <si>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</si>
  <si>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</si>
  <si>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</si>
  <si>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</si>
  <si>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</si>
  <si>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</si>
  <si>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</si>
  <si>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</si>
  <si>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</si>
  <si>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</si>
  <si>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</si>
  <si>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</si>
  <si>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</si>
  <si>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</si>
  <si>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</si>
  <si>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</si>
  <si>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</si>
  <si>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</si>
  <si>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</si>
  <si>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</si>
  <si>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</si>
  <si>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</si>
  <si>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</si>
  <si>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</si>
  <si>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</si>
  <si>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</si>
  <si>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</si>
  <si>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</si>
  <si>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</si>
  <si>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</si>
  <si>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</si>
  <si>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</si>
  <si>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</si>
  <si>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</si>
  <si>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</si>
  <si>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</si>
  <si>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</si>
  <si>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</si>
  <si>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</si>
  <si>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</si>
  <si>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</si>
  <si>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</si>
  <si>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</si>
  <si>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</si>
  <si>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</si>
  <si>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</si>
  <si>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</si>
  <si>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</si>
  <si>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</si>
  <si>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</si>
  <si>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</si>
  <si>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</si>
  <si>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</si>
  <si>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</si>
  <si>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</si>
  <si>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</si>
  <si>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</si>
  <si>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</si>
  <si>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</si>
  <si>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</si>
  <si>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</si>
  <si>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</si>
  <si>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</si>
  <si>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</si>
  <si>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</si>
  <si>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</si>
  <si>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</si>
  <si>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</si>
  <si>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</si>
  <si>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</si>
  <si>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</si>
  <si>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</si>
  <si>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</si>
  <si>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</si>
  <si>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</si>
  <si>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</si>
  <si>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</si>
  <si>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</si>
  <si>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</si>
  <si>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</si>
  <si>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</si>
  <si>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</si>
  <si>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</si>
  <si>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</si>
  <si>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</si>
  <si>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</si>
  <si>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</si>
  <si>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</si>
  <si>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</si>
  <si>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</si>
  <si>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</si>
  <si>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</si>
  <si>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</si>
  <si>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</si>
  <si>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</si>
  <si>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</si>
  <si>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</si>
  <si>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</si>
  <si>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</si>
  <si>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</si>
  <si>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</si>
  <si>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</si>
  <si>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</si>
  <si>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</si>
  <si>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</si>
  <si>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</si>
  <si>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</si>
  <si>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</si>
  <si>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</si>
  <si>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</si>
  <si>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</si>
  <si>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</si>
  <si>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</si>
  <si>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</si>
  <si>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</si>
  <si>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</si>
  <si>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</si>
  <si>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</si>
  <si>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</si>
  <si>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</si>
  <si>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</si>
  <si>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</si>
  <si>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</si>
  <si>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</si>
  <si>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</si>
  <si>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</si>
  <si>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</si>
  <si>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</si>
  <si>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</si>
  <si>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</si>
  <si>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</si>
  <si>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</si>
  <si>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</si>
  <si>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</si>
  <si>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</si>
  <si>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</si>
  <si>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</si>
  <si>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</si>
  <si>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</si>
  <si>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</si>
  <si>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</si>
  <si>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</si>
  <si>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</si>
  <si>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</si>
  <si>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</si>
  <si>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</si>
  <si>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</si>
  <si>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</si>
  <si>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</si>
  <si>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</si>
  <si>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</si>
  <si>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</si>
  <si>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</si>
  <si>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</si>
  <si>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</si>
  <si>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</si>
  <si>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</si>
  <si>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</si>
  <si>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</si>
  <si>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</si>
  <si>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</si>
  <si>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</si>
  <si>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</si>
  <si>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</si>
  <si>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</si>
  <si>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</si>
  <si>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</si>
  <si>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</si>
  <si>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</si>
  <si>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</si>
  <si>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</si>
  <si>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</si>
  <si>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</si>
  <si>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</si>
  <si>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</si>
  <si>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</si>
  <si>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</si>
  <si>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</si>
  <si>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</si>
  <si>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</si>
  <si>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</si>
  <si>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</si>
  <si>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</si>
  <si>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</si>
  <si>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</si>
  <si>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</si>
  <si>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</si>
  <si>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</si>
  <si>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</si>
  <si>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</si>
  <si>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</si>
  <si>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</si>
  <si>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</si>
  <si>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</si>
  <si>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</si>
  <si>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</si>
  <si>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</si>
  <si>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</si>
  <si>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</si>
  <si>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</si>
  <si>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</si>
  <si>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</si>
  <si>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</si>
  <si>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</si>
  <si>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</si>
  <si>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</si>
  <si>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</si>
  <si>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</si>
  <si>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</si>
  <si>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</si>
  <si>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</si>
  <si>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</si>
  <si>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</si>
  <si>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</si>
  <si>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</si>
  <si>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</si>
  <si>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</si>
  <si>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</si>
  <si>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</si>
  <si>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</si>
  <si>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</si>
  <si>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</si>
  <si>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</si>
  <si>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</si>
  <si>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</si>
  <si>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</si>
  <si>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</si>
  <si>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</si>
  <si>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</si>
  <si>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</si>
  <si>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</si>
  <si>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</si>
  <si>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</si>
  <si>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</si>
  <si>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</si>
  <si>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</si>
  <si>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</si>
  <si>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</si>
  <si>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</si>
  <si>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</si>
  <si>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</si>
  <si>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</si>
  <si>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</si>
  <si>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</si>
  <si>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</si>
  <si>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</si>
  <si>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</si>
  <si>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</si>
  <si>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</si>
  <si>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</si>
  <si>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</si>
  <si>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</si>
  <si>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</si>
  <si>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</si>
  <si>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</si>
  <si>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</si>
  <si>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</si>
  <si>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</si>
  <si>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</si>
  <si>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</si>
  <si>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</si>
  <si>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</si>
  <si>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</si>
  <si>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</si>
  <si>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</si>
  <si>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</si>
  <si>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</si>
  <si>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</si>
  <si>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</si>
  <si>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</si>
  <si>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</si>
  <si>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</si>
  <si>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</si>
  <si>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</si>
  <si>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</si>
  <si>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</si>
  <si>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</si>
  <si>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</si>
  <si>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</si>
  <si>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</si>
  <si>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</si>
  <si>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</si>
  <si>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</si>
  <si>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</si>
  <si>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</si>
  <si>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</si>
  <si>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</si>
  <si>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</si>
  <si>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</si>
  <si>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</si>
  <si>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</si>
  <si>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</si>
  <si>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</si>
  <si>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</si>
  <si>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</si>
  <si>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</si>
  <si>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</si>
  <si>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</si>
  <si>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</si>
  <si>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</si>
  <si>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</si>
  <si>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</si>
  <si>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</si>
  <si>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</si>
  <si>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</si>
  <si>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</si>
  <si>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</si>
  <si>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</si>
  <si>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</si>
  <si>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</si>
  <si>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</si>
  <si>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</si>
  <si>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</si>
  <si>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</si>
  <si>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</si>
  <si>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</si>
  <si>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</si>
  <si>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</si>
  <si>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</si>
  <si>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</si>
  <si>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</si>
  <si>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</si>
  <si>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</si>
  <si>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</si>
  <si>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</si>
  <si>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</si>
  <si>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</si>
  <si>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</si>
  <si>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</si>
  <si>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</si>
  <si>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</si>
  <si>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</si>
  <si>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</si>
  <si>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</si>
  <si>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</si>
  <si>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</si>
  <si>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</si>
  <si>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</si>
  <si>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</si>
  <si>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</si>
  <si>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</si>
  <si>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</si>
  <si>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</si>
  <si>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</si>
  <si>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</si>
  <si>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</si>
  <si>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</si>
  <si>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</si>
  <si>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</si>
  <si>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</si>
  <si>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</si>
  <si>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</si>
  <si>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</si>
  <si>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</si>
  <si>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</si>
  <si>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</si>
  <si>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</si>
  <si>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</si>
  <si>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</si>
  <si>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</si>
  <si>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</si>
  <si>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</si>
  <si>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</si>
  <si>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</si>
  <si>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</si>
  <si>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</si>
  <si>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</si>
  <si>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</si>
  <si>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</si>
  <si>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</si>
  <si>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</si>
  <si>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</si>
  <si>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</si>
  <si>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</si>
  <si>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</si>
  <si>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</si>
  <si>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</si>
  <si>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</si>
  <si>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</si>
  <si>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</si>
  <si>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</si>
  <si>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</si>
  <si>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</si>
  <si>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</si>
  <si>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</si>
  <si>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</si>
  <si>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</si>
  <si>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</si>
  <si>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</si>
  <si>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</si>
  <si>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</si>
  <si>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</si>
  <si>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</si>
  <si>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</si>
  <si>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</si>
  <si>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</si>
  <si>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</si>
  <si>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</si>
  <si>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</si>
  <si>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</si>
  <si>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</si>
  <si>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</si>
  <si>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</si>
  <si>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</si>
  <si>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</si>
  <si>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</si>
  <si>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</si>
  <si>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</si>
  <si>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</si>
  <si>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</si>
  <si>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</si>
  <si>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</si>
  <si>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</si>
  <si>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</si>
  <si>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</si>
  <si>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</si>
  <si>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</si>
  <si>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</si>
  <si>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</si>
  <si>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</si>
  <si>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</si>
  <si>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</si>
  <si>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</si>
  <si>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</si>
  <si>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</si>
  <si>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</si>
  <si>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</si>
  <si>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</si>
  <si>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</si>
  <si>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</si>
  <si>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</si>
  <si>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</si>
  <si>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</si>
  <si>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</si>
  <si>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</si>
  <si>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</si>
  <si>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</si>
  <si>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</si>
  <si>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</si>
  <si>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</si>
  <si>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</si>
  <si>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</si>
  <si>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</si>
  <si>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</si>
  <si>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</si>
  <si>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</si>
  <si>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</si>
  <si>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</si>
  <si>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</si>
  <si>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</si>
  <si>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</si>
  <si>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</si>
  <si>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</si>
  <si>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</si>
  <si>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</si>
  <si>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</si>
  <si>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</si>
  <si>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</si>
  <si>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</si>
  <si>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</si>
  <si>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</si>
  <si>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</si>
  <si>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</si>
  <si>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</si>
  <si>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</si>
  <si>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</si>
  <si>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</si>
  <si>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</si>
  <si>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</si>
  <si>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</si>
  <si>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</si>
  <si>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</si>
  <si>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</si>
  <si>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</si>
  <si>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</si>
  <si>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</si>
  <si>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</si>
  <si>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</si>
  <si>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</si>
  <si>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</si>
  <si>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</si>
  <si>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</si>
  <si>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</si>
  <si>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</si>
  <si>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</si>
  <si>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</si>
  <si>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</si>
  <si>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</si>
  <si>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</si>
  <si>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</si>
  <si>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</si>
  <si>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</si>
  <si>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</si>
  <si>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</si>
  <si>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</si>
  <si>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</si>
  <si>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</si>
  <si>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</si>
  <si>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</si>
  <si>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</si>
  <si>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</si>
  <si>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</si>
  <si>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</si>
  <si>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</si>
  <si>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</si>
  <si>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</si>
  <si>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</si>
  <si>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</si>
  <si>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</si>
  <si>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</si>
  <si>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</si>
  <si>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</si>
  <si>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</si>
  <si>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</si>
  <si>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</si>
  <si>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</si>
  <si>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</si>
  <si>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</si>
  <si>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</si>
  <si>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</si>
  <si>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</si>
  <si>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</si>
  <si>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</si>
  <si>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</si>
  <si>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</si>
  <si>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</si>
  <si>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</si>
  <si>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</si>
  <si>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</si>
  <si>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</si>
  <si>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</si>
  <si>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</si>
  <si>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</si>
  <si>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</si>
  <si>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</si>
  <si>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</si>
  <si>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</si>
  <si>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</si>
  <si>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</si>
  <si>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</si>
  <si>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</si>
  <si>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</si>
  <si>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</si>
  <si>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</si>
  <si>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</si>
  <si>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</si>
  <si>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</si>
  <si>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</si>
  <si>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</si>
  <si>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</si>
  <si>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</si>
  <si>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</si>
  <si>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</si>
  <si>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</si>
  <si>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</si>
  <si>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</si>
  <si>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</si>
  <si>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</si>
  <si>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</si>
  <si>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</si>
  <si>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</si>
  <si>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</si>
  <si>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</si>
  <si>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</si>
  <si>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</si>
  <si>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</si>
  <si>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</si>
  <si>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</si>
  <si>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</si>
  <si>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</si>
  <si>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</si>
  <si>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</si>
  <si>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</si>
  <si>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</si>
  <si>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</si>
  <si>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</si>
  <si>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</si>
  <si>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</si>
  <si>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</si>
  <si>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</si>
  <si>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</si>
  <si>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</si>
  <si>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</si>
  <si>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</si>
  <si>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</si>
  <si>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</si>
  <si>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</si>
  <si>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</si>
  <si>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</si>
  <si>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</si>
  <si>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</si>
  <si>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</si>
  <si>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</si>
  <si>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</si>
  <si>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</si>
  <si>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</si>
  <si>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</si>
  <si>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</si>
  <si>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</si>
  <si>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</si>
  <si>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</si>
  <si>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</si>
  <si>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</si>
  <si>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</si>
  <si>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</si>
  <si>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</si>
  <si>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</si>
  <si>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</si>
  <si>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</si>
  <si>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</si>
  <si>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</si>
  <si>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</si>
  <si>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</si>
  <si>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</si>
  <si>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</si>
  <si>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</si>
  <si>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</si>
  <si>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</si>
  <si>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</si>
  <si>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</si>
  <si>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</si>
  <si>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</si>
  <si>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</si>
  <si>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</si>
  <si>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</si>
  <si>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</si>
  <si>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</si>
  <si>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</si>
  <si>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</si>
  <si>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</si>
  <si>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</si>
  <si>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</si>
  <si>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</si>
  <si>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</si>
  <si>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</si>
  <si>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</si>
  <si>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</si>
  <si>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</si>
  <si>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</si>
  <si>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</si>
  <si>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</si>
  <si>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</si>
  <si>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</si>
  <si>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</si>
  <si>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</si>
  <si>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</si>
  <si>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</si>
  <si>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</si>
  <si>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</si>
  <si>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</si>
  <si>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</si>
  <si>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</si>
  <si>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</si>
  <si>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</si>
  <si>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</si>
  <si>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</si>
  <si>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</si>
  <si>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</si>
  <si>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</si>
  <si>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</si>
  <si>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</si>
  <si>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</si>
  <si>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</si>
  <si>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</si>
  <si>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</si>
  <si>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</si>
  <si>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</si>
  <si>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</si>
  <si>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</si>
  <si>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</si>
  <si>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</si>
  <si>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</si>
  <si>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</si>
  <si>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</si>
  <si>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</si>
  <si>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</si>
  <si>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</si>
  <si>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</si>
  <si>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</si>
  <si>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</si>
  <si>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</si>
  <si>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</si>
  <si>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</si>
  <si>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</si>
  <si>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</si>
  <si>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</si>
  <si>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</si>
  <si>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</si>
  <si>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</si>
  <si>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</si>
  <si>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</si>
  <si>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</si>
  <si>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</si>
  <si>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</si>
  <si>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</si>
  <si>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</si>
  <si>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</si>
  <si>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</si>
  <si>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</si>
  <si>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</si>
  <si>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</si>
  <si>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</si>
  <si>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</si>
  <si>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</si>
  <si>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</si>
  <si>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</si>
  <si>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</si>
  <si>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</si>
  <si>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</si>
  <si>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</si>
  <si>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</si>
  <si>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</si>
  <si>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</si>
  <si>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</si>
  <si>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</si>
  <si>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</si>
  <si>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</si>
  <si>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</si>
  <si>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</si>
  <si>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</si>
  <si>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</si>
  <si>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</si>
  <si>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</si>
  <si>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</si>
  <si>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</si>
  <si>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</si>
  <si>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</si>
  <si>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</si>
  <si>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</si>
  <si>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</si>
  <si>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</si>
  <si>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</si>
  <si>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</si>
  <si>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</si>
  <si>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</si>
  <si>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</si>
  <si>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</si>
  <si>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</si>
  <si>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</si>
  <si>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</si>
  <si>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</si>
  <si>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</si>
  <si>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</si>
  <si>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</si>
  <si>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</si>
  <si>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</si>
  <si>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</si>
  <si>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</si>
  <si>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</si>
  <si>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</si>
  <si>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</si>
  <si>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</si>
  <si>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</si>
  <si>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</si>
  <si>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</si>
  <si>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</si>
  <si>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</si>
  <si>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</si>
  <si>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</si>
  <si>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</si>
  <si>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</si>
  <si>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</si>
  <si>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</si>
  <si>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</si>
  <si>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</si>
  <si>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</si>
  <si>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</si>
  <si>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</si>
  <si>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</si>
  <si>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</si>
  <si>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</si>
  <si>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</si>
  <si>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</si>
  <si>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</si>
  <si>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</si>
  <si>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</si>
  <si>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</si>
  <si>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</si>
  <si>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</si>
  <si>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</si>
  <si>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</si>
  <si>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</si>
  <si>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</si>
  <si>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</si>
  <si>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</si>
  <si>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</si>
  <si>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</si>
  <si>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</si>
  <si>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</si>
  <si>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</si>
  <si>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Allocation            Factor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</si>
  <si>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</si>
  <si>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</si>
  <si>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</si>
  <si>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</si>
  <si>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</si>
  <si>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</si>
  <si>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</si>
  <si>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</si>
  <si>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</si>
  <si>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</si>
  <si>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</si>
  <si>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</si>
  <si>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</si>
  <si>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</si>
  <si>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</si>
  <si>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</si>
  <si>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</si>
  <si>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</si>
  <si>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</si>
  <si>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</si>
  <si>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</si>
  <si>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</si>
  <si>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</si>
  <si>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</si>
  <si>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</si>
  <si>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</si>
  <si>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</si>
  <si>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</si>
  <si>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</si>
  <si>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</si>
  <si>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</si>
  <si>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</si>
  <si>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</si>
  <si>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</si>
  <si>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</si>
  <si>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</si>
  <si>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</si>
  <si>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</si>
  <si>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</si>
  <si>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</si>
  <si>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</si>
  <si>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</si>
  <si>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</si>
  <si>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</si>
  <si>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</si>
  <si>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</si>
  <si>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</si>
  <si>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</si>
  <si>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</si>
  <si>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</si>
  <si>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</si>
  <si>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</si>
  <si>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</si>
  <si>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</si>
  <si>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</si>
  <si>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</si>
  <si>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</si>
  <si>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</si>
  <si>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</si>
  <si>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</si>
  <si>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</si>
  <si>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</si>
  <si>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</si>
  <si>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Environmental Surcharge</t>
  </si>
  <si>
    <t>Fuel Adjustment Clause</t>
  </si>
  <si>
    <t>kWh</t>
  </si>
  <si>
    <t>Unitized Rate of Return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</si>
  <si>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</si>
  <si>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</si>
  <si>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</si>
  <si>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</si>
  <si>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</si>
  <si>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</si>
  <si>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</si>
  <si>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</si>
  <si>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</si>
  <si>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</si>
  <si>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</si>
  <si>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</si>
  <si>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</si>
  <si>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</si>
  <si>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</si>
  <si>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</si>
  <si>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</si>
  <si>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</si>
  <si>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</si>
  <si>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</si>
  <si>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</si>
  <si>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</si>
  <si>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</si>
  <si>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</si>
  <si>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</si>
  <si>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</si>
  <si>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</si>
  <si>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</si>
  <si>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</si>
  <si>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</si>
  <si>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</si>
  <si>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</si>
  <si>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</si>
  <si>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</si>
  <si>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</si>
  <si>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</si>
  <si>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</si>
  <si>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</si>
  <si>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</si>
  <si>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</si>
  <si>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</si>
  <si>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</si>
  <si>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Incl?</t>
  </si>
  <si>
    <t>Qty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</si>
  <si>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</si>
  <si>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</si>
  <si>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</si>
  <si>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</si>
  <si>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</si>
  <si>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</si>
  <si>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</si>
  <si>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</si>
  <si>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</si>
  <si>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</si>
  <si>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</si>
  <si>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</si>
  <si>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</si>
  <si>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</si>
  <si>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</si>
  <si>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</si>
  <si>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</si>
  <si>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</si>
  <si>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</si>
  <si>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</si>
  <si>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</si>
  <si>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</si>
  <si>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</si>
  <si>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</si>
  <si>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</si>
  <si>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</si>
  <si>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</si>
  <si>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</si>
  <si>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</si>
  <si>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</si>
  <si>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</si>
  <si>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</si>
  <si>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</si>
  <si>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</si>
  <si>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</si>
  <si>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Share of</t>
  </si>
  <si>
    <t>&lt;reserved&gt;</t>
  </si>
  <si>
    <t>Variance</t>
  </si>
  <si>
    <t>Reconciliation</t>
  </si>
  <si>
    <t>Method</t>
  </si>
  <si>
    <t xml:space="preserve">Distribution </t>
  </si>
  <si>
    <t>Labor Expenses - for Labor Allocator</t>
  </si>
  <si>
    <t>Energy Usage (kWh)</t>
  </si>
  <si>
    <t>LB932</t>
  </si>
  <si>
    <t>GENERAL</t>
  </si>
  <si>
    <t>Variance:</t>
  </si>
  <si>
    <t xml:space="preserve">Share of </t>
  </si>
  <si>
    <t>Target</t>
  </si>
  <si>
    <t>Classified Cost-Based Rates</t>
  </si>
  <si>
    <t>Year-End Customer Normalization</t>
  </si>
  <si>
    <t>Total PFAs:</t>
  </si>
  <si>
    <t>(3)</t>
  </si>
  <si>
    <t>(4)</t>
  </si>
  <si>
    <t>(5)</t>
  </si>
  <si>
    <t>&lt; Reported</t>
  </si>
  <si>
    <t>&lt; Variance</t>
  </si>
  <si>
    <t>LB935</t>
  </si>
  <si>
    <t>After Proposed Rate Revisions</t>
  </si>
  <si>
    <t>NARUC CAM *</t>
  </si>
  <si>
    <t>under the Zero Intercept method.</t>
  </si>
  <si>
    <t>Proposed Increase</t>
  </si>
  <si>
    <t>OTHER</t>
  </si>
  <si>
    <t>500 MCM UG PRI WIRE</t>
  </si>
  <si>
    <t>1.5 KVA CONV</t>
  </si>
  <si>
    <t>1.5 KVA CSP</t>
  </si>
  <si>
    <t>10 KVA CONV</t>
  </si>
  <si>
    <t>10 KVA CSP</t>
  </si>
  <si>
    <t>10 KVA PDMT</t>
  </si>
  <si>
    <t>100 KVA PDMT</t>
  </si>
  <si>
    <t>100 KVA CONV</t>
  </si>
  <si>
    <t>112.5 KVA PDMT TRF</t>
  </si>
  <si>
    <t>15 KVA CONV</t>
  </si>
  <si>
    <t>15 KVA CSP</t>
  </si>
  <si>
    <t>15 KVA PDMT</t>
  </si>
  <si>
    <t>150 KVA PDMT TRF</t>
  </si>
  <si>
    <t>1500 KVA 3PHS PAD MOUNT</t>
  </si>
  <si>
    <t>167 KVA CONV</t>
  </si>
  <si>
    <t>25 CSP UG PADMOUTN</t>
  </si>
  <si>
    <t>25 KVA CONV</t>
  </si>
  <si>
    <t>25 KVA CSP</t>
  </si>
  <si>
    <t>3 KVA CONV</t>
  </si>
  <si>
    <t>3 KVA CSP</t>
  </si>
  <si>
    <t>300 KVA PDMT</t>
  </si>
  <si>
    <t>333 KVA CONV</t>
  </si>
  <si>
    <t>37.5 KVA CONV</t>
  </si>
  <si>
    <t>37.5 KVA CSP</t>
  </si>
  <si>
    <t>5 KVA CONV</t>
  </si>
  <si>
    <t>5 KVA CSP</t>
  </si>
  <si>
    <t>50 KVA CONV</t>
  </si>
  <si>
    <t>50 KVA CSP</t>
  </si>
  <si>
    <t>50 KVA PDMT</t>
  </si>
  <si>
    <t>500 KVA CONV</t>
  </si>
  <si>
    <t>7.5 KVA CSP</t>
  </si>
  <si>
    <t>75 KVA CONV</t>
  </si>
  <si>
    <t>75 KVA CSP</t>
  </si>
  <si>
    <t>75 KVA PDMT</t>
  </si>
  <si>
    <t>225 KVA PADMT 3PHSE</t>
  </si>
  <si>
    <t>1000 KVA CONV TRF</t>
  </si>
  <si>
    <t>750 KVA 3PHS PADMOUNT</t>
  </si>
  <si>
    <t>1000 KVA 3PHS PADMOUNT</t>
  </si>
  <si>
    <t>500 KVA 3PHS PADMOUNT</t>
  </si>
  <si>
    <t>1500 KVA 3PHS PADMOUNT</t>
  </si>
  <si>
    <t>37.5 PDMT TRF</t>
  </si>
  <si>
    <t>Billing Demand</t>
  </si>
  <si>
    <t>Demand $</t>
  </si>
  <si>
    <t>Energy $</t>
  </si>
  <si>
    <t>Metering $</t>
  </si>
  <si>
    <t>Sub/Wheeling $</t>
  </si>
  <si>
    <t>FAC $</t>
  </si>
  <si>
    <t>ES $</t>
  </si>
  <si>
    <t>TOTAL $</t>
  </si>
  <si>
    <t>DLC TOTAL</t>
  </si>
  <si>
    <t>DLC $</t>
  </si>
  <si>
    <t>TOTAL Regular Invoice</t>
  </si>
  <si>
    <t>Total w/o Lighting</t>
  </si>
  <si>
    <t>Installed Meters</t>
  </si>
  <si>
    <t>Avg Meter           Cost</t>
  </si>
  <si>
    <t>Total             Cost</t>
  </si>
  <si>
    <t>Average         Service           Cost</t>
  </si>
  <si>
    <t>Total                         Cost</t>
  </si>
  <si>
    <t>Allocation Factor</t>
  </si>
  <si>
    <t>Interest Expense</t>
  </si>
  <si>
    <t>Depreciation Normalization</t>
  </si>
  <si>
    <t xml:space="preserve">Right of Way </t>
  </si>
  <si>
    <t>Year End Customers</t>
  </si>
  <si>
    <t>Donations, Promo Ads &amp; Dues</t>
  </si>
  <si>
    <t>Directors Expenses</t>
  </si>
  <si>
    <t>Wages &amp; Salaries</t>
  </si>
  <si>
    <t>401k Contributions</t>
  </si>
  <si>
    <t>Health Care Costs</t>
  </si>
  <si>
    <t>Rate Case Costs</t>
  </si>
  <si>
    <t>Toggle:  0=no, 1=yes</t>
  </si>
  <si>
    <t>Pass Through Rate Annualization</t>
  </si>
  <si>
    <t>Increase</t>
  </si>
  <si>
    <t>FLEMING-MASON ELECTRIC COOPERATIVE</t>
  </si>
  <si>
    <t>Residential &amp; Small Power (1)</t>
  </si>
  <si>
    <t>RSP</t>
  </si>
  <si>
    <t>Inclining Block Rate (8)</t>
  </si>
  <si>
    <t>RSP-IB</t>
  </si>
  <si>
    <t>Small General Service (2)</t>
  </si>
  <si>
    <t>SGS</t>
  </si>
  <si>
    <t>Large General Service (3)</t>
  </si>
  <si>
    <t>LGS</t>
  </si>
  <si>
    <t>All Electric School (4)</t>
  </si>
  <si>
    <t>AES</t>
  </si>
  <si>
    <t>Contract</t>
  </si>
  <si>
    <t>Security Lights (20)</t>
  </si>
  <si>
    <t>Tennessee Gas (17)</t>
  </si>
  <si>
    <t>Guardian Industries (16)</t>
  </si>
  <si>
    <t>Int'l Paper (12)</t>
  </si>
  <si>
    <t>App Harvest (70)</t>
  </si>
  <si>
    <t>INT'L PAPER STEAM</t>
  </si>
  <si>
    <t>Billing Demand/MMBTU</t>
  </si>
  <si>
    <t>Billing Energy/MMBTU</t>
  </si>
  <si>
    <t>TENN GAS (CRANSTON) ON PEAK</t>
  </si>
  <si>
    <t>TENN GAS (CRANSTON) OFF PEAK</t>
  </si>
  <si>
    <t>TENN GAS (CRANSTON) TOTAL</t>
  </si>
  <si>
    <t>Dump Energy Credit $</t>
  </si>
  <si>
    <t>Excess Energy Charge $</t>
  </si>
  <si>
    <t>Energy Adder $</t>
  </si>
  <si>
    <t>Buy Thru Charges</t>
  </si>
  <si>
    <t>Buy Thru Credit</t>
  </si>
  <si>
    <t>GREEN POWER</t>
  </si>
  <si>
    <t>Green Power $</t>
  </si>
  <si>
    <t xml:space="preserve"> </t>
  </si>
  <si>
    <t>AAAC4</t>
  </si>
  <si>
    <t>15 KVA DUAL PAD MOUNT</t>
  </si>
  <si>
    <t>5 KVA 14.4 TRANSFORMER</t>
  </si>
  <si>
    <t>Residential &amp; Small Power ETS (11)</t>
  </si>
  <si>
    <t>Total Sub Invoice</t>
  </si>
  <si>
    <t>Intl Paper G</t>
  </si>
  <si>
    <t>Guardian C</t>
  </si>
  <si>
    <t>Dravo C</t>
  </si>
  <si>
    <t>AppHarvest B</t>
  </si>
  <si>
    <t>TGP - Cranston</t>
  </si>
  <si>
    <t>Intl Paper STEAM</t>
  </si>
  <si>
    <t>Remainder = E2</t>
  </si>
  <si>
    <t>APPHARVEST Rate B</t>
  </si>
  <si>
    <t>GUARDIAN Rate C</t>
  </si>
  <si>
    <t>INTL PAPER Rate G</t>
  </si>
  <si>
    <t>DRAVO / CARMEUSE Rate C</t>
  </si>
  <si>
    <t>CHECK</t>
  </si>
  <si>
    <t>VARIANCE</t>
  </si>
  <si>
    <t>Panel Production Credit $</t>
  </si>
  <si>
    <t>Regular Invoice</t>
  </si>
  <si>
    <t>Contract Demand $</t>
  </si>
  <si>
    <t>Excess Demand $</t>
  </si>
  <si>
    <t>Interruptible Credit $ @ (5.60)</t>
  </si>
  <si>
    <t>EDR Credit $</t>
  </si>
  <si>
    <t>AAAC2</t>
  </si>
  <si>
    <t>AAAC1/0</t>
  </si>
  <si>
    <t>AAAC2/0</t>
  </si>
  <si>
    <t>AAAC3/0</t>
  </si>
  <si>
    <t>AAAC4/0</t>
  </si>
  <si>
    <t>AAAC397.5</t>
  </si>
  <si>
    <t>1/0 7 STR CY</t>
  </si>
  <si>
    <t>ACWC8</t>
  </si>
  <si>
    <t>ACWC6</t>
  </si>
  <si>
    <t>STEEL6</t>
  </si>
  <si>
    <t>336.4AL</t>
  </si>
  <si>
    <t>556ACSR</t>
  </si>
  <si>
    <t>2CU CONDUCTOR</t>
  </si>
  <si>
    <t>250 MCM</t>
  </si>
  <si>
    <t>12/2 UG CONDUCTOR</t>
  </si>
  <si>
    <t>URD1/0 CONDUCTOR</t>
  </si>
  <si>
    <t xml:space="preserve">500 MCM AL </t>
  </si>
  <si>
    <t>Prepay (80)</t>
  </si>
  <si>
    <t>Net Metering (100)</t>
  </si>
  <si>
    <t>Time of Day (110)</t>
  </si>
  <si>
    <t>Dravo (14 now 18)</t>
  </si>
  <si>
    <t>RSP-PPM</t>
  </si>
  <si>
    <t>NM</t>
  </si>
  <si>
    <t>RSP-TOD</t>
  </si>
  <si>
    <t>RSP-ETS</t>
  </si>
  <si>
    <t>OLS</t>
  </si>
  <si>
    <t>TOTAL w/o STEAM</t>
  </si>
  <si>
    <t>Metered NCP</t>
  </si>
  <si>
    <t>AVG Cust</t>
  </si>
  <si>
    <t>YE Cust</t>
  </si>
  <si>
    <t>Incr(Decr)</t>
  </si>
  <si>
    <t>NA BIOFUELS</t>
  </si>
  <si>
    <t>FAC</t>
  </si>
  <si>
    <t>ES</t>
  </si>
  <si>
    <t>reserved</t>
  </si>
  <si>
    <t>---</t>
  </si>
  <si>
    <t>G&amp;T Capital Credits</t>
  </si>
  <si>
    <t>Life Insurance</t>
  </si>
  <si>
    <t>NA</t>
  </si>
  <si>
    <t>&lt; FAC / ES Book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</si>
</sst>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\(#\)"/>
  </numFmts>
  <fonts count="21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10"/>
      <color rgb="FF006600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b/>
      <sz val="10"/>
      <color rgb="FF7030A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 val="singleAccounting"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6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72" fontId="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" fontId="4" fillId="0" borderId="0" xfId="0" applyNumberFormat="1" applyFont="1"/>
    <xf numFmtId="9" fontId="4" fillId="0" borderId="0" xfId="3" applyFont="1" applyFill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166" fontId="4" fillId="0" borderId="0" xfId="1" applyNumberFormat="1" applyFont="1" applyFill="1" applyAlignment="1">
      <alignment horizont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0" fontId="4" fillId="0" borderId="0" xfId="0" quotePrefix="1" applyFont="1" applyAlignment="1">
      <alignment horizontal="left"/>
    </xf>
    <xf numFmtId="43" fontId="3" fillId="0" borderId="0" xfId="1" applyFont="1" applyFill="1" applyAlignment="1">
      <alignment horizontal="center"/>
    </xf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182" fontId="4" fillId="0" borderId="0" xfId="0" applyNumberFormat="1" applyFont="1"/>
    <xf numFmtId="183" fontId="3" fillId="0" borderId="2" xfId="0" quotePrefix="1" applyNumberFormat="1" applyFont="1" applyBorder="1" applyAlignment="1">
      <alignment horizontal="center"/>
    </xf>
    <xf numFmtId="0" fontId="9" fillId="0" borderId="0" xfId="0" applyFont="1"/>
    <xf numFmtId="165" fontId="4" fillId="0" borderId="0" xfId="2" applyNumberFormat="1" applyFont="1" applyFill="1" applyBorder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182" fontId="4" fillId="0" borderId="0" xfId="3" applyNumberFormat="1" applyFont="1" applyFill="1"/>
    <xf numFmtId="182" fontId="4" fillId="0" borderId="0" xfId="1" applyNumberFormat="1" applyFont="1" applyFill="1" applyAlignment="1"/>
    <xf numFmtId="182" fontId="4" fillId="0" borderId="3" xfId="3" applyNumberFormat="1" applyFont="1" applyFill="1" applyBorder="1"/>
    <xf numFmtId="166" fontId="4" fillId="0" borderId="0" xfId="1" applyNumberFormat="1" applyFont="1"/>
    <xf numFmtId="166" fontId="11" fillId="0" borderId="0" xfId="1" applyNumberFormat="1" applyFont="1" applyFill="1"/>
    <xf numFmtId="0" fontId="4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13" fillId="0" borderId="0" xfId="1" applyNumberFormat="1" applyFont="1" applyFill="1"/>
    <xf numFmtId="0" fontId="13" fillId="0" borderId="0" xfId="0" quotePrefix="1" applyFont="1" applyAlignment="1">
      <alignment horizontal="center"/>
    </xf>
    <xf numFmtId="10" fontId="10" fillId="0" borderId="10" xfId="3" applyNumberFormat="1" applyFont="1" applyFill="1" applyBorder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165" fontId="13" fillId="0" borderId="0" xfId="2" applyNumberFormat="1" applyFont="1" applyFill="1" applyBorder="1"/>
    <xf numFmtId="165" fontId="13" fillId="0" borderId="0" xfId="2" applyNumberFormat="1" applyFont="1" applyFill="1"/>
    <xf numFmtId="165" fontId="13" fillId="0" borderId="0" xfId="0" applyNumberFormat="1" applyFont="1"/>
    <xf numFmtId="43" fontId="13" fillId="0" borderId="0" xfId="1" applyFont="1" applyFill="1"/>
    <xf numFmtId="169" fontId="13" fillId="0" borderId="0" xfId="0" applyNumberFormat="1" applyFont="1"/>
    <xf numFmtId="166" fontId="13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6" fontId="13" fillId="0" borderId="0" xfId="1" applyNumberFormat="1" applyFont="1" applyFill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7" fillId="0" borderId="0" xfId="0" applyFont="1"/>
    <xf numFmtId="0" fontId="16" fillId="0" borderId="0" xfId="0" applyFont="1"/>
    <xf numFmtId="0" fontId="13" fillId="0" borderId="0" xfId="0" quotePrefix="1" applyFont="1"/>
    <xf numFmtId="44" fontId="13" fillId="0" borderId="0" xfId="0" applyNumberFormat="1" applyFont="1"/>
    <xf numFmtId="166" fontId="13" fillId="0" borderId="3" xfId="1" applyNumberFormat="1" applyFont="1" applyFill="1" applyBorder="1"/>
    <xf numFmtId="165" fontId="13" fillId="0" borderId="3" xfId="2" applyNumberFormat="1" applyFont="1" applyFill="1" applyBorder="1"/>
    <xf numFmtId="165" fontId="13" fillId="0" borderId="3" xfId="0" applyNumberFormat="1" applyFont="1" applyBorder="1"/>
    <xf numFmtId="177" fontId="13" fillId="0" borderId="0" xfId="1" applyNumberFormat="1" applyFont="1" applyFill="1"/>
    <xf numFmtId="166" fontId="18" fillId="0" borderId="0" xfId="1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7" xfId="0" applyFont="1" applyBorder="1"/>
    <xf numFmtId="0" fontId="16" fillId="0" borderId="8" xfId="0" applyFont="1" applyBorder="1"/>
    <xf numFmtId="10" fontId="16" fillId="0" borderId="9" xfId="3" applyNumberFormat="1" applyFont="1" applyFill="1" applyBorder="1"/>
    <xf numFmtId="166" fontId="16" fillId="0" borderId="0" xfId="1" applyNumberFormat="1" applyFont="1" applyFill="1"/>
    <xf numFmtId="43" fontId="16" fillId="0" borderId="0" xfId="1" applyFont="1" applyFill="1" applyBorder="1"/>
    <xf numFmtId="10" fontId="16" fillId="0" borderId="0" xfId="3" applyNumberFormat="1" applyFont="1" applyFill="1" applyBorder="1"/>
    <xf numFmtId="165" fontId="13" fillId="2" borderId="0" xfId="2" applyNumberFormat="1" applyFont="1" applyFill="1"/>
    <xf numFmtId="181" fontId="13" fillId="0" borderId="0" xfId="0" applyNumberFormat="1" applyFont="1"/>
    <xf numFmtId="0" fontId="18" fillId="0" borderId="0" xfId="0" applyFont="1"/>
    <xf numFmtId="0" fontId="13" fillId="0" borderId="3" xfId="0" applyFont="1" applyBorder="1" applyAlignment="1">
      <alignment horizontal="left"/>
    </xf>
    <xf numFmtId="165" fontId="13" fillId="0" borderId="0" xfId="2" applyNumberFormat="1" applyFont="1"/>
    <xf numFmtId="165" fontId="13" fillId="2" borderId="0" xfId="0" applyNumberFormat="1" applyFont="1" applyFill="1"/>
    <xf numFmtId="165" fontId="13" fillId="0" borderId="3" xfId="2" applyNumberFormat="1" applyFont="1" applyBorder="1"/>
    <xf numFmtId="0" fontId="13" fillId="0" borderId="2" xfId="0" applyFont="1" applyBorder="1"/>
    <xf numFmtId="0" fontId="13" fillId="4" borderId="0" xfId="0" applyFont="1" applyFill="1"/>
    <xf numFmtId="165" fontId="13" fillId="4" borderId="0" xfId="0" applyNumberFormat="1" applyFont="1" applyFill="1"/>
    <xf numFmtId="165" fontId="13" fillId="4" borderId="0" xfId="2" applyNumberFormat="1" applyFont="1" applyFill="1"/>
    <xf numFmtId="0" fontId="13" fillId="4" borderId="0" xfId="0" applyFont="1" applyFill="1" applyAlignment="1">
      <alignment horizontal="right"/>
    </xf>
    <xf numFmtId="10" fontId="16" fillId="0" borderId="9" xfId="3" applyNumberFormat="1" applyFont="1" applyFill="1" applyBorder="1" applyAlignment="1">
      <alignment horizontal="right"/>
    </xf>
    <xf numFmtId="172" fontId="13" fillId="0" borderId="0" xfId="1" applyNumberFormat="1" applyFont="1" applyFill="1"/>
    <xf numFmtId="172" fontId="13" fillId="0" borderId="0" xfId="0" applyNumberFormat="1" applyFont="1"/>
    <xf numFmtId="171" fontId="13" fillId="0" borderId="0" xfId="1" applyNumberFormat="1" applyFont="1" applyFill="1"/>
    <xf numFmtId="10" fontId="13" fillId="0" borderId="0" xfId="0" applyNumberFormat="1" applyFont="1"/>
    <xf numFmtId="167" fontId="13" fillId="0" borderId="0" xfId="0" applyNumberFormat="1" applyFont="1"/>
    <xf numFmtId="170" fontId="13" fillId="0" borderId="0" xfId="1" applyNumberFormat="1" applyFont="1" applyFill="1"/>
    <xf numFmtId="166" fontId="13" fillId="8" borderId="0" xfId="1" applyNumberFormat="1" applyFont="1" applyFill="1"/>
    <xf numFmtId="164" fontId="13" fillId="0" borderId="0" xfId="2" applyNumberFormat="1" applyFont="1" applyFill="1"/>
    <xf numFmtId="164" fontId="13" fillId="0" borderId="0" xfId="0" applyNumberFormat="1" applyFont="1"/>
    <xf numFmtId="1" fontId="13" fillId="0" borderId="0" xfId="0" applyNumberFormat="1" applyFont="1"/>
    <xf numFmtId="166" fontId="13" fillId="6" borderId="0" xfId="1" applyNumberFormat="1" applyFont="1" applyFill="1"/>
    <xf numFmtId="166" fontId="13" fillId="5" borderId="0" xfId="1" applyNumberFormat="1" applyFont="1" applyFill="1"/>
    <xf numFmtId="166" fontId="13" fillId="2" borderId="0" xfId="1" applyNumberFormat="1" applyFont="1" applyFill="1"/>
    <xf numFmtId="166" fontId="13" fillId="4" borderId="0" xfId="1" applyNumberFormat="1" applyFont="1" applyFill="1"/>
    <xf numFmtId="165" fontId="13" fillId="7" borderId="0" xfId="2" applyNumberFormat="1" applyFont="1" applyFill="1"/>
    <xf numFmtId="165" fontId="13" fillId="6" borderId="0" xfId="2" applyNumberFormat="1" applyFont="1" applyFill="1"/>
    <xf numFmtId="165" fontId="13" fillId="5" borderId="0" xfId="2" applyNumberFormat="1" applyFont="1" applyFill="1"/>
    <xf numFmtId="43" fontId="13" fillId="0" borderId="0" xfId="1" applyFont="1"/>
    <xf numFmtId="0" fontId="13" fillId="0" borderId="3" xfId="0" applyFont="1" applyBorder="1"/>
    <xf numFmtId="43" fontId="13" fillId="0" borderId="0" xfId="0" applyNumberFormat="1" applyFont="1"/>
    <xf numFmtId="165" fontId="13" fillId="0" borderId="4" xfId="0" applyNumberFormat="1" applyFont="1" applyBorder="1"/>
    <xf numFmtId="175" fontId="13" fillId="0" borderId="0" xfId="0" applyNumberFormat="1" applyFont="1"/>
    <xf numFmtId="2" fontId="13" fillId="0" borderId="0" xfId="0" applyNumberFormat="1" applyFont="1"/>
    <xf numFmtId="174" fontId="13" fillId="0" borderId="0" xfId="0" applyNumberFormat="1" applyFont="1"/>
    <xf numFmtId="173" fontId="13" fillId="0" borderId="0" xfId="0" applyNumberFormat="1" applyFont="1"/>
    <xf numFmtId="172" fontId="13" fillId="0" borderId="0" xfId="0" applyNumberFormat="1" applyFont="1" applyAlignment="1">
      <alignment vertical="center"/>
    </xf>
    <xf numFmtId="172" fontId="19" fillId="0" borderId="0" xfId="0" applyNumberFormat="1" applyFont="1" applyAlignment="1">
      <alignment vertical="center"/>
    </xf>
    <xf numFmtId="43" fontId="19" fillId="0" borderId="0" xfId="1" applyFont="1" applyFill="1" applyAlignment="1">
      <alignment vertical="center"/>
    </xf>
    <xf numFmtId="166" fontId="13" fillId="0" borderId="0" xfId="1" applyNumberFormat="1" applyFont="1" applyFill="1" applyAlignment="1">
      <alignment vertical="center"/>
    </xf>
    <xf numFmtId="176" fontId="13" fillId="0" borderId="0" xfId="0" applyNumberFormat="1" applyFont="1"/>
    <xf numFmtId="172" fontId="19" fillId="0" borderId="0" xfId="0" applyNumberFormat="1" applyFont="1"/>
    <xf numFmtId="43" fontId="19" fillId="0" borderId="0" xfId="1" applyFont="1" applyFill="1"/>
    <xf numFmtId="10" fontId="13" fillId="0" borderId="0" xfId="0" applyNumberFormat="1" applyFont="1" applyAlignment="1">
      <alignment horizontal="left"/>
    </xf>
    <xf numFmtId="178" fontId="13" fillId="0" borderId="0" xfId="0" applyNumberFormat="1" applyFont="1"/>
    <xf numFmtId="10" fontId="13" fillId="0" borderId="0" xfId="3" applyNumberFormat="1" applyFont="1" applyFill="1"/>
    <xf numFmtId="171" fontId="13" fillId="0" borderId="0" xfId="0" applyNumberFormat="1" applyFont="1"/>
    <xf numFmtId="10" fontId="1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/>
    </xf>
    <xf numFmtId="166" fontId="13" fillId="0" borderId="0" xfId="1" applyNumberFormat="1" applyFont="1" applyFill="1" applyAlignment="1">
      <alignment horizontal="right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1" fontId="13" fillId="0" borderId="0" xfId="0" applyNumberFormat="1" applyFont="1" applyAlignment="1">
      <alignment horizontal="center"/>
    </xf>
    <xf numFmtId="166" fontId="13" fillId="0" borderId="0" xfId="1" applyNumberFormat="1" applyFont="1" applyFill="1" applyAlignment="1"/>
    <xf numFmtId="165" fontId="13" fillId="0" borderId="0" xfId="2" applyNumberFormat="1" applyFont="1" applyFill="1" applyAlignment="1"/>
    <xf numFmtId="166" fontId="13" fillId="0" borderId="0" xfId="3" applyNumberFormat="1" applyFont="1" applyFill="1" applyAlignment="1"/>
    <xf numFmtId="182" fontId="13" fillId="0" borderId="0" xfId="3" applyNumberFormat="1" applyFont="1" applyFill="1"/>
    <xf numFmtId="182" fontId="13" fillId="0" borderId="0" xfId="1" applyNumberFormat="1" applyFont="1" applyFill="1" applyAlignment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166" fontId="13" fillId="0" borderId="3" xfId="1" applyNumberFormat="1" applyFont="1" applyFill="1" applyBorder="1" applyAlignment="1"/>
    <xf numFmtId="165" fontId="13" fillId="0" borderId="3" xfId="2" applyNumberFormat="1" applyFont="1" applyFill="1" applyBorder="1" applyAlignment="1"/>
    <xf numFmtId="166" fontId="13" fillId="0" borderId="3" xfId="0" applyNumberFormat="1" applyFont="1" applyBorder="1"/>
    <xf numFmtId="182" fontId="13" fillId="0" borderId="3" xfId="3" applyNumberFormat="1" applyFont="1" applyFill="1" applyBorder="1"/>
    <xf numFmtId="44" fontId="13" fillId="0" borderId="0" xfId="2" applyFont="1" applyFill="1"/>
    <xf numFmtId="166" fontId="20" fillId="0" borderId="0" xfId="1" applyNumberFormat="1" applyFont="1" applyFill="1" applyAlignment="1">
      <alignment horizontal="center"/>
    </xf>
    <xf numFmtId="180" fontId="20" fillId="0" borderId="0" xfId="1" applyNumberFormat="1" applyFont="1" applyFill="1" applyAlignment="1">
      <alignment horizontal="right"/>
    </xf>
    <xf numFmtId="166" fontId="20" fillId="0" borderId="0" xfId="1" applyNumberFormat="1" applyFont="1" applyFill="1" applyAlignment="1">
      <alignment horizontal="right"/>
    </xf>
    <xf numFmtId="4" fontId="13" fillId="0" borderId="0" xfId="0" applyNumberFormat="1" applyFont="1"/>
    <xf numFmtId="9" fontId="13" fillId="0" borderId="0" xfId="3" applyFont="1" applyFill="1"/>
    <xf numFmtId="10" fontId="13" fillId="0" borderId="0" xfId="3" applyNumberFormat="1" applyFont="1"/>
    <xf numFmtId="166" fontId="13" fillId="0" borderId="0" xfId="0" applyNumberFormat="1" applyFont="1" applyAlignment="1">
      <alignment horizontal="center"/>
    </xf>
    <xf numFmtId="166" fontId="13" fillId="0" borderId="0" xfId="3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179" fontId="17" fillId="0" borderId="0" xfId="0" applyNumberFormat="1" applyFont="1" applyAlignment="1">
      <alignment horizontal="center"/>
    </xf>
    <xf numFmtId="166" fontId="13" fillId="0" borderId="0" xfId="1" applyNumberFormat="1" applyFont="1" applyFill="1" applyAlignment="1">
      <alignment horizontal="center"/>
    </xf>
    <xf numFmtId="0" fontId="13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165" fontId="13" fillId="0" borderId="0" xfId="3" applyNumberFormat="1" applyFont="1" applyFill="1"/>
    <xf numFmtId="166" fontId="13" fillId="0" borderId="0" xfId="1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3" fillId="0" borderId="0" xfId="1" applyNumberFormat="1" applyFont="1" applyFill="1" applyAlignment="1">
      <alignment horizontal="center"/>
    </xf>
    <xf numFmtId="10" fontId="13" fillId="0" borderId="0" xfId="3" applyNumberFormat="1" applyFont="1" applyFill="1" applyAlignment="1">
      <alignment horizontal="right"/>
    </xf>
    <xf numFmtId="0" fontId="13" fillId="0" borderId="6" xfId="0" applyFont="1" applyBorder="1"/>
    <xf numFmtId="166" fontId="13" fillId="0" borderId="6" xfId="1" applyNumberFormat="1" applyFont="1" applyFill="1" applyBorder="1" applyAlignment="1">
      <alignment horizontal="center"/>
    </xf>
    <xf numFmtId="166" fontId="13" fillId="0" borderId="6" xfId="1" applyNumberFormat="1" applyFont="1" applyFill="1" applyBorder="1"/>
    <xf numFmtId="10" fontId="13" fillId="0" borderId="6" xfId="0" applyNumberFormat="1" applyFont="1" applyBorder="1"/>
    <xf numFmtId="166" fontId="13" fillId="0" borderId="0" xfId="1" applyNumberFormat="1" applyFont="1" applyFill="1" applyBorder="1" applyAlignment="1">
      <alignment horizontal="center"/>
    </xf>
    <xf numFmtId="165" fontId="13" fillId="0" borderId="0" xfId="2" applyNumberFormat="1" applyFont="1" applyFill="1" applyAlignment="1">
      <alignment horizontal="center"/>
    </xf>
    <xf numFmtId="166" fontId="13" fillId="3" borderId="0" xfId="1" applyNumberFormat="1" applyFont="1" applyFill="1" applyAlignment="1">
      <alignment horizontal="right"/>
    </xf>
    <xf numFmtId="166" fontId="13" fillId="0" borderId="6" xfId="1" applyNumberFormat="1" applyFont="1" applyFill="1" applyBorder="1" applyAlignment="1">
      <alignment horizontal="right"/>
    </xf>
    <xf numFmtId="166" fontId="13" fillId="0" borderId="3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177" fontId="16" fillId="0" borderId="0" xfId="1" applyNumberFormat="1" applyFont="1" applyFill="1" applyAlignment="1">
      <alignment horizontal="right"/>
    </xf>
    <xf numFmtId="166" fontId="16" fillId="0" borderId="0" xfId="1" applyNumberFormat="1" applyFont="1" applyFill="1" applyAlignment="1">
      <alignment horizontal="center"/>
    </xf>
    <xf numFmtId="177" fontId="16" fillId="0" borderId="2" xfId="1" applyNumberFormat="1" applyFont="1" applyFill="1" applyBorder="1" applyAlignment="1">
      <alignment horizontal="left"/>
    </xf>
    <xf numFmtId="177" fontId="16" fillId="0" borderId="2" xfId="1" applyNumberFormat="1" applyFont="1" applyFill="1" applyBorder="1" applyAlignment="1">
      <alignment horizontal="right"/>
    </xf>
    <xf numFmtId="166" fontId="16" fillId="0" borderId="2" xfId="1" applyNumberFormat="1" applyFont="1" applyFill="1" applyBorder="1" applyAlignment="1">
      <alignment horizontal="center"/>
    </xf>
    <xf numFmtId="44" fontId="13" fillId="0" borderId="3" xfId="0" applyNumberFormat="1" applyFont="1" applyBorder="1"/>
    <xf numFmtId="181" fontId="13" fillId="0" borderId="0" xfId="2" applyNumberFormat="1" applyFont="1" applyFill="1"/>
    <xf numFmtId="44" fontId="13" fillId="0" borderId="0" xfId="2" applyFont="1" applyFill="1" applyAlignment="1">
      <alignment horizontal="right"/>
    </xf>
    <xf numFmtId="168" fontId="13" fillId="0" borderId="0" xfId="0" applyNumberFormat="1" applyFont="1"/>
    <xf numFmtId="10" fontId="13" fillId="0" borderId="4" xfId="3" applyNumberFormat="1" applyFont="1" applyFill="1" applyBorder="1"/>
    <xf numFmtId="10" fontId="13" fillId="0" borderId="5" xfId="0" applyNumberFormat="1" applyFont="1" applyBorder="1"/>
    <xf numFmtId="170" fontId="13" fillId="0" borderId="0" xfId="0" applyNumberFormat="1" applyFont="1"/>
    <xf numFmtId="166" fontId="16" fillId="0" borderId="2" xfId="1" applyNumberFormat="1" applyFont="1" applyFill="1" applyBorder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4" fontId="13" fillId="0" borderId="0" xfId="0" applyNumberFormat="1" applyFont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7744F5BD-8261-45B1-B28C-5244C43ECC01}"/>
    <cellStyle name="Percent" xfId="3" builtinId="5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  <color rgb="FFFEF6F0"/>
      <color rgb="FF0066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Clark/Rate%20Case%202020-00110/COS-Rates-RevReq/Clark_COS_2019_Filed.xlsm" TargetMode="External"/><Relationship Id="rId1" Type="http://schemas.openxmlformats.org/officeDocument/2006/relationships/externalLinkPath" Target="/2ac385686f0d07d2/Documents/CATALYST%20Consulting/Clients/Clark/Rate%20Case%202020-00110/COS-Rates-RevReq/Clark_COS_2019_Fil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Returns"/>
      <sheetName val="Summary of Rates"/>
      <sheetName val="Func &amp; Classif"/>
      <sheetName val="Alloc &amp; Returns"/>
      <sheetName val="Billing Det"/>
      <sheetName val="Purchased Power"/>
      <sheetName val="Meters"/>
      <sheetName val="Services"/>
      <sheetName val="Line Loss Calculation"/>
      <sheetName val="ZeroInt"/>
    </sheetNames>
    <sheetDataSet>
      <sheetData sheetId="0"/>
      <sheetData sheetId="1"/>
      <sheetData sheetId="2">
        <row r="56">
          <cell r="M56">
            <v>1411560.02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3"/>
  <sheetViews>
    <sheetView tabSelected="1" view="pageBreakPreview" zoomScaleNormal="100" zoomScaleSheetLayoutView="100" workbookViewId="0">
      <selection activeCell="I20" sqref="I20"/>
    </sheetView>
  </sheetViews>
  <sheetFormatPr defaultColWidth="9.109375" defaultRowHeight="13.2" x14ac:dyDescent="0.25"/>
  <cols>
    <col min="1" max="1" width="4.44140625" style="14" customWidth="1"/>
    <col min="2" max="2" width="30.21875" style="22" customWidth="1"/>
    <col min="3" max="3" width="9.44140625" style="25" customWidth="1"/>
    <col min="4" max="5" width="13.5546875" style="25" bestFit="1" customWidth="1"/>
    <col min="6" max="6" width="12.109375" style="26" bestFit="1" customWidth="1"/>
    <col min="7" max="7" width="12.44140625" style="14" bestFit="1" customWidth="1"/>
    <col min="8" max="8" width="14.77734375" style="27" bestFit="1" customWidth="1"/>
    <col min="9" max="9" width="14.33203125" style="27" bestFit="1" customWidth="1"/>
    <col min="10" max="10" width="2.33203125" style="14" customWidth="1"/>
    <col min="11" max="11" width="14.6640625" style="81" customWidth="1"/>
    <col min="12" max="12" width="14.5546875" style="27" customWidth="1"/>
    <col min="13" max="13" width="32.77734375" style="14" bestFit="1" customWidth="1"/>
    <col min="14" max="14" width="12.44140625" style="14" bestFit="1" customWidth="1"/>
    <col min="15" max="15" width="8.5546875" style="14" bestFit="1" customWidth="1"/>
    <col min="16" max="16" width="9.33203125" style="14" bestFit="1" customWidth="1"/>
    <col min="17" max="16384" width="9.109375" style="14"/>
  </cols>
  <sheetData>
    <row r="1" spans="1:16" x14ac:dyDescent="0.25">
      <c r="A1" s="13" t="s">
        <v>1112</v>
      </c>
      <c r="H1" s="90">
        <v>2022</v>
      </c>
    </row>
    <row r="2" spans="1:16" x14ac:dyDescent="0.25">
      <c r="A2" s="13" t="s">
        <v>674</v>
      </c>
      <c r="C2" s="28"/>
      <c r="D2" s="28"/>
      <c r="E2" s="28"/>
      <c r="F2" s="28"/>
      <c r="H2" s="29"/>
      <c r="I2" s="29"/>
      <c r="K2" s="108"/>
      <c r="L2" s="29"/>
      <c r="M2" s="29"/>
    </row>
    <row r="3" spans="1:16" x14ac:dyDescent="0.25">
      <c r="F3" s="32"/>
    </row>
    <row r="4" spans="1:16" x14ac:dyDescent="0.25">
      <c r="A4" s="13"/>
      <c r="B4" s="33"/>
      <c r="C4" s="34"/>
      <c r="D4" s="34"/>
      <c r="E4" s="34"/>
      <c r="F4" s="34"/>
      <c r="G4" s="34"/>
      <c r="I4" s="26"/>
      <c r="M4" s="26"/>
    </row>
    <row r="5" spans="1:16" s="33" customFormat="1" ht="13.95" customHeight="1" x14ac:dyDescent="0.25">
      <c r="C5" s="87"/>
      <c r="D5" s="87" t="s">
        <v>898</v>
      </c>
      <c r="E5" s="87" t="s">
        <v>898</v>
      </c>
      <c r="F5" s="87"/>
      <c r="H5" s="87" t="s">
        <v>898</v>
      </c>
      <c r="I5" s="27"/>
      <c r="J5" s="14"/>
      <c r="K5" s="81"/>
      <c r="L5" s="35"/>
      <c r="M5" s="26"/>
      <c r="N5" s="14"/>
      <c r="O5" s="14"/>
    </row>
    <row r="6" spans="1:16" s="33" customFormat="1" ht="13.95" customHeight="1" x14ac:dyDescent="0.25">
      <c r="C6" s="87"/>
      <c r="D6" s="87" t="s">
        <v>673</v>
      </c>
      <c r="E6" s="87" t="s">
        <v>673</v>
      </c>
      <c r="F6" s="36"/>
      <c r="H6" s="33" t="s">
        <v>334</v>
      </c>
      <c r="I6" s="26"/>
      <c r="J6" s="14"/>
      <c r="K6" s="81"/>
      <c r="M6" s="26"/>
      <c r="N6" s="14"/>
      <c r="O6" s="14"/>
    </row>
    <row r="7" spans="1:16" s="33" customFormat="1" ht="13.95" customHeight="1" x14ac:dyDescent="0.25">
      <c r="A7" s="37"/>
      <c r="B7" s="28" t="s">
        <v>750</v>
      </c>
      <c r="C7" s="28" t="s">
        <v>864</v>
      </c>
      <c r="D7" s="28" t="s">
        <v>348</v>
      </c>
      <c r="E7" s="28" t="s">
        <v>672</v>
      </c>
      <c r="F7" s="28" t="s">
        <v>347</v>
      </c>
      <c r="G7" s="83" t="s">
        <v>76</v>
      </c>
      <c r="H7" s="28" t="s">
        <v>862</v>
      </c>
      <c r="I7" s="27"/>
      <c r="J7" s="14"/>
      <c r="K7" s="81"/>
      <c r="M7" s="26"/>
      <c r="N7" s="14"/>
      <c r="O7" s="14"/>
    </row>
    <row r="8" spans="1:16" s="93" customFormat="1" ht="13.95" customHeight="1" x14ac:dyDescent="0.3">
      <c r="A8" s="72" t="s">
        <v>939</v>
      </c>
      <c r="B8" s="92">
        <v>1</v>
      </c>
      <c r="C8" s="92">
        <f>B8+1</f>
        <v>2</v>
      </c>
      <c r="D8" s="92" t="s">
        <v>1029</v>
      </c>
      <c r="E8" s="92" t="s">
        <v>1030</v>
      </c>
      <c r="F8" s="92" t="s">
        <v>1031</v>
      </c>
      <c r="G8" s="92">
        <v>6</v>
      </c>
      <c r="H8" s="92">
        <v>7</v>
      </c>
      <c r="I8" s="26"/>
      <c r="J8" s="14"/>
      <c r="K8" s="81"/>
      <c r="L8" s="33"/>
      <c r="M8" s="26"/>
      <c r="N8" s="14"/>
      <c r="O8" s="14"/>
    </row>
    <row r="9" spans="1:16" ht="13.95" customHeight="1" x14ac:dyDescent="0.25">
      <c r="A9" s="22"/>
      <c r="B9" s="13"/>
      <c r="C9" s="33"/>
      <c r="F9" s="25"/>
      <c r="G9" s="26"/>
      <c r="H9" s="14"/>
      <c r="L9" s="33"/>
      <c r="M9" s="26"/>
      <c r="P9" s="33"/>
    </row>
    <row r="10" spans="1:16" ht="13.95" customHeight="1" x14ac:dyDescent="0.25">
      <c r="A10" s="22">
        <v>1</v>
      </c>
      <c r="B10" s="102" t="s">
        <v>1113</v>
      </c>
      <c r="C10" s="103" t="s">
        <v>1114</v>
      </c>
      <c r="D10" s="40">
        <f>'Alloc &amp; Returns'!F$358</f>
        <v>31228245.73361937</v>
      </c>
      <c r="E10" s="40">
        <f>'Alloc &amp; Returns'!F$393</f>
        <v>33212775.789654426</v>
      </c>
      <c r="F10" s="40">
        <f>D10-E10</f>
        <v>-1984530.0560350567</v>
      </c>
      <c r="G10" s="40">
        <f>'Alloc &amp; Returns'!F$401</f>
        <v>61094993.962671965</v>
      </c>
      <c r="H10" s="240">
        <f>IF(G10=0,"NA",F10/G10)</f>
        <v>-3.2482695018311518E-2</v>
      </c>
      <c r="I10" s="26"/>
      <c r="L10" s="109"/>
      <c r="M10" s="104"/>
      <c r="N10" s="103"/>
      <c r="P10" s="33"/>
    </row>
    <row r="11" spans="1:16" ht="13.95" customHeight="1" x14ac:dyDescent="0.25">
      <c r="A11" s="22">
        <v>2</v>
      </c>
      <c r="B11" s="102" t="s">
        <v>1146</v>
      </c>
      <c r="C11" s="103" t="s">
        <v>1191</v>
      </c>
      <c r="D11" s="40">
        <f>'Alloc &amp; Returns'!G$358</f>
        <v>71725.857402923823</v>
      </c>
      <c r="E11" s="40">
        <f>'Alloc &amp; Returns'!G$393</f>
        <v>92038.226091064571</v>
      </c>
      <c r="F11" s="40">
        <f t="shared" ref="F11:F14" si="0">D11-E11</f>
        <v>-20312.368688140748</v>
      </c>
      <c r="G11" s="40">
        <f>'Alloc &amp; Returns'!G$401</f>
        <v>157793.01300400172</v>
      </c>
      <c r="H11" s="240">
        <f t="shared" ref="H11:H25" si="1">IF(G11=0,"NA",F11/G11)</f>
        <v>-0.12872793478901132</v>
      </c>
      <c r="L11" s="109"/>
      <c r="M11" s="104"/>
      <c r="N11" s="103"/>
      <c r="P11" s="33"/>
    </row>
    <row r="12" spans="1:16" ht="13.95" customHeight="1" x14ac:dyDescent="0.25">
      <c r="A12" s="22">
        <v>3</v>
      </c>
      <c r="B12" s="102" t="s">
        <v>1184</v>
      </c>
      <c r="C12" s="103" t="s">
        <v>1188</v>
      </c>
      <c r="D12" s="40">
        <f>'Alloc &amp; Returns'!H$358</f>
        <v>902882.16079535964</v>
      </c>
      <c r="E12" s="40">
        <f>'Alloc &amp; Returns'!H$393</f>
        <v>984923.40524875757</v>
      </c>
      <c r="F12" s="40">
        <f t="shared" si="0"/>
        <v>-82041.244453397929</v>
      </c>
      <c r="G12" s="40">
        <f>'Alloc &amp; Returns'!H$401</f>
        <v>2421867.0116914054</v>
      </c>
      <c r="H12" s="240">
        <f t="shared" si="1"/>
        <v>-3.3875206217909223E-2</v>
      </c>
      <c r="I12" s="26"/>
      <c r="L12" s="109"/>
      <c r="M12" s="104"/>
      <c r="P12" s="33"/>
    </row>
    <row r="13" spans="1:16" ht="13.95" customHeight="1" x14ac:dyDescent="0.25">
      <c r="A13" s="22">
        <v>4</v>
      </c>
      <c r="B13" s="102" t="s">
        <v>1185</v>
      </c>
      <c r="C13" s="103" t="s">
        <v>1189</v>
      </c>
      <c r="D13" s="40">
        <f>'Alloc &amp; Returns'!I$358</f>
        <v>275474.94517898245</v>
      </c>
      <c r="E13" s="40">
        <f>'Alloc &amp; Returns'!I$393</f>
        <v>834301.17181954905</v>
      </c>
      <c r="F13" s="40">
        <f t="shared" si="0"/>
        <v>-558826.2266405666</v>
      </c>
      <c r="G13" s="40">
        <f>'Alloc &amp; Returns'!I$401</f>
        <v>4889403.1404193845</v>
      </c>
      <c r="H13" s="240">
        <f t="shared" si="1"/>
        <v>-0.11429334227339531</v>
      </c>
      <c r="L13" s="109"/>
      <c r="M13" s="104"/>
      <c r="P13" s="33"/>
    </row>
    <row r="14" spans="1:16" ht="13.95" customHeight="1" x14ac:dyDescent="0.25">
      <c r="A14" s="22">
        <v>5</v>
      </c>
      <c r="B14" s="102" t="s">
        <v>1186</v>
      </c>
      <c r="C14" s="102" t="s">
        <v>1190</v>
      </c>
      <c r="D14" s="40">
        <f>'Alloc &amp; Returns'!J$358</f>
        <v>178457.99416275928</v>
      </c>
      <c r="E14" s="40">
        <f>'Alloc &amp; Returns'!J$393</f>
        <v>161843.33043242138</v>
      </c>
      <c r="F14" s="40">
        <f t="shared" si="0"/>
        <v>16614.663730337896</v>
      </c>
      <c r="G14" s="40">
        <f>'Alloc &amp; Returns'!J$401</f>
        <v>858297.71538946417</v>
      </c>
      <c r="H14" s="240">
        <f t="shared" si="1"/>
        <v>1.935769306201493E-2</v>
      </c>
      <c r="I14" s="26"/>
      <c r="L14" s="109"/>
      <c r="M14" s="104"/>
      <c r="P14" s="33"/>
    </row>
    <row r="15" spans="1:16" ht="13.95" customHeight="1" x14ac:dyDescent="0.25">
      <c r="A15" s="22">
        <v>6</v>
      </c>
      <c r="B15" s="102" t="s">
        <v>1115</v>
      </c>
      <c r="C15" s="103" t="s">
        <v>1116</v>
      </c>
      <c r="D15" s="40">
        <f>'Alloc &amp; Returns'!K$358</f>
        <v>160711.17477441876</v>
      </c>
      <c r="E15" s="40">
        <f>'Alloc &amp; Returns'!K$393</f>
        <v>141964.15883791703</v>
      </c>
      <c r="F15" s="40">
        <f t="shared" ref="F15:F25" si="2">D15-E15</f>
        <v>18747.015936501732</v>
      </c>
      <c r="G15" s="40">
        <f>'Alloc &amp; Returns'!K$401</f>
        <v>391615.16491669056</v>
      </c>
      <c r="H15" s="240">
        <f>IF(G15=0,"NA",F15/G15)</f>
        <v>4.7871016283268397E-2</v>
      </c>
      <c r="L15" s="109"/>
      <c r="M15" s="104"/>
      <c r="N15" s="103"/>
      <c r="P15" s="33"/>
    </row>
    <row r="16" spans="1:16" ht="12.6" customHeight="1" x14ac:dyDescent="0.25">
      <c r="A16" s="22">
        <v>7</v>
      </c>
      <c r="B16" s="102" t="s">
        <v>1117</v>
      </c>
      <c r="C16" s="103" t="s">
        <v>1118</v>
      </c>
      <c r="D16" s="40">
        <f>'Alloc &amp; Returns'!L$358</f>
        <v>1870021.7461828832</v>
      </c>
      <c r="E16" s="40">
        <f>'Alloc &amp; Returns'!L$393</f>
        <v>1538358.6538274225</v>
      </c>
      <c r="F16" s="40">
        <f t="shared" si="2"/>
        <v>331663.09235546063</v>
      </c>
      <c r="G16" s="40">
        <f>'Alloc &amp; Returns'!L$401</f>
        <v>1432154.4159477737</v>
      </c>
      <c r="H16" s="240">
        <f t="shared" si="1"/>
        <v>0.2315833325388813</v>
      </c>
      <c r="I16" s="26"/>
      <c r="L16" s="109"/>
      <c r="N16" s="103"/>
      <c r="P16" s="33"/>
    </row>
    <row r="17" spans="1:16" ht="13.95" customHeight="1" x14ac:dyDescent="0.25">
      <c r="A17" s="22">
        <v>8</v>
      </c>
      <c r="B17" s="102" t="s">
        <v>1119</v>
      </c>
      <c r="C17" s="103" t="s">
        <v>1120</v>
      </c>
      <c r="D17" s="40">
        <f>'Alloc &amp; Returns'!M$358</f>
        <v>7728894.9620586857</v>
      </c>
      <c r="E17" s="40">
        <f>'Alloc &amp; Returns'!M$393</f>
        <v>7468721.7610966321</v>
      </c>
      <c r="F17" s="40">
        <f t="shared" si="2"/>
        <v>260173.20096205361</v>
      </c>
      <c r="G17" s="40">
        <f>'Alloc &amp; Returns'!M$401</f>
        <v>4569496.4814591585</v>
      </c>
      <c r="H17" s="240">
        <f t="shared" si="1"/>
        <v>5.693695181027332E-2</v>
      </c>
      <c r="L17" s="109"/>
      <c r="N17" s="103"/>
      <c r="P17" s="33"/>
    </row>
    <row r="18" spans="1:16" ht="13.95" customHeight="1" x14ac:dyDescent="0.25">
      <c r="A18" s="22">
        <v>9</v>
      </c>
      <c r="B18" s="102" t="s">
        <v>1121</v>
      </c>
      <c r="C18" s="103" t="s">
        <v>1122</v>
      </c>
      <c r="D18" s="40">
        <f>'Alloc &amp; Returns'!N$358</f>
        <v>52914.145701024216</v>
      </c>
      <c r="E18" s="40">
        <f>'Alloc &amp; Returns'!N$393</f>
        <v>50113.786484002194</v>
      </c>
      <c r="F18" s="40">
        <f t="shared" si="2"/>
        <v>2800.3592170220218</v>
      </c>
      <c r="G18" s="40">
        <f>'Alloc &amp; Returns'!N$401</f>
        <v>42188.766940090216</v>
      </c>
      <c r="H18" s="240">
        <f t="shared" si="1"/>
        <v>6.63768917683384E-2</v>
      </c>
      <c r="I18" s="26"/>
      <c r="L18" s="109"/>
      <c r="N18" s="103"/>
      <c r="P18" s="33"/>
    </row>
    <row r="19" spans="1:16" ht="13.95" hidden="1" customHeight="1" x14ac:dyDescent="0.25">
      <c r="A19" s="22">
        <v>10</v>
      </c>
      <c r="B19" s="102" t="s">
        <v>1201</v>
      </c>
      <c r="C19" s="111" t="s">
        <v>1202</v>
      </c>
      <c r="D19" s="40">
        <f>'Alloc &amp; Returns'!O$358</f>
        <v>0</v>
      </c>
      <c r="E19" s="40">
        <f>'Alloc &amp; Returns'!O$393</f>
        <v>0</v>
      </c>
      <c r="F19" s="40">
        <f t="shared" si="2"/>
        <v>0</v>
      </c>
      <c r="G19" s="40">
        <f>'Alloc &amp; Returns'!O$401</f>
        <v>0</v>
      </c>
      <c r="H19" s="240" t="str">
        <f t="shared" si="1"/>
        <v>NA</v>
      </c>
      <c r="L19" s="109"/>
      <c r="M19" s="104"/>
      <c r="N19" s="103"/>
      <c r="P19" s="33"/>
    </row>
    <row r="20" spans="1:16" ht="13.95" customHeight="1" x14ac:dyDescent="0.25">
      <c r="A20" s="22">
        <v>11</v>
      </c>
      <c r="B20" s="102" t="s">
        <v>1124</v>
      </c>
      <c r="C20" s="103" t="s">
        <v>1192</v>
      </c>
      <c r="D20" s="40">
        <f>'Alloc &amp; Returns'!P$358</f>
        <v>1095466.2524985734</v>
      </c>
      <c r="E20" s="40">
        <f>'Alloc &amp; Returns'!P$393</f>
        <v>164720.49338200488</v>
      </c>
      <c r="F20" s="40">
        <f t="shared" si="2"/>
        <v>930745.75911656849</v>
      </c>
      <c r="G20" s="40">
        <f>'Alloc &amp; Returns'!P$401</f>
        <v>2571465.3594831452</v>
      </c>
      <c r="H20" s="240">
        <f t="shared" si="1"/>
        <v>0.36195150585409591</v>
      </c>
      <c r="I20" s="26"/>
      <c r="L20" s="109"/>
      <c r="M20" s="104"/>
      <c r="N20" s="103"/>
      <c r="P20" s="33"/>
    </row>
    <row r="21" spans="1:16" ht="13.95" customHeight="1" x14ac:dyDescent="0.25">
      <c r="A21" s="22">
        <v>12</v>
      </c>
      <c r="B21" s="102" t="s">
        <v>1128</v>
      </c>
      <c r="C21" s="103" t="s">
        <v>1123</v>
      </c>
      <c r="D21" s="40">
        <f>'Alloc &amp; Returns'!Q$358</f>
        <v>2260114.5085462015</v>
      </c>
      <c r="E21" s="40">
        <f>'Alloc &amp; Returns'!Q$393</f>
        <v>2069536.3344413182</v>
      </c>
      <c r="F21" s="40">
        <f t="shared" si="2"/>
        <v>190578.17410488334</v>
      </c>
      <c r="G21" s="40">
        <f>'Alloc &amp; Returns'!Q$401</f>
        <v>0</v>
      </c>
      <c r="H21" s="240" t="str">
        <f t="shared" si="1"/>
        <v>NA</v>
      </c>
      <c r="L21" s="109"/>
      <c r="M21" s="104"/>
      <c r="N21" s="22"/>
      <c r="P21" s="33"/>
    </row>
    <row r="22" spans="1:16" ht="13.95" customHeight="1" x14ac:dyDescent="0.25">
      <c r="A22" s="22">
        <v>13</v>
      </c>
      <c r="B22" s="102" t="s">
        <v>1187</v>
      </c>
      <c r="C22" s="103" t="s">
        <v>1123</v>
      </c>
      <c r="D22" s="40">
        <f>'Alloc &amp; Returns'!R$358</f>
        <v>3540082.6192234461</v>
      </c>
      <c r="E22" s="40">
        <f>'Alloc &amp; Returns'!R$393</f>
        <v>3471294.7922371728</v>
      </c>
      <c r="F22" s="40">
        <f t="shared" si="2"/>
        <v>68787.826986273285</v>
      </c>
      <c r="G22" s="40">
        <f>'Alloc &amp; Returns'!R$401</f>
        <v>0</v>
      </c>
      <c r="H22" s="240" t="str">
        <f t="shared" si="1"/>
        <v>NA</v>
      </c>
      <c r="I22" s="26"/>
      <c r="L22" s="109"/>
      <c r="M22" s="104"/>
      <c r="N22" s="22"/>
      <c r="P22" s="33"/>
    </row>
    <row r="23" spans="1:16" ht="13.95" customHeight="1" x14ac:dyDescent="0.25">
      <c r="A23" s="22">
        <v>14</v>
      </c>
      <c r="B23" s="102" t="s">
        <v>1126</v>
      </c>
      <c r="C23" s="103" t="s">
        <v>1123</v>
      </c>
      <c r="D23" s="40">
        <f>'Alloc &amp; Returns'!S$358</f>
        <v>3274007.1858614814</v>
      </c>
      <c r="E23" s="40">
        <f>'Alloc &amp; Returns'!S$393</f>
        <v>3083244.6834902479</v>
      </c>
      <c r="F23" s="40">
        <f t="shared" si="2"/>
        <v>190762.50237123342</v>
      </c>
      <c r="G23" s="40">
        <f>'Alloc &amp; Returns'!S$401</f>
        <v>0</v>
      </c>
      <c r="H23" s="240" t="str">
        <f t="shared" si="1"/>
        <v>NA</v>
      </c>
      <c r="L23" s="109"/>
      <c r="M23" s="104"/>
      <c r="N23" s="22"/>
      <c r="P23" s="33"/>
    </row>
    <row r="24" spans="1:16" ht="13.95" customHeight="1" x14ac:dyDescent="0.25">
      <c r="A24" s="22">
        <v>15</v>
      </c>
      <c r="B24" s="102" t="s">
        <v>1127</v>
      </c>
      <c r="C24" s="103" t="s">
        <v>1123</v>
      </c>
      <c r="D24" s="40">
        <f>'Alloc &amp; Returns'!T$358</f>
        <v>14518373.58468808</v>
      </c>
      <c r="E24" s="40">
        <f>'Alloc &amp; Returns'!T$393</f>
        <v>12711490.458155029</v>
      </c>
      <c r="F24" s="40">
        <f t="shared" si="2"/>
        <v>1806883.126533052</v>
      </c>
      <c r="G24" s="40">
        <f>'Alloc &amp; Returns'!T$401</f>
        <v>0</v>
      </c>
      <c r="H24" s="240" t="str">
        <f t="shared" si="1"/>
        <v>NA</v>
      </c>
      <c r="I24" s="26"/>
      <c r="L24" s="109"/>
      <c r="M24" s="104"/>
      <c r="N24" s="22"/>
      <c r="P24" s="33"/>
    </row>
    <row r="25" spans="1:16" ht="13.95" customHeight="1" x14ac:dyDescent="0.25">
      <c r="A25" s="22">
        <v>16</v>
      </c>
      <c r="B25" s="102" t="s">
        <v>1125</v>
      </c>
      <c r="C25" s="103" t="s">
        <v>1123</v>
      </c>
      <c r="D25" s="40">
        <f>'Alloc &amp; Returns'!U$358</f>
        <v>7568326.6206556335</v>
      </c>
      <c r="E25" s="40">
        <f>'Alloc &amp; Returns'!U$393</f>
        <v>7268279.056300533</v>
      </c>
      <c r="F25" s="40">
        <f t="shared" si="2"/>
        <v>300047.56435510051</v>
      </c>
      <c r="G25" s="40">
        <f>'Alloc &amp; Returns'!U$401</f>
        <v>0</v>
      </c>
      <c r="H25" s="240" t="str">
        <f t="shared" si="1"/>
        <v>NA</v>
      </c>
      <c r="L25" s="109"/>
      <c r="M25" s="104"/>
      <c r="N25" s="103"/>
      <c r="P25" s="33"/>
    </row>
    <row r="26" spans="1:16" ht="13.95" customHeight="1" x14ac:dyDescent="0.25">
      <c r="A26" s="22"/>
      <c r="B26" s="105"/>
      <c r="C26" s="106"/>
      <c r="D26" s="42"/>
      <c r="E26" s="40"/>
      <c r="F26" s="42"/>
      <c r="G26" s="42"/>
      <c r="H26" s="41"/>
      <c r="I26" s="26"/>
      <c r="L26" s="33"/>
      <c r="M26" s="48"/>
      <c r="N26" s="48"/>
      <c r="P26" s="33"/>
    </row>
    <row r="27" spans="1:16" s="48" customFormat="1" ht="29.4" customHeight="1" thickBot="1" x14ac:dyDescent="0.3">
      <c r="A27" s="43">
        <f>A25+1</f>
        <v>17</v>
      </c>
      <c r="B27" s="44" t="s">
        <v>0</v>
      </c>
      <c r="C27" s="45"/>
      <c r="D27" s="46">
        <f>SUM(D10:D26)</f>
        <v>74725699.491349816</v>
      </c>
      <c r="E27" s="46">
        <f t="shared" ref="E27:G27" si="3">SUM(E10:E26)</f>
        <v>73253606.1014985</v>
      </c>
      <c r="F27" s="46">
        <f t="shared" si="3"/>
        <v>1472093.3898513247</v>
      </c>
      <c r="G27" s="46">
        <f t="shared" si="3"/>
        <v>78429275.031923085</v>
      </c>
      <c r="H27" s="47">
        <f>F27/G27</f>
        <v>1.8769692684933507E-2</v>
      </c>
      <c r="I27" s="27"/>
      <c r="J27" s="14"/>
      <c r="K27" s="81"/>
      <c r="O27" s="14"/>
      <c r="P27" s="33"/>
    </row>
    <row r="28" spans="1:16" s="48" customFormat="1" ht="13.95" customHeight="1" thickTop="1" x14ac:dyDescent="0.25">
      <c r="A28" s="43"/>
      <c r="C28" s="43"/>
      <c r="D28" s="94"/>
      <c r="E28" s="94"/>
      <c r="F28" s="94"/>
      <c r="G28" s="94"/>
      <c r="H28" s="95"/>
      <c r="I28" s="26"/>
      <c r="J28" s="14"/>
      <c r="K28" s="81"/>
      <c r="O28" s="14"/>
      <c r="P28" s="33"/>
    </row>
    <row r="29" spans="1:16" ht="13.95" customHeight="1" x14ac:dyDescent="0.25">
      <c r="A29" s="22"/>
      <c r="B29" s="14"/>
      <c r="C29" s="22"/>
      <c r="D29" s="42"/>
      <c r="E29" s="42"/>
      <c r="F29" s="42"/>
      <c r="G29" s="42"/>
      <c r="H29" s="41"/>
      <c r="P29" s="33"/>
    </row>
    <row r="30" spans="1:16" ht="28.2" customHeight="1" x14ac:dyDescent="0.25">
      <c r="A30" s="22"/>
      <c r="B30" s="14"/>
      <c r="C30" s="22"/>
      <c r="F30" s="25"/>
      <c r="H30" s="112" t="s">
        <v>1035</v>
      </c>
      <c r="I30" s="26"/>
      <c r="N30" s="33"/>
      <c r="O30" s="33"/>
      <c r="P30" s="33"/>
    </row>
    <row r="31" spans="1:16" ht="13.95" customHeight="1" x14ac:dyDescent="0.25">
      <c r="F31" s="14"/>
      <c r="H31" s="34" t="s">
        <v>898</v>
      </c>
    </row>
    <row r="32" spans="1:16" ht="13.95" customHeight="1" x14ac:dyDescent="0.25">
      <c r="A32" s="33"/>
      <c r="B32" s="33"/>
      <c r="C32" s="22"/>
      <c r="D32" s="34" t="s">
        <v>1013</v>
      </c>
      <c r="E32" s="34" t="s">
        <v>1024</v>
      </c>
      <c r="F32" s="14"/>
      <c r="H32" s="17" t="s">
        <v>334</v>
      </c>
      <c r="I32" s="26"/>
    </row>
    <row r="33" spans="1:13" ht="13.95" customHeight="1" thickBot="1" x14ac:dyDescent="0.3">
      <c r="A33" s="37" t="s">
        <v>939</v>
      </c>
      <c r="B33" s="38" t="s">
        <v>750</v>
      </c>
      <c r="C33" s="38" t="s">
        <v>864</v>
      </c>
      <c r="D33" s="39" t="s">
        <v>348</v>
      </c>
      <c r="E33" s="39" t="s">
        <v>11</v>
      </c>
      <c r="F33" s="14"/>
      <c r="H33" s="39" t="s">
        <v>862</v>
      </c>
    </row>
    <row r="34" spans="1:13" ht="13.95" customHeight="1" x14ac:dyDescent="0.25">
      <c r="A34" s="22"/>
      <c r="B34" s="14"/>
      <c r="C34" s="33"/>
      <c r="D34" s="76"/>
      <c r="E34" s="76"/>
      <c r="F34" s="91"/>
      <c r="I34" s="26"/>
    </row>
    <row r="35" spans="1:13" ht="13.95" customHeight="1" x14ac:dyDescent="0.25">
      <c r="A35" s="22">
        <f>A27+1</f>
        <v>18</v>
      </c>
      <c r="B35" s="14" t="str">
        <f>B10</f>
        <v>Residential &amp; Small Power (1)</v>
      </c>
      <c r="C35" s="22" t="str">
        <f>C10</f>
        <v>RSP</v>
      </c>
      <c r="D35" s="88">
        <f>D10/D$27</f>
        <v>0.41790503061445849</v>
      </c>
      <c r="E35" s="88">
        <f>'Billing Det'!P8</f>
        <v>0.30800399225584546</v>
      </c>
      <c r="F35" s="91"/>
      <c r="H35" s="41">
        <v>-1.5679899419187746E-3</v>
      </c>
      <c r="M35" s="27"/>
    </row>
    <row r="36" spans="1:13" ht="13.95" customHeight="1" x14ac:dyDescent="0.25">
      <c r="A36" s="22">
        <f>A35+1</f>
        <v>19</v>
      </c>
      <c r="B36" s="14" t="str">
        <f t="shared" ref="B36:C36" si="4">B11</f>
        <v>Residential &amp; Small Power ETS (11)</v>
      </c>
      <c r="C36" s="22" t="str">
        <f t="shared" si="4"/>
        <v>RSP-ETS</v>
      </c>
      <c r="D36" s="88">
        <f t="shared" ref="D36:D50" si="5">D11/D$27</f>
        <v>9.5985528260229597E-4</v>
      </c>
      <c r="E36" s="88">
        <f>'Billing Det'!P9</f>
        <v>9.0912101711776883E-4</v>
      </c>
      <c r="F36" s="91"/>
      <c r="H36" s="41">
        <v>-0.10412158545780525</v>
      </c>
      <c r="I36" s="26"/>
      <c r="M36" s="27"/>
    </row>
    <row r="37" spans="1:13" ht="13.95" customHeight="1" x14ac:dyDescent="0.25">
      <c r="A37" s="22">
        <f t="shared" ref="A37:A42" si="6">A36+1</f>
        <v>20</v>
      </c>
      <c r="B37" s="14" t="str">
        <f t="shared" ref="B37:C37" si="7">B12</f>
        <v>Prepay (80)</v>
      </c>
      <c r="C37" s="22" t="str">
        <f t="shared" si="7"/>
        <v>RSP-PPM</v>
      </c>
      <c r="D37" s="88">
        <f t="shared" si="5"/>
        <v>1.2082619057983881E-2</v>
      </c>
      <c r="E37" s="88">
        <f>'Billing Det'!P10</f>
        <v>7.9041630694599591E-3</v>
      </c>
      <c r="F37" s="91"/>
      <c r="H37" s="41">
        <v>-1.5691643789663361E-2</v>
      </c>
    </row>
    <row r="38" spans="1:13" ht="13.95" customHeight="1" x14ac:dyDescent="0.25">
      <c r="A38" s="22">
        <f t="shared" si="6"/>
        <v>21</v>
      </c>
      <c r="B38" s="14" t="str">
        <f t="shared" ref="B38:C38" si="8">B13</f>
        <v>Net Metering (100)</v>
      </c>
      <c r="C38" s="22" t="str">
        <f t="shared" si="8"/>
        <v>NM</v>
      </c>
      <c r="D38" s="88">
        <f t="shared" si="5"/>
        <v>3.6864819875104841E-3</v>
      </c>
      <c r="E38" s="88">
        <f>'Billing Det'!P11</f>
        <v>7.9634926842756567E-4</v>
      </c>
      <c r="F38" s="91"/>
      <c r="H38" s="41">
        <v>-0.11330496396602066</v>
      </c>
      <c r="I38" s="26"/>
    </row>
    <row r="39" spans="1:13" ht="13.95" customHeight="1" x14ac:dyDescent="0.25">
      <c r="A39" s="22">
        <f t="shared" si="6"/>
        <v>22</v>
      </c>
      <c r="B39" s="14" t="str">
        <f t="shared" ref="B39:C39" si="9">B14</f>
        <v>Time of Day (110)</v>
      </c>
      <c r="C39" s="22" t="str">
        <f t="shared" si="9"/>
        <v>RSP-TOD</v>
      </c>
      <c r="D39" s="88">
        <f t="shared" si="5"/>
        <v>2.3881742877952909E-3</v>
      </c>
      <c r="E39" s="88">
        <f>'Billing Det'!P12</f>
        <v>3.491736001392292E-4</v>
      </c>
      <c r="F39" s="91"/>
      <c r="H39" s="41">
        <v>1.935769306201493E-2</v>
      </c>
    </row>
    <row r="40" spans="1:13" ht="13.95" customHeight="1" x14ac:dyDescent="0.25">
      <c r="A40" s="22">
        <f t="shared" si="6"/>
        <v>23</v>
      </c>
      <c r="B40" s="14" t="str">
        <f t="shared" ref="B40:C40" si="10">B15</f>
        <v>Inclining Block Rate (8)</v>
      </c>
      <c r="C40" s="22" t="str">
        <f t="shared" si="10"/>
        <v>RSP-IB</v>
      </c>
      <c r="D40" s="88">
        <f t="shared" si="5"/>
        <v>2.1506814371543294E-3</v>
      </c>
      <c r="E40" s="88">
        <f>'Billing Det'!P13</f>
        <v>9.2023026383770252E-4</v>
      </c>
      <c r="F40" s="91"/>
      <c r="H40" s="41">
        <v>4.7871016283268397E-2</v>
      </c>
      <c r="I40" s="26"/>
    </row>
    <row r="41" spans="1:13" ht="13.95" customHeight="1" x14ac:dyDescent="0.25">
      <c r="A41" s="22">
        <f t="shared" si="6"/>
        <v>24</v>
      </c>
      <c r="B41" s="14" t="str">
        <f t="shared" ref="B41:C41" si="11">B16</f>
        <v>Small General Service (2)</v>
      </c>
      <c r="C41" s="22" t="str">
        <f t="shared" si="11"/>
        <v>SGS</v>
      </c>
      <c r="D41" s="88">
        <f t="shared" si="5"/>
        <v>2.5025148762901246E-2</v>
      </c>
      <c r="E41" s="88">
        <f>'Billing Det'!P14</f>
        <v>1.8009519320996682E-2</v>
      </c>
      <c r="F41" s="91"/>
      <c r="H41" s="41">
        <v>0.2315833325388813</v>
      </c>
    </row>
    <row r="42" spans="1:13" ht="13.95" customHeight="1" x14ac:dyDescent="0.25">
      <c r="A42" s="22">
        <f t="shared" si="6"/>
        <v>25</v>
      </c>
      <c r="B42" s="14" t="str">
        <f t="shared" ref="B42:C42" si="12">B17</f>
        <v>Large General Service (3)</v>
      </c>
      <c r="C42" s="22" t="str">
        <f t="shared" si="12"/>
        <v>LGS</v>
      </c>
      <c r="D42" s="88">
        <f t="shared" si="5"/>
        <v>0.10343021229200237</v>
      </c>
      <c r="E42" s="88">
        <f>'Billing Det'!P15</f>
        <v>0.10080674611995789</v>
      </c>
      <c r="F42" s="91"/>
      <c r="H42" s="41">
        <v>5.693695181027332E-2</v>
      </c>
      <c r="I42" s="26"/>
    </row>
    <row r="43" spans="1:13" ht="13.95" customHeight="1" x14ac:dyDescent="0.25">
      <c r="A43" s="22">
        <f t="shared" ref="A43:A50" si="13">A37+1</f>
        <v>21</v>
      </c>
      <c r="B43" s="14" t="str">
        <f t="shared" ref="B43:C43" si="14">B18</f>
        <v>All Electric School (4)</v>
      </c>
      <c r="C43" s="22" t="str">
        <f t="shared" si="14"/>
        <v>AES</v>
      </c>
      <c r="D43" s="88">
        <f t="shared" si="5"/>
        <v>7.0811174818309348E-4</v>
      </c>
      <c r="E43" s="88">
        <f>'Billing Det'!P16</f>
        <v>6.1909510963272679E-4</v>
      </c>
      <c r="F43" s="91"/>
      <c r="H43" s="41">
        <v>6.63768917683384E-2</v>
      </c>
    </row>
    <row r="44" spans="1:13" ht="13.95" hidden="1" customHeight="1" x14ac:dyDescent="0.25">
      <c r="A44" s="22">
        <f t="shared" si="13"/>
        <v>22</v>
      </c>
      <c r="B44" s="14" t="str">
        <f t="shared" ref="B44:C44" si="15">B19</f>
        <v>reserved</v>
      </c>
      <c r="C44" s="22" t="str">
        <f t="shared" si="15"/>
        <v>---</v>
      </c>
      <c r="D44" s="88">
        <f t="shared" si="5"/>
        <v>0</v>
      </c>
      <c r="E44" s="88">
        <f>'Billing Det'!P17</f>
        <v>0</v>
      </c>
      <c r="F44" s="14"/>
      <c r="H44" s="41" t="s">
        <v>1205</v>
      </c>
      <c r="I44" s="26"/>
    </row>
    <row r="45" spans="1:13" ht="13.95" customHeight="1" x14ac:dyDescent="0.25">
      <c r="A45" s="22">
        <f t="shared" si="13"/>
        <v>23</v>
      </c>
      <c r="B45" s="14" t="str">
        <f t="shared" ref="B45:C45" si="16">B20</f>
        <v>Security Lights (20)</v>
      </c>
      <c r="C45" s="22" t="str">
        <f t="shared" si="16"/>
        <v>OLS</v>
      </c>
      <c r="D45" s="88">
        <f t="shared" si="5"/>
        <v>1.4659832694177505E-2</v>
      </c>
      <c r="E45" s="88">
        <f>'Billing Det'!P18</f>
        <v>1.5883903801732063E-4</v>
      </c>
      <c r="F45" s="14"/>
      <c r="H45" s="41">
        <v>0.36195150585409591</v>
      </c>
    </row>
    <row r="46" spans="1:13" ht="13.95" customHeight="1" x14ac:dyDescent="0.25">
      <c r="A46" s="22">
        <f t="shared" si="13"/>
        <v>24</v>
      </c>
      <c r="B46" s="14" t="str">
        <f t="shared" ref="B46:C46" si="17">B21</f>
        <v>App Harvest (70)</v>
      </c>
      <c r="C46" s="22" t="str">
        <f t="shared" si="17"/>
        <v>Contract</v>
      </c>
      <c r="D46" s="88">
        <f t="shared" si="5"/>
        <v>3.0245478114364531E-2</v>
      </c>
      <c r="E46" s="88">
        <f>'Billing Det'!P19</f>
        <v>4.1445784716430734E-2</v>
      </c>
      <c r="F46" s="14"/>
      <c r="H46" s="70" t="s">
        <v>1205</v>
      </c>
      <c r="I46" s="26"/>
    </row>
    <row r="47" spans="1:13" ht="13.95" customHeight="1" x14ac:dyDescent="0.25">
      <c r="A47" s="22">
        <f t="shared" si="13"/>
        <v>25</v>
      </c>
      <c r="B47" s="14" t="str">
        <f t="shared" ref="B47:C47" si="18">B22</f>
        <v>Dravo (14 now 18)</v>
      </c>
      <c r="C47" s="22" t="str">
        <f t="shared" si="18"/>
        <v>Contract</v>
      </c>
      <c r="D47" s="88">
        <f t="shared" si="5"/>
        <v>4.7374365757971167E-2</v>
      </c>
      <c r="E47" s="88">
        <f>'Billing Det'!P20</f>
        <v>5.934813389199603E-2</v>
      </c>
      <c r="F47" s="14"/>
      <c r="H47" s="70" t="s">
        <v>1205</v>
      </c>
    </row>
    <row r="48" spans="1:13" ht="13.95" customHeight="1" x14ac:dyDescent="0.25">
      <c r="A48" s="22">
        <f t="shared" si="13"/>
        <v>26</v>
      </c>
      <c r="B48" s="14" t="str">
        <f t="shared" ref="B48:C48" si="19">B23</f>
        <v>Guardian Industries (16)</v>
      </c>
      <c r="C48" s="22" t="str">
        <f t="shared" si="19"/>
        <v>Contract</v>
      </c>
      <c r="D48" s="88">
        <f t="shared" si="5"/>
        <v>4.3813670640051719E-2</v>
      </c>
      <c r="E48" s="88">
        <f>'Billing Det'!P21</f>
        <v>5.6149005693380993E-2</v>
      </c>
      <c r="F48" s="14"/>
      <c r="H48" s="70" t="s">
        <v>1205</v>
      </c>
      <c r="I48" s="26"/>
    </row>
    <row r="49" spans="1:9" ht="13.95" customHeight="1" x14ac:dyDescent="0.25">
      <c r="A49" s="22">
        <f t="shared" si="13"/>
        <v>22</v>
      </c>
      <c r="B49" s="14" t="str">
        <f t="shared" ref="B49:C49" si="20">B24</f>
        <v>Int'l Paper (12)</v>
      </c>
      <c r="C49" s="22" t="str">
        <f t="shared" si="20"/>
        <v>Contract</v>
      </c>
      <c r="D49" s="88">
        <f t="shared" si="5"/>
        <v>0.19428889503227353</v>
      </c>
      <c r="E49" s="88">
        <f>'Billing Det'!P22</f>
        <v>0.2640729618940133</v>
      </c>
      <c r="F49" s="14"/>
      <c r="H49" s="70" t="s">
        <v>1205</v>
      </c>
    </row>
    <row r="50" spans="1:9" ht="13.95" customHeight="1" x14ac:dyDescent="0.25">
      <c r="A50" s="22">
        <f t="shared" si="13"/>
        <v>23</v>
      </c>
      <c r="B50" s="14" t="str">
        <f t="shared" ref="B50:C50" si="21">B25</f>
        <v>Tennessee Gas (17)</v>
      </c>
      <c r="C50" s="22" t="str">
        <f t="shared" si="21"/>
        <v>Contract</v>
      </c>
      <c r="D50" s="88">
        <f t="shared" si="5"/>
        <v>0.10128144229057015</v>
      </c>
      <c r="E50" s="88">
        <f>'Billing Det'!P23</f>
        <v>0.14050688474074663</v>
      </c>
      <c r="F50" s="14"/>
      <c r="H50" s="70" t="s">
        <v>1205</v>
      </c>
      <c r="I50" s="26"/>
    </row>
    <row r="51" spans="1:9" ht="13.95" customHeight="1" x14ac:dyDescent="0.25">
      <c r="A51" s="22"/>
      <c r="B51" s="14"/>
      <c r="D51" s="88"/>
      <c r="E51" s="88"/>
      <c r="F51" s="14"/>
    </row>
    <row r="52" spans="1:9" ht="13.95" customHeight="1" thickBot="1" x14ac:dyDescent="0.3">
      <c r="A52" s="22">
        <f>A50+1</f>
        <v>24</v>
      </c>
      <c r="B52" s="44" t="s">
        <v>0</v>
      </c>
      <c r="C52" s="44"/>
      <c r="D52" s="89">
        <f>D27/D$27</f>
        <v>1</v>
      </c>
      <c r="E52" s="89">
        <f>E27/E$27</f>
        <v>1</v>
      </c>
      <c r="F52" s="14"/>
      <c r="H52" s="47">
        <v>4.352431625132188E-2</v>
      </c>
      <c r="I52" s="26"/>
    </row>
    <row r="53" spans="1:9" ht="13.8" thickTop="1" x14ac:dyDescent="0.25"/>
  </sheetData>
  <phoneticPr fontId="0" type="noConversion"/>
  <conditionalFormatting sqref="H29">
    <cfRule type="cellIs" dxfId="82" priority="17" operator="greaterThan">
      <formula>$H$27</formula>
    </cfRule>
    <cfRule type="cellIs" dxfId="81" priority="18" operator="lessThan">
      <formula>$H$27</formula>
    </cfRule>
  </conditionalFormatting>
  <pageMargins left="0.75" right="0.75" top="1" bottom="1" header="0.5" footer="0.5"/>
  <pageSetup scale="64" orientation="landscape" r:id="rId1"/>
  <headerFooter alignWithMargins="0">
    <oddFooter>&amp;RExhibit JW-3
Page 1 of 2</oddFooter>
  </headerFooter>
  <ignoredErrors>
    <ignoredError sqref="D8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359"/>
  <sheetViews>
    <sheetView view="pageBreakPreview" zoomScaleNormal="100" zoomScaleSheetLayoutView="100" workbookViewId="0">
      <selection activeCell="J18" sqref="J18"/>
    </sheetView>
  </sheetViews>
  <sheetFormatPr defaultColWidth="9.109375" defaultRowHeight="13.2" x14ac:dyDescent="0.25"/>
  <cols>
    <col min="1" max="1" width="4.44140625" style="14" customWidth="1"/>
    <col min="2" max="2" width="36.88671875" style="22" bestFit="1" customWidth="1"/>
    <col min="3" max="3" width="9.21875" style="22" bestFit="1" customWidth="1"/>
    <col min="4" max="4" width="3.44140625" style="25" customWidth="1"/>
    <col min="5" max="5" width="13.109375" style="25" bestFit="1" customWidth="1"/>
    <col min="6" max="6" width="11.44140625" style="25" bestFit="1" customWidth="1"/>
    <col min="7" max="7" width="10.6640625" style="26" customWidth="1"/>
    <col min="8" max="8" width="9.21875" style="14" bestFit="1" customWidth="1"/>
    <col min="9" max="9" width="8.77734375" style="14" bestFit="1" customWidth="1"/>
    <col min="10" max="10" width="13.5546875" style="14" customWidth="1"/>
    <col min="11" max="11" width="9.109375" style="14"/>
    <col min="12" max="12" width="14.5546875" style="14" customWidth="1"/>
    <col min="13" max="13" width="6.88671875" style="14" bestFit="1" customWidth="1"/>
    <col min="14" max="14" width="9.5546875" style="14" bestFit="1" customWidth="1"/>
    <col min="15" max="16384" width="9.109375" style="14"/>
  </cols>
  <sheetData>
    <row r="1" spans="1:15" x14ac:dyDescent="0.25">
      <c r="A1" s="13" t="s">
        <v>1112</v>
      </c>
    </row>
    <row r="2" spans="1:15" x14ac:dyDescent="0.25">
      <c r="A2" s="13" t="s">
        <v>946</v>
      </c>
      <c r="D2" s="28"/>
      <c r="E2" s="28"/>
      <c r="F2" s="28"/>
      <c r="G2" s="28"/>
    </row>
    <row r="3" spans="1:15" x14ac:dyDescent="0.25">
      <c r="A3" s="13"/>
      <c r="D3" s="13"/>
      <c r="E3" s="30"/>
      <c r="F3" s="30"/>
      <c r="G3" s="31"/>
    </row>
    <row r="4" spans="1:15" x14ac:dyDescent="0.25">
      <c r="E4" s="269" t="s">
        <v>1026</v>
      </c>
      <c r="F4" s="270"/>
      <c r="G4" s="271"/>
    </row>
    <row r="5" spans="1:15" s="33" customFormat="1" x14ac:dyDescent="0.25">
      <c r="H5" s="14"/>
      <c r="I5" s="14"/>
      <c r="J5" s="14"/>
      <c r="K5" s="14"/>
      <c r="L5" s="14"/>
      <c r="M5" s="14"/>
      <c r="N5" s="14"/>
      <c r="O5" s="14"/>
    </row>
    <row r="6" spans="1:15" s="33" customFormat="1" x14ac:dyDescent="0.25">
      <c r="A6" s="22"/>
      <c r="E6" s="28" t="s">
        <v>721</v>
      </c>
      <c r="F6" s="28" t="s">
        <v>11</v>
      </c>
      <c r="G6" s="28" t="s">
        <v>10</v>
      </c>
      <c r="H6" s="14"/>
      <c r="I6" s="14"/>
      <c r="J6" s="14"/>
      <c r="K6" s="14"/>
      <c r="L6" s="14"/>
      <c r="M6" s="14"/>
      <c r="N6" s="14"/>
      <c r="O6" s="14"/>
    </row>
    <row r="7" spans="1:15" s="33" customFormat="1" x14ac:dyDescent="0.25">
      <c r="A7" s="22"/>
      <c r="B7" s="28" t="s">
        <v>750</v>
      </c>
      <c r="C7" s="28" t="s">
        <v>864</v>
      </c>
      <c r="D7" s="28"/>
      <c r="E7" s="28" t="s">
        <v>943</v>
      </c>
      <c r="F7" s="28" t="s">
        <v>944</v>
      </c>
      <c r="G7" s="28" t="s">
        <v>945</v>
      </c>
      <c r="H7" s="14"/>
      <c r="I7" s="14"/>
      <c r="J7" s="14"/>
      <c r="K7" s="14"/>
      <c r="L7" s="14"/>
      <c r="M7" s="14"/>
      <c r="N7" s="14"/>
      <c r="O7" s="14"/>
    </row>
    <row r="8" spans="1:15" s="93" customFormat="1" ht="14.4" x14ac:dyDescent="0.3">
      <c r="A8" s="72" t="s">
        <v>939</v>
      </c>
      <c r="B8" s="92">
        <v>1</v>
      </c>
      <c r="C8" s="92">
        <f>B8+1</f>
        <v>2</v>
      </c>
      <c r="E8" s="92" t="s">
        <v>1029</v>
      </c>
      <c r="F8" s="92" t="s">
        <v>1030</v>
      </c>
      <c r="G8" s="92" t="s">
        <v>1031</v>
      </c>
      <c r="H8" s="14"/>
      <c r="I8" s="14"/>
      <c r="J8" s="14"/>
      <c r="K8" s="14"/>
      <c r="L8" s="14"/>
      <c r="M8" s="14"/>
      <c r="N8" s="14"/>
      <c r="O8" s="14"/>
    </row>
    <row r="9" spans="1:15" x14ac:dyDescent="0.25">
      <c r="A9" s="22"/>
      <c r="B9" s="14"/>
      <c r="D9" s="14"/>
      <c r="G9" s="14"/>
    </row>
    <row r="10" spans="1:15" x14ac:dyDescent="0.25">
      <c r="A10" s="22">
        <v>1</v>
      </c>
      <c r="B10" s="14" t="str">
        <f>'Summary of Returns'!B10</f>
        <v>Residential &amp; Small Power (1)</v>
      </c>
      <c r="C10" s="22" t="str">
        <f>'Summary of Returns'!C10</f>
        <v>RSP</v>
      </c>
      <c r="E10" s="84">
        <f>'Alloc &amp; Returns'!F$658</f>
        <v>22.306543146208472</v>
      </c>
      <c r="F10" s="85">
        <f>'Alloc &amp; Returns'!F659</f>
        <v>9.4160076526017628E-2</v>
      </c>
      <c r="G10" s="84">
        <f>'Alloc &amp; Returns'!F660</f>
        <v>0</v>
      </c>
    </row>
    <row r="11" spans="1:15" hidden="1" x14ac:dyDescent="0.25">
      <c r="A11" s="22">
        <v>2</v>
      </c>
      <c r="B11" s="14" t="str">
        <f>'Summary of Returns'!B11</f>
        <v>Residential &amp; Small Power ETS (11)</v>
      </c>
      <c r="C11" s="22" t="str">
        <f>'Summary of Returns'!C11</f>
        <v>RSP-ETS</v>
      </c>
      <c r="D11" s="13"/>
      <c r="E11" s="84">
        <f>'Alloc &amp; Returns'!G$658</f>
        <v>22.403579285217866</v>
      </c>
      <c r="F11" s="85">
        <f>'Alloc &amp; Returns'!G659</f>
        <v>9.247224296753169E-2</v>
      </c>
      <c r="G11" s="84">
        <f>'Alloc &amp; Returns'!G660</f>
        <v>0</v>
      </c>
      <c r="H11" s="83"/>
      <c r="N11" s="83"/>
    </row>
    <row r="12" spans="1:15" hidden="1" x14ac:dyDescent="0.25">
      <c r="A12" s="22">
        <v>3</v>
      </c>
      <c r="B12" s="14" t="str">
        <f>'Summary of Returns'!B12</f>
        <v>Prepay (80)</v>
      </c>
      <c r="C12" s="22" t="str">
        <f>'Summary of Returns'!C12</f>
        <v>RSP-PPM</v>
      </c>
      <c r="E12" s="84">
        <f>'Alloc &amp; Returns'!H$658</f>
        <v>22.673330621872914</v>
      </c>
      <c r="F12" s="85">
        <f>'Alloc &amp; Returns'!H659</f>
        <v>0.11777310770982236</v>
      </c>
      <c r="G12" s="84">
        <f>'Alloc &amp; Returns'!H660</f>
        <v>0</v>
      </c>
      <c r="H12" s="83"/>
      <c r="N12" s="83"/>
    </row>
    <row r="13" spans="1:15" hidden="1" x14ac:dyDescent="0.25">
      <c r="A13" s="22">
        <v>4</v>
      </c>
      <c r="B13" s="14" t="str">
        <f>'Summary of Returns'!B13</f>
        <v>Net Metering (100)</v>
      </c>
      <c r="C13" s="22" t="str">
        <f>'Summary of Returns'!C13</f>
        <v>NM</v>
      </c>
      <c r="D13" s="13"/>
      <c r="E13" s="49">
        <f>'Alloc &amp; Returns'!I$658</f>
        <v>35.930318170558238</v>
      </c>
      <c r="F13" s="85">
        <f>'Alloc &amp; Returns'!I659</f>
        <v>1.238892633527825</v>
      </c>
      <c r="G13" s="84">
        <f>'Alloc &amp; Returns'!I660</f>
        <v>0</v>
      </c>
      <c r="H13" s="83"/>
      <c r="N13" s="83"/>
    </row>
    <row r="14" spans="1:15" x14ac:dyDescent="0.25">
      <c r="A14" s="22">
        <v>5</v>
      </c>
      <c r="B14" s="14" t="str">
        <f>'Summary of Returns'!B14</f>
        <v>Time of Day (110)</v>
      </c>
      <c r="C14" s="22" t="str">
        <f>'Summary of Returns'!C14</f>
        <v>RSP-TOD</v>
      </c>
      <c r="E14" s="49">
        <f>'Alloc &amp; Returns'!J$658</f>
        <v>28.41096028287107</v>
      </c>
      <c r="F14" s="85">
        <f>'Alloc &amp; Returns'!J$659</f>
        <v>0.53081622623613556</v>
      </c>
      <c r="G14" s="84">
        <f>'Alloc &amp; Returns'!J$660</f>
        <v>0</v>
      </c>
      <c r="H14" s="83"/>
      <c r="I14" s="49"/>
      <c r="N14" s="83"/>
    </row>
    <row r="15" spans="1:15" x14ac:dyDescent="0.25">
      <c r="A15" s="22">
        <v>6</v>
      </c>
      <c r="B15" s="14" t="str">
        <f>'Summary of Returns'!B15</f>
        <v>Inclining Block Rate (8)</v>
      </c>
      <c r="C15" s="22" t="str">
        <f>'Summary of Returns'!C15</f>
        <v>RSP-IB</v>
      </c>
      <c r="E15" s="49">
        <f>'Alloc &amp; Returns'!K$658</f>
        <v>22.080805281249734</v>
      </c>
      <c r="F15" s="85">
        <f>'Alloc &amp; Returns'!K$659</f>
        <v>7.9980130593565776E-2</v>
      </c>
      <c r="G15" s="84">
        <f>'Alloc &amp; Returns'!K$660</f>
        <v>0</v>
      </c>
      <c r="H15" s="83"/>
      <c r="N15" s="83"/>
    </row>
    <row r="16" spans="1:15" x14ac:dyDescent="0.25">
      <c r="A16" s="22">
        <v>7</v>
      </c>
      <c r="B16" s="14" t="str">
        <f>'Summary of Returns'!B16</f>
        <v>Small General Service (2)</v>
      </c>
      <c r="C16" s="22" t="str">
        <f>'Summary of Returns'!C16</f>
        <v>SGS</v>
      </c>
      <c r="E16" s="49">
        <f>'Alloc &amp; Returns'!L$658</f>
        <v>32.717844070500689</v>
      </c>
      <c r="F16" s="85">
        <f>'Alloc &amp; Returns'!L$659</f>
        <v>6.3384154245802363E-2</v>
      </c>
      <c r="G16" s="84">
        <f>'Alloc &amp; Returns'!L$660</f>
        <v>4.9582224090483855</v>
      </c>
      <c r="H16" s="83"/>
      <c r="N16" s="83"/>
    </row>
    <row r="17" spans="1:10" ht="15" customHeight="1" x14ac:dyDescent="0.25">
      <c r="A17" s="22">
        <v>8</v>
      </c>
      <c r="B17" s="14" t="str">
        <f>'Summary of Returns'!B17</f>
        <v>Large General Service (3)</v>
      </c>
      <c r="C17" s="22" t="str">
        <f>'Summary of Returns'!C17</f>
        <v>LGS</v>
      </c>
      <c r="E17" s="49">
        <f>'Alloc &amp; Returns'!M$658</f>
        <v>38.07563935140135</v>
      </c>
      <c r="F17" s="85">
        <f>'Alloc &amp; Returns'!M$659</f>
        <v>6.2178918700372919E-2</v>
      </c>
      <c r="G17" s="84">
        <f>'Alloc &amp; Returns'!M$660</f>
        <v>4.3294561896322001</v>
      </c>
      <c r="H17" s="36"/>
    </row>
    <row r="18" spans="1:10" ht="15" customHeight="1" x14ac:dyDescent="0.25">
      <c r="A18" s="22">
        <v>9</v>
      </c>
      <c r="B18" s="14" t="str">
        <f>'Summary of Returns'!B18</f>
        <v>All Electric School (4)</v>
      </c>
      <c r="C18" s="22" t="str">
        <f>'Summary of Returns'!C18</f>
        <v>AES</v>
      </c>
      <c r="E18" s="49">
        <f>'Alloc &amp; Returns'!N$658</f>
        <v>35.36929694018751</v>
      </c>
      <c r="F18" s="85">
        <f>'Alloc &amp; Returns'!N$659</f>
        <v>8.1350308932498366E-2</v>
      </c>
      <c r="G18" s="84">
        <f>'Alloc &amp; Returns'!N$660</f>
        <v>0</v>
      </c>
      <c r="H18" s="36"/>
    </row>
    <row r="19" spans="1:10" ht="15" hidden="1" customHeight="1" x14ac:dyDescent="0.25">
      <c r="A19" s="22">
        <v>10</v>
      </c>
      <c r="B19" s="14" t="str">
        <f>'Summary of Returns'!B19</f>
        <v>reserved</v>
      </c>
      <c r="C19" s="22" t="str">
        <f>'Summary of Returns'!C19</f>
        <v>---</v>
      </c>
      <c r="E19" s="49" t="e">
        <f>'Alloc &amp; Returns'!O$658</f>
        <v>#DIV/0!</v>
      </c>
      <c r="F19" s="85" t="e">
        <f>'Alloc &amp; Returns'!O$659</f>
        <v>#DIV/0!</v>
      </c>
      <c r="G19" s="84" t="e">
        <f>'Alloc &amp; Returns'!O$660</f>
        <v>#DIV/0!</v>
      </c>
      <c r="H19" s="36"/>
      <c r="I19" s="33"/>
      <c r="J19" s="33"/>
    </row>
    <row r="20" spans="1:10" ht="15" customHeight="1" x14ac:dyDescent="0.25">
      <c r="A20" s="22"/>
      <c r="B20" s="14"/>
      <c r="E20" s="49"/>
      <c r="F20" s="85"/>
      <c r="G20" s="84"/>
      <c r="H20" s="36"/>
      <c r="I20" s="33"/>
      <c r="J20" s="33"/>
    </row>
    <row r="21" spans="1:10" ht="15" customHeight="1" x14ac:dyDescent="0.25">
      <c r="A21" s="22"/>
      <c r="B21" s="14"/>
      <c r="D21" s="13"/>
      <c r="E21" s="49"/>
      <c r="F21" s="85"/>
      <c r="G21" s="84"/>
      <c r="H21" s="36"/>
      <c r="I21" s="33"/>
      <c r="J21" s="33"/>
    </row>
    <row r="22" spans="1:10" ht="15" customHeight="1" x14ac:dyDescent="0.25">
      <c r="A22" s="22"/>
      <c r="B22" s="14"/>
      <c r="E22" s="49"/>
      <c r="F22" s="85"/>
      <c r="G22" s="84"/>
      <c r="H22" s="36"/>
      <c r="I22" s="33"/>
      <c r="J22" s="33"/>
    </row>
    <row r="23" spans="1:10" x14ac:dyDescent="0.25">
      <c r="A23" s="22"/>
      <c r="B23" s="14"/>
      <c r="D23" s="13"/>
      <c r="E23" s="49"/>
      <c r="F23" s="85"/>
      <c r="G23" s="84"/>
      <c r="H23" s="36"/>
      <c r="I23" s="33"/>
      <c r="J23" s="33"/>
    </row>
    <row r="24" spans="1:10" s="48" customFormat="1" x14ac:dyDescent="0.25">
      <c r="A24" s="22"/>
      <c r="B24" s="14"/>
      <c r="C24" s="22"/>
      <c r="D24" s="25"/>
      <c r="E24" s="49"/>
      <c r="F24" s="85"/>
      <c r="G24" s="84"/>
      <c r="H24" s="36"/>
      <c r="I24" s="33"/>
      <c r="J24" s="33"/>
    </row>
    <row r="25" spans="1:10" x14ac:dyDescent="0.25">
      <c r="A25" s="22"/>
      <c r="B25" s="14"/>
      <c r="E25" s="49"/>
      <c r="F25" s="85"/>
      <c r="G25" s="84"/>
      <c r="H25" s="36"/>
      <c r="I25" s="33"/>
      <c r="J25" s="33"/>
    </row>
    <row r="26" spans="1:10" x14ac:dyDescent="0.25">
      <c r="A26" s="22"/>
      <c r="B26" s="14"/>
      <c r="E26" s="49"/>
      <c r="F26" s="85"/>
      <c r="G26" s="84"/>
      <c r="H26" s="36"/>
      <c r="I26" s="33"/>
      <c r="J26" s="33"/>
    </row>
    <row r="27" spans="1:10" x14ac:dyDescent="0.25">
      <c r="A27" s="43"/>
      <c r="B27" s="14"/>
      <c r="E27" s="48"/>
      <c r="G27" s="48"/>
      <c r="H27" s="27"/>
    </row>
    <row r="28" spans="1:10" x14ac:dyDescent="0.25">
      <c r="A28" s="43"/>
      <c r="B28" s="14"/>
      <c r="E28" s="48"/>
      <c r="G28" s="48"/>
      <c r="H28" s="27"/>
    </row>
    <row r="29" spans="1:10" x14ac:dyDescent="0.25">
      <c r="A29" s="43"/>
      <c r="B29" s="14"/>
      <c r="E29" s="48"/>
      <c r="G29" s="48"/>
      <c r="H29" s="27"/>
    </row>
    <row r="30" spans="1:10" x14ac:dyDescent="0.25">
      <c r="A30" s="43"/>
      <c r="B30" s="14"/>
      <c r="E30" s="48"/>
      <c r="G30" s="48"/>
    </row>
    <row r="31" spans="1:10" x14ac:dyDescent="0.25">
      <c r="A31" s="43"/>
      <c r="B31" s="48"/>
      <c r="C31" s="14"/>
      <c r="E31" s="48"/>
      <c r="G31" s="48"/>
    </row>
    <row r="32" spans="1:10" x14ac:dyDescent="0.25">
      <c r="A32" s="43"/>
      <c r="B32" s="48"/>
      <c r="C32" s="14"/>
      <c r="E32" s="48"/>
      <c r="G32" s="48"/>
    </row>
    <row r="33" spans="1:7" x14ac:dyDescent="0.25">
      <c r="A33" s="43"/>
      <c r="B33" s="48"/>
      <c r="C33" s="14"/>
      <c r="E33" s="48"/>
      <c r="G33" s="48"/>
    </row>
    <row r="34" spans="1:7" x14ac:dyDescent="0.25">
      <c r="A34" s="43"/>
      <c r="B34" s="48"/>
      <c r="C34" s="14"/>
      <c r="E34" s="48"/>
      <c r="G34" s="48"/>
    </row>
    <row r="35" spans="1:7" x14ac:dyDescent="0.25">
      <c r="A35" s="43"/>
      <c r="B35" s="48"/>
      <c r="C35" s="14"/>
      <c r="E35" s="48"/>
      <c r="G35" s="48"/>
    </row>
    <row r="36" spans="1:7" x14ac:dyDescent="0.25">
      <c r="A36" s="43"/>
      <c r="B36" s="48"/>
      <c r="C36" s="14"/>
      <c r="E36" s="48"/>
      <c r="G36" s="48"/>
    </row>
    <row r="37" spans="1:7" x14ac:dyDescent="0.25">
      <c r="A37" s="43"/>
      <c r="B37" s="48"/>
      <c r="C37" s="48"/>
      <c r="E37" s="48"/>
      <c r="G37" s="48"/>
    </row>
    <row r="345" spans="36:36" x14ac:dyDescent="0.25">
      <c r="AJ345" s="101" t="e">
        <f>#REF!</f>
        <v>#REF!</v>
      </c>
    </row>
    <row r="346" spans="36:36" x14ac:dyDescent="0.25">
      <c r="AJ346" s="101" t="e">
        <f>AJ345</f>
        <v>#REF!</v>
      </c>
    </row>
    <row r="347" spans="36:36" x14ac:dyDescent="0.25">
      <c r="AJ347" s="101" t="e">
        <f t="shared" ref="AJ347:AJ359" si="0">AJ346</f>
        <v>#REF!</v>
      </c>
    </row>
    <row r="348" spans="36:36" x14ac:dyDescent="0.25">
      <c r="AJ348" s="101" t="e">
        <f t="shared" si="0"/>
        <v>#REF!</v>
      </c>
    </row>
    <row r="349" spans="36:36" x14ac:dyDescent="0.25">
      <c r="AJ349" s="101" t="e">
        <f t="shared" si="0"/>
        <v>#REF!</v>
      </c>
    </row>
    <row r="350" spans="36:36" x14ac:dyDescent="0.25">
      <c r="AJ350" s="101" t="e">
        <f t="shared" si="0"/>
        <v>#REF!</v>
      </c>
    </row>
    <row r="351" spans="36:36" x14ac:dyDescent="0.25">
      <c r="AJ351" s="101" t="e">
        <f t="shared" si="0"/>
        <v>#REF!</v>
      </c>
    </row>
    <row r="352" spans="36:36" x14ac:dyDescent="0.25">
      <c r="AJ352" s="101" t="e">
        <f t="shared" si="0"/>
        <v>#REF!</v>
      </c>
    </row>
    <row r="353" spans="36:36" x14ac:dyDescent="0.25">
      <c r="AJ353" s="101" t="e">
        <f t="shared" si="0"/>
        <v>#REF!</v>
      </c>
    </row>
    <row r="354" spans="36:36" x14ac:dyDescent="0.25">
      <c r="AJ354" s="101" t="e">
        <f t="shared" si="0"/>
        <v>#REF!</v>
      </c>
    </row>
    <row r="355" spans="36:36" x14ac:dyDescent="0.25">
      <c r="AJ355" s="101" t="e">
        <f t="shared" si="0"/>
        <v>#REF!</v>
      </c>
    </row>
    <row r="356" spans="36:36" x14ac:dyDescent="0.25">
      <c r="AJ356" s="101" t="e">
        <f t="shared" si="0"/>
        <v>#REF!</v>
      </c>
    </row>
    <row r="357" spans="36:36" x14ac:dyDescent="0.25">
      <c r="AJ357" s="101" t="e">
        <f t="shared" si="0"/>
        <v>#REF!</v>
      </c>
    </row>
    <row r="358" spans="36:36" x14ac:dyDescent="0.25">
      <c r="AJ358" s="101" t="e">
        <f t="shared" si="0"/>
        <v>#REF!</v>
      </c>
    </row>
    <row r="359" spans="36:36" x14ac:dyDescent="0.25">
      <c r="AJ359" s="101" t="e">
        <f t="shared" si="0"/>
        <v>#REF!</v>
      </c>
    </row>
  </sheetData>
  <mergeCells count="1"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  <ignoredErrors>
    <ignoredError sqref="E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508"/>
  <sheetViews>
    <sheetView view="pageBreakPreview" zoomScale="70" zoomScaleNormal="75" zoomScaleSheetLayoutView="70" workbookViewId="0">
      <pane xSplit="6" ySplit="3" topLeftCell="G4" activePane="bottomRight" state="frozen"/>
      <selection activeCell="E545" sqref="E545"/>
      <selection pane="topRight" activeCell="E545" sqref="E545"/>
      <selection pane="bottomLeft" activeCell="E545" sqref="E545"/>
      <selection pane="bottomRight" activeCell="M468" sqref="M468"/>
    </sheetView>
  </sheetViews>
  <sheetFormatPr defaultColWidth="9.109375" defaultRowHeight="13.2" x14ac:dyDescent="0.25"/>
  <cols>
    <col min="1" max="1" width="7.6640625" style="14" customWidth="1"/>
    <col min="2" max="2" width="47.5546875" style="14" customWidth="1"/>
    <col min="3" max="3" width="12.88671875" style="14" customWidth="1"/>
    <col min="4" max="4" width="12.44140625" style="14" customWidth="1"/>
    <col min="5" max="5" width="6.109375" style="14" customWidth="1"/>
    <col min="6" max="6" width="18.88671875" style="102" customWidth="1"/>
    <col min="7" max="7" width="2.33203125" style="14" customWidth="1"/>
    <col min="8" max="8" width="17.109375" style="14" customWidth="1"/>
    <col min="9" max="9" width="14.88671875" style="14" customWidth="1"/>
    <col min="10" max="10" width="2.6640625" style="14" customWidth="1"/>
    <col min="11" max="11" width="16.33203125" style="14" customWidth="1"/>
    <col min="12" max="12" width="3.88671875" style="14" customWidth="1"/>
    <col min="13" max="13" width="17.77734375" style="14" bestFit="1" customWidth="1"/>
    <col min="14" max="14" width="5.109375" style="14" customWidth="1"/>
    <col min="15" max="15" width="13.44140625" style="14" bestFit="1" customWidth="1"/>
    <col min="16" max="16" width="15.5546875" style="14" customWidth="1"/>
    <col min="17" max="17" width="1.88671875" style="50" customWidth="1"/>
    <col min="18" max="18" width="13.6640625" style="14" customWidth="1"/>
    <col min="19" max="19" width="15.109375" style="14" customWidth="1"/>
    <col min="20" max="20" width="1.88671875" style="14" customWidth="1"/>
    <col min="21" max="21" width="14.33203125" style="14" bestFit="1" customWidth="1"/>
    <col min="22" max="22" width="1.88671875" style="14" customWidth="1"/>
    <col min="23" max="23" width="13.88671875" style="14" customWidth="1"/>
    <col min="24" max="24" width="1.88671875" style="14" customWidth="1"/>
    <col min="25" max="25" width="15" style="14" customWidth="1"/>
    <col min="26" max="26" width="1.88671875" style="14" customWidth="1"/>
    <col min="27" max="27" width="14.6640625" style="14" customWidth="1"/>
    <col min="28" max="28" width="16.109375" style="14" customWidth="1"/>
    <col min="29" max="29" width="14.6640625" style="14" customWidth="1"/>
    <col min="30" max="30" width="12.88671875" style="14" customWidth="1"/>
    <col min="31" max="31" width="9.109375" style="14"/>
    <col min="32" max="32" width="18.109375" style="14" customWidth="1"/>
    <col min="33" max="16384" width="9.109375" style="14"/>
  </cols>
  <sheetData>
    <row r="1" spans="1:30" x14ac:dyDescent="0.25">
      <c r="A1" s="50"/>
      <c r="B1" s="50"/>
      <c r="C1" s="50"/>
      <c r="D1" s="50"/>
      <c r="E1" s="50"/>
      <c r="F1" s="114"/>
      <c r="G1" s="50"/>
      <c r="H1" s="50"/>
      <c r="I1" s="50"/>
      <c r="J1" s="50"/>
      <c r="K1" s="50"/>
      <c r="L1" s="50"/>
      <c r="M1" s="50"/>
      <c r="N1" s="50"/>
      <c r="O1" s="50"/>
      <c r="P1" s="50"/>
      <c r="AC1" s="22" t="str">
        <f>IF(COUNTIF(AC4:AC490,"err"),"err","ok")</f>
        <v>ok</v>
      </c>
    </row>
    <row r="2" spans="1:30" ht="48" customHeight="1" thickBot="1" x14ac:dyDescent="0.3">
      <c r="A2" s="13"/>
      <c r="B2" s="13"/>
      <c r="C2" s="17"/>
      <c r="D2" s="15" t="s">
        <v>208</v>
      </c>
      <c r="E2" s="17"/>
      <c r="F2" s="115" t="s">
        <v>0</v>
      </c>
      <c r="G2" s="17"/>
      <c r="H2" s="51" t="s">
        <v>899</v>
      </c>
      <c r="I2" s="51"/>
      <c r="K2" s="52" t="s">
        <v>350</v>
      </c>
      <c r="L2" s="13"/>
      <c r="M2" s="52" t="s">
        <v>1</v>
      </c>
      <c r="N2" s="53"/>
      <c r="O2" s="51" t="s">
        <v>356</v>
      </c>
      <c r="P2" s="51"/>
      <c r="Q2" s="13"/>
      <c r="R2" s="51" t="s">
        <v>3</v>
      </c>
      <c r="S2" s="51"/>
      <c r="T2" s="13"/>
      <c r="U2" s="54" t="s">
        <v>4</v>
      </c>
      <c r="V2" s="17"/>
      <c r="W2" s="52" t="s">
        <v>751</v>
      </c>
      <c r="X2" s="53"/>
      <c r="Y2" s="52" t="s">
        <v>983</v>
      </c>
      <c r="Z2" s="53"/>
      <c r="AA2" s="52" t="s">
        <v>470</v>
      </c>
      <c r="AB2" s="13"/>
      <c r="AC2" s="13"/>
    </row>
    <row r="3" spans="1:30" ht="13.8" thickBot="1" x14ac:dyDescent="0.3">
      <c r="A3" s="55" t="s">
        <v>6</v>
      </c>
      <c r="B3" s="55"/>
      <c r="C3" s="56" t="s">
        <v>7</v>
      </c>
      <c r="D3" s="56" t="s">
        <v>8</v>
      </c>
      <c r="E3" s="54"/>
      <c r="F3" s="116" t="s">
        <v>9</v>
      </c>
      <c r="G3" s="54"/>
      <c r="H3" s="54" t="s">
        <v>10</v>
      </c>
      <c r="I3" s="54" t="s">
        <v>11</v>
      </c>
      <c r="J3" s="54"/>
      <c r="K3" s="54" t="s">
        <v>10</v>
      </c>
      <c r="L3" s="54"/>
      <c r="M3" s="54" t="s">
        <v>10</v>
      </c>
      <c r="N3" s="54"/>
      <c r="O3" s="54" t="s">
        <v>10</v>
      </c>
      <c r="P3" s="54" t="s">
        <v>12</v>
      </c>
      <c r="Q3" s="51"/>
      <c r="R3" s="54" t="s">
        <v>10</v>
      </c>
      <c r="S3" s="54" t="s">
        <v>12</v>
      </c>
      <c r="T3" s="54"/>
      <c r="U3" s="54" t="s">
        <v>12</v>
      </c>
      <c r="V3" s="54"/>
      <c r="W3" s="54" t="s">
        <v>12</v>
      </c>
      <c r="X3" s="54"/>
      <c r="Y3" s="54" t="s">
        <v>12</v>
      </c>
      <c r="Z3" s="54"/>
      <c r="AA3" s="54" t="s">
        <v>12</v>
      </c>
      <c r="AB3" s="54" t="s">
        <v>13</v>
      </c>
      <c r="AC3" s="57" t="s">
        <v>14</v>
      </c>
    </row>
    <row r="4" spans="1:30" x14ac:dyDescent="0.25">
      <c r="F4" s="117"/>
      <c r="G4" s="21"/>
      <c r="H4" s="58"/>
      <c r="I4" s="58"/>
      <c r="J4" s="58"/>
      <c r="K4" s="58"/>
      <c r="L4" s="58"/>
      <c r="M4" s="58"/>
      <c r="N4" s="58"/>
      <c r="O4" s="58"/>
      <c r="P4" s="58"/>
      <c r="Q4" s="59"/>
      <c r="R4" s="58"/>
      <c r="S4" s="58"/>
      <c r="T4" s="58"/>
      <c r="U4" s="58"/>
      <c r="V4" s="58"/>
      <c r="W4" s="58"/>
      <c r="X4" s="58"/>
      <c r="Y4" s="58"/>
      <c r="Z4" s="58"/>
      <c r="AA4" s="58"/>
      <c r="AC4" s="22"/>
    </row>
    <row r="5" spans="1:30" x14ac:dyDescent="0.25">
      <c r="A5" s="20" t="s">
        <v>15</v>
      </c>
      <c r="F5" s="118"/>
      <c r="G5" s="42"/>
      <c r="H5" s="58"/>
      <c r="I5" s="58"/>
      <c r="J5" s="58"/>
      <c r="K5" s="58"/>
      <c r="L5" s="58"/>
      <c r="M5" s="58"/>
      <c r="N5" s="58"/>
      <c r="O5" s="58"/>
      <c r="P5" s="58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C5" s="22"/>
    </row>
    <row r="6" spans="1:30" x14ac:dyDescent="0.25">
      <c r="AC6" s="22"/>
    </row>
    <row r="7" spans="1:30" x14ac:dyDescent="0.25">
      <c r="A7" s="20" t="s">
        <v>358</v>
      </c>
      <c r="AC7" s="22"/>
    </row>
    <row r="8" spans="1:30" x14ac:dyDescent="0.25">
      <c r="A8" s="60">
        <v>301</v>
      </c>
      <c r="B8" s="14" t="s">
        <v>360</v>
      </c>
      <c r="C8" s="14" t="s">
        <v>361</v>
      </c>
      <c r="D8" s="14" t="s">
        <v>392</v>
      </c>
      <c r="F8" s="119">
        <v>0</v>
      </c>
      <c r="G8" s="40"/>
      <c r="H8" s="27">
        <f>IF(VLOOKUP($D8,$C$5:$AA$496,6,)=0,0,((VLOOKUP($D8,$C$5:$AA$496,6,)/VLOOKUP($D8,$C$5:$AA$496,4,))*$F8))</f>
        <v>0</v>
      </c>
      <c r="I8" s="27">
        <f>IF(VLOOKUP($D8,$C$5:$AA$496,7,)=0,0,((VLOOKUP($D8,$C$5:$AA$496,7,)/VLOOKUP($D8,$C$5:$AA$496,4,))*$F8))</f>
        <v>0</v>
      </c>
      <c r="J8" s="27"/>
      <c r="K8" s="27">
        <f>IF(VLOOKUP($D8,$C$5:$AA$496,9,)=0,0,((VLOOKUP($D8,$C$5:$AA$496,9,)/VLOOKUP($D8,$C$5:$AA$496,4,))*$F8))</f>
        <v>0</v>
      </c>
      <c r="L8" s="27"/>
      <c r="M8" s="27">
        <f>IF(VLOOKUP($D8,$C$5:$AA$496,11,)=0,0,((VLOOKUP($D8,$C$5:$AA$496,11,)/VLOOKUP($D8,$C$5:$AA$496,4,))*$F8))</f>
        <v>0</v>
      </c>
      <c r="N8" s="27"/>
      <c r="O8" s="27">
        <f>IF(VLOOKUP($D8,$C$5:$AA$496,13,)=0,0,((VLOOKUP($D8,$C$5:$AA$496,13,)/VLOOKUP($D8,$C$5:$AA$496,4,))*$F8))</f>
        <v>0</v>
      </c>
      <c r="P8" s="27">
        <f>IF(VLOOKUP($D8,$C$5:$AA$496,14,)=0,0,((VLOOKUP($D8,$C$5:$AA$496,14,)/VLOOKUP($D8,$C$5:$AA$496,4,))*$F8))</f>
        <v>0</v>
      </c>
      <c r="Q8" s="27"/>
      <c r="R8" s="27">
        <f>IF(VLOOKUP($D8,$C$5:$AA$496,16,)=0,0,((VLOOKUP($D8,$C$5:$AA$496,16,)/VLOOKUP($D8,$C$5:$AA$496,4,))*$F8))</f>
        <v>0</v>
      </c>
      <c r="S8" s="27">
        <f>IF(VLOOKUP($D8,$C$5:$AA$496,17,)=0,0,((VLOOKUP($D8,$C$5:$AA$496,17,)/VLOOKUP($D8,$C$5:$AA$496,4,))*$F8))</f>
        <v>0</v>
      </c>
      <c r="T8" s="27"/>
      <c r="U8" s="27">
        <f>IF(VLOOKUP($D8,$C$5:$AA$496,19,)=0,0,((VLOOKUP($D8,$C$5:$AA$496,19,)/VLOOKUP($D8,$C$5:$AA$496,4,))*$F8))</f>
        <v>0</v>
      </c>
      <c r="V8" s="27"/>
      <c r="W8" s="27">
        <f>IF(VLOOKUP($D8,$C$5:$AA$496,21,)=0,0,((VLOOKUP($D8,$C$5:$AA$496,21,)/VLOOKUP($D8,$C$5:$AA$496,4,))*$F8))</f>
        <v>0</v>
      </c>
      <c r="X8" s="27"/>
      <c r="Y8" s="27">
        <f>IF(VLOOKUP($D8,$C$5:$AA$496,23,)=0,0,((VLOOKUP($D8,$C$5:$AA$496,23,)/VLOOKUP($D8,$C$5:$AA$496,4,))*$F8))</f>
        <v>0</v>
      </c>
      <c r="Z8" s="27"/>
      <c r="AA8" s="27">
        <f>IF(VLOOKUP($D8,$C$5:$AA$496,25,)=0,0,((VLOOKUP($D8,$C$5:$AA$496,25,)/VLOOKUP($D8,$C$5:$AA$496,4,))*$F8))</f>
        <v>0</v>
      </c>
      <c r="AB8" s="27">
        <f>SUM(H8:AA8)</f>
        <v>0</v>
      </c>
      <c r="AC8" s="22" t="str">
        <f>IF(ABS(AB8-F8)&lt;1,"ok","err")</f>
        <v>ok</v>
      </c>
      <c r="AD8" s="24"/>
    </row>
    <row r="9" spans="1:30" x14ac:dyDescent="0.25">
      <c r="A9" s="60">
        <v>302</v>
      </c>
      <c r="B9" s="14" t="s">
        <v>825</v>
      </c>
      <c r="C9" s="14" t="s">
        <v>826</v>
      </c>
      <c r="D9" s="14" t="s">
        <v>392</v>
      </c>
      <c r="F9" s="110">
        <v>0</v>
      </c>
      <c r="G9" s="27"/>
      <c r="H9" s="27">
        <f>IF(VLOOKUP($D9,$C$5:$AA$496,6,)=0,0,((VLOOKUP($D9,$C$5:$AA$496,6,)/VLOOKUP($D9,$C$5:$AA$496,4,))*$F9))</f>
        <v>0</v>
      </c>
      <c r="I9" s="27">
        <f>IF(VLOOKUP($D9,$C$5:$AA$496,7,)=0,0,((VLOOKUP($D9,$C$5:$AA$496,7,)/VLOOKUP($D9,$C$5:$AA$496,4,))*$F9))</f>
        <v>0</v>
      </c>
      <c r="J9" s="27"/>
      <c r="K9" s="27">
        <f>IF(VLOOKUP($D9,$C$5:$AA$496,9,)=0,0,((VLOOKUP($D9,$C$5:$AA$496,9,)/VLOOKUP($D9,$C$5:$AA$496,4,))*$F9))</f>
        <v>0</v>
      </c>
      <c r="L9" s="27"/>
      <c r="M9" s="27">
        <f>IF(VLOOKUP($D9,$C$5:$AA$496,11,)=0,0,((VLOOKUP($D9,$C$5:$AA$496,11,)/VLOOKUP($D9,$C$5:$AA$496,4,))*$F9))</f>
        <v>0</v>
      </c>
      <c r="N9" s="27"/>
      <c r="O9" s="27">
        <f>IF(VLOOKUP($D9,$C$5:$AA$496,13,)=0,0,((VLOOKUP($D9,$C$5:$AA$496,13,)/VLOOKUP($D9,$C$5:$AA$496,4,))*$F9))</f>
        <v>0</v>
      </c>
      <c r="P9" s="27">
        <f>IF(VLOOKUP($D9,$C$5:$AA$496,14,)=0,0,((VLOOKUP($D9,$C$5:$AA$496,14,)/VLOOKUP($D9,$C$5:$AA$496,4,))*$F9))</f>
        <v>0</v>
      </c>
      <c r="Q9" s="27"/>
      <c r="R9" s="27">
        <f>IF(VLOOKUP($D9,$C$5:$AA$496,16,)=0,0,((VLOOKUP($D9,$C$5:$AA$496,16,)/VLOOKUP($D9,$C$5:$AA$496,4,))*$F9))</f>
        <v>0</v>
      </c>
      <c r="S9" s="27">
        <f>IF(VLOOKUP($D9,$C$5:$AA$496,17,)=0,0,((VLOOKUP($D9,$C$5:$AA$496,17,)/VLOOKUP($D9,$C$5:$AA$496,4,))*$F9))</f>
        <v>0</v>
      </c>
      <c r="T9" s="27"/>
      <c r="U9" s="27">
        <f>IF(VLOOKUP($D9,$C$5:$AA$496,19,)=0,0,((VLOOKUP($D9,$C$5:$AA$496,19,)/VLOOKUP($D9,$C$5:$AA$496,4,))*$F9))</f>
        <v>0</v>
      </c>
      <c r="V9" s="27"/>
      <c r="W9" s="27">
        <f>IF(VLOOKUP($D9,$C$5:$AA$496,21,)=0,0,((VLOOKUP($D9,$C$5:$AA$496,21,)/VLOOKUP($D9,$C$5:$AA$496,4,))*$F9))</f>
        <v>0</v>
      </c>
      <c r="X9" s="27"/>
      <c r="Y9" s="27">
        <f>IF(VLOOKUP($D9,$C$5:$AA$496,23,)=0,0,((VLOOKUP($D9,$C$5:$AA$496,23,)/VLOOKUP($D9,$C$5:$AA$496,4,))*$F9))</f>
        <v>0</v>
      </c>
      <c r="Z9" s="27"/>
      <c r="AA9" s="27">
        <f>IF(VLOOKUP($D9,$C$5:$AA$496,25,)=0,0,((VLOOKUP($D9,$C$5:$AA$496,25,)/VLOOKUP($D9,$C$5:$AA$496,4,))*$F9))</f>
        <v>0</v>
      </c>
      <c r="AB9" s="27">
        <f>SUM(H9:AA9)</f>
        <v>0</v>
      </c>
      <c r="AC9" s="22" t="str">
        <f>IF(ABS(AB9-F9)&lt;1,"ok","err")</f>
        <v>ok</v>
      </c>
    </row>
    <row r="10" spans="1:30" x14ac:dyDescent="0.25">
      <c r="A10" s="60">
        <v>303</v>
      </c>
      <c r="B10" s="14" t="s">
        <v>701</v>
      </c>
      <c r="C10" s="14" t="s">
        <v>702</v>
      </c>
      <c r="D10" s="14" t="s">
        <v>392</v>
      </c>
      <c r="F10" s="110">
        <v>15634.48</v>
      </c>
      <c r="G10" s="27"/>
      <c r="H10" s="27">
        <f>IF(VLOOKUP($D10,$C$5:$AA$496,6,)=0,0,((VLOOKUP($D10,$C$5:$AA$496,6,)/VLOOKUP($D10,$C$5:$AA$496,4,))*$F10))</f>
        <v>0</v>
      </c>
      <c r="I10" s="27">
        <f>IF(VLOOKUP($D10,$C$5:$AA$496,7,)=0,0,((VLOOKUP($D10,$C$5:$AA$496,7,)/VLOOKUP($D10,$C$5:$AA$496,4,))*$F10))</f>
        <v>0</v>
      </c>
      <c r="J10" s="27"/>
      <c r="K10" s="27">
        <f>IF(VLOOKUP($D10,$C$5:$AA$496,9,)=0,0,((VLOOKUP($D10,$C$5:$AA$496,9,)/VLOOKUP($D10,$C$5:$AA$496,4,))*$F10))</f>
        <v>0</v>
      </c>
      <c r="L10" s="27"/>
      <c r="M10" s="27">
        <f>IF(VLOOKUP($D10,$C$5:$AA$496,9,)=0,0,((VLOOKUP($D10,$C$5:$AA$496,11,)/VLOOKUP($D10,$C$5:$AA$496,4,))*$F10))</f>
        <v>0</v>
      </c>
      <c r="N10" s="27"/>
      <c r="O10" s="27">
        <f>IF(VLOOKUP($D10,$C$5:$AA$496,14,)=0,0,((VLOOKUP($D10,$C$5:$AA$496,13,)/VLOOKUP($D10,$C$5:$AA$496,4,))*$F10))</f>
        <v>9320.2163461343553</v>
      </c>
      <c r="P10" s="27">
        <f>IF(VLOOKUP($D10,$C$5:$AA$496,14,)=0,0,((VLOOKUP($D10,$C$5:$AA$496,14,)/VLOOKUP($D10,$C$5:$AA$496,4,))*$F10))</f>
        <v>3738.7798059813022</v>
      </c>
      <c r="Q10" s="27"/>
      <c r="R10" s="27">
        <f>IF(VLOOKUP($D10,$C$5:$AA$496,16,)=0,0,((VLOOKUP($D10,$C$5:$AA$496,16,)/VLOOKUP($D10,$C$5:$AA$496,4,))*$F10))</f>
        <v>0</v>
      </c>
      <c r="S10" s="27">
        <f>IF(VLOOKUP($D10,$C$5:$AA$496,17,)=0,0,((VLOOKUP($D10,$C$5:$AA$496,17,)/VLOOKUP($D10,$C$5:$AA$496,4,))*$F10))</f>
        <v>1153.2375490263005</v>
      </c>
      <c r="T10" s="27"/>
      <c r="U10" s="27">
        <f>IF(VLOOKUP($D10,$C$5:$AA$496,19,)=0,0,((VLOOKUP($D10,$C$5:$AA$496,19,)/VLOOKUP($D10,$C$5:$AA$496,4,))*$F10))</f>
        <v>904.26587782043521</v>
      </c>
      <c r="V10" s="27"/>
      <c r="W10" s="27">
        <f>IF(VLOOKUP($D10,$C$5:$AA$496,21,)=0,0,((VLOOKUP($D10,$C$5:$AA$496,21,)/VLOOKUP($D10,$C$5:$AA$496,4,))*$F10))</f>
        <v>517.98042103760429</v>
      </c>
      <c r="X10" s="27"/>
      <c r="Y10" s="27">
        <f>IF(VLOOKUP($D10,$C$5:$AA$496,23,)=0,0,((VLOOKUP($D10,$C$5:$AA$496,23,)/VLOOKUP($D10,$C$5:$AA$496,4,))*$F10))</f>
        <v>0</v>
      </c>
      <c r="Z10" s="27"/>
      <c r="AA10" s="27">
        <f>IF(VLOOKUP($D10,$C$5:$AA$496,25,)=0,0,((VLOOKUP($D10,$C$5:$AA$496,25,)/VLOOKUP($D10,$C$5:$AA$496,4,))*$F10))</f>
        <v>0</v>
      </c>
      <c r="AB10" s="27">
        <f>SUM(H10:AA10)</f>
        <v>15634.479999999998</v>
      </c>
      <c r="AC10" s="22" t="str">
        <f>IF(ABS(AB10-F10)&lt;1,"ok","err")</f>
        <v>ok</v>
      </c>
    </row>
    <row r="11" spans="1:30" x14ac:dyDescent="0.25">
      <c r="AC11" s="22"/>
    </row>
    <row r="12" spans="1:30" x14ac:dyDescent="0.25">
      <c r="B12" s="14" t="s">
        <v>19</v>
      </c>
      <c r="C12" s="14" t="s">
        <v>20</v>
      </c>
      <c r="F12" s="120">
        <f>SUM(F8:F10)</f>
        <v>15634.48</v>
      </c>
      <c r="G12" s="61"/>
      <c r="H12" s="61">
        <f>SUM(H8:H10)</f>
        <v>0</v>
      </c>
      <c r="I12" s="61">
        <f>SUM(I8:I10)</f>
        <v>0</v>
      </c>
      <c r="J12" s="61"/>
      <c r="K12" s="61">
        <f>SUM(K8:K10)</f>
        <v>0</v>
      </c>
      <c r="L12" s="61"/>
      <c r="M12" s="61">
        <f t="shared" ref="M12:AA12" si="0">SUM(M8:M10)</f>
        <v>0</v>
      </c>
      <c r="N12" s="61"/>
      <c r="O12" s="61">
        <f t="shared" si="0"/>
        <v>9320.2163461343553</v>
      </c>
      <c r="P12" s="61">
        <f t="shared" si="0"/>
        <v>3738.7798059813022</v>
      </c>
      <c r="Q12" s="61">
        <f t="shared" si="0"/>
        <v>0</v>
      </c>
      <c r="R12" s="61">
        <f t="shared" si="0"/>
        <v>0</v>
      </c>
      <c r="S12" s="61">
        <f t="shared" si="0"/>
        <v>1153.2375490263005</v>
      </c>
      <c r="T12" s="61">
        <f t="shared" si="0"/>
        <v>0</v>
      </c>
      <c r="U12" s="61">
        <f t="shared" si="0"/>
        <v>904.26587782043521</v>
      </c>
      <c r="V12" s="61">
        <f t="shared" si="0"/>
        <v>0</v>
      </c>
      <c r="W12" s="61">
        <f t="shared" si="0"/>
        <v>517.98042103760429</v>
      </c>
      <c r="X12" s="61">
        <f t="shared" si="0"/>
        <v>0</v>
      </c>
      <c r="Y12" s="61">
        <f t="shared" si="0"/>
        <v>0</v>
      </c>
      <c r="Z12" s="61">
        <f t="shared" si="0"/>
        <v>0</v>
      </c>
      <c r="AA12" s="61">
        <f t="shared" si="0"/>
        <v>0</v>
      </c>
      <c r="AB12" s="27">
        <f>SUM(H12:AA12)</f>
        <v>15634.479999999998</v>
      </c>
      <c r="AC12" s="22" t="str">
        <f>IF(ABS(AB12-F12)&lt;1,"ok","err")</f>
        <v>ok</v>
      </c>
      <c r="AD12" s="24"/>
    </row>
    <row r="13" spans="1:30" x14ac:dyDescent="0.25">
      <c r="AC13" s="22"/>
    </row>
    <row r="14" spans="1:30" x14ac:dyDescent="0.25">
      <c r="A14" s="20" t="s">
        <v>764</v>
      </c>
      <c r="Q14" s="14"/>
      <c r="AC14" s="22"/>
    </row>
    <row r="15" spans="1:30" x14ac:dyDescent="0.25">
      <c r="A15" s="62">
        <v>310</v>
      </c>
      <c r="B15" s="14" t="s">
        <v>17</v>
      </c>
      <c r="C15" s="14" t="s">
        <v>771</v>
      </c>
      <c r="D15" s="14" t="s">
        <v>552</v>
      </c>
      <c r="F15" s="119">
        <v>0</v>
      </c>
      <c r="G15" s="40"/>
      <c r="H15" s="27">
        <f t="shared" ref="H15:H22" si="1">IF(VLOOKUP($D15,$C$5:$AA$496,6,)=0,0,((VLOOKUP($D15,$C$5:$AA$496,6,)/VLOOKUP($D15,$C$5:$AA$496,4,))*$F15))</f>
        <v>0</v>
      </c>
      <c r="I15" s="27">
        <f t="shared" ref="I15:I22" si="2">IF(VLOOKUP($D15,$C$5:$AA$496,7,)=0,0,((VLOOKUP($D15,$C$5:$AA$496,7,)/VLOOKUP($D15,$C$5:$AA$496,4,))*$F15))</f>
        <v>0</v>
      </c>
      <c r="J15" s="27"/>
      <c r="K15" s="27">
        <f t="shared" ref="K15:K22" si="3">IF(VLOOKUP($D15,$C$5:$AA$496,9,)=0,0,((VLOOKUP($D15,$C$5:$AA$496,9,)/VLOOKUP($D15,$C$5:$AA$496,4,))*$F15))</f>
        <v>0</v>
      </c>
      <c r="L15" s="40"/>
      <c r="M15" s="40"/>
      <c r="N15" s="27"/>
      <c r="O15" s="27">
        <v>0</v>
      </c>
      <c r="P15" s="27">
        <f t="shared" ref="P15:P22" si="4">IF(VLOOKUP($D15,$C$5:$AA$496,14,)=0,0,((VLOOKUP($D15,$C$5:$AA$496,14,)/VLOOKUP($D15,$C$5:$AA$496,4,))*$F15))</f>
        <v>0</v>
      </c>
      <c r="Q15" s="27"/>
      <c r="R15" s="27">
        <f t="shared" ref="R15:R22" si="5">IF(VLOOKUP($D15,$C$5:$AA$496,16,)=0,0,((VLOOKUP($D15,$C$5:$AA$496,16,)/VLOOKUP($D15,$C$5:$AA$496,4,))*$F15))</f>
        <v>0</v>
      </c>
      <c r="S15" s="27">
        <f t="shared" ref="S15:S22" si="6">IF(VLOOKUP($D15,$C$5:$AA$496,17,)=0,0,((VLOOKUP($D15,$C$5:$AA$496,17,)/VLOOKUP($D15,$C$5:$AA$496,4,))*$F15))</f>
        <v>0</v>
      </c>
      <c r="T15" s="27"/>
      <c r="U15" s="27">
        <f t="shared" ref="U15:U22" si="7">IF(VLOOKUP($D15,$C$5:$AA$496,19,)=0,0,((VLOOKUP($D15,$C$5:$AA$496,19,)/VLOOKUP($D15,$C$5:$AA$496,4,))*$F15))</f>
        <v>0</v>
      </c>
      <c r="V15" s="27"/>
      <c r="W15" s="27">
        <f t="shared" ref="W15:W22" si="8">IF(VLOOKUP($D15,$C$5:$AA$496,21,)=0,0,((VLOOKUP($D15,$C$5:$AA$496,21,)/VLOOKUP($D15,$C$5:$AA$496,4,))*$F15))</f>
        <v>0</v>
      </c>
      <c r="X15" s="27"/>
      <c r="Y15" s="27">
        <f t="shared" ref="Y15:Y22" si="9">IF(VLOOKUP($D15,$C$5:$AA$496,23,)=0,0,((VLOOKUP($D15,$C$5:$AA$496,23,)/VLOOKUP($D15,$C$5:$AA$496,4,))*$F15))</f>
        <v>0</v>
      </c>
      <c r="Z15" s="27"/>
      <c r="AA15" s="27">
        <f t="shared" ref="AA15:AA22" si="10">IF(VLOOKUP($D15,$C$5:$AA$496,25,)=0,0,((VLOOKUP($D15,$C$5:$AA$496,25,)/VLOOKUP($D15,$C$5:$AA$496,4,))*$F15))</f>
        <v>0</v>
      </c>
      <c r="AB15" s="27">
        <f t="shared" ref="AB15:AB22" si="11">SUM(H15:AA15)</f>
        <v>0</v>
      </c>
      <c r="AC15" s="22" t="str">
        <f t="shared" ref="AC15:AC22" si="12">IF(ABS(AB15-F15)&lt;1,"ok","err")</f>
        <v>ok</v>
      </c>
    </row>
    <row r="16" spans="1:30" x14ac:dyDescent="0.25">
      <c r="A16" s="62">
        <v>311</v>
      </c>
      <c r="B16" s="14" t="s">
        <v>53</v>
      </c>
      <c r="C16" s="14" t="s">
        <v>778</v>
      </c>
      <c r="D16" s="14" t="s">
        <v>552</v>
      </c>
      <c r="F16" s="110">
        <v>0</v>
      </c>
      <c r="G16" s="27"/>
      <c r="H16" s="27">
        <f t="shared" si="1"/>
        <v>0</v>
      </c>
      <c r="I16" s="27">
        <f t="shared" si="2"/>
        <v>0</v>
      </c>
      <c r="J16" s="27"/>
      <c r="K16" s="27">
        <f t="shared" si="3"/>
        <v>0</v>
      </c>
      <c r="L16" s="27"/>
      <c r="M16" s="27"/>
      <c r="N16" s="27"/>
      <c r="O16" s="27">
        <v>0</v>
      </c>
      <c r="P16" s="27">
        <f t="shared" si="4"/>
        <v>0</v>
      </c>
      <c r="Q16" s="27"/>
      <c r="R16" s="27">
        <f t="shared" si="5"/>
        <v>0</v>
      </c>
      <c r="S16" s="27">
        <f t="shared" si="6"/>
        <v>0</v>
      </c>
      <c r="T16" s="27"/>
      <c r="U16" s="27">
        <f t="shared" si="7"/>
        <v>0</v>
      </c>
      <c r="V16" s="27"/>
      <c r="W16" s="27">
        <f t="shared" si="8"/>
        <v>0</v>
      </c>
      <c r="X16" s="27"/>
      <c r="Y16" s="27">
        <f t="shared" si="9"/>
        <v>0</v>
      </c>
      <c r="Z16" s="27"/>
      <c r="AA16" s="27">
        <f t="shared" si="10"/>
        <v>0</v>
      </c>
      <c r="AB16" s="27">
        <f t="shared" si="11"/>
        <v>0</v>
      </c>
      <c r="AC16" s="22" t="str">
        <f t="shared" si="12"/>
        <v>ok</v>
      </c>
    </row>
    <row r="17" spans="1:29" x14ac:dyDescent="0.25">
      <c r="A17" s="62">
        <v>312</v>
      </c>
      <c r="B17" s="14" t="s">
        <v>765</v>
      </c>
      <c r="C17" s="14" t="s">
        <v>772</v>
      </c>
      <c r="D17" s="14" t="s">
        <v>552</v>
      </c>
      <c r="F17" s="110">
        <v>0</v>
      </c>
      <c r="G17" s="27"/>
      <c r="H17" s="27">
        <f t="shared" si="1"/>
        <v>0</v>
      </c>
      <c r="I17" s="27">
        <f t="shared" si="2"/>
        <v>0</v>
      </c>
      <c r="J17" s="27"/>
      <c r="K17" s="27">
        <f t="shared" si="3"/>
        <v>0</v>
      </c>
      <c r="L17" s="27"/>
      <c r="M17" s="27">
        <f t="shared" ref="M17:M22" si="13">IF(VLOOKUP($D17,$C$5:$AA$496,11,)=0,0,((VLOOKUP($D17,$C$5:$AA$496,11,)/VLOOKUP($D17,$C$5:$AA$496,4,))*$F17))</f>
        <v>0</v>
      </c>
      <c r="N17" s="27"/>
      <c r="O17" s="27">
        <f t="shared" ref="O17:O22" si="14">IF(VLOOKUP($D17,$C$5:$AA$496,13,)=0,0,((VLOOKUP($D17,$C$5:$AA$496,13,)/VLOOKUP($D17,$C$5:$AA$496,4,))*$F17))</f>
        <v>0</v>
      </c>
      <c r="P17" s="27">
        <f t="shared" si="4"/>
        <v>0</v>
      </c>
      <c r="Q17" s="27"/>
      <c r="R17" s="27">
        <f t="shared" si="5"/>
        <v>0</v>
      </c>
      <c r="S17" s="27">
        <f t="shared" si="6"/>
        <v>0</v>
      </c>
      <c r="T17" s="27"/>
      <c r="U17" s="27">
        <f t="shared" si="7"/>
        <v>0</v>
      </c>
      <c r="V17" s="27"/>
      <c r="W17" s="27">
        <f t="shared" si="8"/>
        <v>0</v>
      </c>
      <c r="X17" s="27"/>
      <c r="Y17" s="27">
        <f t="shared" si="9"/>
        <v>0</v>
      </c>
      <c r="Z17" s="27"/>
      <c r="AA17" s="27">
        <f t="shared" si="10"/>
        <v>0</v>
      </c>
      <c r="AB17" s="27">
        <f t="shared" si="11"/>
        <v>0</v>
      </c>
      <c r="AC17" s="22" t="str">
        <f t="shared" si="12"/>
        <v>ok</v>
      </c>
    </row>
    <row r="18" spans="1:29" x14ac:dyDescent="0.25">
      <c r="A18" s="62">
        <v>313</v>
      </c>
      <c r="B18" s="14" t="s">
        <v>766</v>
      </c>
      <c r="C18" s="14" t="s">
        <v>773</v>
      </c>
      <c r="D18" s="14" t="s">
        <v>552</v>
      </c>
      <c r="F18" s="110">
        <v>0</v>
      </c>
      <c r="G18" s="27"/>
      <c r="H18" s="27">
        <f t="shared" si="1"/>
        <v>0</v>
      </c>
      <c r="I18" s="27">
        <f t="shared" si="2"/>
        <v>0</v>
      </c>
      <c r="J18" s="27"/>
      <c r="K18" s="27">
        <f t="shared" si="3"/>
        <v>0</v>
      </c>
      <c r="L18" s="27"/>
      <c r="M18" s="27">
        <f t="shared" si="13"/>
        <v>0</v>
      </c>
      <c r="N18" s="27"/>
      <c r="O18" s="27">
        <f t="shared" si="14"/>
        <v>0</v>
      </c>
      <c r="P18" s="27">
        <f t="shared" si="4"/>
        <v>0</v>
      </c>
      <c r="Q18" s="27"/>
      <c r="R18" s="27">
        <f t="shared" si="5"/>
        <v>0</v>
      </c>
      <c r="S18" s="27">
        <f t="shared" si="6"/>
        <v>0</v>
      </c>
      <c r="T18" s="27"/>
      <c r="U18" s="27">
        <f t="shared" si="7"/>
        <v>0</v>
      </c>
      <c r="V18" s="27"/>
      <c r="W18" s="27">
        <f t="shared" si="8"/>
        <v>0</v>
      </c>
      <c r="X18" s="27"/>
      <c r="Y18" s="27">
        <f t="shared" si="9"/>
        <v>0</v>
      </c>
      <c r="Z18" s="27"/>
      <c r="AA18" s="27">
        <f t="shared" si="10"/>
        <v>0</v>
      </c>
      <c r="AB18" s="27">
        <f t="shared" si="11"/>
        <v>0</v>
      </c>
      <c r="AC18" s="22" t="str">
        <f t="shared" si="12"/>
        <v>ok</v>
      </c>
    </row>
    <row r="19" spans="1:29" x14ac:dyDescent="0.25">
      <c r="A19" s="62">
        <v>314</v>
      </c>
      <c r="B19" s="14" t="s">
        <v>767</v>
      </c>
      <c r="C19" s="14" t="s">
        <v>774</v>
      </c>
      <c r="D19" s="14" t="s">
        <v>552</v>
      </c>
      <c r="F19" s="110">
        <v>0</v>
      </c>
      <c r="G19" s="27"/>
      <c r="H19" s="27">
        <f t="shared" si="1"/>
        <v>0</v>
      </c>
      <c r="I19" s="27">
        <f t="shared" si="2"/>
        <v>0</v>
      </c>
      <c r="J19" s="27"/>
      <c r="K19" s="27">
        <f t="shared" si="3"/>
        <v>0</v>
      </c>
      <c r="L19" s="27"/>
      <c r="M19" s="27">
        <f t="shared" si="13"/>
        <v>0</v>
      </c>
      <c r="N19" s="27"/>
      <c r="O19" s="27">
        <f t="shared" si="14"/>
        <v>0</v>
      </c>
      <c r="P19" s="27">
        <f t="shared" si="4"/>
        <v>0</v>
      </c>
      <c r="Q19" s="27"/>
      <c r="R19" s="27">
        <f t="shared" si="5"/>
        <v>0</v>
      </c>
      <c r="S19" s="27">
        <f t="shared" si="6"/>
        <v>0</v>
      </c>
      <c r="T19" s="27"/>
      <c r="U19" s="27">
        <f t="shared" si="7"/>
        <v>0</v>
      </c>
      <c r="V19" s="27"/>
      <c r="W19" s="27">
        <f t="shared" si="8"/>
        <v>0</v>
      </c>
      <c r="X19" s="27"/>
      <c r="Y19" s="27">
        <f t="shared" si="9"/>
        <v>0</v>
      </c>
      <c r="Z19" s="27"/>
      <c r="AA19" s="27">
        <f t="shared" si="10"/>
        <v>0</v>
      </c>
      <c r="AB19" s="27">
        <f t="shared" si="11"/>
        <v>0</v>
      </c>
      <c r="AC19" s="22" t="str">
        <f t="shared" si="12"/>
        <v>ok</v>
      </c>
    </row>
    <row r="20" spans="1:29" x14ac:dyDescent="0.25">
      <c r="A20" s="62">
        <v>315</v>
      </c>
      <c r="B20" s="14" t="s">
        <v>768</v>
      </c>
      <c r="C20" s="14" t="s">
        <v>775</v>
      </c>
      <c r="D20" s="14" t="s">
        <v>552</v>
      </c>
      <c r="F20" s="110">
        <v>0</v>
      </c>
      <c r="G20" s="27"/>
      <c r="H20" s="27">
        <f t="shared" si="1"/>
        <v>0</v>
      </c>
      <c r="I20" s="27">
        <f t="shared" si="2"/>
        <v>0</v>
      </c>
      <c r="J20" s="27"/>
      <c r="K20" s="27">
        <f t="shared" si="3"/>
        <v>0</v>
      </c>
      <c r="L20" s="27"/>
      <c r="M20" s="27">
        <f t="shared" si="13"/>
        <v>0</v>
      </c>
      <c r="N20" s="27"/>
      <c r="O20" s="27">
        <f t="shared" si="14"/>
        <v>0</v>
      </c>
      <c r="P20" s="27">
        <f t="shared" si="4"/>
        <v>0</v>
      </c>
      <c r="Q20" s="27"/>
      <c r="R20" s="27">
        <f t="shared" si="5"/>
        <v>0</v>
      </c>
      <c r="S20" s="27">
        <f t="shared" si="6"/>
        <v>0</v>
      </c>
      <c r="T20" s="27"/>
      <c r="U20" s="27">
        <f t="shared" si="7"/>
        <v>0</v>
      </c>
      <c r="V20" s="27"/>
      <c r="W20" s="27">
        <f t="shared" si="8"/>
        <v>0</v>
      </c>
      <c r="X20" s="27"/>
      <c r="Y20" s="27">
        <f t="shared" si="9"/>
        <v>0</v>
      </c>
      <c r="Z20" s="27"/>
      <c r="AA20" s="27">
        <f t="shared" si="10"/>
        <v>0</v>
      </c>
      <c r="AB20" s="27">
        <f t="shared" si="11"/>
        <v>0</v>
      </c>
      <c r="AC20" s="22" t="str">
        <f t="shared" si="12"/>
        <v>ok</v>
      </c>
    </row>
    <row r="21" spans="1:29" x14ac:dyDescent="0.25">
      <c r="A21" s="62">
        <v>316</v>
      </c>
      <c r="B21" s="14" t="s">
        <v>770</v>
      </c>
      <c r="C21" s="14" t="s">
        <v>776</v>
      </c>
      <c r="D21" s="14" t="s">
        <v>552</v>
      </c>
      <c r="F21" s="110">
        <v>0</v>
      </c>
      <c r="G21" s="27"/>
      <c r="H21" s="27">
        <f t="shared" si="1"/>
        <v>0</v>
      </c>
      <c r="I21" s="27">
        <f t="shared" si="2"/>
        <v>0</v>
      </c>
      <c r="J21" s="27"/>
      <c r="K21" s="27">
        <f t="shared" si="3"/>
        <v>0</v>
      </c>
      <c r="L21" s="27"/>
      <c r="M21" s="27">
        <f t="shared" si="13"/>
        <v>0</v>
      </c>
      <c r="N21" s="27"/>
      <c r="O21" s="27">
        <f t="shared" si="14"/>
        <v>0</v>
      </c>
      <c r="P21" s="27">
        <f t="shared" si="4"/>
        <v>0</v>
      </c>
      <c r="Q21" s="27"/>
      <c r="R21" s="27">
        <f t="shared" si="5"/>
        <v>0</v>
      </c>
      <c r="S21" s="27">
        <f t="shared" si="6"/>
        <v>0</v>
      </c>
      <c r="T21" s="27"/>
      <c r="U21" s="27">
        <f t="shared" si="7"/>
        <v>0</v>
      </c>
      <c r="V21" s="27"/>
      <c r="W21" s="27">
        <f t="shared" si="8"/>
        <v>0</v>
      </c>
      <c r="X21" s="27"/>
      <c r="Y21" s="27">
        <f t="shared" si="9"/>
        <v>0</v>
      </c>
      <c r="Z21" s="27"/>
      <c r="AA21" s="27">
        <f t="shared" si="10"/>
        <v>0</v>
      </c>
      <c r="AB21" s="27">
        <f>SUM(H21:AA21)</f>
        <v>0</v>
      </c>
      <c r="AC21" s="22" t="str">
        <f>IF(ABS(AB21-F21)&lt;1,"ok","err")</f>
        <v>ok</v>
      </c>
    </row>
    <row r="22" spans="1:29" x14ac:dyDescent="0.25">
      <c r="A22" s="62">
        <v>317</v>
      </c>
      <c r="B22" s="14" t="s">
        <v>769</v>
      </c>
      <c r="C22" s="14" t="s">
        <v>777</v>
      </c>
      <c r="D22" s="14" t="s">
        <v>552</v>
      </c>
      <c r="F22" s="110">
        <v>0</v>
      </c>
      <c r="G22" s="27"/>
      <c r="H22" s="27">
        <f t="shared" si="1"/>
        <v>0</v>
      </c>
      <c r="I22" s="27">
        <f t="shared" si="2"/>
        <v>0</v>
      </c>
      <c r="J22" s="27"/>
      <c r="K22" s="27">
        <f t="shared" si="3"/>
        <v>0</v>
      </c>
      <c r="L22" s="27"/>
      <c r="M22" s="27">
        <f t="shared" si="13"/>
        <v>0</v>
      </c>
      <c r="N22" s="27"/>
      <c r="O22" s="27">
        <f t="shared" si="14"/>
        <v>0</v>
      </c>
      <c r="P22" s="27">
        <f t="shared" si="4"/>
        <v>0</v>
      </c>
      <c r="Q22" s="27"/>
      <c r="R22" s="27">
        <f t="shared" si="5"/>
        <v>0</v>
      </c>
      <c r="S22" s="27">
        <f t="shared" si="6"/>
        <v>0</v>
      </c>
      <c r="T22" s="27"/>
      <c r="U22" s="27">
        <f t="shared" si="7"/>
        <v>0</v>
      </c>
      <c r="V22" s="27"/>
      <c r="W22" s="27">
        <f t="shared" si="8"/>
        <v>0</v>
      </c>
      <c r="X22" s="27"/>
      <c r="Y22" s="27">
        <f t="shared" si="9"/>
        <v>0</v>
      </c>
      <c r="Z22" s="27"/>
      <c r="AA22" s="27">
        <f t="shared" si="10"/>
        <v>0</v>
      </c>
      <c r="AB22" s="27">
        <f t="shared" si="11"/>
        <v>0</v>
      </c>
      <c r="AC22" s="22" t="str">
        <f t="shared" si="12"/>
        <v>ok</v>
      </c>
    </row>
    <row r="23" spans="1:29" x14ac:dyDescent="0.25">
      <c r="Q23" s="14"/>
      <c r="AB23" s="27"/>
      <c r="AC23" s="22"/>
    </row>
    <row r="24" spans="1:29" x14ac:dyDescent="0.25">
      <c r="B24" s="14" t="s">
        <v>780</v>
      </c>
      <c r="C24" s="14" t="s">
        <v>779</v>
      </c>
      <c r="F24" s="120">
        <f>SUM(F15:F23)</f>
        <v>0</v>
      </c>
      <c r="G24" s="61"/>
      <c r="H24" s="61">
        <f>SUM(H15:H23)</f>
        <v>0</v>
      </c>
      <c r="I24" s="61">
        <f>SUM(I15:I23)</f>
        <v>0</v>
      </c>
      <c r="J24" s="61"/>
      <c r="K24" s="61">
        <f>SUM(K15:K23)</f>
        <v>0</v>
      </c>
      <c r="L24" s="61"/>
      <c r="M24" s="61">
        <f>SUM(M15:M23)</f>
        <v>0</v>
      </c>
      <c r="N24" s="61"/>
      <c r="O24" s="61">
        <f>SUM(O15:O23)</f>
        <v>0</v>
      </c>
      <c r="P24" s="61">
        <f>SUM(P15:P23)</f>
        <v>0</v>
      </c>
      <c r="Q24" s="61"/>
      <c r="R24" s="61">
        <f>SUM(R15:R23)</f>
        <v>0</v>
      </c>
      <c r="S24" s="61">
        <f>SUM(S15:S23)</f>
        <v>0</v>
      </c>
      <c r="T24" s="61"/>
      <c r="U24" s="61">
        <f>SUM(U15:U23)</f>
        <v>0</v>
      </c>
      <c r="V24" s="61"/>
      <c r="W24" s="61">
        <f>SUM(W15:W23)</f>
        <v>0</v>
      </c>
      <c r="X24" s="61"/>
      <c r="Y24" s="61">
        <f>SUM(Y15:Y23)</f>
        <v>0</v>
      </c>
      <c r="Z24" s="61"/>
      <c r="AA24" s="61">
        <f>SUM(AA15:AA23)</f>
        <v>0</v>
      </c>
      <c r="AB24" s="27">
        <f>SUM(H24:AA24)</f>
        <v>0</v>
      </c>
      <c r="AC24" s="22" t="str">
        <f>IF(ABS(AB24-F24)&lt;1,"ok","err")</f>
        <v>ok</v>
      </c>
    </row>
    <row r="25" spans="1:29" x14ac:dyDescent="0.25">
      <c r="Q25" s="14"/>
      <c r="AC25" s="22"/>
    </row>
    <row r="26" spans="1:29" x14ac:dyDescent="0.25">
      <c r="A26" s="20" t="s">
        <v>350</v>
      </c>
      <c r="Q26" s="14"/>
      <c r="AC26" s="22"/>
    </row>
    <row r="27" spans="1:29" x14ac:dyDescent="0.25">
      <c r="A27" s="62">
        <v>350</v>
      </c>
      <c r="B27" s="14" t="s">
        <v>17</v>
      </c>
      <c r="C27" s="14" t="s">
        <v>352</v>
      </c>
      <c r="D27" s="14" t="s">
        <v>391</v>
      </c>
      <c r="F27" s="119">
        <v>0</v>
      </c>
      <c r="G27" s="40"/>
      <c r="H27" s="27">
        <f t="shared" ref="H27:H33" si="15">IF(VLOOKUP($D27,$C$5:$AA$496,6,)=0,0,((VLOOKUP($D27,$C$5:$AA$496,6,)/VLOOKUP($D27,$C$5:$AA$496,4,))*$F27))</f>
        <v>0</v>
      </c>
      <c r="I27" s="27">
        <f t="shared" ref="I27:I33" si="16">IF(VLOOKUP($D27,$C$5:$AA$496,7,)=0,0,((VLOOKUP($D27,$C$5:$AA$496,7,)/VLOOKUP($D27,$C$5:$AA$496,4,))*$F27))</f>
        <v>0</v>
      </c>
      <c r="J27" s="27"/>
      <c r="K27" s="27">
        <f t="shared" ref="K27:K33" si="17">IF(VLOOKUP($D27,$C$5:$AA$496,9,)=0,0,((VLOOKUP($D27,$C$5:$AA$496,9,)/VLOOKUP($D27,$C$5:$AA$496,4,))*$F27))</f>
        <v>0</v>
      </c>
      <c r="L27" s="27"/>
      <c r="M27" s="27">
        <f t="shared" ref="M27:M33" si="18">IF(VLOOKUP($D27,$C$5:$AA$496,11,)=0,0,((VLOOKUP($D27,$C$5:$AA$496,11,)/VLOOKUP($D27,$C$5:$AA$496,4,))*$F27))</f>
        <v>0</v>
      </c>
      <c r="N27" s="27"/>
      <c r="O27" s="27">
        <f t="shared" ref="O27:O33" si="19">IF(VLOOKUP($D27,$C$5:$AA$496,13,)=0,0,((VLOOKUP($D27,$C$5:$AA$496,13,)/VLOOKUP($D27,$C$5:$AA$496,4,))*$F27))</f>
        <v>0</v>
      </c>
      <c r="P27" s="27">
        <f t="shared" ref="P27:P33" si="20">IF(VLOOKUP($D27,$C$5:$AA$496,14,)=0,0,((VLOOKUP($D27,$C$5:$AA$496,14,)/VLOOKUP($D27,$C$5:$AA$496,4,))*$F27))</f>
        <v>0</v>
      </c>
      <c r="Q27" s="27"/>
      <c r="R27" s="27">
        <f t="shared" ref="R27:R33" si="21">IF(VLOOKUP($D27,$C$5:$AA$496,16,)=0,0,((VLOOKUP($D27,$C$5:$AA$496,16,)/VLOOKUP($D27,$C$5:$AA$496,4,))*$F27))</f>
        <v>0</v>
      </c>
      <c r="S27" s="27">
        <f t="shared" ref="S27:S33" si="22">IF(VLOOKUP($D27,$C$5:$AA$496,17,)=0,0,((VLOOKUP($D27,$C$5:$AA$496,17,)/VLOOKUP($D27,$C$5:$AA$496,4,))*$F27))</f>
        <v>0</v>
      </c>
      <c r="T27" s="27"/>
      <c r="U27" s="27">
        <f t="shared" ref="U27:U33" si="23">IF(VLOOKUP($D27,$C$5:$AA$496,19,)=0,0,((VLOOKUP($D27,$C$5:$AA$496,19,)/VLOOKUP($D27,$C$5:$AA$496,4,))*$F27))</f>
        <v>0</v>
      </c>
      <c r="V27" s="27"/>
      <c r="W27" s="27">
        <f t="shared" ref="W27:W33" si="24">IF(VLOOKUP($D27,$C$5:$AA$496,21,)=0,0,((VLOOKUP($D27,$C$5:$AA$496,21,)/VLOOKUP($D27,$C$5:$AA$496,4,))*$F27))</f>
        <v>0</v>
      </c>
      <c r="X27" s="27"/>
      <c r="Y27" s="27">
        <f t="shared" ref="Y27:Y33" si="25">IF(VLOOKUP($D27,$C$5:$AA$496,23,)=0,0,((VLOOKUP($D27,$C$5:$AA$496,23,)/VLOOKUP($D27,$C$5:$AA$496,4,))*$F27))</f>
        <v>0</v>
      </c>
      <c r="Z27" s="27"/>
      <c r="AA27" s="27">
        <f t="shared" ref="AA27:AA33" si="26">IF(VLOOKUP($D27,$C$5:$AA$496,25,)=0,0,((VLOOKUP($D27,$C$5:$AA$496,25,)/VLOOKUP($D27,$C$5:$AA$496,4,))*$F27))</f>
        <v>0</v>
      </c>
      <c r="AB27" s="27">
        <f t="shared" ref="AB27:AB33" si="27">SUM(H27:AA27)</f>
        <v>0</v>
      </c>
      <c r="AC27" s="22" t="str">
        <f t="shared" ref="AC27:AC33" si="28">IF(ABS(AB27-F27)&lt;1,"ok","err")</f>
        <v>ok</v>
      </c>
    </row>
    <row r="28" spans="1:29" x14ac:dyDescent="0.25">
      <c r="A28" s="62">
        <v>352</v>
      </c>
      <c r="B28" s="14" t="s">
        <v>53</v>
      </c>
      <c r="C28" s="14" t="s">
        <v>418</v>
      </c>
      <c r="D28" s="14" t="s">
        <v>391</v>
      </c>
      <c r="F28" s="110">
        <v>0</v>
      </c>
      <c r="G28" s="27"/>
      <c r="H28" s="27">
        <f t="shared" si="15"/>
        <v>0</v>
      </c>
      <c r="I28" s="27">
        <f t="shared" si="16"/>
        <v>0</v>
      </c>
      <c r="J28" s="27"/>
      <c r="K28" s="27">
        <f t="shared" si="17"/>
        <v>0</v>
      </c>
      <c r="L28" s="27"/>
      <c r="M28" s="27">
        <f t="shared" si="18"/>
        <v>0</v>
      </c>
      <c r="N28" s="27"/>
      <c r="O28" s="27">
        <f t="shared" si="19"/>
        <v>0</v>
      </c>
      <c r="P28" s="27">
        <f t="shared" si="20"/>
        <v>0</v>
      </c>
      <c r="Q28" s="27"/>
      <c r="R28" s="27">
        <f t="shared" si="21"/>
        <v>0</v>
      </c>
      <c r="S28" s="27">
        <f t="shared" si="22"/>
        <v>0</v>
      </c>
      <c r="T28" s="27"/>
      <c r="U28" s="27">
        <f t="shared" si="23"/>
        <v>0</v>
      </c>
      <c r="V28" s="27"/>
      <c r="W28" s="27">
        <f t="shared" si="24"/>
        <v>0</v>
      </c>
      <c r="X28" s="27"/>
      <c r="Y28" s="27">
        <f t="shared" si="25"/>
        <v>0</v>
      </c>
      <c r="Z28" s="27"/>
      <c r="AA28" s="27">
        <f t="shared" si="26"/>
        <v>0</v>
      </c>
      <c r="AB28" s="27">
        <f t="shared" si="27"/>
        <v>0</v>
      </c>
      <c r="AC28" s="22" t="str">
        <f t="shared" si="28"/>
        <v>ok</v>
      </c>
    </row>
    <row r="29" spans="1:29" x14ac:dyDescent="0.25">
      <c r="A29" s="62">
        <v>353</v>
      </c>
      <c r="B29" s="14" t="s">
        <v>22</v>
      </c>
      <c r="C29" s="14" t="s">
        <v>353</v>
      </c>
      <c r="D29" s="14" t="s">
        <v>391</v>
      </c>
      <c r="F29" s="110">
        <v>0</v>
      </c>
      <c r="G29" s="27"/>
      <c r="H29" s="27">
        <f t="shared" si="15"/>
        <v>0</v>
      </c>
      <c r="I29" s="27">
        <f t="shared" si="16"/>
        <v>0</v>
      </c>
      <c r="J29" s="27"/>
      <c r="K29" s="27">
        <f t="shared" si="17"/>
        <v>0</v>
      </c>
      <c r="L29" s="27"/>
      <c r="M29" s="27">
        <f t="shared" si="18"/>
        <v>0</v>
      </c>
      <c r="N29" s="27"/>
      <c r="O29" s="27">
        <f t="shared" si="19"/>
        <v>0</v>
      </c>
      <c r="P29" s="27">
        <f t="shared" si="20"/>
        <v>0</v>
      </c>
      <c r="Q29" s="27"/>
      <c r="R29" s="27">
        <f t="shared" si="21"/>
        <v>0</v>
      </c>
      <c r="S29" s="27">
        <f t="shared" si="22"/>
        <v>0</v>
      </c>
      <c r="T29" s="27"/>
      <c r="U29" s="27">
        <f t="shared" si="23"/>
        <v>0</v>
      </c>
      <c r="V29" s="27"/>
      <c r="W29" s="27">
        <f t="shared" si="24"/>
        <v>0</v>
      </c>
      <c r="X29" s="27"/>
      <c r="Y29" s="27">
        <f t="shared" si="25"/>
        <v>0</v>
      </c>
      <c r="Z29" s="27"/>
      <c r="AA29" s="27">
        <f t="shared" si="26"/>
        <v>0</v>
      </c>
      <c r="AB29" s="27">
        <f t="shared" si="27"/>
        <v>0</v>
      </c>
      <c r="AC29" s="22" t="str">
        <f t="shared" si="28"/>
        <v>ok</v>
      </c>
    </row>
    <row r="30" spans="1:29" x14ac:dyDescent="0.25">
      <c r="A30" s="62">
        <v>354</v>
      </c>
      <c r="B30" s="14" t="s">
        <v>419</v>
      </c>
      <c r="C30" s="14" t="s">
        <v>421</v>
      </c>
      <c r="D30" s="14" t="s">
        <v>391</v>
      </c>
      <c r="F30" s="110">
        <v>0</v>
      </c>
      <c r="G30" s="27"/>
      <c r="H30" s="27">
        <f t="shared" si="15"/>
        <v>0</v>
      </c>
      <c r="I30" s="27">
        <f t="shared" si="16"/>
        <v>0</v>
      </c>
      <c r="J30" s="27"/>
      <c r="K30" s="27">
        <f t="shared" si="17"/>
        <v>0</v>
      </c>
      <c r="L30" s="27"/>
      <c r="M30" s="27">
        <f t="shared" si="18"/>
        <v>0</v>
      </c>
      <c r="N30" s="27"/>
      <c r="O30" s="27">
        <f t="shared" si="19"/>
        <v>0</v>
      </c>
      <c r="P30" s="27">
        <f t="shared" si="20"/>
        <v>0</v>
      </c>
      <c r="Q30" s="27"/>
      <c r="R30" s="27">
        <f t="shared" si="21"/>
        <v>0</v>
      </c>
      <c r="S30" s="27">
        <f t="shared" si="22"/>
        <v>0</v>
      </c>
      <c r="T30" s="27"/>
      <c r="U30" s="27">
        <f t="shared" si="23"/>
        <v>0</v>
      </c>
      <c r="V30" s="27"/>
      <c r="W30" s="27">
        <f t="shared" si="24"/>
        <v>0</v>
      </c>
      <c r="X30" s="27"/>
      <c r="Y30" s="27">
        <f t="shared" si="25"/>
        <v>0</v>
      </c>
      <c r="Z30" s="27"/>
      <c r="AA30" s="27">
        <f t="shared" si="26"/>
        <v>0</v>
      </c>
      <c r="AB30" s="27">
        <f t="shared" si="27"/>
        <v>0</v>
      </c>
      <c r="AC30" s="22" t="str">
        <f t="shared" si="28"/>
        <v>ok</v>
      </c>
    </row>
    <row r="31" spans="1:29" x14ac:dyDescent="0.25">
      <c r="A31" s="62">
        <v>355</v>
      </c>
      <c r="B31" s="14" t="s">
        <v>420</v>
      </c>
      <c r="C31" s="14" t="s">
        <v>354</v>
      </c>
      <c r="D31" s="14" t="s">
        <v>391</v>
      </c>
      <c r="F31" s="110">
        <v>0</v>
      </c>
      <c r="G31" s="27"/>
      <c r="H31" s="27">
        <f t="shared" si="15"/>
        <v>0</v>
      </c>
      <c r="I31" s="27">
        <f t="shared" si="16"/>
        <v>0</v>
      </c>
      <c r="J31" s="27"/>
      <c r="K31" s="27">
        <f t="shared" si="17"/>
        <v>0</v>
      </c>
      <c r="L31" s="27"/>
      <c r="M31" s="27">
        <f t="shared" si="18"/>
        <v>0</v>
      </c>
      <c r="N31" s="27"/>
      <c r="O31" s="27">
        <f t="shared" si="19"/>
        <v>0</v>
      </c>
      <c r="P31" s="27">
        <f t="shared" si="20"/>
        <v>0</v>
      </c>
      <c r="Q31" s="27"/>
      <c r="R31" s="27">
        <f t="shared" si="21"/>
        <v>0</v>
      </c>
      <c r="S31" s="27">
        <f t="shared" si="22"/>
        <v>0</v>
      </c>
      <c r="T31" s="27"/>
      <c r="U31" s="27">
        <f t="shared" si="23"/>
        <v>0</v>
      </c>
      <c r="V31" s="27"/>
      <c r="W31" s="27">
        <f t="shared" si="24"/>
        <v>0</v>
      </c>
      <c r="X31" s="27"/>
      <c r="Y31" s="27">
        <f t="shared" si="25"/>
        <v>0</v>
      </c>
      <c r="Z31" s="27"/>
      <c r="AA31" s="27">
        <f t="shared" si="26"/>
        <v>0</v>
      </c>
      <c r="AB31" s="27">
        <f t="shared" si="27"/>
        <v>0</v>
      </c>
      <c r="AC31" s="22" t="str">
        <f t="shared" si="28"/>
        <v>ok</v>
      </c>
    </row>
    <row r="32" spans="1:29" x14ac:dyDescent="0.25">
      <c r="A32" s="62">
        <v>356</v>
      </c>
      <c r="B32" s="14" t="s">
        <v>351</v>
      </c>
      <c r="C32" s="14" t="s">
        <v>355</v>
      </c>
      <c r="D32" s="14" t="s">
        <v>391</v>
      </c>
      <c r="F32" s="110">
        <v>0</v>
      </c>
      <c r="G32" s="27"/>
      <c r="H32" s="27">
        <f t="shared" si="15"/>
        <v>0</v>
      </c>
      <c r="I32" s="27">
        <f t="shared" si="16"/>
        <v>0</v>
      </c>
      <c r="J32" s="27"/>
      <c r="K32" s="27">
        <f t="shared" si="17"/>
        <v>0</v>
      </c>
      <c r="L32" s="27"/>
      <c r="M32" s="27">
        <f t="shared" si="18"/>
        <v>0</v>
      </c>
      <c r="N32" s="27"/>
      <c r="O32" s="27">
        <f t="shared" si="19"/>
        <v>0</v>
      </c>
      <c r="P32" s="27">
        <f t="shared" si="20"/>
        <v>0</v>
      </c>
      <c r="Q32" s="27"/>
      <c r="R32" s="27">
        <f t="shared" si="21"/>
        <v>0</v>
      </c>
      <c r="S32" s="27">
        <f t="shared" si="22"/>
        <v>0</v>
      </c>
      <c r="T32" s="27"/>
      <c r="U32" s="27">
        <f t="shared" si="23"/>
        <v>0</v>
      </c>
      <c r="V32" s="27"/>
      <c r="W32" s="27">
        <f t="shared" si="24"/>
        <v>0</v>
      </c>
      <c r="X32" s="27"/>
      <c r="Y32" s="27">
        <f t="shared" si="25"/>
        <v>0</v>
      </c>
      <c r="Z32" s="27"/>
      <c r="AA32" s="27">
        <f t="shared" si="26"/>
        <v>0</v>
      </c>
      <c r="AB32" s="27">
        <f t="shared" si="27"/>
        <v>0</v>
      </c>
      <c r="AC32" s="22" t="str">
        <f t="shared" si="28"/>
        <v>ok</v>
      </c>
    </row>
    <row r="33" spans="1:29" x14ac:dyDescent="0.25">
      <c r="A33" s="62">
        <v>359</v>
      </c>
      <c r="B33" s="14" t="s">
        <v>422</v>
      </c>
      <c r="C33" s="14" t="s">
        <v>423</v>
      </c>
      <c r="D33" s="14" t="s">
        <v>391</v>
      </c>
      <c r="F33" s="110">
        <v>0</v>
      </c>
      <c r="G33" s="27"/>
      <c r="H33" s="27">
        <f t="shared" si="15"/>
        <v>0</v>
      </c>
      <c r="I33" s="27">
        <f t="shared" si="16"/>
        <v>0</v>
      </c>
      <c r="J33" s="27"/>
      <c r="K33" s="27">
        <f t="shared" si="17"/>
        <v>0</v>
      </c>
      <c r="L33" s="27"/>
      <c r="M33" s="27">
        <f t="shared" si="18"/>
        <v>0</v>
      </c>
      <c r="N33" s="27"/>
      <c r="O33" s="27">
        <f t="shared" si="19"/>
        <v>0</v>
      </c>
      <c r="P33" s="27">
        <f t="shared" si="20"/>
        <v>0</v>
      </c>
      <c r="Q33" s="27"/>
      <c r="R33" s="27">
        <f t="shared" si="21"/>
        <v>0</v>
      </c>
      <c r="S33" s="27">
        <f t="shared" si="22"/>
        <v>0</v>
      </c>
      <c r="T33" s="27"/>
      <c r="U33" s="27">
        <f t="shared" si="23"/>
        <v>0</v>
      </c>
      <c r="V33" s="27"/>
      <c r="W33" s="27">
        <f t="shared" si="24"/>
        <v>0</v>
      </c>
      <c r="X33" s="27"/>
      <c r="Y33" s="27">
        <f t="shared" si="25"/>
        <v>0</v>
      </c>
      <c r="Z33" s="27"/>
      <c r="AA33" s="27">
        <f t="shared" si="26"/>
        <v>0</v>
      </c>
      <c r="AB33" s="27">
        <f t="shared" si="27"/>
        <v>0</v>
      </c>
      <c r="AC33" s="22" t="str">
        <f t="shared" si="28"/>
        <v>ok</v>
      </c>
    </row>
    <row r="34" spans="1:29" x14ac:dyDescent="0.25">
      <c r="Q34" s="14"/>
      <c r="AB34" s="27"/>
      <c r="AC34" s="22"/>
    </row>
    <row r="35" spans="1:29" x14ac:dyDescent="0.25">
      <c r="B35" s="14" t="s">
        <v>359</v>
      </c>
      <c r="C35" s="14" t="s">
        <v>390</v>
      </c>
      <c r="F35" s="120">
        <f>SUM(F27:F34)</f>
        <v>0</v>
      </c>
      <c r="G35" s="61"/>
      <c r="H35" s="61">
        <f t="shared" ref="H35:AA35" si="29">SUM(H27:H34)</f>
        <v>0</v>
      </c>
      <c r="I35" s="61">
        <f t="shared" si="29"/>
        <v>0</v>
      </c>
      <c r="J35" s="61"/>
      <c r="K35" s="61">
        <f t="shared" si="29"/>
        <v>0</v>
      </c>
      <c r="L35" s="61"/>
      <c r="M35" s="61">
        <f t="shared" si="29"/>
        <v>0</v>
      </c>
      <c r="N35" s="61"/>
      <c r="O35" s="61">
        <f t="shared" si="29"/>
        <v>0</v>
      </c>
      <c r="P35" s="61">
        <f t="shared" si="29"/>
        <v>0</v>
      </c>
      <c r="Q35" s="61"/>
      <c r="R35" s="61">
        <f t="shared" si="29"/>
        <v>0</v>
      </c>
      <c r="S35" s="61">
        <f t="shared" si="29"/>
        <v>0</v>
      </c>
      <c r="T35" s="61"/>
      <c r="U35" s="61">
        <f t="shared" si="29"/>
        <v>0</v>
      </c>
      <c r="V35" s="61"/>
      <c r="W35" s="61">
        <f t="shared" si="29"/>
        <v>0</v>
      </c>
      <c r="X35" s="61"/>
      <c r="Y35" s="61">
        <f t="shared" si="29"/>
        <v>0</v>
      </c>
      <c r="Z35" s="61"/>
      <c r="AA35" s="61">
        <f t="shared" si="29"/>
        <v>0</v>
      </c>
      <c r="AB35" s="27">
        <f>SUM(H35:AA35)</f>
        <v>0</v>
      </c>
      <c r="AC35" s="22" t="str">
        <f>IF(ABS(AB35-F35)&lt;1,"ok","err")</f>
        <v>ok</v>
      </c>
    </row>
    <row r="36" spans="1:29" x14ac:dyDescent="0.25">
      <c r="Q36" s="14"/>
      <c r="AC36" s="22"/>
    </row>
    <row r="37" spans="1:29" x14ac:dyDescent="0.25">
      <c r="A37" s="20" t="s">
        <v>366</v>
      </c>
      <c r="Q37" s="14"/>
      <c r="AC37" s="22"/>
    </row>
    <row r="38" spans="1:29" x14ac:dyDescent="0.25">
      <c r="Q38" s="14"/>
      <c r="AC38" s="22"/>
    </row>
    <row r="39" spans="1:29" x14ac:dyDescent="0.25">
      <c r="A39" s="20" t="s">
        <v>21</v>
      </c>
      <c r="Q39" s="14"/>
      <c r="AC39" s="22"/>
    </row>
    <row r="40" spans="1:29" x14ac:dyDescent="0.25">
      <c r="A40" s="62">
        <v>360</v>
      </c>
      <c r="B40" s="14" t="s">
        <v>17</v>
      </c>
      <c r="C40" s="14" t="s">
        <v>18</v>
      </c>
      <c r="D40" s="14" t="s">
        <v>24</v>
      </c>
      <c r="F40" s="119">
        <v>0</v>
      </c>
      <c r="G40" s="40"/>
      <c r="H40" s="27">
        <f>IF(VLOOKUP($D40,$C$5:$AA$496,6,)=0,0,((VLOOKUP($D40,$C$5:$AA$496,6,)/VLOOKUP($D40,$C$5:$AA$496,4,))*$F63))</f>
        <v>0</v>
      </c>
      <c r="I40" s="27">
        <f>IF(VLOOKUP($D40,$C$5:$AA$496,7,)=0,0,((VLOOKUP($D40,$C$5:$AA$496,7,)/VLOOKUP($D40,$C$5:$AA$496,4,))*$F63))</f>
        <v>0</v>
      </c>
      <c r="J40" s="27"/>
      <c r="K40" s="27">
        <f>IF(VLOOKUP($D40,$C$5:$AA$496,9,)=0,0,((VLOOKUP($D40,$C$5:$AA$496,9,)/VLOOKUP($D40,$C$5:$AA$496,4,))*$F63))</f>
        <v>0</v>
      </c>
      <c r="L40" s="27"/>
      <c r="M40" s="27">
        <f t="shared" ref="M40:M52" si="30">IF(VLOOKUP($D40,$C$5:$AA$496,11,)=0,0,((VLOOKUP($D40,$C$5:$AA$496,11,)/VLOOKUP($D40,$C$5:$AA$496,4,))*$F40))</f>
        <v>0</v>
      </c>
      <c r="N40" s="27"/>
      <c r="O40" s="27">
        <f>IF(VLOOKUP($D40,$C$5:$AA$496,13,)=0,0,((VLOOKUP($D40,$C$5:$AA$496,13,)/VLOOKUP($D40,$C$5:$AA$496,4,))*$F63))</f>
        <v>0</v>
      </c>
      <c r="P40" s="27">
        <f>IF(VLOOKUP($D40,$C$5:$AA$496,14,)=0,0,((VLOOKUP($D40,$C$5:$AA$496,14,)/VLOOKUP($D40,$C$5:$AA$496,4,))*$F63))</f>
        <v>0</v>
      </c>
      <c r="Q40" s="27"/>
      <c r="R40" s="27">
        <f>IF(VLOOKUP($D40,$C$5:$AA$496,16,)=0,0,((VLOOKUP($D40,$C$5:$AA$496,16,)/VLOOKUP($D40,$C$5:$AA$496,4,))*$F63))</f>
        <v>0</v>
      </c>
      <c r="S40" s="27">
        <f>IF(VLOOKUP($D40,$C$5:$AA$496,17,)=0,0,((VLOOKUP($D40,$C$5:$AA$496,17,)/VLOOKUP($D40,$C$5:$AA$496,4,))*$F63))</f>
        <v>0</v>
      </c>
      <c r="T40" s="27"/>
      <c r="U40" s="27">
        <f>IF(VLOOKUP($D40,$C$5:$AA$496,19,)=0,0,((VLOOKUP($D40,$C$5:$AA$496,19,)/VLOOKUP($D40,$C$5:$AA$496,4,))*$F63))</f>
        <v>0</v>
      </c>
      <c r="V40" s="27"/>
      <c r="W40" s="27">
        <f>IF(VLOOKUP($D40,$C$5:$AA$496,21,)=0,0,((VLOOKUP($D40,$C$5:$AA$496,21,)/VLOOKUP($D40,$C$5:$AA$496,4,))*$F63))</f>
        <v>0</v>
      </c>
      <c r="X40" s="27"/>
      <c r="Y40" s="27">
        <f>IF(VLOOKUP($D40,$C$5:$AA$496,23,)=0,0,((VLOOKUP($D40,$C$5:$AA$496,23,)/VLOOKUP($D40,$C$5:$AA$496,4,))*$F63))</f>
        <v>0</v>
      </c>
      <c r="Z40" s="27"/>
      <c r="AA40" s="27">
        <f>IF(VLOOKUP($D40,$C$5:$AA$496,25,)=0,0,((VLOOKUP($D40,$C$5:$AA$496,25,)/VLOOKUP($D40,$C$5:$AA$496,4,))*$F63))</f>
        <v>0</v>
      </c>
      <c r="AB40" s="27">
        <f t="shared" ref="AB40:AB52" si="31">SUM(H40:AA40)</f>
        <v>0</v>
      </c>
      <c r="AC40" s="22" t="str">
        <f>IF(ABS(AB40-F40)&lt;1,"ok","err")</f>
        <v>ok</v>
      </c>
    </row>
    <row r="41" spans="1:29" x14ac:dyDescent="0.25">
      <c r="A41" s="62">
        <v>361</v>
      </c>
      <c r="B41" s="14" t="s">
        <v>53</v>
      </c>
      <c r="C41" s="14" t="s">
        <v>424</v>
      </c>
      <c r="D41" s="14" t="s">
        <v>24</v>
      </c>
      <c r="F41" s="110">
        <v>0</v>
      </c>
      <c r="G41" s="27"/>
      <c r="H41" s="27">
        <f t="shared" ref="H41:H52" si="32">IF(VLOOKUP($D41,$C$5:$AA$496,6,)=0,0,((VLOOKUP($D41,$C$5:$AA$496,6,)/VLOOKUP($D41,$C$5:$AA$496,4,))*$F41))</f>
        <v>0</v>
      </c>
      <c r="I41" s="27">
        <f t="shared" ref="I41:I52" si="33">IF(VLOOKUP($D41,$C$5:$AA$496,7,)=0,0,((VLOOKUP($D41,$C$5:$AA$496,7,)/VLOOKUP($D41,$C$5:$AA$496,4,))*$F41))</f>
        <v>0</v>
      </c>
      <c r="J41" s="27"/>
      <c r="K41" s="27">
        <f t="shared" ref="K41:K52" si="34">IF(VLOOKUP($D41,$C$5:$AA$496,9,)=0,0,((VLOOKUP($D41,$C$5:$AA$496,9,)/VLOOKUP($D41,$C$5:$AA$496,4,))*$F41))</f>
        <v>0</v>
      </c>
      <c r="L41" s="27"/>
      <c r="M41" s="27">
        <f t="shared" si="30"/>
        <v>0</v>
      </c>
      <c r="N41" s="27"/>
      <c r="O41" s="27">
        <f t="shared" ref="O41:O52" si="35">IF(VLOOKUP($D41,$C$5:$AA$496,13,)=0,0,((VLOOKUP($D41,$C$5:$AA$496,13,)/VLOOKUP($D41,$C$5:$AA$496,4,))*$F41))</f>
        <v>0</v>
      </c>
      <c r="P41" s="27">
        <f t="shared" ref="P41:P52" si="36">IF(VLOOKUP($D41,$C$5:$AA$496,14,)=0,0,((VLOOKUP($D41,$C$5:$AA$496,14,)/VLOOKUP($D41,$C$5:$AA$496,4,))*$F41))</f>
        <v>0</v>
      </c>
      <c r="Q41" s="27"/>
      <c r="R41" s="27">
        <f t="shared" ref="R41:R52" si="37">IF(VLOOKUP($D41,$C$5:$AA$496,16,)=0,0,((VLOOKUP($D41,$C$5:$AA$496,16,)/VLOOKUP($D41,$C$5:$AA$496,4,))*$F41))</f>
        <v>0</v>
      </c>
      <c r="S41" s="27">
        <f t="shared" ref="S41:S52" si="38">IF(VLOOKUP($D41,$C$5:$AA$496,17,)=0,0,((VLOOKUP($D41,$C$5:$AA$496,17,)/VLOOKUP($D41,$C$5:$AA$496,4,))*$F41))</f>
        <v>0</v>
      </c>
      <c r="T41" s="27"/>
      <c r="U41" s="27">
        <f t="shared" ref="U41:U52" si="39">IF(VLOOKUP($D41,$C$5:$AA$496,19,)=0,0,((VLOOKUP($D41,$C$5:$AA$496,19,)/VLOOKUP($D41,$C$5:$AA$496,4,))*$F41))</f>
        <v>0</v>
      </c>
      <c r="V41" s="27"/>
      <c r="W41" s="27">
        <f t="shared" ref="W41:W52" si="40">IF(VLOOKUP($D41,$C$5:$AA$496,21,)=0,0,((VLOOKUP($D41,$C$5:$AA$496,21,)/VLOOKUP($D41,$C$5:$AA$496,4,))*$F41))</f>
        <v>0</v>
      </c>
      <c r="X41" s="27"/>
      <c r="Y41" s="27">
        <f t="shared" ref="Y41:Y52" si="41">IF(VLOOKUP($D41,$C$5:$AA$496,23,)=0,0,((VLOOKUP($D41,$C$5:$AA$496,23,)/VLOOKUP($D41,$C$5:$AA$496,4,))*$F41))</f>
        <v>0</v>
      </c>
      <c r="Z41" s="27"/>
      <c r="AA41" s="27">
        <f t="shared" ref="AA41:AA52" si="42">IF(VLOOKUP($D41,$C$5:$AA$496,25,)=0,0,((VLOOKUP($D41,$C$5:$AA$496,25,)/VLOOKUP($D41,$C$5:$AA$496,4,))*$F41))</f>
        <v>0</v>
      </c>
      <c r="AB41" s="27">
        <f t="shared" si="31"/>
        <v>0</v>
      </c>
      <c r="AC41" s="22" t="str">
        <f t="shared" ref="AC41:AC52" si="43">IF(ABS(AB41-F41)&lt;1,"ok","err")</f>
        <v>ok</v>
      </c>
    </row>
    <row r="42" spans="1:29" x14ac:dyDescent="0.25">
      <c r="A42" s="62">
        <v>362</v>
      </c>
      <c r="B42" s="14" t="s">
        <v>22</v>
      </c>
      <c r="C42" s="14" t="s">
        <v>23</v>
      </c>
      <c r="D42" s="14" t="s">
        <v>24</v>
      </c>
      <c r="F42" s="110">
        <v>0</v>
      </c>
      <c r="G42" s="27"/>
      <c r="H42" s="27">
        <f t="shared" si="32"/>
        <v>0</v>
      </c>
      <c r="I42" s="27">
        <f t="shared" si="33"/>
        <v>0</v>
      </c>
      <c r="J42" s="27"/>
      <c r="K42" s="27">
        <f t="shared" si="34"/>
        <v>0</v>
      </c>
      <c r="L42" s="27"/>
      <c r="M42" s="27">
        <f t="shared" si="30"/>
        <v>0</v>
      </c>
      <c r="N42" s="27"/>
      <c r="O42" s="27">
        <f t="shared" si="35"/>
        <v>0</v>
      </c>
      <c r="P42" s="27">
        <f t="shared" si="36"/>
        <v>0</v>
      </c>
      <c r="Q42" s="27"/>
      <c r="R42" s="27">
        <f t="shared" si="37"/>
        <v>0</v>
      </c>
      <c r="S42" s="27">
        <f t="shared" si="38"/>
        <v>0</v>
      </c>
      <c r="T42" s="27"/>
      <c r="U42" s="27">
        <f t="shared" si="39"/>
        <v>0</v>
      </c>
      <c r="V42" s="27"/>
      <c r="W42" s="27">
        <f t="shared" si="40"/>
        <v>0</v>
      </c>
      <c r="X42" s="27"/>
      <c r="Y42" s="27">
        <f t="shared" si="41"/>
        <v>0</v>
      </c>
      <c r="Z42" s="27"/>
      <c r="AA42" s="27">
        <f t="shared" si="42"/>
        <v>0</v>
      </c>
      <c r="AB42" s="27">
        <f t="shared" si="31"/>
        <v>0</v>
      </c>
      <c r="AC42" s="22" t="str">
        <f t="shared" si="43"/>
        <v>ok</v>
      </c>
    </row>
    <row r="43" spans="1:29" x14ac:dyDescent="0.25">
      <c r="A43" s="62">
        <v>364</v>
      </c>
      <c r="B43" s="14" t="s">
        <v>25</v>
      </c>
      <c r="C43" s="14" t="s">
        <v>26</v>
      </c>
      <c r="D43" s="14" t="s">
        <v>27</v>
      </c>
      <c r="F43" s="110">
        <v>39791928.43</v>
      </c>
      <c r="G43" s="27"/>
      <c r="H43" s="27">
        <f t="shared" si="32"/>
        <v>0</v>
      </c>
      <c r="I43" s="27">
        <f t="shared" si="33"/>
        <v>0</v>
      </c>
      <c r="J43" s="27"/>
      <c r="K43" s="27">
        <f t="shared" si="34"/>
        <v>0</v>
      </c>
      <c r="L43" s="27"/>
      <c r="M43" s="27">
        <f t="shared" si="30"/>
        <v>0</v>
      </c>
      <c r="N43" s="27"/>
      <c r="O43" s="27">
        <f t="shared" si="35"/>
        <v>32360731.553457025</v>
      </c>
      <c r="P43" s="27">
        <f t="shared" si="36"/>
        <v>7431196.8765429724</v>
      </c>
      <c r="Q43" s="27"/>
      <c r="R43" s="27">
        <f t="shared" si="37"/>
        <v>0</v>
      </c>
      <c r="S43" s="27">
        <f t="shared" si="38"/>
        <v>0</v>
      </c>
      <c r="T43" s="27"/>
      <c r="U43" s="27">
        <f t="shared" si="39"/>
        <v>0</v>
      </c>
      <c r="V43" s="27"/>
      <c r="W43" s="27">
        <f t="shared" si="40"/>
        <v>0</v>
      </c>
      <c r="X43" s="27"/>
      <c r="Y43" s="27">
        <f t="shared" si="41"/>
        <v>0</v>
      </c>
      <c r="Z43" s="27"/>
      <c r="AA43" s="27">
        <f t="shared" si="42"/>
        <v>0</v>
      </c>
      <c r="AB43" s="27">
        <f t="shared" si="31"/>
        <v>39791928.43</v>
      </c>
      <c r="AC43" s="22" t="str">
        <f t="shared" si="43"/>
        <v>ok</v>
      </c>
    </row>
    <row r="44" spans="1:29" x14ac:dyDescent="0.25">
      <c r="A44" s="62">
        <v>365</v>
      </c>
      <c r="B44" s="14" t="s">
        <v>28</v>
      </c>
      <c r="C44" s="14" t="s">
        <v>29</v>
      </c>
      <c r="D44" s="14" t="s">
        <v>30</v>
      </c>
      <c r="F44" s="110">
        <v>31765974.359999999</v>
      </c>
      <c r="G44" s="27"/>
      <c r="H44" s="27">
        <f t="shared" si="32"/>
        <v>0</v>
      </c>
      <c r="I44" s="27">
        <f t="shared" si="33"/>
        <v>0</v>
      </c>
      <c r="J44" s="27"/>
      <c r="K44" s="27">
        <f t="shared" si="34"/>
        <v>0</v>
      </c>
      <c r="L44" s="27"/>
      <c r="M44" s="27">
        <f t="shared" si="30"/>
        <v>0</v>
      </c>
      <c r="N44" s="27"/>
      <c r="O44" s="27">
        <f t="shared" si="35"/>
        <v>25833635.346583247</v>
      </c>
      <c r="P44" s="27">
        <f t="shared" si="36"/>
        <v>5932339.0134167504</v>
      </c>
      <c r="Q44" s="27"/>
      <c r="R44" s="27">
        <f t="shared" si="37"/>
        <v>0</v>
      </c>
      <c r="S44" s="27">
        <f t="shared" si="38"/>
        <v>0</v>
      </c>
      <c r="T44" s="27"/>
      <c r="U44" s="27">
        <f t="shared" si="39"/>
        <v>0</v>
      </c>
      <c r="V44" s="27"/>
      <c r="W44" s="27">
        <f t="shared" si="40"/>
        <v>0</v>
      </c>
      <c r="X44" s="27"/>
      <c r="Y44" s="27">
        <f t="shared" si="41"/>
        <v>0</v>
      </c>
      <c r="Z44" s="27"/>
      <c r="AA44" s="27">
        <f t="shared" si="42"/>
        <v>0</v>
      </c>
      <c r="AB44" s="27">
        <f t="shared" si="31"/>
        <v>31765974.359999999</v>
      </c>
      <c r="AC44" s="22" t="str">
        <f t="shared" si="43"/>
        <v>ok</v>
      </c>
    </row>
    <row r="45" spans="1:29" x14ac:dyDescent="0.25">
      <c r="A45" s="62">
        <v>366</v>
      </c>
      <c r="B45" s="14" t="s">
        <v>31</v>
      </c>
      <c r="C45" s="14" t="s">
        <v>32</v>
      </c>
      <c r="D45" s="14" t="s">
        <v>33</v>
      </c>
      <c r="F45" s="110">
        <v>0</v>
      </c>
      <c r="G45" s="27"/>
      <c r="H45" s="27">
        <f t="shared" si="32"/>
        <v>0</v>
      </c>
      <c r="I45" s="27">
        <f t="shared" si="33"/>
        <v>0</v>
      </c>
      <c r="J45" s="27"/>
      <c r="K45" s="27">
        <f t="shared" si="34"/>
        <v>0</v>
      </c>
      <c r="L45" s="27"/>
      <c r="M45" s="27">
        <f t="shared" si="30"/>
        <v>0</v>
      </c>
      <c r="N45" s="27"/>
      <c r="O45" s="27">
        <f t="shared" si="35"/>
        <v>0</v>
      </c>
      <c r="P45" s="27">
        <f t="shared" si="36"/>
        <v>0</v>
      </c>
      <c r="Q45" s="27"/>
      <c r="R45" s="27">
        <f t="shared" si="37"/>
        <v>0</v>
      </c>
      <c r="S45" s="27">
        <f t="shared" si="38"/>
        <v>0</v>
      </c>
      <c r="T45" s="27"/>
      <c r="U45" s="27">
        <f t="shared" si="39"/>
        <v>0</v>
      </c>
      <c r="V45" s="27"/>
      <c r="W45" s="27">
        <f t="shared" si="40"/>
        <v>0</v>
      </c>
      <c r="X45" s="27"/>
      <c r="Y45" s="27">
        <f t="shared" si="41"/>
        <v>0</v>
      </c>
      <c r="Z45" s="27"/>
      <c r="AA45" s="27">
        <f t="shared" si="42"/>
        <v>0</v>
      </c>
      <c r="AB45" s="27">
        <f t="shared" si="31"/>
        <v>0</v>
      </c>
      <c r="AC45" s="22" t="str">
        <f t="shared" si="43"/>
        <v>ok</v>
      </c>
    </row>
    <row r="46" spans="1:29" x14ac:dyDescent="0.25">
      <c r="A46" s="62">
        <v>367</v>
      </c>
      <c r="B46" s="14" t="s">
        <v>34</v>
      </c>
      <c r="C46" s="14" t="s">
        <v>35</v>
      </c>
      <c r="D46" s="14" t="s">
        <v>33</v>
      </c>
      <c r="F46" s="110">
        <v>2483104.73</v>
      </c>
      <c r="G46" s="27"/>
      <c r="H46" s="27">
        <f t="shared" si="32"/>
        <v>0</v>
      </c>
      <c r="I46" s="27">
        <f t="shared" si="33"/>
        <v>0</v>
      </c>
      <c r="J46" s="27"/>
      <c r="K46" s="27">
        <f t="shared" si="34"/>
        <v>0</v>
      </c>
      <c r="L46" s="27"/>
      <c r="M46" s="27">
        <f t="shared" si="30"/>
        <v>0</v>
      </c>
      <c r="N46" s="27"/>
      <c r="O46" s="27">
        <f t="shared" si="35"/>
        <v>1640569.803256453</v>
      </c>
      <c r="P46" s="27">
        <f t="shared" si="36"/>
        <v>842534.92674354697</v>
      </c>
      <c r="Q46" s="27"/>
      <c r="R46" s="27">
        <f t="shared" si="37"/>
        <v>0</v>
      </c>
      <c r="S46" s="27">
        <f t="shared" si="38"/>
        <v>0</v>
      </c>
      <c r="T46" s="27"/>
      <c r="U46" s="27">
        <f t="shared" si="39"/>
        <v>0</v>
      </c>
      <c r="V46" s="27"/>
      <c r="W46" s="27">
        <f t="shared" si="40"/>
        <v>0</v>
      </c>
      <c r="X46" s="27"/>
      <c r="Y46" s="27">
        <f t="shared" si="41"/>
        <v>0</v>
      </c>
      <c r="Z46" s="27"/>
      <c r="AA46" s="27">
        <f t="shared" si="42"/>
        <v>0</v>
      </c>
      <c r="AB46" s="27">
        <f t="shared" si="31"/>
        <v>2483104.73</v>
      </c>
      <c r="AC46" s="22" t="str">
        <f t="shared" si="43"/>
        <v>ok</v>
      </c>
    </row>
    <row r="47" spans="1:29" x14ac:dyDescent="0.25">
      <c r="A47" s="62">
        <v>368</v>
      </c>
      <c r="B47" s="14" t="s">
        <v>36</v>
      </c>
      <c r="C47" s="14" t="s">
        <v>37</v>
      </c>
      <c r="D47" s="14" t="s">
        <v>38</v>
      </c>
      <c r="F47" s="110">
        <v>20331914.600000001</v>
      </c>
      <c r="G47" s="27"/>
      <c r="H47" s="27">
        <f t="shared" si="32"/>
        <v>0</v>
      </c>
      <c r="I47" s="27">
        <f t="shared" si="33"/>
        <v>0</v>
      </c>
      <c r="J47" s="27"/>
      <c r="K47" s="27">
        <f t="shared" si="34"/>
        <v>0</v>
      </c>
      <c r="L47" s="27"/>
      <c r="M47" s="27">
        <f t="shared" si="30"/>
        <v>0</v>
      </c>
      <c r="N47" s="27"/>
      <c r="O47" s="27">
        <f t="shared" si="35"/>
        <v>7519095.8065291047</v>
      </c>
      <c r="P47" s="27">
        <f t="shared" si="36"/>
        <v>12812818.793470897</v>
      </c>
      <c r="Q47" s="27"/>
      <c r="R47" s="27">
        <f t="shared" si="37"/>
        <v>0</v>
      </c>
      <c r="S47" s="27">
        <f t="shared" si="38"/>
        <v>0</v>
      </c>
      <c r="T47" s="27"/>
      <c r="U47" s="27">
        <f t="shared" si="39"/>
        <v>0</v>
      </c>
      <c r="V47" s="27"/>
      <c r="W47" s="27">
        <f t="shared" si="40"/>
        <v>0</v>
      </c>
      <c r="X47" s="27"/>
      <c r="Y47" s="27">
        <f t="shared" si="41"/>
        <v>0</v>
      </c>
      <c r="Z47" s="27"/>
      <c r="AA47" s="27">
        <f t="shared" si="42"/>
        <v>0</v>
      </c>
      <c r="AB47" s="27">
        <f t="shared" si="31"/>
        <v>20331914.600000001</v>
      </c>
      <c r="AC47" s="22" t="str">
        <f t="shared" si="43"/>
        <v>ok</v>
      </c>
    </row>
    <row r="48" spans="1:29" x14ac:dyDescent="0.25">
      <c r="A48" s="62">
        <v>369</v>
      </c>
      <c r="B48" s="14" t="s">
        <v>39</v>
      </c>
      <c r="C48" s="14" t="s">
        <v>40</v>
      </c>
      <c r="D48" s="14" t="s">
        <v>41</v>
      </c>
      <c r="F48" s="110">
        <v>8334055.4000000004</v>
      </c>
      <c r="G48" s="27"/>
      <c r="H48" s="27">
        <f t="shared" si="32"/>
        <v>0</v>
      </c>
      <c r="I48" s="27">
        <f t="shared" si="33"/>
        <v>0</v>
      </c>
      <c r="J48" s="27"/>
      <c r="K48" s="27">
        <f t="shared" si="34"/>
        <v>0</v>
      </c>
      <c r="L48" s="27"/>
      <c r="M48" s="27">
        <f t="shared" si="30"/>
        <v>0</v>
      </c>
      <c r="N48" s="27"/>
      <c r="O48" s="27">
        <f t="shared" si="35"/>
        <v>0</v>
      </c>
      <c r="P48" s="27">
        <f t="shared" si="36"/>
        <v>0</v>
      </c>
      <c r="Q48" s="27"/>
      <c r="R48" s="27">
        <f t="shared" si="37"/>
        <v>0</v>
      </c>
      <c r="S48" s="27">
        <f t="shared" si="38"/>
        <v>8334055.4000000004</v>
      </c>
      <c r="T48" s="27"/>
      <c r="U48" s="27">
        <f t="shared" si="39"/>
        <v>0</v>
      </c>
      <c r="V48" s="27"/>
      <c r="W48" s="27">
        <f t="shared" si="40"/>
        <v>0</v>
      </c>
      <c r="X48" s="27"/>
      <c r="Y48" s="27">
        <f t="shared" si="41"/>
        <v>0</v>
      </c>
      <c r="Z48" s="27"/>
      <c r="AA48" s="27">
        <f t="shared" si="42"/>
        <v>0</v>
      </c>
      <c r="AB48" s="27">
        <f t="shared" si="31"/>
        <v>8334055.4000000004</v>
      </c>
      <c r="AC48" s="22" t="str">
        <f t="shared" si="43"/>
        <v>ok</v>
      </c>
    </row>
    <row r="49" spans="1:30" x14ac:dyDescent="0.25">
      <c r="A49" s="62">
        <v>370</v>
      </c>
      <c r="B49" s="14" t="s">
        <v>42</v>
      </c>
      <c r="C49" s="14" t="s">
        <v>43</v>
      </c>
      <c r="D49" s="14" t="s">
        <v>44</v>
      </c>
      <c r="F49" s="110">
        <v>6534821.8399999999</v>
      </c>
      <c r="G49" s="27"/>
      <c r="H49" s="27">
        <f t="shared" si="32"/>
        <v>0</v>
      </c>
      <c r="I49" s="27">
        <f t="shared" si="33"/>
        <v>0</v>
      </c>
      <c r="J49" s="27"/>
      <c r="K49" s="27">
        <f t="shared" si="34"/>
        <v>0</v>
      </c>
      <c r="L49" s="27"/>
      <c r="M49" s="27">
        <f t="shared" si="30"/>
        <v>0</v>
      </c>
      <c r="N49" s="27"/>
      <c r="O49" s="27">
        <f t="shared" si="35"/>
        <v>0</v>
      </c>
      <c r="P49" s="27">
        <f t="shared" si="36"/>
        <v>0</v>
      </c>
      <c r="Q49" s="27"/>
      <c r="R49" s="27">
        <f t="shared" si="37"/>
        <v>0</v>
      </c>
      <c r="S49" s="27">
        <f t="shared" si="38"/>
        <v>0</v>
      </c>
      <c r="T49" s="27"/>
      <c r="U49" s="27">
        <f t="shared" si="39"/>
        <v>6534821.8399999999</v>
      </c>
      <c r="V49" s="27"/>
      <c r="W49" s="27">
        <f t="shared" si="40"/>
        <v>0</v>
      </c>
      <c r="X49" s="27"/>
      <c r="Y49" s="27">
        <f t="shared" si="41"/>
        <v>0</v>
      </c>
      <c r="Z49" s="27"/>
      <c r="AA49" s="27">
        <f t="shared" si="42"/>
        <v>0</v>
      </c>
      <c r="AB49" s="27">
        <f t="shared" si="31"/>
        <v>6534821.8399999999</v>
      </c>
      <c r="AC49" s="22" t="str">
        <f t="shared" si="43"/>
        <v>ok</v>
      </c>
    </row>
    <row r="50" spans="1:30" x14ac:dyDescent="0.25">
      <c r="A50" s="62">
        <v>371</v>
      </c>
      <c r="B50" s="14" t="s">
        <v>45</v>
      </c>
      <c r="C50" s="14" t="s">
        <v>46</v>
      </c>
      <c r="D50" s="14" t="s">
        <v>546</v>
      </c>
      <c r="F50" s="110">
        <v>3743268.27</v>
      </c>
      <c r="G50" s="27" t="s">
        <v>1142</v>
      </c>
      <c r="H50" s="27">
        <f t="shared" si="32"/>
        <v>0</v>
      </c>
      <c r="I50" s="27">
        <f t="shared" si="33"/>
        <v>0</v>
      </c>
      <c r="J50" s="27"/>
      <c r="K50" s="27">
        <f t="shared" si="34"/>
        <v>0</v>
      </c>
      <c r="L50" s="27"/>
      <c r="M50" s="27">
        <f t="shared" si="30"/>
        <v>0</v>
      </c>
      <c r="N50" s="27"/>
      <c r="O50" s="27">
        <f t="shared" si="35"/>
        <v>0</v>
      </c>
      <c r="P50" s="27">
        <f t="shared" si="36"/>
        <v>0</v>
      </c>
      <c r="Q50" s="27"/>
      <c r="R50" s="27">
        <f t="shared" si="37"/>
        <v>0</v>
      </c>
      <c r="S50" s="27">
        <f t="shared" si="38"/>
        <v>0</v>
      </c>
      <c r="T50" s="27"/>
      <c r="U50" s="27">
        <f t="shared" si="39"/>
        <v>0</v>
      </c>
      <c r="V50" s="27"/>
      <c r="W50" s="27">
        <f t="shared" si="40"/>
        <v>3743268.27</v>
      </c>
      <c r="X50" s="27"/>
      <c r="Y50" s="27">
        <f t="shared" si="41"/>
        <v>0</v>
      </c>
      <c r="Z50" s="27"/>
      <c r="AA50" s="27">
        <f t="shared" si="42"/>
        <v>0</v>
      </c>
      <c r="AB50" s="27">
        <f t="shared" si="31"/>
        <v>3743268.27</v>
      </c>
      <c r="AC50" s="22" t="str">
        <f t="shared" si="43"/>
        <v>ok</v>
      </c>
    </row>
    <row r="51" spans="1:30" x14ac:dyDescent="0.25">
      <c r="A51" s="62">
        <v>372</v>
      </c>
      <c r="B51" s="14" t="s">
        <v>574</v>
      </c>
      <c r="C51" s="14" t="s">
        <v>575</v>
      </c>
      <c r="D51" s="14" t="s">
        <v>546</v>
      </c>
      <c r="F51" s="110">
        <v>0</v>
      </c>
      <c r="G51" s="27"/>
      <c r="H51" s="27">
        <f t="shared" si="32"/>
        <v>0</v>
      </c>
      <c r="I51" s="27">
        <f t="shared" si="33"/>
        <v>0</v>
      </c>
      <c r="J51" s="27"/>
      <c r="K51" s="27">
        <f t="shared" si="34"/>
        <v>0</v>
      </c>
      <c r="L51" s="27"/>
      <c r="M51" s="27">
        <f t="shared" si="30"/>
        <v>0</v>
      </c>
      <c r="N51" s="27"/>
      <c r="O51" s="27">
        <f t="shared" si="35"/>
        <v>0</v>
      </c>
      <c r="P51" s="27">
        <f t="shared" si="36"/>
        <v>0</v>
      </c>
      <c r="Q51" s="27"/>
      <c r="R51" s="27">
        <f t="shared" si="37"/>
        <v>0</v>
      </c>
      <c r="S51" s="27">
        <f t="shared" si="38"/>
        <v>0</v>
      </c>
      <c r="T51" s="27"/>
      <c r="U51" s="27">
        <f t="shared" si="39"/>
        <v>0</v>
      </c>
      <c r="V51" s="27"/>
      <c r="W51" s="27">
        <f t="shared" si="40"/>
        <v>0</v>
      </c>
      <c r="X51" s="27"/>
      <c r="Y51" s="27">
        <f t="shared" si="41"/>
        <v>0</v>
      </c>
      <c r="Z51" s="27"/>
      <c r="AA51" s="27">
        <f t="shared" si="42"/>
        <v>0</v>
      </c>
      <c r="AB51" s="27">
        <f t="shared" si="31"/>
        <v>0</v>
      </c>
      <c r="AC51" s="22" t="str">
        <f t="shared" si="43"/>
        <v>ok</v>
      </c>
    </row>
    <row r="52" spans="1:30" x14ac:dyDescent="0.25">
      <c r="A52" s="62">
        <v>373</v>
      </c>
      <c r="B52" s="14" t="s">
        <v>47</v>
      </c>
      <c r="C52" s="14" t="s">
        <v>48</v>
      </c>
      <c r="D52" s="14" t="s">
        <v>49</v>
      </c>
      <c r="F52" s="110">
        <v>0</v>
      </c>
      <c r="G52" s="27"/>
      <c r="H52" s="27">
        <f t="shared" si="32"/>
        <v>0</v>
      </c>
      <c r="I52" s="27">
        <f t="shared" si="33"/>
        <v>0</v>
      </c>
      <c r="J52" s="27"/>
      <c r="K52" s="27">
        <f t="shared" si="34"/>
        <v>0</v>
      </c>
      <c r="L52" s="27"/>
      <c r="M52" s="27">
        <f t="shared" si="30"/>
        <v>0</v>
      </c>
      <c r="N52" s="27"/>
      <c r="O52" s="27">
        <f t="shared" si="35"/>
        <v>0</v>
      </c>
      <c r="P52" s="27">
        <f t="shared" si="36"/>
        <v>0</v>
      </c>
      <c r="Q52" s="27"/>
      <c r="R52" s="27">
        <f t="shared" si="37"/>
        <v>0</v>
      </c>
      <c r="S52" s="27">
        <f t="shared" si="38"/>
        <v>0</v>
      </c>
      <c r="T52" s="27"/>
      <c r="U52" s="27">
        <f t="shared" si="39"/>
        <v>0</v>
      </c>
      <c r="V52" s="27"/>
      <c r="W52" s="27">
        <f t="shared" si="40"/>
        <v>0</v>
      </c>
      <c r="X52" s="27"/>
      <c r="Y52" s="27">
        <f t="shared" si="41"/>
        <v>0</v>
      </c>
      <c r="Z52" s="27"/>
      <c r="AA52" s="27">
        <f t="shared" si="42"/>
        <v>0</v>
      </c>
      <c r="AB52" s="27">
        <f t="shared" si="31"/>
        <v>0</v>
      </c>
      <c r="AC52" s="22" t="str">
        <f t="shared" si="43"/>
        <v>ok</v>
      </c>
    </row>
    <row r="53" spans="1:30" x14ac:dyDescent="0.25">
      <c r="A53" s="62"/>
      <c r="F53" s="110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2"/>
    </row>
    <row r="54" spans="1:30" x14ac:dyDescent="0.25">
      <c r="B54" s="14" t="s">
        <v>50</v>
      </c>
      <c r="C54" s="14" t="s">
        <v>16</v>
      </c>
      <c r="F54" s="119">
        <f>SUM(F40:F53)</f>
        <v>112985067.63000001</v>
      </c>
      <c r="G54" s="40"/>
      <c r="H54" s="40">
        <f>SUM(H40:H53)</f>
        <v>0</v>
      </c>
      <c r="I54" s="40">
        <f>SUM(I40:I53)</f>
        <v>0</v>
      </c>
      <c r="J54" s="40"/>
      <c r="K54" s="40"/>
      <c r="L54" s="40"/>
      <c r="M54" s="40">
        <f>SUM(M40:M53)</f>
        <v>0</v>
      </c>
      <c r="N54" s="40"/>
      <c r="O54" s="40">
        <f>SUM(O40:O53)</f>
        <v>67354032.509825826</v>
      </c>
      <c r="P54" s="40">
        <f>SUM(P40:P53)</f>
        <v>27018889.610174164</v>
      </c>
      <c r="Q54" s="40"/>
      <c r="R54" s="40">
        <f>SUM(R40:R52)</f>
        <v>0</v>
      </c>
      <c r="S54" s="40">
        <f>SUM(S40:S52)</f>
        <v>8334055.4000000004</v>
      </c>
      <c r="T54" s="40"/>
      <c r="U54" s="40">
        <f>SUM(U40:U52)</f>
        <v>6534821.8399999999</v>
      </c>
      <c r="V54" s="40"/>
      <c r="W54" s="40">
        <f>SUM(W40:W52)</f>
        <v>3743268.27</v>
      </c>
      <c r="X54" s="40"/>
      <c r="Y54" s="40">
        <f>SUM(Y40:Y52)</f>
        <v>0</v>
      </c>
      <c r="Z54" s="40"/>
      <c r="AA54" s="40">
        <f>SUM(AA40:AA52)</f>
        <v>0</v>
      </c>
      <c r="AB54" s="27">
        <f>SUM(H54:AA54)</f>
        <v>112985067.63</v>
      </c>
      <c r="AC54" s="22" t="str">
        <f>IF(ABS(AB54-F54)&lt;1,"ok","err")</f>
        <v>ok</v>
      </c>
      <c r="AD54" s="24"/>
    </row>
    <row r="55" spans="1:30" x14ac:dyDescent="0.25">
      <c r="Q55" s="14"/>
      <c r="AC55" s="22"/>
      <c r="AD55" s="24"/>
    </row>
    <row r="56" spans="1:30" x14ac:dyDescent="0.25">
      <c r="B56" s="14" t="s">
        <v>749</v>
      </c>
      <c r="C56" s="14" t="s">
        <v>392</v>
      </c>
      <c r="F56" s="120">
        <f t="shared" ref="F56:M56" si="44">F35+F54</f>
        <v>112985067.63000001</v>
      </c>
      <c r="G56" s="61"/>
      <c r="H56" s="61">
        <f t="shared" si="44"/>
        <v>0</v>
      </c>
      <c r="I56" s="61">
        <f t="shared" si="44"/>
        <v>0</v>
      </c>
      <c r="J56" s="61">
        <f t="shared" si="44"/>
        <v>0</v>
      </c>
      <c r="K56" s="61">
        <f t="shared" si="44"/>
        <v>0</v>
      </c>
      <c r="L56" s="61"/>
      <c r="M56" s="61">
        <f t="shared" si="44"/>
        <v>0</v>
      </c>
      <c r="N56" s="61"/>
      <c r="O56" s="61">
        <f t="shared" ref="O56:AA56" si="45">O35+O54</f>
        <v>67354032.509825826</v>
      </c>
      <c r="P56" s="61">
        <f t="shared" si="45"/>
        <v>27018889.610174164</v>
      </c>
      <c r="Q56" s="61">
        <f t="shared" si="45"/>
        <v>0</v>
      </c>
      <c r="R56" s="61">
        <f t="shared" si="45"/>
        <v>0</v>
      </c>
      <c r="S56" s="61">
        <f t="shared" si="45"/>
        <v>8334055.4000000004</v>
      </c>
      <c r="T56" s="61">
        <f t="shared" si="45"/>
        <v>0</v>
      </c>
      <c r="U56" s="61">
        <f t="shared" si="45"/>
        <v>6534821.8399999999</v>
      </c>
      <c r="V56" s="61">
        <f t="shared" si="45"/>
        <v>0</v>
      </c>
      <c r="W56" s="61">
        <f t="shared" si="45"/>
        <v>3743268.27</v>
      </c>
      <c r="X56" s="61">
        <f t="shared" si="45"/>
        <v>0</v>
      </c>
      <c r="Y56" s="61">
        <f t="shared" si="45"/>
        <v>0</v>
      </c>
      <c r="Z56" s="61">
        <f t="shared" si="45"/>
        <v>0</v>
      </c>
      <c r="AA56" s="61">
        <f t="shared" si="45"/>
        <v>0</v>
      </c>
      <c r="AB56" s="27">
        <f>SUM(H56:AA56)</f>
        <v>112985067.63</v>
      </c>
      <c r="AC56" s="22" t="str">
        <f>IF(ABS(AB56-F56)&lt;1,"ok","err")</f>
        <v>ok</v>
      </c>
      <c r="AD56" s="24"/>
    </row>
    <row r="57" spans="1:30" x14ac:dyDescent="0.25">
      <c r="O57" s="18">
        <f>O56/$F56</f>
        <v>0.59613216084796905</v>
      </c>
      <c r="P57" s="18">
        <f t="shared" ref="P57:AA57" si="46">P56/$F56</f>
        <v>0.23913681849228771</v>
      </c>
      <c r="Q57" s="18">
        <f t="shared" si="46"/>
        <v>0</v>
      </c>
      <c r="R57" s="18">
        <f t="shared" si="46"/>
        <v>0</v>
      </c>
      <c r="S57" s="18">
        <f t="shared" si="46"/>
        <v>7.3762449984028922E-2</v>
      </c>
      <c r="T57" s="18">
        <f t="shared" si="46"/>
        <v>0</v>
      </c>
      <c r="U57" s="18">
        <f t="shared" si="46"/>
        <v>5.7837924754800624E-2</v>
      </c>
      <c r="V57" s="18">
        <f t="shared" si="46"/>
        <v>0</v>
      </c>
      <c r="W57" s="18">
        <f t="shared" si="46"/>
        <v>3.313064592091354E-2</v>
      </c>
      <c r="X57" s="18">
        <f t="shared" si="46"/>
        <v>0</v>
      </c>
      <c r="Y57" s="18">
        <f t="shared" si="46"/>
        <v>0</v>
      </c>
      <c r="Z57" s="18">
        <f t="shared" si="46"/>
        <v>0</v>
      </c>
      <c r="AA57" s="18">
        <f t="shared" si="46"/>
        <v>0</v>
      </c>
      <c r="AC57" s="22"/>
    </row>
    <row r="58" spans="1:30" x14ac:dyDescent="0.25">
      <c r="B58" s="14" t="s">
        <v>781</v>
      </c>
      <c r="C58" s="14" t="s">
        <v>782</v>
      </c>
      <c r="F58" s="120">
        <f>F56+F24</f>
        <v>112985067.63000001</v>
      </c>
      <c r="G58" s="61"/>
      <c r="H58" s="61">
        <f t="shared" ref="H58:Y58" si="47">H56+H24</f>
        <v>0</v>
      </c>
      <c r="I58" s="61">
        <f t="shared" si="47"/>
        <v>0</v>
      </c>
      <c r="J58" s="61">
        <f t="shared" si="47"/>
        <v>0</v>
      </c>
      <c r="K58" s="61">
        <f t="shared" si="47"/>
        <v>0</v>
      </c>
      <c r="L58" s="61"/>
      <c r="M58" s="61">
        <f t="shared" si="47"/>
        <v>0</v>
      </c>
      <c r="N58" s="61"/>
      <c r="O58" s="61">
        <f t="shared" si="47"/>
        <v>67354032.509825826</v>
      </c>
      <c r="P58" s="61">
        <f t="shared" si="47"/>
        <v>27018889.610174164</v>
      </c>
      <c r="Q58" s="61">
        <f t="shared" si="47"/>
        <v>0</v>
      </c>
      <c r="R58" s="61">
        <f t="shared" si="47"/>
        <v>0</v>
      </c>
      <c r="S58" s="61">
        <f t="shared" si="47"/>
        <v>8334055.4000000004</v>
      </c>
      <c r="T58" s="61">
        <f t="shared" si="47"/>
        <v>0</v>
      </c>
      <c r="U58" s="61">
        <f t="shared" si="47"/>
        <v>6534821.8399999999</v>
      </c>
      <c r="V58" s="61">
        <f t="shared" si="47"/>
        <v>0</v>
      </c>
      <c r="W58" s="61">
        <f t="shared" si="47"/>
        <v>3743268.27</v>
      </c>
      <c r="X58" s="61">
        <f t="shared" si="47"/>
        <v>0</v>
      </c>
      <c r="Y58" s="61">
        <f t="shared" si="47"/>
        <v>0</v>
      </c>
      <c r="AA58" s="61">
        <f>AA56+AA24</f>
        <v>0</v>
      </c>
      <c r="AB58" s="27">
        <f>SUM(H58:AA58)</f>
        <v>112985067.63</v>
      </c>
      <c r="AC58" s="22" t="str">
        <f>IF(ABS(AB58-F58)&lt;1,"ok","err")</f>
        <v>ok</v>
      </c>
    </row>
    <row r="59" spans="1:30" x14ac:dyDescent="0.25">
      <c r="Q59" s="14"/>
      <c r="AC59" s="22"/>
    </row>
    <row r="60" spans="1:30" x14ac:dyDescent="0.25">
      <c r="A60" s="20" t="s">
        <v>366</v>
      </c>
      <c r="Q60" s="14"/>
      <c r="AC60" s="22"/>
    </row>
    <row r="61" spans="1:30" x14ac:dyDescent="0.25">
      <c r="Q61" s="14"/>
      <c r="AC61" s="22"/>
    </row>
    <row r="62" spans="1:30" x14ac:dyDescent="0.25">
      <c r="A62" s="20" t="s">
        <v>51</v>
      </c>
      <c r="Q62" s="14"/>
      <c r="AC62" s="22"/>
    </row>
    <row r="63" spans="1:30" x14ac:dyDescent="0.25">
      <c r="A63" s="62">
        <v>389</v>
      </c>
      <c r="B63" s="14" t="s">
        <v>17</v>
      </c>
      <c r="C63" s="14" t="s">
        <v>52</v>
      </c>
      <c r="D63" s="14" t="s">
        <v>392</v>
      </c>
      <c r="F63" s="119">
        <v>20690.97</v>
      </c>
      <c r="G63" s="40"/>
      <c r="H63" s="27">
        <f t="shared" ref="H63:H73" si="48">IF(VLOOKUP($D63,$C$5:$AA$496,6,)=0,0,((VLOOKUP($D63,$C$5:$AA$496,6,)/VLOOKUP($D63,$C$5:$AA$496,4,))*$F63))</f>
        <v>0</v>
      </c>
      <c r="I63" s="27">
        <f t="shared" ref="I63:I73" si="49">IF(VLOOKUP($D63,$C$5:$AA$496,7,)=0,0,((VLOOKUP($D63,$C$5:$AA$496,7,)/VLOOKUP($D63,$C$5:$AA$496,4,))*$F63))</f>
        <v>0</v>
      </c>
      <c r="J63" s="27"/>
      <c r="K63" s="27">
        <f t="shared" ref="K63:K73" si="50">IF(VLOOKUP($D63,$C$5:$AA$496,9,)=0,0,((VLOOKUP($D63,$C$5:$AA$496,9,)/VLOOKUP($D63,$C$5:$AA$496,4,))*$F63))</f>
        <v>0</v>
      </c>
      <c r="L63" s="27"/>
      <c r="M63" s="27">
        <f t="shared" ref="M63:M73" si="51">IF(VLOOKUP($D63,$C$5:$AA$496,11,)=0,0,((VLOOKUP($D63,$C$5:$AA$496,11,)/VLOOKUP($D63,$C$5:$AA$496,4,))*$F63))</f>
        <v>0</v>
      </c>
      <c r="N63" s="27"/>
      <c r="O63" s="27">
        <f t="shared" ref="O63:O73" si="52">IF(VLOOKUP($D63,$C$5:$AA$496,13,)=0,0,((VLOOKUP($D63,$C$5:$AA$496,13,)/VLOOKUP($D63,$C$5:$AA$496,4,))*$F63))</f>
        <v>12334.552656140502</v>
      </c>
      <c r="P63" s="27">
        <f t="shared" ref="P63:P73" si="53">IF(VLOOKUP($D63,$C$5:$AA$496,14,)=0,0,((VLOOKUP($D63,$C$5:$AA$496,14,)/VLOOKUP($D63,$C$5:$AA$496,4,))*$F63))</f>
        <v>4947.9727373193709</v>
      </c>
      <c r="Q63" s="27"/>
      <c r="R63" s="27">
        <f t="shared" ref="R63:R73" si="54">IF(VLOOKUP($D63,$C$5:$AA$496,16,)=0,0,((VLOOKUP($D63,$C$5:$AA$496,16,)/VLOOKUP($D63,$C$5:$AA$496,4,))*$F63))</f>
        <v>0</v>
      </c>
      <c r="S63" s="27">
        <f t="shared" ref="S63:S73" si="55">IF(VLOOKUP($D63,$C$5:$AA$496,17,)=0,0,((VLOOKUP($D63,$C$5:$AA$496,17,)/VLOOKUP($D63,$C$5:$AA$496,4,))*$F63))</f>
        <v>1526.216639746043</v>
      </c>
      <c r="T63" s="27"/>
      <c r="U63" s="27">
        <f t="shared" ref="U63:U73" si="56">IF(VLOOKUP($D63,$C$5:$AA$496,19,)=0,0,((VLOOKUP($D63,$C$5:$AA$496,19,)/VLOOKUP($D63,$C$5:$AA$496,4,))*$F63))</f>
        <v>1196.7227659638372</v>
      </c>
      <c r="V63" s="27"/>
      <c r="W63" s="27">
        <f t="shared" ref="W63:W73" si="57">IF(VLOOKUP($D63,$C$5:$AA$496,21,)=0,0,((VLOOKUP($D63,$C$5:$AA$496,21,)/VLOOKUP($D63,$C$5:$AA$496,4,))*$F63))</f>
        <v>685.50520083024446</v>
      </c>
      <c r="X63" s="27"/>
      <c r="Y63" s="27">
        <f t="shared" ref="Y63:Y73" si="58">IF(VLOOKUP($D63,$C$5:$AA$496,23,)=0,0,((VLOOKUP($D63,$C$5:$AA$496,23,)/VLOOKUP($D63,$C$5:$AA$496,4,))*$F63))</f>
        <v>0</v>
      </c>
      <c r="Z63" s="27"/>
      <c r="AA63" s="27">
        <f t="shared" ref="AA63:AA73" si="59">IF(VLOOKUP($D63,$C$5:$AA$496,25,)=0,0,((VLOOKUP($D63,$C$5:$AA$496,25,)/VLOOKUP($D63,$C$5:$AA$496,4,))*$F63))</f>
        <v>0</v>
      </c>
      <c r="AB63" s="27">
        <f>SUM(H63:AA63)</f>
        <v>20690.969999999998</v>
      </c>
      <c r="AC63" s="22" t="str">
        <f>IF(ABS(AB63-F63)&lt;1,"ok","err")</f>
        <v>ok</v>
      </c>
    </row>
    <row r="64" spans="1:30" x14ac:dyDescent="0.25">
      <c r="A64" s="62">
        <v>390</v>
      </c>
      <c r="B64" s="14" t="s">
        <v>53</v>
      </c>
      <c r="C64" s="14" t="s">
        <v>54</v>
      </c>
      <c r="D64" s="14" t="s">
        <v>392</v>
      </c>
      <c r="F64" s="110">
        <v>5799943.0899999999</v>
      </c>
      <c r="G64" s="27"/>
      <c r="H64" s="27">
        <f t="shared" si="48"/>
        <v>0</v>
      </c>
      <c r="I64" s="27">
        <f t="shared" si="49"/>
        <v>0</v>
      </c>
      <c r="J64" s="27"/>
      <c r="K64" s="27">
        <f t="shared" si="50"/>
        <v>0</v>
      </c>
      <c r="L64" s="27"/>
      <c r="M64" s="27">
        <f t="shared" si="51"/>
        <v>0</v>
      </c>
      <c r="N64" s="27"/>
      <c r="O64" s="27">
        <f t="shared" si="52"/>
        <v>3457532.6070369463</v>
      </c>
      <c r="P64" s="27">
        <f t="shared" si="53"/>
        <v>1386979.9379789282</v>
      </c>
      <c r="Q64" s="27"/>
      <c r="R64" s="27">
        <f t="shared" si="54"/>
        <v>0</v>
      </c>
      <c r="S64" s="27">
        <f t="shared" si="55"/>
        <v>427818.01208633912</v>
      </c>
      <c r="T64" s="27"/>
      <c r="U64" s="27">
        <f t="shared" si="56"/>
        <v>335456.67202154582</v>
      </c>
      <c r="V64" s="27"/>
      <c r="W64" s="27">
        <f t="shared" si="57"/>
        <v>192155.86087623917</v>
      </c>
      <c r="X64" s="27"/>
      <c r="Y64" s="27">
        <f t="shared" si="58"/>
        <v>0</v>
      </c>
      <c r="Z64" s="27"/>
      <c r="AA64" s="27">
        <f t="shared" si="59"/>
        <v>0</v>
      </c>
      <c r="AB64" s="27">
        <f t="shared" ref="AB64:AB73" si="60">SUM(H64:AA64)</f>
        <v>5799943.089999998</v>
      </c>
      <c r="AC64" s="22" t="str">
        <f t="shared" ref="AC64:AC73" si="61">IF(ABS(AB64-F64)&lt;1,"ok","err")</f>
        <v>ok</v>
      </c>
    </row>
    <row r="65" spans="1:29" x14ac:dyDescent="0.25">
      <c r="A65" s="62">
        <v>391</v>
      </c>
      <c r="B65" s="14" t="s">
        <v>55</v>
      </c>
      <c r="C65" s="14" t="s">
        <v>56</v>
      </c>
      <c r="D65" s="14" t="s">
        <v>392</v>
      </c>
      <c r="F65" s="110">
        <v>1269606.71</v>
      </c>
      <c r="G65" s="27"/>
      <c r="H65" s="27">
        <f t="shared" si="48"/>
        <v>0</v>
      </c>
      <c r="I65" s="27">
        <f t="shared" si="49"/>
        <v>0</v>
      </c>
      <c r="J65" s="27"/>
      <c r="K65" s="27">
        <f t="shared" si="50"/>
        <v>0</v>
      </c>
      <c r="L65" s="27"/>
      <c r="M65" s="27">
        <f t="shared" si="51"/>
        <v>0</v>
      </c>
      <c r="N65" s="27"/>
      <c r="O65" s="27">
        <f t="shared" si="52"/>
        <v>756853.39145938074</v>
      </c>
      <c r="P65" s="27">
        <f t="shared" si="53"/>
        <v>303609.70936586056</v>
      </c>
      <c r="Q65" s="27"/>
      <c r="R65" s="27">
        <f t="shared" si="54"/>
        <v>0</v>
      </c>
      <c r="S65" s="27">
        <f t="shared" si="55"/>
        <v>93649.30144576251</v>
      </c>
      <c r="T65" s="27"/>
      <c r="U65" s="27">
        <f t="shared" si="56"/>
        <v>73431.417361169981</v>
      </c>
      <c r="V65" s="27"/>
      <c r="W65" s="27">
        <f t="shared" si="57"/>
        <v>42062.890367825959</v>
      </c>
      <c r="X65" s="27"/>
      <c r="Y65" s="27">
        <f t="shared" si="58"/>
        <v>0</v>
      </c>
      <c r="Z65" s="27"/>
      <c r="AA65" s="27">
        <f t="shared" si="59"/>
        <v>0</v>
      </c>
      <c r="AB65" s="27">
        <f t="shared" si="60"/>
        <v>1269606.71</v>
      </c>
      <c r="AC65" s="22" t="str">
        <f t="shared" si="61"/>
        <v>ok</v>
      </c>
    </row>
    <row r="66" spans="1:29" x14ac:dyDescent="0.25">
      <c r="A66" s="62">
        <v>392</v>
      </c>
      <c r="B66" s="14" t="s">
        <v>57</v>
      </c>
      <c r="C66" s="14" t="s">
        <v>58</v>
      </c>
      <c r="D66" s="14" t="s">
        <v>392</v>
      </c>
      <c r="F66" s="110">
        <v>3559721.3</v>
      </c>
      <c r="G66" s="27"/>
      <c r="H66" s="27">
        <f t="shared" si="48"/>
        <v>0</v>
      </c>
      <c r="I66" s="27">
        <f t="shared" si="49"/>
        <v>0</v>
      </c>
      <c r="J66" s="27"/>
      <c r="K66" s="27">
        <f t="shared" si="50"/>
        <v>0</v>
      </c>
      <c r="L66" s="27"/>
      <c r="M66" s="27">
        <f t="shared" si="51"/>
        <v>0</v>
      </c>
      <c r="N66" s="27"/>
      <c r="O66" s="27">
        <f t="shared" si="52"/>
        <v>2122064.3505855412</v>
      </c>
      <c r="P66" s="27">
        <f t="shared" si="53"/>
        <v>851260.42640123039</v>
      </c>
      <c r="Q66" s="27"/>
      <c r="R66" s="27">
        <f t="shared" si="54"/>
        <v>0</v>
      </c>
      <c r="S66" s="27">
        <f t="shared" si="55"/>
        <v>262573.76434833242</v>
      </c>
      <c r="T66" s="27"/>
      <c r="U66" s="27">
        <f t="shared" si="56"/>
        <v>205886.89269746104</v>
      </c>
      <c r="V66" s="27"/>
      <c r="W66" s="27">
        <f t="shared" si="57"/>
        <v>117935.86596743405</v>
      </c>
      <c r="X66" s="27"/>
      <c r="Y66" s="27">
        <f t="shared" si="58"/>
        <v>0</v>
      </c>
      <c r="Z66" s="27"/>
      <c r="AA66" s="27">
        <f t="shared" si="59"/>
        <v>0</v>
      </c>
      <c r="AB66" s="27">
        <f t="shared" si="60"/>
        <v>3559721.2999999989</v>
      </c>
      <c r="AC66" s="22" t="str">
        <f t="shared" si="61"/>
        <v>ok</v>
      </c>
    </row>
    <row r="67" spans="1:29" x14ac:dyDescent="0.25">
      <c r="A67" s="62">
        <v>393</v>
      </c>
      <c r="B67" s="14" t="s">
        <v>59</v>
      </c>
      <c r="C67" s="14" t="s">
        <v>60</v>
      </c>
      <c r="D67" s="14" t="s">
        <v>392</v>
      </c>
      <c r="F67" s="110">
        <v>234451.58</v>
      </c>
      <c r="G67" s="27"/>
      <c r="H67" s="27">
        <f t="shared" si="48"/>
        <v>0</v>
      </c>
      <c r="I67" s="27">
        <f t="shared" si="49"/>
        <v>0</v>
      </c>
      <c r="J67" s="27"/>
      <c r="K67" s="27">
        <f t="shared" si="50"/>
        <v>0</v>
      </c>
      <c r="L67" s="27"/>
      <c r="M67" s="27">
        <f t="shared" si="51"/>
        <v>0</v>
      </c>
      <c r="N67" s="27"/>
      <c r="O67" s="27">
        <f t="shared" si="52"/>
        <v>139764.12699962046</v>
      </c>
      <c r="P67" s="27">
        <f t="shared" si="53"/>
        <v>56066.004931690069</v>
      </c>
      <c r="Q67" s="27"/>
      <c r="R67" s="27">
        <f t="shared" si="54"/>
        <v>0</v>
      </c>
      <c r="S67" s="27">
        <f t="shared" si="55"/>
        <v>17293.722943426554</v>
      </c>
      <c r="T67" s="27"/>
      <c r="U67" s="27">
        <f t="shared" si="56"/>
        <v>13560.192842684119</v>
      </c>
      <c r="V67" s="27"/>
      <c r="W67" s="27">
        <f t="shared" si="57"/>
        <v>7767.5322825787343</v>
      </c>
      <c r="X67" s="27"/>
      <c r="Y67" s="27">
        <f t="shared" si="58"/>
        <v>0</v>
      </c>
      <c r="Z67" s="27"/>
      <c r="AA67" s="27">
        <f t="shared" si="59"/>
        <v>0</v>
      </c>
      <c r="AB67" s="27">
        <f t="shared" si="60"/>
        <v>234451.57999999993</v>
      </c>
      <c r="AC67" s="22" t="str">
        <f t="shared" si="61"/>
        <v>ok</v>
      </c>
    </row>
    <row r="68" spans="1:29" x14ac:dyDescent="0.25">
      <c r="A68" s="62">
        <v>394</v>
      </c>
      <c r="B68" s="14" t="s">
        <v>61</v>
      </c>
      <c r="C68" s="14" t="s">
        <v>62</v>
      </c>
      <c r="D68" s="14" t="s">
        <v>392</v>
      </c>
      <c r="F68" s="110">
        <f>299776.8+11946.96</f>
        <v>311723.76</v>
      </c>
      <c r="G68" s="27"/>
      <c r="H68" s="27">
        <f t="shared" si="48"/>
        <v>0</v>
      </c>
      <c r="I68" s="27">
        <f t="shared" si="49"/>
        <v>0</v>
      </c>
      <c r="J68" s="27"/>
      <c r="K68" s="27">
        <f t="shared" si="50"/>
        <v>0</v>
      </c>
      <c r="L68" s="27"/>
      <c r="M68" s="27">
        <f t="shared" si="51"/>
        <v>0</v>
      </c>
      <c r="N68" s="27"/>
      <c r="O68" s="27">
        <f t="shared" si="52"/>
        <v>185828.5586364537</v>
      </c>
      <c r="P68" s="27">
        <f t="shared" si="53"/>
        <v>74544.628214853452</v>
      </c>
      <c r="Q68" s="27"/>
      <c r="R68" s="27">
        <f t="shared" si="54"/>
        <v>0</v>
      </c>
      <c r="S68" s="27">
        <f t="shared" si="55"/>
        <v>22993.508255833436</v>
      </c>
      <c r="T68" s="27"/>
      <c r="U68" s="27">
        <f t="shared" si="56"/>
        <v>18029.455375163529</v>
      </c>
      <c r="V68" s="27"/>
      <c r="W68" s="27">
        <f t="shared" si="57"/>
        <v>10327.609517695832</v>
      </c>
      <c r="X68" s="27"/>
      <c r="Y68" s="27">
        <f t="shared" si="58"/>
        <v>0</v>
      </c>
      <c r="Z68" s="27"/>
      <c r="AA68" s="27">
        <f t="shared" si="59"/>
        <v>0</v>
      </c>
      <c r="AB68" s="27">
        <f t="shared" si="60"/>
        <v>311723.75999999995</v>
      </c>
      <c r="AC68" s="22" t="str">
        <f t="shared" si="61"/>
        <v>ok</v>
      </c>
    </row>
    <row r="69" spans="1:29" x14ac:dyDescent="0.25">
      <c r="A69" s="62">
        <v>395</v>
      </c>
      <c r="B69" s="14" t="s">
        <v>63</v>
      </c>
      <c r="C69" s="14" t="s">
        <v>64</v>
      </c>
      <c r="D69" s="14" t="s">
        <v>392</v>
      </c>
      <c r="F69" s="110">
        <v>75058.42</v>
      </c>
      <c r="G69" s="27"/>
      <c r="H69" s="27">
        <f t="shared" si="48"/>
        <v>0</v>
      </c>
      <c r="I69" s="27">
        <f t="shared" si="49"/>
        <v>0</v>
      </c>
      <c r="J69" s="27"/>
      <c r="K69" s="27">
        <f t="shared" si="50"/>
        <v>0</v>
      </c>
      <c r="L69" s="27"/>
      <c r="M69" s="27">
        <f t="shared" si="51"/>
        <v>0</v>
      </c>
      <c r="N69" s="27"/>
      <c r="O69" s="27">
        <f t="shared" si="52"/>
        <v>44744.738104434415</v>
      </c>
      <c r="P69" s="27">
        <f t="shared" si="53"/>
        <v>17949.231759857896</v>
      </c>
      <c r="Q69" s="27"/>
      <c r="R69" s="27">
        <f t="shared" si="54"/>
        <v>0</v>
      </c>
      <c r="S69" s="27">
        <f t="shared" si="55"/>
        <v>5536.4929511302362</v>
      </c>
      <c r="T69" s="27"/>
      <c r="U69" s="27">
        <f t="shared" si="56"/>
        <v>4341.2232481742221</v>
      </c>
      <c r="V69" s="27"/>
      <c r="W69" s="27">
        <f t="shared" si="57"/>
        <v>2486.733936403215</v>
      </c>
      <c r="X69" s="27"/>
      <c r="Y69" s="27">
        <f t="shared" si="58"/>
        <v>0</v>
      </c>
      <c r="Z69" s="27"/>
      <c r="AA69" s="27">
        <f t="shared" si="59"/>
        <v>0</v>
      </c>
      <c r="AB69" s="27">
        <f t="shared" si="60"/>
        <v>75058.419999999984</v>
      </c>
      <c r="AC69" s="22" t="str">
        <f t="shared" si="61"/>
        <v>ok</v>
      </c>
    </row>
    <row r="70" spans="1:29" x14ac:dyDescent="0.25">
      <c r="A70" s="62">
        <v>396</v>
      </c>
      <c r="B70" s="14" t="s">
        <v>65</v>
      </c>
      <c r="C70" s="14" t="s">
        <v>66</v>
      </c>
      <c r="D70" s="14" t="s">
        <v>392</v>
      </c>
      <c r="F70" s="110">
        <v>32080.880000000001</v>
      </c>
      <c r="G70" s="27"/>
      <c r="H70" s="27">
        <f t="shared" si="48"/>
        <v>0</v>
      </c>
      <c r="I70" s="27">
        <f t="shared" si="49"/>
        <v>0</v>
      </c>
      <c r="J70" s="27"/>
      <c r="K70" s="27">
        <f t="shared" si="50"/>
        <v>0</v>
      </c>
      <c r="L70" s="27"/>
      <c r="M70" s="27">
        <f t="shared" si="51"/>
        <v>0</v>
      </c>
      <c r="N70" s="27"/>
      <c r="O70" s="27">
        <f t="shared" si="52"/>
        <v>19124.444316304394</v>
      </c>
      <c r="P70" s="27">
        <f t="shared" si="53"/>
        <v>7671.7195776328635</v>
      </c>
      <c r="Q70" s="27"/>
      <c r="R70" s="27">
        <f t="shared" si="54"/>
        <v>0</v>
      </c>
      <c r="S70" s="27">
        <f t="shared" si="55"/>
        <v>2366.3643064436337</v>
      </c>
      <c r="T70" s="27"/>
      <c r="U70" s="27">
        <f t="shared" si="56"/>
        <v>1855.4915235077883</v>
      </c>
      <c r="V70" s="27"/>
      <c r="W70" s="27">
        <f t="shared" si="57"/>
        <v>1062.8602761113168</v>
      </c>
      <c r="X70" s="27"/>
      <c r="Y70" s="27">
        <f t="shared" si="58"/>
        <v>0</v>
      </c>
      <c r="Z70" s="27"/>
      <c r="AA70" s="27">
        <f t="shared" si="59"/>
        <v>0</v>
      </c>
      <c r="AB70" s="27">
        <f t="shared" si="60"/>
        <v>32080.879999999997</v>
      </c>
      <c r="AC70" s="22" t="str">
        <f t="shared" si="61"/>
        <v>ok</v>
      </c>
    </row>
    <row r="71" spans="1:29" x14ac:dyDescent="0.25">
      <c r="A71" s="62">
        <v>397</v>
      </c>
      <c r="B71" s="14" t="s">
        <v>67</v>
      </c>
      <c r="C71" s="14" t="s">
        <v>68</v>
      </c>
      <c r="D71" s="14" t="s">
        <v>392</v>
      </c>
      <c r="F71" s="110">
        <v>309821.15000000002</v>
      </c>
      <c r="G71" s="27"/>
      <c r="H71" s="27">
        <f t="shared" si="48"/>
        <v>0</v>
      </c>
      <c r="I71" s="27">
        <f t="shared" si="49"/>
        <v>0</v>
      </c>
      <c r="J71" s="27"/>
      <c r="K71" s="27">
        <f t="shared" si="50"/>
        <v>0</v>
      </c>
      <c r="L71" s="27"/>
      <c r="M71" s="27">
        <f t="shared" si="51"/>
        <v>0</v>
      </c>
      <c r="N71" s="27"/>
      <c r="O71" s="27">
        <f t="shared" si="52"/>
        <v>184694.35162590275</v>
      </c>
      <c r="P71" s="27">
        <f t="shared" si="53"/>
        <v>74089.644112621856</v>
      </c>
      <c r="Q71" s="27"/>
      <c r="R71" s="27">
        <f t="shared" si="54"/>
        <v>0</v>
      </c>
      <c r="S71" s="27">
        <f t="shared" si="55"/>
        <v>22853.167080869323</v>
      </c>
      <c r="T71" s="27"/>
      <c r="U71" s="27">
        <f t="shared" si="56"/>
        <v>17919.412361145798</v>
      </c>
      <c r="V71" s="27"/>
      <c r="W71" s="27">
        <f t="shared" si="57"/>
        <v>10264.574819460242</v>
      </c>
      <c r="X71" s="27"/>
      <c r="Y71" s="27">
        <f t="shared" si="58"/>
        <v>0</v>
      </c>
      <c r="Z71" s="27"/>
      <c r="AA71" s="27">
        <f t="shared" si="59"/>
        <v>0</v>
      </c>
      <c r="AB71" s="27">
        <f t="shared" si="60"/>
        <v>309821.14999999991</v>
      </c>
      <c r="AC71" s="22" t="str">
        <f t="shared" si="61"/>
        <v>ok</v>
      </c>
    </row>
    <row r="72" spans="1:29" x14ac:dyDescent="0.25">
      <c r="A72" s="62">
        <v>398</v>
      </c>
      <c r="B72" s="14" t="s">
        <v>362</v>
      </c>
      <c r="C72" s="14" t="s">
        <v>363</v>
      </c>
      <c r="D72" s="14" t="s">
        <v>392</v>
      </c>
      <c r="F72" s="110">
        <f>90340.25+14689.46</f>
        <v>105029.70999999999</v>
      </c>
      <c r="G72" s="27"/>
      <c r="H72" s="27">
        <f t="shared" si="48"/>
        <v>0</v>
      </c>
      <c r="I72" s="27">
        <f t="shared" si="49"/>
        <v>0</v>
      </c>
      <c r="J72" s="27"/>
      <c r="K72" s="27">
        <f t="shared" si="50"/>
        <v>0</v>
      </c>
      <c r="L72" s="27"/>
      <c r="M72" s="27">
        <f t="shared" si="51"/>
        <v>0</v>
      </c>
      <c r="N72" s="27"/>
      <c r="O72" s="27">
        <f t="shared" si="52"/>
        <v>62611.587975535542</v>
      </c>
      <c r="P72" s="27">
        <f t="shared" si="53"/>
        <v>25116.470696567612</v>
      </c>
      <c r="Q72" s="27"/>
      <c r="R72" s="27">
        <f t="shared" si="54"/>
        <v>0</v>
      </c>
      <c r="S72" s="27">
        <f t="shared" si="55"/>
        <v>7747.2487307120618</v>
      </c>
      <c r="T72" s="27"/>
      <c r="U72" s="27">
        <f t="shared" si="56"/>
        <v>6074.7004639985298</v>
      </c>
      <c r="V72" s="27"/>
      <c r="W72" s="27">
        <f t="shared" si="57"/>
        <v>3479.702133186232</v>
      </c>
      <c r="X72" s="27"/>
      <c r="Y72" s="27">
        <f t="shared" si="58"/>
        <v>0</v>
      </c>
      <c r="Z72" s="27"/>
      <c r="AA72" s="27">
        <f t="shared" si="59"/>
        <v>0</v>
      </c>
      <c r="AB72" s="27">
        <f t="shared" si="60"/>
        <v>105029.70999999998</v>
      </c>
      <c r="AC72" s="22" t="str">
        <f t="shared" si="61"/>
        <v>ok</v>
      </c>
    </row>
    <row r="73" spans="1:29" x14ac:dyDescent="0.25">
      <c r="A73" s="62">
        <v>399</v>
      </c>
      <c r="B73" s="14" t="s">
        <v>583</v>
      </c>
      <c r="C73" s="14" t="s">
        <v>584</v>
      </c>
      <c r="D73" s="14" t="s">
        <v>392</v>
      </c>
      <c r="F73" s="110">
        <v>0</v>
      </c>
      <c r="G73" s="27"/>
      <c r="H73" s="27">
        <f t="shared" si="48"/>
        <v>0</v>
      </c>
      <c r="I73" s="27">
        <f t="shared" si="49"/>
        <v>0</v>
      </c>
      <c r="J73" s="27"/>
      <c r="K73" s="27">
        <f t="shared" si="50"/>
        <v>0</v>
      </c>
      <c r="L73" s="27"/>
      <c r="M73" s="27">
        <f t="shared" si="51"/>
        <v>0</v>
      </c>
      <c r="N73" s="27"/>
      <c r="O73" s="27">
        <f t="shared" si="52"/>
        <v>0</v>
      </c>
      <c r="P73" s="27">
        <f t="shared" si="53"/>
        <v>0</v>
      </c>
      <c r="Q73" s="27"/>
      <c r="R73" s="27">
        <f t="shared" si="54"/>
        <v>0</v>
      </c>
      <c r="S73" s="27">
        <f t="shared" si="55"/>
        <v>0</v>
      </c>
      <c r="T73" s="27"/>
      <c r="U73" s="27">
        <f t="shared" si="56"/>
        <v>0</v>
      </c>
      <c r="V73" s="27"/>
      <c r="W73" s="27">
        <f t="shared" si="57"/>
        <v>0</v>
      </c>
      <c r="X73" s="27"/>
      <c r="Y73" s="27">
        <f t="shared" si="58"/>
        <v>0</v>
      </c>
      <c r="Z73" s="27"/>
      <c r="AA73" s="27">
        <f t="shared" si="59"/>
        <v>0</v>
      </c>
      <c r="AB73" s="27">
        <f t="shared" si="60"/>
        <v>0</v>
      </c>
      <c r="AC73" s="22" t="str">
        <f t="shared" si="61"/>
        <v>ok</v>
      </c>
    </row>
    <row r="74" spans="1:29" x14ac:dyDescent="0.25">
      <c r="Q74" s="14"/>
      <c r="AB74" s="27"/>
      <c r="AC74" s="22"/>
    </row>
    <row r="75" spans="1:29" x14ac:dyDescent="0.25">
      <c r="B75" s="14" t="s">
        <v>69</v>
      </c>
      <c r="C75" s="14" t="s">
        <v>70</v>
      </c>
      <c r="F75" s="119">
        <f>SUM(F63:F74)</f>
        <v>11718127.570000002</v>
      </c>
      <c r="G75" s="40"/>
      <c r="H75" s="40">
        <f t="shared" ref="H75:W75" si="62">SUM(H63:H74)</f>
        <v>0</v>
      </c>
      <c r="I75" s="40">
        <f t="shared" si="62"/>
        <v>0</v>
      </c>
      <c r="J75" s="40"/>
      <c r="K75" s="40">
        <f>SUM(K63:K74)</f>
        <v>0</v>
      </c>
      <c r="L75" s="40"/>
      <c r="M75" s="40">
        <f t="shared" si="62"/>
        <v>0</v>
      </c>
      <c r="N75" s="40"/>
      <c r="O75" s="40">
        <f t="shared" si="62"/>
        <v>6985552.7093962599</v>
      </c>
      <c r="P75" s="40">
        <f t="shared" si="62"/>
        <v>2802235.745776562</v>
      </c>
      <c r="Q75" s="40"/>
      <c r="R75" s="40">
        <f t="shared" si="62"/>
        <v>0</v>
      </c>
      <c r="S75" s="40">
        <f t="shared" si="62"/>
        <v>864357.79878859536</v>
      </c>
      <c r="T75" s="40"/>
      <c r="U75" s="40">
        <f t="shared" si="62"/>
        <v>677752.18066081463</v>
      </c>
      <c r="V75" s="40"/>
      <c r="W75" s="40">
        <f t="shared" si="62"/>
        <v>388229.13537776505</v>
      </c>
      <c r="X75" s="40"/>
      <c r="Y75" s="40">
        <f>SUM(Y63:Y74)</f>
        <v>0</v>
      </c>
      <c r="Z75" s="40"/>
      <c r="AA75" s="40">
        <f>SUM(AA63:AA74)</f>
        <v>0</v>
      </c>
      <c r="AB75" s="27">
        <f>SUM(H75:AA75)</f>
        <v>11718127.569999997</v>
      </c>
      <c r="AC75" s="22" t="str">
        <f>IF(ABS(AB75-F75)&lt;1,"ok","err")</f>
        <v>ok</v>
      </c>
    </row>
    <row r="76" spans="1:29" x14ac:dyDescent="0.25">
      <c r="C76" s="61"/>
      <c r="Q76" s="14"/>
      <c r="AB76" s="27"/>
      <c r="AC76" s="22"/>
    </row>
    <row r="77" spans="1:29" hidden="1" x14ac:dyDescent="0.25">
      <c r="A77" s="60">
        <v>106</v>
      </c>
      <c r="B77" s="14" t="s">
        <v>364</v>
      </c>
      <c r="C77" s="14" t="s">
        <v>365</v>
      </c>
      <c r="D77" s="14" t="s">
        <v>392</v>
      </c>
      <c r="F77" s="119">
        <v>0</v>
      </c>
      <c r="G77" s="40"/>
      <c r="H77" s="27">
        <f>IF(VLOOKUP($D77,$C$5:$AA$496,6,)=0,0,((VLOOKUP($D77,$C$5:$AA$496,6,)/VLOOKUP($D77,$C$5:$AA$496,4,))*$F77))</f>
        <v>0</v>
      </c>
      <c r="I77" s="27">
        <f>IF(VLOOKUP($D77,$C$5:$AA$496,7,)=0,0,((VLOOKUP($D77,$C$5:$AA$496,7,)/VLOOKUP($D77,$C$5:$AA$496,4,))*$F77))</f>
        <v>0</v>
      </c>
      <c r="J77" s="27"/>
      <c r="K77" s="27">
        <f>IF(VLOOKUP($D77,$C$5:$AA$496,9,)=0,0,((VLOOKUP($D77,$C$5:$AA$496,9,)/VLOOKUP($D77,$C$5:$AA$496,4,))*$F77))</f>
        <v>0</v>
      </c>
      <c r="L77" s="27"/>
      <c r="M77" s="27">
        <f>IF(VLOOKUP($D77,$C$5:$AA$496,11,)=0,0,((VLOOKUP($D77,$C$5:$AA$496,11,)/VLOOKUP($D77,$C$5:$AA$496,4,))*$F77))</f>
        <v>0</v>
      </c>
      <c r="N77" s="27"/>
      <c r="O77" s="27">
        <f>IF(VLOOKUP($D77,$C$5:$AA$496,13,)=0,0,((VLOOKUP($D77,$C$5:$AA$496,13,)/VLOOKUP($D77,$C$5:$AA$496,4,))*$F77))</f>
        <v>0</v>
      </c>
      <c r="P77" s="27">
        <f>IF(VLOOKUP($D77,$C$5:$AA$496,14,)=0,0,((VLOOKUP($D77,$C$5:$AA$496,14,)/VLOOKUP($D77,$C$5:$AA$496,4,))*$F77))</f>
        <v>0</v>
      </c>
      <c r="Q77" s="27"/>
      <c r="R77" s="27">
        <f>IF(VLOOKUP($D77,$C$5:$AA$496,16,)=0,0,((VLOOKUP($D77,$C$5:$AA$496,16,)/VLOOKUP($D77,$C$5:$AA$496,4,))*$F77))</f>
        <v>0</v>
      </c>
      <c r="S77" s="27">
        <f>IF(VLOOKUP($D77,$C$5:$AA$496,17,)=0,0,((VLOOKUP($D77,$C$5:$AA$496,17,)/VLOOKUP($D77,$C$5:$AA$496,4,))*$F77))</f>
        <v>0</v>
      </c>
      <c r="T77" s="27"/>
      <c r="U77" s="27">
        <f>IF(VLOOKUP($D77,$C$5:$AA$496,19,)=0,0,((VLOOKUP($D77,$C$5:$AA$496,19,)/VLOOKUP($D77,$C$5:$AA$496,4,))*$F77))</f>
        <v>0</v>
      </c>
      <c r="V77" s="27"/>
      <c r="W77" s="27">
        <f>IF(VLOOKUP($D77,$C$5:$AA$496,21,)=0,0,((VLOOKUP($D77,$C$5:$AA$496,21,)/VLOOKUP($D77,$C$5:$AA$496,4,))*$F77))</f>
        <v>0</v>
      </c>
      <c r="X77" s="27"/>
      <c r="Y77" s="27">
        <f>IF(VLOOKUP($D77,$C$5:$AA$496,23,)=0,0,((VLOOKUP($D77,$C$5:$AA$496,23,)/VLOOKUP($D77,$C$5:$AA$496,4,))*$F77))</f>
        <v>0</v>
      </c>
      <c r="Z77" s="27"/>
      <c r="AA77" s="27">
        <f>IF(VLOOKUP($D77,$C$5:$AA$496,25,)=0,0,((VLOOKUP($D77,$C$5:$AA$496,25,)/VLOOKUP($D77,$C$5:$AA$496,4,))*$F77))</f>
        <v>0</v>
      </c>
      <c r="AB77" s="27">
        <f>SUM(H77:AA77)</f>
        <v>0</v>
      </c>
      <c r="AC77" s="22" t="str">
        <f>IF(ABS(AB77-F77)&lt;1,"ok","err")</f>
        <v>ok</v>
      </c>
    </row>
    <row r="78" spans="1:29" hidden="1" x14ac:dyDescent="0.25">
      <c r="A78" s="60">
        <v>102</v>
      </c>
      <c r="B78" s="14" t="s">
        <v>703</v>
      </c>
      <c r="C78" s="14" t="s">
        <v>704</v>
      </c>
      <c r="D78" s="14" t="s">
        <v>16</v>
      </c>
      <c r="F78" s="119">
        <v>0</v>
      </c>
      <c r="G78" s="40"/>
      <c r="H78" s="27">
        <f>IF(VLOOKUP($D78,$C$5:$AA$496,6,)=0,0,((VLOOKUP($D78,$C$5:$AA$496,6,)/VLOOKUP($D78,$C$5:$AA$496,4,))*$F78))</f>
        <v>0</v>
      </c>
      <c r="I78" s="27">
        <f>IF(VLOOKUP($D78,$C$5:$AA$496,7,)=0,0,((VLOOKUP($D78,$C$5:$AA$496,7,)/VLOOKUP($D78,$C$5:$AA$496,4,))*$F78))</f>
        <v>0</v>
      </c>
      <c r="J78" s="27"/>
      <c r="K78" s="27">
        <f>IF(VLOOKUP($D78,$C$5:$AA$496,9,)=0,0,((VLOOKUP($D78,$C$5:$AA$496,9,)/VLOOKUP($D78,$C$5:$AA$496,4,))*$F78))</f>
        <v>0</v>
      </c>
      <c r="L78" s="27"/>
      <c r="M78" s="27">
        <f>IF(VLOOKUP($D78,$C$5:$AA$496,11,)=0,0,((VLOOKUP($D78,$C$5:$AA$496,11,)/VLOOKUP($D78,$C$5:$AA$496,4,))*$F78))</f>
        <v>0</v>
      </c>
      <c r="N78" s="27"/>
      <c r="O78" s="27">
        <f>IF(VLOOKUP($D78,$C$5:$AA$496,13,)=0,0,((VLOOKUP($D78,$C$5:$AA$496,13,)/VLOOKUP($D78,$C$5:$AA$496,4,))*$F78))</f>
        <v>0</v>
      </c>
      <c r="P78" s="27">
        <f>IF(VLOOKUP($D78,$C$5:$AA$496,14,)=0,0,((VLOOKUP($D78,$C$5:$AA$496,14,)/VLOOKUP($D78,$C$5:$AA$496,4,))*$F78))</f>
        <v>0</v>
      </c>
      <c r="Q78" s="27"/>
      <c r="R78" s="27">
        <f>IF(VLOOKUP($D78,$C$5:$AA$496,16,)=0,0,((VLOOKUP($D78,$C$5:$AA$496,16,)/VLOOKUP($D78,$C$5:$AA$496,4,))*$F78))</f>
        <v>0</v>
      </c>
      <c r="S78" s="27">
        <f>IF(VLOOKUP($D78,$C$5:$AA$496,17,)=0,0,((VLOOKUP($D78,$C$5:$AA$496,17,)/VLOOKUP($D78,$C$5:$AA$496,4,))*$F78))</f>
        <v>0</v>
      </c>
      <c r="T78" s="27"/>
      <c r="U78" s="27">
        <f>IF(VLOOKUP($D78,$C$5:$AA$496,19,)=0,0,((VLOOKUP($D78,$C$5:$AA$496,19,)/VLOOKUP($D78,$C$5:$AA$496,4,))*$F78))</f>
        <v>0</v>
      </c>
      <c r="V78" s="27"/>
      <c r="W78" s="27">
        <f>IF(VLOOKUP($D78,$C$5:$AA$496,21,)=0,0,((VLOOKUP($D78,$C$5:$AA$496,21,)/VLOOKUP($D78,$C$5:$AA$496,4,))*$F78))</f>
        <v>0</v>
      </c>
      <c r="X78" s="27"/>
      <c r="Y78" s="27">
        <f>IF(VLOOKUP($D78,$C$5:$AA$496,23,)=0,0,((VLOOKUP($D78,$C$5:$AA$496,23,)/VLOOKUP($D78,$C$5:$AA$496,4,))*$F78))</f>
        <v>0</v>
      </c>
      <c r="Z78" s="27"/>
      <c r="AA78" s="27">
        <f>IF(VLOOKUP($D78,$C$5:$AA$496,25,)=0,0,((VLOOKUP($D78,$C$5:$AA$496,25,)/VLOOKUP($D78,$C$5:$AA$496,4,))*$F78))</f>
        <v>0</v>
      </c>
      <c r="AB78" s="27">
        <f>SUM(H78:AA78)</f>
        <v>0</v>
      </c>
      <c r="AC78" s="22" t="str">
        <f>IF(ABS(AB78-F78)&lt;1,"ok","err")</f>
        <v>ok</v>
      </c>
    </row>
    <row r="79" spans="1:29" hidden="1" x14ac:dyDescent="0.25">
      <c r="Q79" s="14"/>
      <c r="AB79" s="27"/>
      <c r="AC79" s="22"/>
    </row>
    <row r="80" spans="1:29" hidden="1" x14ac:dyDescent="0.25">
      <c r="A80" s="60">
        <v>114</v>
      </c>
      <c r="B80" s="14" t="s">
        <v>827</v>
      </c>
      <c r="D80" s="14" t="s">
        <v>779</v>
      </c>
      <c r="F80" s="119"/>
      <c r="G80" s="40"/>
      <c r="H80" s="27">
        <f>IF(VLOOKUP($D80,$C$5:$AA$496,6,)=0,0,((VLOOKUP($D80,$C$5:$AA$496,6,)/VLOOKUP($D80,$C$5:$AA$496,4,))*$F80))</f>
        <v>0</v>
      </c>
      <c r="I80" s="27">
        <f>IF(VLOOKUP($D80,$C$5:$AA$496,7,)=0,0,((VLOOKUP($D80,$C$5:$AA$496,7,)/VLOOKUP($D80,$C$5:$AA$496,4,))*$F80))</f>
        <v>0</v>
      </c>
      <c r="J80" s="27"/>
      <c r="K80" s="27">
        <f>IF(VLOOKUP($D80,$C$5:$AA$496,9,)=0,0,((VLOOKUP($D80,$C$5:$AA$496,9,)/VLOOKUP($D80,$C$5:$AA$496,4,))*$F80))</f>
        <v>0</v>
      </c>
      <c r="L80" s="27"/>
      <c r="M80" s="27">
        <f>IF(VLOOKUP($D80,$C$5:$AA$496,11,)=0,0,((VLOOKUP($D80,$C$5:$AA$496,11,)/VLOOKUP($D80,$C$5:$AA$496,4,))*$F80))</f>
        <v>0</v>
      </c>
      <c r="N80" s="27"/>
      <c r="O80" s="27">
        <f>IF(VLOOKUP($D80,$C$5:$AA$496,13,)=0,0,((VLOOKUP($D80,$C$5:$AA$496,13,)/VLOOKUP($D80,$C$5:$AA$496,4,))*$F80))</f>
        <v>0</v>
      </c>
      <c r="P80" s="27">
        <f>IF(VLOOKUP($D80,$C$5:$AA$496,14,)=0,0,((VLOOKUP($D80,$C$5:$AA$496,14,)/VLOOKUP($D80,$C$5:$AA$496,4,))*$F80))</f>
        <v>0</v>
      </c>
      <c r="Q80" s="27"/>
      <c r="R80" s="27">
        <f>IF(VLOOKUP($D80,$C$5:$AA$496,16,)=0,0,((VLOOKUP($D80,$C$5:$AA$496,16,)/VLOOKUP($D80,$C$5:$AA$496,4,))*$F80))</f>
        <v>0</v>
      </c>
      <c r="S80" s="27">
        <f>IF(VLOOKUP($D80,$C$5:$AA$496,17,)=0,0,((VLOOKUP($D80,$C$5:$AA$496,17,)/VLOOKUP($D80,$C$5:$AA$496,4,))*$F80))</f>
        <v>0</v>
      </c>
      <c r="T80" s="27"/>
      <c r="U80" s="27">
        <f>IF(VLOOKUP($D80,$C$5:$AA$496,19,)=0,0,((VLOOKUP($D80,$C$5:$AA$496,19,)/VLOOKUP($D80,$C$5:$AA$496,4,))*$F80))</f>
        <v>0</v>
      </c>
      <c r="V80" s="27"/>
      <c r="W80" s="27">
        <f>IF(VLOOKUP($D80,$C$5:$AA$496,21,)=0,0,((VLOOKUP($D80,$C$5:$AA$496,21,)/VLOOKUP($D80,$C$5:$AA$496,4,))*$F80))</f>
        <v>0</v>
      </c>
      <c r="X80" s="27"/>
      <c r="Y80" s="27">
        <f>IF(VLOOKUP($D80,$C$5:$AA$496,23,)=0,0,((VLOOKUP($D80,$C$5:$AA$496,23,)/VLOOKUP($D80,$C$5:$AA$496,4,))*$F80))</f>
        <v>0</v>
      </c>
      <c r="Z80" s="27"/>
      <c r="AA80" s="27">
        <f>IF(VLOOKUP($D80,$C$5:$AA$496,25,)=0,0,((VLOOKUP($D80,$C$5:$AA$496,25,)/VLOOKUP($D80,$C$5:$AA$496,4,))*$F80))</f>
        <v>0</v>
      </c>
      <c r="AB80" s="27">
        <f>SUM(H80:AA80)</f>
        <v>0</v>
      </c>
      <c r="AC80" s="22" t="str">
        <f>IF(ABS(AB80-F80)&lt;1,"ok","err")</f>
        <v>ok</v>
      </c>
    </row>
    <row r="81" spans="1:29" hidden="1" x14ac:dyDescent="0.25">
      <c r="Q81" s="14"/>
      <c r="AB81" s="27"/>
      <c r="AC81" s="22"/>
    </row>
    <row r="82" spans="1:29" x14ac:dyDescent="0.25">
      <c r="B82" s="14" t="s">
        <v>71</v>
      </c>
      <c r="C82" s="14" t="s">
        <v>72</v>
      </c>
      <c r="F82" s="120">
        <f>F12+F24+F35+F54+F75+F77+F78+F80</f>
        <v>124718829.68000002</v>
      </c>
      <c r="G82" s="61"/>
      <c r="H82" s="61">
        <f>H12+H24+H35+H54+H75+H77+H78+H80</f>
        <v>0</v>
      </c>
      <c r="I82" s="61">
        <f>I12+I24+I35+I54+I75+I77+I78+I80</f>
        <v>0</v>
      </c>
      <c r="J82" s="61"/>
      <c r="K82" s="61">
        <f>K12+K24+K35+K54+K75+K77+K78+K80</f>
        <v>0</v>
      </c>
      <c r="L82" s="61"/>
      <c r="M82" s="61">
        <f>M12+M24+M35+M54+M75+M77+M78+M80</f>
        <v>0</v>
      </c>
      <c r="N82" s="61"/>
      <c r="O82" s="61">
        <f>O12+O24+O35+O54+O75+O77+O78+O80</f>
        <v>74348905.435568213</v>
      </c>
      <c r="P82" s="61">
        <f>P12+P24+P35+P54+P75+P77+P78+P80</f>
        <v>29824864.135756709</v>
      </c>
      <c r="Q82" s="61"/>
      <c r="R82" s="61">
        <f>R12+R24+R35+R54+R75+R77+R78+R80</f>
        <v>0</v>
      </c>
      <c r="S82" s="61">
        <f>S12+S24+S35+S54+S75+S77+S78+S80</f>
        <v>9199566.4363376219</v>
      </c>
      <c r="T82" s="61"/>
      <c r="U82" s="61">
        <f>U12+U24+U35+U54+U75+U77+U78+U80</f>
        <v>7213478.2865386354</v>
      </c>
      <c r="V82" s="61"/>
      <c r="W82" s="61">
        <f>W12+W24+W35+W54+W75+W77+W78+W80</f>
        <v>4132015.3857988026</v>
      </c>
      <c r="X82" s="61"/>
      <c r="Y82" s="61">
        <f>Y12+Y24+Y35+Y54+Y75+Y77+Y78+Y80</f>
        <v>0</v>
      </c>
      <c r="Z82" s="61"/>
      <c r="AA82" s="61">
        <f>AA12+AA24+AA35+AA54+AA75+AA77+AA78+AA80</f>
        <v>0</v>
      </c>
      <c r="AB82" s="27">
        <f>SUM(H82:AA82)</f>
        <v>124718829.67999996</v>
      </c>
      <c r="AC82" s="22" t="str">
        <f>IF(ABS(AB82-F82)&lt;1,"ok","err")</f>
        <v>ok</v>
      </c>
    </row>
    <row r="83" spans="1:29" x14ac:dyDescent="0.25">
      <c r="D83" s="61"/>
      <c r="F83" s="121"/>
      <c r="G83" s="27"/>
      <c r="AC83" s="22"/>
    </row>
    <row r="84" spans="1:29" x14ac:dyDescent="0.25">
      <c r="A84" s="20" t="s">
        <v>73</v>
      </c>
      <c r="F84" s="110"/>
      <c r="G84" s="27"/>
      <c r="AC84" s="22"/>
    </row>
    <row r="85" spans="1:29" x14ac:dyDescent="0.25">
      <c r="B85" s="14" t="s">
        <v>784</v>
      </c>
      <c r="C85" s="14" t="s">
        <v>553</v>
      </c>
      <c r="D85" s="14" t="s">
        <v>779</v>
      </c>
      <c r="F85" s="119">
        <v>0</v>
      </c>
      <c r="G85" s="40"/>
      <c r="H85" s="27">
        <f>IF(VLOOKUP($D85,$C$5:$AA$496,6,)=0,0,((VLOOKUP($D85,$C$5:$AA$496,6,)/VLOOKUP($D85,$C$5:$AA$496,4,))*$F85))</f>
        <v>0</v>
      </c>
      <c r="I85" s="27">
        <f>IF(VLOOKUP($D85,$C$5:$AA$496,7,)=0,0,((VLOOKUP($D85,$C$5:$AA$496,7,)/VLOOKUP($D85,$C$5:$AA$496,4,))*$F85))</f>
        <v>0</v>
      </c>
      <c r="J85" s="27"/>
      <c r="K85" s="27">
        <f>IF(VLOOKUP($D85,$C$5:$AA$496,9,)=0,0,((VLOOKUP($D85,$C$5:$AA$496,9,)/VLOOKUP($D85,$C$5:$AA$496,4,))*$F85))</f>
        <v>0</v>
      </c>
      <c r="L85" s="27"/>
      <c r="M85" s="27">
        <f>IF(VLOOKUP($D85,$C$5:$AA$496,11,)=0,0,((VLOOKUP($D85,$C$5:$AA$496,11,)/VLOOKUP($D85,$C$5:$AA$496,4,))*$F85))</f>
        <v>0</v>
      </c>
      <c r="N85" s="27"/>
      <c r="O85" s="27">
        <f>IF(VLOOKUP($D85,$C$5:$AA$496,13,)=0,0,((VLOOKUP($D85,$C$5:$AA$496,13,)/VLOOKUP($D85,$C$5:$AA$496,4,))*$F85))</f>
        <v>0</v>
      </c>
      <c r="P85" s="27">
        <f>IF(VLOOKUP($D85,$C$5:$AA$496,14,)=0,0,((VLOOKUP($D85,$C$5:$AA$496,14,)/VLOOKUP($D85,$C$5:$AA$496,4,))*$F85))</f>
        <v>0</v>
      </c>
      <c r="Q85" s="27"/>
      <c r="R85" s="27">
        <f>IF(VLOOKUP($D85,$C$5:$AA$496,16,)=0,0,((VLOOKUP($D85,$C$5:$AA$496,16,)/VLOOKUP($D85,$C$5:$AA$496,4,))*$F85))</f>
        <v>0</v>
      </c>
      <c r="S85" s="27">
        <f>IF(VLOOKUP($D85,$C$5:$AA$496,17,)=0,0,((VLOOKUP($D85,$C$5:$AA$496,17,)/VLOOKUP($D85,$C$5:$AA$496,4,))*$F85))</f>
        <v>0</v>
      </c>
      <c r="T85" s="27"/>
      <c r="U85" s="27">
        <f>IF(VLOOKUP($D85,$C$5:$AA$496,19,)=0,0,((VLOOKUP($D85,$C$5:$AA$496,19,)/VLOOKUP($D85,$C$5:$AA$496,4,))*$F85))</f>
        <v>0</v>
      </c>
      <c r="V85" s="27"/>
      <c r="W85" s="27">
        <f>IF(VLOOKUP($D85,$C$5:$AA$496,21,)=0,0,((VLOOKUP($D85,$C$5:$AA$496,21,)/VLOOKUP($D85,$C$5:$AA$496,4,))*$F85))</f>
        <v>0</v>
      </c>
      <c r="X85" s="27"/>
      <c r="Y85" s="27">
        <f>IF(VLOOKUP($D85,$C$5:$AA$496,23,)=0,0,((VLOOKUP($D85,$C$5:$AA$496,23,)/VLOOKUP($D85,$C$5:$AA$496,4,))*$F85))</f>
        <v>0</v>
      </c>
      <c r="Z85" s="27"/>
      <c r="AA85" s="27">
        <f>IF(VLOOKUP($D85,$C$5:$AA$496,25,)=0,0,((VLOOKUP($D85,$C$5:$AA$496,25,)/VLOOKUP($D85,$C$5:$AA$496,4,))*$F85))</f>
        <v>0</v>
      </c>
      <c r="AB85" s="27">
        <f>SUM(H85:AA85)</f>
        <v>0</v>
      </c>
      <c r="AC85" s="22" t="str">
        <f>IF(ABS(AB85-F85)&lt;1,"ok","err")</f>
        <v>ok</v>
      </c>
    </row>
    <row r="86" spans="1:29" x14ac:dyDescent="0.25">
      <c r="B86" s="14" t="s">
        <v>425</v>
      </c>
      <c r="C86" s="14" t="s">
        <v>554</v>
      </c>
      <c r="D86" s="14" t="s">
        <v>390</v>
      </c>
      <c r="F86" s="110">
        <v>0</v>
      </c>
      <c r="G86" s="27"/>
      <c r="H86" s="27">
        <f>IF(VLOOKUP($D86,$C$5:$AA$496,6,)=0,0,((VLOOKUP($D86,$C$5:$AA$496,6,)/VLOOKUP($D86,$C$5:$AA$496,4,))*$F86))</f>
        <v>0</v>
      </c>
      <c r="I86" s="27">
        <f>IF(VLOOKUP($D86,$C$5:$AA$496,7,)=0,0,((VLOOKUP($D86,$C$5:$AA$496,7,)/VLOOKUP($D86,$C$5:$AA$496,4,))*$F86))</f>
        <v>0</v>
      </c>
      <c r="J86" s="27"/>
      <c r="K86" s="27">
        <f>IF(VLOOKUP($D86,$C$5:$AA$496,9,)=0,0,((VLOOKUP($D86,$C$5:$AA$496,9,)/VLOOKUP($D86,$C$5:$AA$496,4,))*$F86))</f>
        <v>0</v>
      </c>
      <c r="L86" s="27"/>
      <c r="M86" s="27">
        <f>IF(VLOOKUP($D86,$C$5:$AA$496,11,)=0,0,((VLOOKUP($D86,$C$5:$AA$496,11,)/VLOOKUP($D86,$C$5:$AA$496,4,))*$F86))</f>
        <v>0</v>
      </c>
      <c r="N86" s="27"/>
      <c r="O86" s="27">
        <f>IF(VLOOKUP($D86,$C$5:$AA$496,13,)=0,0,((VLOOKUP($D86,$C$5:$AA$496,13,)/VLOOKUP($D86,$C$5:$AA$496,4,))*$F86))</f>
        <v>0</v>
      </c>
      <c r="P86" s="27">
        <f>IF(VLOOKUP($D86,$C$5:$AA$496,14,)=0,0,((VLOOKUP($D86,$C$5:$AA$496,14,)/VLOOKUP($D86,$C$5:$AA$496,4,))*$F86))</f>
        <v>0</v>
      </c>
      <c r="Q86" s="27"/>
      <c r="R86" s="27">
        <f>IF(VLOOKUP($D86,$C$5:$AA$496,16,)=0,0,((VLOOKUP($D86,$C$5:$AA$496,16,)/VLOOKUP($D86,$C$5:$AA$496,4,))*$F86))</f>
        <v>0</v>
      </c>
      <c r="S86" s="27">
        <f>IF(VLOOKUP($D86,$C$5:$AA$496,17,)=0,0,((VLOOKUP($D86,$C$5:$AA$496,17,)/VLOOKUP($D86,$C$5:$AA$496,4,))*$F86))</f>
        <v>0</v>
      </c>
      <c r="T86" s="27"/>
      <c r="U86" s="27">
        <f>IF(VLOOKUP($D86,$C$5:$AA$496,19,)=0,0,((VLOOKUP($D86,$C$5:$AA$496,19,)/VLOOKUP($D86,$C$5:$AA$496,4,))*$F86))</f>
        <v>0</v>
      </c>
      <c r="V86" s="27"/>
      <c r="W86" s="27">
        <f>IF(VLOOKUP($D86,$C$5:$AA$496,21,)=0,0,((VLOOKUP($D86,$C$5:$AA$496,21,)/VLOOKUP($D86,$C$5:$AA$496,4,))*$F86))</f>
        <v>0</v>
      </c>
      <c r="X86" s="27"/>
      <c r="Y86" s="27">
        <f>IF(VLOOKUP($D86,$C$5:$AA$496,23,)=0,0,((VLOOKUP($D86,$C$5:$AA$496,23,)/VLOOKUP($D86,$C$5:$AA$496,4,))*$F86))</f>
        <v>0</v>
      </c>
      <c r="Z86" s="27"/>
      <c r="AA86" s="27">
        <f>IF(VLOOKUP($D86,$C$5:$AA$496,25,)=0,0,((VLOOKUP($D86,$C$5:$AA$496,25,)/VLOOKUP($D86,$C$5:$AA$496,4,))*$F86))</f>
        <v>0</v>
      </c>
      <c r="AB86" s="27">
        <f>SUM(H86:AA86)</f>
        <v>0</v>
      </c>
      <c r="AC86" s="22" t="str">
        <f>IF(ABS(AB86-F86)&lt;1,"ok","err")</f>
        <v>ok</v>
      </c>
    </row>
    <row r="87" spans="1:29" x14ac:dyDescent="0.25">
      <c r="B87" s="14" t="s">
        <v>836</v>
      </c>
      <c r="C87" s="14" t="s">
        <v>555</v>
      </c>
      <c r="D87" s="14" t="s">
        <v>16</v>
      </c>
      <c r="F87" s="119">
        <f>597992.79+5565.48</f>
        <v>603558.27</v>
      </c>
      <c r="G87" s="27"/>
      <c r="H87" s="27">
        <f>IF(VLOOKUP($D87,$C$5:$AA$496,6,)=0,0,((VLOOKUP($D87,$C$5:$AA$496,6,)/VLOOKUP($D87,$C$5:$AA$496,4,))*$F87))</f>
        <v>0</v>
      </c>
      <c r="I87" s="27">
        <f>IF(VLOOKUP($D87,$C$5:$AA$496,7,)=0,0,((VLOOKUP($D87,$C$5:$AA$496,7,)/VLOOKUP($D87,$C$5:$AA$496,4,))*$F87))</f>
        <v>0</v>
      </c>
      <c r="J87" s="27"/>
      <c r="K87" s="27">
        <f>IF(VLOOKUP($D87,$C$5:$AA$496,9,)=0,0,((VLOOKUP($D87,$C$5:$AA$496,9,)/VLOOKUP($D87,$C$5:$AA$496,4,))*$F87))</f>
        <v>0</v>
      </c>
      <c r="L87" s="27"/>
      <c r="M87" s="27">
        <f>IF(VLOOKUP($D87,$C$5:$AA$496,11,)=0,0,((VLOOKUP($D87,$C$5:$AA$496,11,)/VLOOKUP($D87,$C$5:$AA$496,4,))*$F87))</f>
        <v>0</v>
      </c>
      <c r="N87" s="27"/>
      <c r="O87" s="27">
        <f>IF(VLOOKUP($D87,$C$5:$AA$496,13,)=0,0,((VLOOKUP($D87,$C$5:$AA$496,13,)/VLOOKUP($D87,$C$5:$AA$496,4,))*$F87))</f>
        <v>359800.49569276196</v>
      </c>
      <c r="P87" s="27">
        <f>IF(VLOOKUP($D87,$C$5:$AA$496,14,)=0,0,((VLOOKUP($D87,$C$5:$AA$496,14,)/VLOOKUP($D87,$C$5:$AA$496,4,))*$F87))</f>
        <v>144333.00446250918</v>
      </c>
      <c r="Q87" s="27"/>
      <c r="R87" s="27">
        <f>IF(VLOOKUP($D87,$C$5:$AA$496,16,)=0,0,((VLOOKUP($D87,$C$5:$AA$496,16,)/VLOOKUP($D87,$C$5:$AA$496,4,))*$F87))</f>
        <v>0</v>
      </c>
      <c r="S87" s="27">
        <f>IF(VLOOKUP($D87,$C$5:$AA$496,17,)=0,0,((VLOOKUP($D87,$C$5:$AA$496,17,)/VLOOKUP($D87,$C$5:$AA$496,4,))*$F87))</f>
        <v>44519.936703322026</v>
      </c>
      <c r="T87" s="27"/>
      <c r="U87" s="27">
        <f>IF(VLOOKUP($D87,$C$5:$AA$496,19,)=0,0,((VLOOKUP($D87,$C$5:$AA$496,19,)/VLOOKUP($D87,$C$5:$AA$496,4,))*$F87))</f>
        <v>34908.557805397642</v>
      </c>
      <c r="V87" s="27"/>
      <c r="W87" s="27">
        <f>IF(VLOOKUP($D87,$C$5:$AA$496,21,)=0,0,((VLOOKUP($D87,$C$5:$AA$496,21,)/VLOOKUP($D87,$C$5:$AA$496,4,))*$F87))</f>
        <v>19996.275336009134</v>
      </c>
      <c r="X87" s="27"/>
      <c r="Y87" s="27">
        <f>IF(VLOOKUP($D87,$C$5:$AA$496,23,)=0,0,((VLOOKUP($D87,$C$5:$AA$496,23,)/VLOOKUP($D87,$C$5:$AA$496,4,))*$F87))</f>
        <v>0</v>
      </c>
      <c r="Z87" s="27"/>
      <c r="AA87" s="27">
        <f>IF(VLOOKUP($D87,$C$5:$AA$496,25,)=0,0,((VLOOKUP($D87,$C$5:$AA$496,25,)/VLOOKUP($D87,$C$5:$AA$496,4,))*$F87))</f>
        <v>0</v>
      </c>
      <c r="AB87" s="27">
        <f>SUM(H87:AA87)</f>
        <v>603558.2699999999</v>
      </c>
      <c r="AC87" s="22" t="str">
        <f>IF(ABS(AB87-F87)&lt;1,"ok","err")</f>
        <v>ok</v>
      </c>
    </row>
    <row r="88" spans="1:29" x14ac:dyDescent="0.25">
      <c r="B88" s="14" t="s">
        <v>449</v>
      </c>
      <c r="C88" s="14" t="s">
        <v>556</v>
      </c>
      <c r="D88" s="14" t="s">
        <v>70</v>
      </c>
      <c r="F88" s="110">
        <v>0</v>
      </c>
      <c r="G88" s="27"/>
      <c r="H88" s="27">
        <f>IF(VLOOKUP($D88,$C$5:$AA$496,6,)=0,0,((VLOOKUP($D88,$C$5:$AA$496,6,)/VLOOKUP($D88,$C$5:$AA$496,4,))*$F88))</f>
        <v>0</v>
      </c>
      <c r="I88" s="27">
        <f>IF(VLOOKUP($D88,$C$5:$AA$496,7,)=0,0,((VLOOKUP($D88,$C$5:$AA$496,7,)/VLOOKUP($D88,$C$5:$AA$496,4,))*$F88))</f>
        <v>0</v>
      </c>
      <c r="J88" s="27"/>
      <c r="K88" s="27">
        <f>IF(VLOOKUP($D88,$C$5:$AA$496,9,)=0,0,((VLOOKUP($D88,$C$5:$AA$496,9,)/VLOOKUP($D88,$C$5:$AA$496,4,))*$F88))</f>
        <v>0</v>
      </c>
      <c r="L88" s="27"/>
      <c r="M88" s="27">
        <f>IF(VLOOKUP($D88,$C$5:$AA$496,11,)=0,0,((VLOOKUP($D88,$C$5:$AA$496,11,)/VLOOKUP($D88,$C$5:$AA$496,4,))*$F88))</f>
        <v>0</v>
      </c>
      <c r="N88" s="27"/>
      <c r="O88" s="27">
        <f>IF(VLOOKUP($D88,$C$5:$AA$496,13,)=0,0,((VLOOKUP($D88,$C$5:$AA$496,13,)/VLOOKUP($D88,$C$5:$AA$496,4,))*$F88))</f>
        <v>0</v>
      </c>
      <c r="P88" s="27">
        <f>IF(VLOOKUP($D88,$C$5:$AA$496,14,)=0,0,((VLOOKUP($D88,$C$5:$AA$496,14,)/VLOOKUP($D88,$C$5:$AA$496,4,))*$F88))</f>
        <v>0</v>
      </c>
      <c r="Q88" s="27"/>
      <c r="R88" s="27">
        <f>IF(VLOOKUP($D88,$C$5:$AA$496,16,)=0,0,((VLOOKUP($D88,$C$5:$AA$496,16,)/VLOOKUP($D88,$C$5:$AA$496,4,))*$F88))</f>
        <v>0</v>
      </c>
      <c r="S88" s="27">
        <f>IF(VLOOKUP($D88,$C$5:$AA$496,17,)=0,0,((VLOOKUP($D88,$C$5:$AA$496,17,)/VLOOKUP($D88,$C$5:$AA$496,4,))*$F88))</f>
        <v>0</v>
      </c>
      <c r="T88" s="27"/>
      <c r="U88" s="27">
        <f>IF(VLOOKUP($D88,$C$5:$AA$496,19,)=0,0,((VLOOKUP($D88,$C$5:$AA$496,19,)/VLOOKUP($D88,$C$5:$AA$496,4,))*$F88))</f>
        <v>0</v>
      </c>
      <c r="V88" s="27"/>
      <c r="W88" s="27">
        <f>IF(VLOOKUP($D88,$C$5:$AA$496,21,)=0,0,((VLOOKUP($D88,$C$5:$AA$496,21,)/VLOOKUP($D88,$C$5:$AA$496,4,))*$F88))</f>
        <v>0</v>
      </c>
      <c r="X88" s="27"/>
      <c r="Y88" s="27">
        <f>IF(VLOOKUP($D88,$C$5:$AA$496,23,)=0,0,((VLOOKUP($D88,$C$5:$AA$496,23,)/VLOOKUP($D88,$C$5:$AA$496,4,))*$F88))</f>
        <v>0</v>
      </c>
      <c r="Z88" s="27"/>
      <c r="AA88" s="27">
        <f>IF(VLOOKUP($D88,$C$5:$AA$496,25,)=0,0,((VLOOKUP($D88,$C$5:$AA$496,25,)/VLOOKUP($D88,$C$5:$AA$496,4,))*$F88))</f>
        <v>0</v>
      </c>
      <c r="AB88" s="27">
        <f>SUM(H88:AA88)</f>
        <v>0</v>
      </c>
      <c r="AC88" s="22" t="str">
        <f>IF(ABS(AB88-F88)&lt;1,"ok","err")</f>
        <v>ok</v>
      </c>
    </row>
    <row r="89" spans="1:29" x14ac:dyDescent="0.25">
      <c r="B89" s="14" t="s">
        <v>922</v>
      </c>
      <c r="C89" s="14" t="s">
        <v>557</v>
      </c>
      <c r="D89" s="14" t="s">
        <v>16</v>
      </c>
      <c r="F89" s="110">
        <v>0</v>
      </c>
      <c r="G89" s="27"/>
      <c r="H89" s="27">
        <f>IF(VLOOKUP($D89,$C$5:$AA$496,6,)=0,0,((VLOOKUP($D89,$C$5:$AA$496,6,)/VLOOKUP($D89,$C$5:$AA$496,4,))*$F89))</f>
        <v>0</v>
      </c>
      <c r="I89" s="27">
        <f>IF(VLOOKUP($D89,$C$5:$AA$496,7,)=0,0,((VLOOKUP($D89,$C$5:$AA$496,7,)/VLOOKUP($D89,$C$5:$AA$496,4,))*$F89))</f>
        <v>0</v>
      </c>
      <c r="J89" s="27"/>
      <c r="K89" s="27">
        <f>IF(VLOOKUP($D89,$C$5:$AA$496,9,)=0,0,((VLOOKUP($D89,$C$5:$AA$496,9,)/VLOOKUP($D89,$C$5:$AA$496,4,))*$F89))</f>
        <v>0</v>
      </c>
      <c r="L89" s="27"/>
      <c r="M89" s="27">
        <f>IF(VLOOKUP($D89,$C$5:$AA$496,11,)=0,0,((VLOOKUP($D89,$C$5:$AA$496,11,)/VLOOKUP($D89,$C$5:$AA$496,4,))*$F89))</f>
        <v>0</v>
      </c>
      <c r="N89" s="27"/>
      <c r="O89" s="27">
        <f>IF(VLOOKUP($D89,$C$5:$AA$496,13,)=0,0,((VLOOKUP($D89,$C$5:$AA$496,13,)/VLOOKUP($D89,$C$5:$AA$496,4,))*$F89))</f>
        <v>0</v>
      </c>
      <c r="P89" s="27">
        <f>IF(VLOOKUP($D89,$C$5:$AA$496,14,)=0,0,((VLOOKUP($D89,$C$5:$AA$496,14,)/VLOOKUP($D89,$C$5:$AA$496,4,))*$F89))</f>
        <v>0</v>
      </c>
      <c r="Q89" s="27"/>
      <c r="R89" s="27">
        <f>IF(VLOOKUP($D89,$C$5:$AA$496,16,)=0,0,((VLOOKUP($D89,$C$5:$AA$496,16,)/VLOOKUP($D89,$C$5:$AA$496,4,))*$F89))</f>
        <v>0</v>
      </c>
      <c r="S89" s="27">
        <f>IF(VLOOKUP($D89,$C$5:$AA$496,17,)=0,0,((VLOOKUP($D89,$C$5:$AA$496,17,)/VLOOKUP($D89,$C$5:$AA$496,4,))*$F89))</f>
        <v>0</v>
      </c>
      <c r="T89" s="27"/>
      <c r="U89" s="27">
        <f>IF(VLOOKUP($D89,$C$5:$AA$496,19,)=0,0,((VLOOKUP($D89,$C$5:$AA$496,19,)/VLOOKUP($D89,$C$5:$AA$496,4,))*$F89))</f>
        <v>0</v>
      </c>
      <c r="V89" s="27"/>
      <c r="W89" s="27">
        <f>IF(VLOOKUP($D89,$C$5:$AA$496,21,)=0,0,((VLOOKUP($D89,$C$5:$AA$496,21,)/VLOOKUP($D89,$C$5:$AA$496,4,))*$F89))</f>
        <v>0</v>
      </c>
      <c r="X89" s="27"/>
      <c r="Y89" s="27">
        <f>IF(VLOOKUP($D89,$C$5:$AA$496,23,)=0,0,((VLOOKUP($D89,$C$5:$AA$496,23,)/VLOOKUP($D89,$C$5:$AA$496,4,))*$F89))</f>
        <v>0</v>
      </c>
      <c r="Z89" s="27"/>
      <c r="AA89" s="27">
        <f>IF(VLOOKUP($D89,$C$5:$AA$496,25,)=0,0,((VLOOKUP($D89,$C$5:$AA$496,25,)/VLOOKUP($D89,$C$5:$AA$496,4,))*$F89))</f>
        <v>0</v>
      </c>
      <c r="AB89" s="27">
        <f>SUM(H89:AA89)</f>
        <v>0</v>
      </c>
      <c r="AC89" s="22" t="str">
        <f>IF(ABS(AB89-F89)&lt;1,"ok","err")</f>
        <v>ok</v>
      </c>
    </row>
    <row r="90" spans="1:29" x14ac:dyDescent="0.25">
      <c r="F90" s="110"/>
      <c r="G90" s="27"/>
      <c r="AB90" s="27"/>
      <c r="AC90" s="22"/>
    </row>
    <row r="91" spans="1:29" x14ac:dyDescent="0.25">
      <c r="A91" s="63" t="s">
        <v>74</v>
      </c>
      <c r="C91" s="14" t="s">
        <v>75</v>
      </c>
      <c r="F91" s="119">
        <f>SUM(F85:F89)</f>
        <v>603558.27</v>
      </c>
      <c r="G91" s="40"/>
      <c r="H91" s="40">
        <f>SUM(H85:H89)</f>
        <v>0</v>
      </c>
      <c r="I91" s="40">
        <f>SUM(I85:I89)</f>
        <v>0</v>
      </c>
      <c r="J91" s="40"/>
      <c r="K91" s="40">
        <f>SUM(K85:K89)</f>
        <v>0</v>
      </c>
      <c r="L91" s="40"/>
      <c r="M91" s="40">
        <f>SUM(M85:M89)</f>
        <v>0</v>
      </c>
      <c r="N91" s="40"/>
      <c r="O91" s="40">
        <f>SUM(O85:O89)</f>
        <v>359800.49569276196</v>
      </c>
      <c r="P91" s="40">
        <f>SUM(P85:P89)</f>
        <v>144333.00446250918</v>
      </c>
      <c r="Q91" s="40"/>
      <c r="R91" s="40">
        <f>SUM(R85:R89)</f>
        <v>0</v>
      </c>
      <c r="S91" s="40">
        <f>SUM(S85:S89)</f>
        <v>44519.936703322026</v>
      </c>
      <c r="T91" s="40"/>
      <c r="U91" s="40">
        <f>SUM(U85:U89)</f>
        <v>34908.557805397642</v>
      </c>
      <c r="V91" s="40"/>
      <c r="W91" s="40">
        <f>SUM(W85:W89)</f>
        <v>19996.275336009134</v>
      </c>
      <c r="X91" s="40"/>
      <c r="Y91" s="40">
        <f>SUM(Y85:Y89)</f>
        <v>0</v>
      </c>
      <c r="Z91" s="40"/>
      <c r="AA91" s="40">
        <f>SUM(AA85:AA89)</f>
        <v>0</v>
      </c>
      <c r="AB91" s="27">
        <f>SUM(H91:AA91)</f>
        <v>603558.2699999999</v>
      </c>
      <c r="AC91" s="22" t="str">
        <f>IF(ABS(AB91-F91)&lt;1,"ok","err")</f>
        <v>ok</v>
      </c>
    </row>
    <row r="92" spans="1:29" x14ac:dyDescent="0.25">
      <c r="A92" s="63"/>
      <c r="F92" s="119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27"/>
      <c r="AC92" s="22"/>
    </row>
    <row r="93" spans="1:29" x14ac:dyDescent="0.25">
      <c r="A93" s="13" t="s">
        <v>367</v>
      </c>
      <c r="D93" s="61"/>
      <c r="F93" s="119">
        <f>F82+F91</f>
        <v>125322387.95000002</v>
      </c>
      <c r="G93" s="40"/>
      <c r="H93" s="40">
        <f>H82+H91</f>
        <v>0</v>
      </c>
      <c r="I93" s="40">
        <f>I82+I91</f>
        <v>0</v>
      </c>
      <c r="J93" s="40"/>
      <c r="K93" s="40">
        <f>K82+K91</f>
        <v>0</v>
      </c>
      <c r="L93" s="40"/>
      <c r="M93" s="40">
        <f>M82+M91</f>
        <v>0</v>
      </c>
      <c r="N93" s="40"/>
      <c r="O93" s="40">
        <f>O82+O91</f>
        <v>74708705.931260973</v>
      </c>
      <c r="P93" s="40">
        <f>P82+P91</f>
        <v>29969197.140219219</v>
      </c>
      <c r="Q93" s="40"/>
      <c r="R93" s="40">
        <f>R82+R91</f>
        <v>0</v>
      </c>
      <c r="S93" s="40">
        <f>S82+S91</f>
        <v>9244086.3730409443</v>
      </c>
      <c r="T93" s="40"/>
      <c r="U93" s="40">
        <f>U82+U91</f>
        <v>7248386.8443440329</v>
      </c>
      <c r="V93" s="40"/>
      <c r="W93" s="40">
        <f>W82+W91</f>
        <v>4152011.6611348116</v>
      </c>
      <c r="X93" s="40"/>
      <c r="Y93" s="40">
        <f>Y82+Y91</f>
        <v>0</v>
      </c>
      <c r="Z93" s="40"/>
      <c r="AA93" s="40">
        <f>AA82+AA91</f>
        <v>0</v>
      </c>
      <c r="AB93" s="27">
        <f>SUM(H93:AA93)</f>
        <v>125322387.94999997</v>
      </c>
      <c r="AC93" s="22" t="str">
        <f>IF(ABS(AB93-F93)&lt;1,"ok","err")</f>
        <v>ok</v>
      </c>
    </row>
    <row r="94" spans="1:29" x14ac:dyDescent="0.25">
      <c r="AC94" s="22"/>
    </row>
    <row r="95" spans="1:29" x14ac:dyDescent="0.25">
      <c r="A95" s="20" t="s">
        <v>76</v>
      </c>
      <c r="F95" s="120"/>
      <c r="G95" s="61"/>
      <c r="AC95" s="22"/>
    </row>
    <row r="96" spans="1:29" x14ac:dyDescent="0.25">
      <c r="AC96" s="22"/>
    </row>
    <row r="97" spans="1:29" x14ac:dyDescent="0.25">
      <c r="A97" s="20" t="s">
        <v>77</v>
      </c>
      <c r="AC97" s="22"/>
    </row>
    <row r="98" spans="1:29" x14ac:dyDescent="0.25">
      <c r="A98" s="14" t="s">
        <v>15</v>
      </c>
      <c r="F98" s="120">
        <f>F82</f>
        <v>124718829.68000002</v>
      </c>
      <c r="G98" s="61"/>
      <c r="H98" s="61">
        <f>H82</f>
        <v>0</v>
      </c>
      <c r="I98" s="61">
        <f>I82</f>
        <v>0</v>
      </c>
      <c r="J98" s="61"/>
      <c r="K98" s="61">
        <f>K82</f>
        <v>0</v>
      </c>
      <c r="L98" s="61"/>
      <c r="M98" s="61">
        <f>M82</f>
        <v>0</v>
      </c>
      <c r="N98" s="61"/>
      <c r="O98" s="61">
        <f>O82</f>
        <v>74348905.435568213</v>
      </c>
      <c r="P98" s="61">
        <f>P82</f>
        <v>29824864.135756709</v>
      </c>
      <c r="Q98" s="61"/>
      <c r="R98" s="61">
        <f>R82</f>
        <v>0</v>
      </c>
      <c r="S98" s="61">
        <f>S82</f>
        <v>9199566.4363376219</v>
      </c>
      <c r="T98" s="61"/>
      <c r="U98" s="61">
        <f>U82</f>
        <v>7213478.2865386354</v>
      </c>
      <c r="V98" s="61"/>
      <c r="W98" s="61">
        <f>W82</f>
        <v>4132015.3857988026</v>
      </c>
      <c r="X98" s="61"/>
      <c r="Y98" s="61">
        <f>Y82</f>
        <v>0</v>
      </c>
      <c r="Z98" s="61"/>
      <c r="AA98" s="61">
        <f>AA82</f>
        <v>0</v>
      </c>
      <c r="AB98" s="27">
        <f>SUM(H98:AA98)</f>
        <v>124718829.67999996</v>
      </c>
      <c r="AC98" s="22" t="str">
        <f>IF(ABS(AB98-F98)&lt;1,"ok","err")</f>
        <v>ok</v>
      </c>
    </row>
    <row r="99" spans="1:29" x14ac:dyDescent="0.25">
      <c r="A99" s="14" t="s">
        <v>73</v>
      </c>
      <c r="F99" s="110">
        <f>F91</f>
        <v>603558.27</v>
      </c>
      <c r="G99" s="27"/>
      <c r="H99" s="25">
        <f>H91</f>
        <v>0</v>
      </c>
      <c r="I99" s="25">
        <f>I91</f>
        <v>0</v>
      </c>
      <c r="J99" s="25"/>
      <c r="K99" s="25">
        <f>K91</f>
        <v>0</v>
      </c>
      <c r="L99" s="25"/>
      <c r="M99" s="25">
        <f>M91</f>
        <v>0</v>
      </c>
      <c r="N99" s="25"/>
      <c r="O99" s="25">
        <f>O91</f>
        <v>359800.49569276196</v>
      </c>
      <c r="P99" s="25">
        <f>P91</f>
        <v>144333.00446250918</v>
      </c>
      <c r="Q99" s="25"/>
      <c r="R99" s="25">
        <f>R91</f>
        <v>0</v>
      </c>
      <c r="S99" s="25">
        <f>S91</f>
        <v>44519.936703322026</v>
      </c>
      <c r="T99" s="25"/>
      <c r="U99" s="25">
        <f>U91</f>
        <v>34908.557805397642</v>
      </c>
      <c r="V99" s="25"/>
      <c r="W99" s="25">
        <f>W91</f>
        <v>19996.275336009134</v>
      </c>
      <c r="X99" s="25"/>
      <c r="Y99" s="25">
        <f>Y91</f>
        <v>0</v>
      </c>
      <c r="Z99" s="25"/>
      <c r="AA99" s="27">
        <f>AA91</f>
        <v>0</v>
      </c>
      <c r="AB99" s="27">
        <f>SUM(H99:AA99)</f>
        <v>603558.2699999999</v>
      </c>
      <c r="AC99" s="22" t="str">
        <f>IF(ABS(AB99-F99)&lt;1,"ok","err")</f>
        <v>ok</v>
      </c>
    </row>
    <row r="100" spans="1:29" x14ac:dyDescent="0.25">
      <c r="Q100" s="14"/>
      <c r="AB100" s="27"/>
      <c r="AC100" s="22"/>
    </row>
    <row r="101" spans="1:29" x14ac:dyDescent="0.25">
      <c r="A101" s="63" t="s">
        <v>78</v>
      </c>
      <c r="C101" s="14" t="s">
        <v>79</v>
      </c>
      <c r="F101" s="120">
        <f>F98+F99</f>
        <v>125322387.95000002</v>
      </c>
      <c r="G101" s="61"/>
      <c r="H101" s="61">
        <f t="shared" ref="H101:AA101" si="63">H98+H99</f>
        <v>0</v>
      </c>
      <c r="I101" s="61">
        <f t="shared" si="63"/>
        <v>0</v>
      </c>
      <c r="J101" s="61"/>
      <c r="K101" s="61">
        <f t="shared" si="63"/>
        <v>0</v>
      </c>
      <c r="L101" s="61"/>
      <c r="M101" s="61">
        <f t="shared" si="63"/>
        <v>0</v>
      </c>
      <c r="N101" s="61"/>
      <c r="O101" s="61">
        <f t="shared" si="63"/>
        <v>74708705.931260973</v>
      </c>
      <c r="P101" s="61">
        <f t="shared" si="63"/>
        <v>29969197.140219219</v>
      </c>
      <c r="Q101" s="61"/>
      <c r="R101" s="61">
        <f t="shared" si="63"/>
        <v>0</v>
      </c>
      <c r="S101" s="61">
        <f t="shared" si="63"/>
        <v>9244086.3730409443</v>
      </c>
      <c r="T101" s="61"/>
      <c r="U101" s="61">
        <f t="shared" si="63"/>
        <v>7248386.8443440329</v>
      </c>
      <c r="V101" s="61"/>
      <c r="W101" s="61">
        <f t="shared" si="63"/>
        <v>4152011.6611348116</v>
      </c>
      <c r="X101" s="61"/>
      <c r="Y101" s="61">
        <f t="shared" si="63"/>
        <v>0</v>
      </c>
      <c r="Z101" s="61"/>
      <c r="AA101" s="61">
        <f t="shared" si="63"/>
        <v>0</v>
      </c>
      <c r="AB101" s="27">
        <f>SUM(H101:AA101)</f>
        <v>125322387.94999997</v>
      </c>
      <c r="AC101" s="22" t="str">
        <f>IF(ABS(AB101-F101)&lt;1,"ok","err")</f>
        <v>ok</v>
      </c>
    </row>
    <row r="102" spans="1:29" x14ac:dyDescent="0.25">
      <c r="Q102" s="14"/>
      <c r="AC102" s="22"/>
    </row>
    <row r="103" spans="1:29" x14ac:dyDescent="0.25">
      <c r="A103" s="20" t="s">
        <v>80</v>
      </c>
      <c r="Q103" s="14"/>
      <c r="AC103" s="22"/>
    </row>
    <row r="104" spans="1:29" x14ac:dyDescent="0.25">
      <c r="A104" s="14" t="s">
        <v>369</v>
      </c>
      <c r="C104" s="14" t="s">
        <v>393</v>
      </c>
      <c r="D104" s="14" t="s">
        <v>79</v>
      </c>
      <c r="F104" s="119">
        <v>0</v>
      </c>
      <c r="G104" s="40"/>
      <c r="H104" s="27">
        <f t="shared" ref="H104:H122" si="64">IF(VLOOKUP($D104,$C$5:$AA$496,6,)=0,0,((VLOOKUP($D104,$C$5:$AA$496,6,)/VLOOKUP($D104,$C$5:$AA$496,4,))*$F104))</f>
        <v>0</v>
      </c>
      <c r="I104" s="27">
        <f t="shared" ref="I104:I122" si="65">IF(VLOOKUP($D104,$C$5:$AA$496,7,)=0,0,((VLOOKUP($D104,$C$5:$AA$496,7,)/VLOOKUP($D104,$C$5:$AA$496,4,))*$F104))</f>
        <v>0</v>
      </c>
      <c r="J104" s="27"/>
      <c r="K104" s="27">
        <f t="shared" ref="K104:K122" si="66">IF(VLOOKUP($D104,$C$5:$AA$496,9,)=0,0,((VLOOKUP($D104,$C$5:$AA$496,9,)/VLOOKUP($D104,$C$5:$AA$496,4,))*$F104))</f>
        <v>0</v>
      </c>
      <c r="L104" s="27"/>
      <c r="M104" s="27">
        <f t="shared" ref="M104:M122" si="67">IF(VLOOKUP($D104,$C$5:$AA$496,11,)=0,0,((VLOOKUP($D104,$C$5:$AA$496,11,)/VLOOKUP($D104,$C$5:$AA$496,4,))*$F104))</f>
        <v>0</v>
      </c>
      <c r="N104" s="27"/>
      <c r="O104" s="27">
        <f t="shared" ref="O104:O122" si="68">IF(VLOOKUP($D104,$C$5:$AA$496,13,)=0,0,((VLOOKUP($D104,$C$5:$AA$496,13,)/VLOOKUP($D104,$C$5:$AA$496,4,))*$F104))</f>
        <v>0</v>
      </c>
      <c r="P104" s="27">
        <f t="shared" ref="P104:P122" si="69">IF(VLOOKUP($D104,$C$5:$AA$496,14,)=0,0,((VLOOKUP($D104,$C$5:$AA$496,14,)/VLOOKUP($D104,$C$5:$AA$496,4,))*$F104))</f>
        <v>0</v>
      </c>
      <c r="Q104" s="27"/>
      <c r="R104" s="27">
        <f t="shared" ref="R104:R122" si="70">IF(VLOOKUP($D104,$C$5:$AA$496,16,)=0,0,((VLOOKUP($D104,$C$5:$AA$496,16,)/VLOOKUP($D104,$C$5:$AA$496,4,))*$F104))</f>
        <v>0</v>
      </c>
      <c r="S104" s="27">
        <f t="shared" ref="S104:S122" si="71">IF(VLOOKUP($D104,$C$5:$AA$496,17,)=0,0,((VLOOKUP($D104,$C$5:$AA$496,17,)/VLOOKUP($D104,$C$5:$AA$496,4,))*$F104))</f>
        <v>0</v>
      </c>
      <c r="T104" s="27"/>
      <c r="U104" s="27">
        <f t="shared" ref="U104:U122" si="72">IF(VLOOKUP($D104,$C$5:$AA$496,19,)=0,0,((VLOOKUP($D104,$C$5:$AA$496,19,)/VLOOKUP($D104,$C$5:$AA$496,4,))*$F104))</f>
        <v>0</v>
      </c>
      <c r="V104" s="27"/>
      <c r="W104" s="27">
        <f t="shared" ref="W104:W122" si="73">IF(VLOOKUP($D104,$C$5:$AA$496,21,)=0,0,((VLOOKUP($D104,$C$5:$AA$496,21,)/VLOOKUP($D104,$C$5:$AA$496,4,))*$F104))</f>
        <v>0</v>
      </c>
      <c r="X104" s="27"/>
      <c r="Y104" s="27">
        <f t="shared" ref="Y104:Y122" si="74">IF(VLOOKUP($D104,$C$5:$AA$496,23,)=0,0,((VLOOKUP($D104,$C$5:$AA$496,23,)/VLOOKUP($D104,$C$5:$AA$496,4,))*$F104))</f>
        <v>0</v>
      </c>
      <c r="Z104" s="27"/>
      <c r="AA104" s="27">
        <f t="shared" ref="AA104:AA122" si="75">IF(VLOOKUP($D104,$C$5:$AA$496,25,)=0,0,((VLOOKUP($D104,$C$5:$AA$496,25,)/VLOOKUP($D104,$C$5:$AA$496,4,))*$F104))</f>
        <v>0</v>
      </c>
      <c r="AB104" s="27">
        <f t="shared" ref="AB104:AB122" si="76">SUM(H104:AA104)</f>
        <v>0</v>
      </c>
      <c r="AC104" s="22" t="str">
        <f t="shared" ref="AC104:AC110" si="77">IF(ABS(AB104-F104)&lt;1,"ok","err")</f>
        <v>ok</v>
      </c>
    </row>
    <row r="105" spans="1:29" x14ac:dyDescent="0.25">
      <c r="A105" s="14" t="s">
        <v>370</v>
      </c>
      <c r="C105" s="14" t="s">
        <v>394</v>
      </c>
      <c r="D105" s="14" t="s">
        <v>16</v>
      </c>
      <c r="F105" s="110">
        <v>-93493.03</v>
      </c>
      <c r="G105" s="27"/>
      <c r="H105" s="27">
        <f t="shared" si="64"/>
        <v>0</v>
      </c>
      <c r="I105" s="27">
        <f t="shared" si="65"/>
        <v>0</v>
      </c>
      <c r="J105" s="27"/>
      <c r="K105" s="27">
        <f t="shared" si="66"/>
        <v>0</v>
      </c>
      <c r="L105" s="27"/>
      <c r="M105" s="27">
        <f t="shared" si="67"/>
        <v>0</v>
      </c>
      <c r="N105" s="27"/>
      <c r="O105" s="27">
        <f t="shared" si="68"/>
        <v>-55734.201998123994</v>
      </c>
      <c r="P105" s="27">
        <f t="shared" si="69"/>
        <v>-22357.62574540401</v>
      </c>
      <c r="Q105" s="27"/>
      <c r="R105" s="27">
        <f t="shared" si="70"/>
        <v>0</v>
      </c>
      <c r="S105" s="27">
        <f t="shared" si="71"/>
        <v>-6896.2749492303155</v>
      </c>
      <c r="T105" s="27"/>
      <c r="U105" s="27">
        <f t="shared" si="72"/>
        <v>-5407.4428342383171</v>
      </c>
      <c r="V105" s="27"/>
      <c r="W105" s="27">
        <f t="shared" si="73"/>
        <v>-3097.4844730033474</v>
      </c>
      <c r="X105" s="27"/>
      <c r="Y105" s="27">
        <f t="shared" si="74"/>
        <v>0</v>
      </c>
      <c r="Z105" s="27"/>
      <c r="AA105" s="27">
        <f t="shared" si="75"/>
        <v>0</v>
      </c>
      <c r="AB105" s="27">
        <f t="shared" si="76"/>
        <v>-93493.029999999984</v>
      </c>
      <c r="AC105" s="22" t="str">
        <f t="shared" si="77"/>
        <v>ok</v>
      </c>
    </row>
    <row r="106" spans="1:29" x14ac:dyDescent="0.25">
      <c r="A106" s="14" t="s">
        <v>830</v>
      </c>
      <c r="C106" s="14" t="s">
        <v>835</v>
      </c>
      <c r="D106" s="14" t="s">
        <v>779</v>
      </c>
      <c r="F106" s="110">
        <v>0</v>
      </c>
      <c r="G106" s="27"/>
      <c r="H106" s="27">
        <f t="shared" si="64"/>
        <v>0</v>
      </c>
      <c r="I106" s="27">
        <f t="shared" si="65"/>
        <v>0</v>
      </c>
      <c r="J106" s="27"/>
      <c r="K106" s="27">
        <f t="shared" si="66"/>
        <v>0</v>
      </c>
      <c r="L106" s="27"/>
      <c r="M106" s="27">
        <f t="shared" si="67"/>
        <v>0</v>
      </c>
      <c r="N106" s="27"/>
      <c r="O106" s="27">
        <f t="shared" si="68"/>
        <v>0</v>
      </c>
      <c r="P106" s="27">
        <f t="shared" si="69"/>
        <v>0</v>
      </c>
      <c r="Q106" s="27"/>
      <c r="R106" s="27">
        <f t="shared" si="70"/>
        <v>0</v>
      </c>
      <c r="S106" s="27">
        <f t="shared" si="71"/>
        <v>0</v>
      </c>
      <c r="T106" s="27"/>
      <c r="U106" s="27">
        <f t="shared" si="72"/>
        <v>0</v>
      </c>
      <c r="V106" s="27"/>
      <c r="W106" s="27">
        <f t="shared" si="73"/>
        <v>0</v>
      </c>
      <c r="X106" s="27"/>
      <c r="Y106" s="27">
        <f t="shared" si="74"/>
        <v>0</v>
      </c>
      <c r="Z106" s="27"/>
      <c r="AA106" s="27">
        <f t="shared" si="75"/>
        <v>0</v>
      </c>
      <c r="AB106" s="27">
        <f t="shared" si="76"/>
        <v>0</v>
      </c>
      <c r="AC106" s="22" t="str">
        <f t="shared" si="77"/>
        <v>ok</v>
      </c>
    </row>
    <row r="107" spans="1:29" x14ac:dyDescent="0.25">
      <c r="A107" s="14" t="s">
        <v>368</v>
      </c>
      <c r="C107" s="14" t="s">
        <v>395</v>
      </c>
      <c r="D107" s="14" t="s">
        <v>390</v>
      </c>
      <c r="F107" s="110">
        <v>0</v>
      </c>
      <c r="G107" s="27"/>
      <c r="H107" s="27">
        <f t="shared" si="64"/>
        <v>0</v>
      </c>
      <c r="I107" s="27">
        <f t="shared" si="65"/>
        <v>0</v>
      </c>
      <c r="J107" s="27"/>
      <c r="K107" s="27">
        <f t="shared" si="66"/>
        <v>0</v>
      </c>
      <c r="L107" s="27"/>
      <c r="M107" s="27">
        <f t="shared" si="67"/>
        <v>0</v>
      </c>
      <c r="N107" s="27"/>
      <c r="O107" s="27">
        <f t="shared" si="68"/>
        <v>0</v>
      </c>
      <c r="P107" s="27">
        <f t="shared" si="69"/>
        <v>0</v>
      </c>
      <c r="Q107" s="27"/>
      <c r="R107" s="27">
        <f t="shared" si="70"/>
        <v>0</v>
      </c>
      <c r="S107" s="27">
        <f t="shared" si="71"/>
        <v>0</v>
      </c>
      <c r="T107" s="27"/>
      <c r="U107" s="27">
        <f t="shared" si="72"/>
        <v>0</v>
      </c>
      <c r="V107" s="27"/>
      <c r="W107" s="27">
        <f t="shared" si="73"/>
        <v>0</v>
      </c>
      <c r="X107" s="27"/>
      <c r="Y107" s="27">
        <f t="shared" si="74"/>
        <v>0</v>
      </c>
      <c r="Z107" s="27"/>
      <c r="AA107" s="27">
        <f t="shared" si="75"/>
        <v>0</v>
      </c>
      <c r="AB107" s="27">
        <f t="shared" si="76"/>
        <v>0</v>
      </c>
      <c r="AC107" s="22" t="str">
        <f t="shared" si="77"/>
        <v>ok</v>
      </c>
    </row>
    <row r="108" spans="1:29" x14ac:dyDescent="0.25">
      <c r="A108" s="14" t="s">
        <v>1018</v>
      </c>
      <c r="C108" s="14" t="s">
        <v>448</v>
      </c>
      <c r="D108" s="14" t="s">
        <v>16</v>
      </c>
      <c r="F108" s="110">
        <v>42904030.589999996</v>
      </c>
      <c r="G108" s="27"/>
      <c r="H108" s="27">
        <f t="shared" si="64"/>
        <v>0</v>
      </c>
      <c r="I108" s="27">
        <f t="shared" si="65"/>
        <v>0</v>
      </c>
      <c r="J108" s="27"/>
      <c r="K108" s="27">
        <f t="shared" si="66"/>
        <v>0</v>
      </c>
      <c r="L108" s="27"/>
      <c r="M108" s="27">
        <f t="shared" si="67"/>
        <v>0</v>
      </c>
      <c r="N108" s="27"/>
      <c r="O108" s="27">
        <f t="shared" si="68"/>
        <v>25576472.464704063</v>
      </c>
      <c r="P108" s="27">
        <f t="shared" si="69"/>
        <v>10259933.375788389</v>
      </c>
      <c r="Q108" s="27"/>
      <c r="R108" s="27">
        <f t="shared" si="70"/>
        <v>0</v>
      </c>
      <c r="S108" s="27">
        <f t="shared" si="71"/>
        <v>3164706.4105081214</v>
      </c>
      <c r="T108" s="27"/>
      <c r="U108" s="27">
        <f t="shared" si="72"/>
        <v>2481480.0929420842</v>
      </c>
      <c r="V108" s="27"/>
      <c r="W108" s="27">
        <f t="shared" si="73"/>
        <v>1421438.2460573332</v>
      </c>
      <c r="X108" s="27"/>
      <c r="Y108" s="27">
        <f t="shared" si="74"/>
        <v>0</v>
      </c>
      <c r="Z108" s="27"/>
      <c r="AA108" s="27">
        <f t="shared" si="75"/>
        <v>0</v>
      </c>
      <c r="AB108" s="27">
        <f t="shared" si="76"/>
        <v>42904030.589999981</v>
      </c>
      <c r="AC108" s="22" t="str">
        <f t="shared" si="77"/>
        <v>ok</v>
      </c>
    </row>
    <row r="109" spans="1:29" x14ac:dyDescent="0.25">
      <c r="A109" s="14" t="s">
        <v>426</v>
      </c>
      <c r="C109" s="14" t="s">
        <v>436</v>
      </c>
      <c r="D109" s="14" t="s">
        <v>424</v>
      </c>
      <c r="F109" s="110">
        <v>0</v>
      </c>
      <c r="G109" s="27"/>
      <c r="H109" s="27">
        <f t="shared" si="64"/>
        <v>0</v>
      </c>
      <c r="I109" s="27">
        <f t="shared" si="65"/>
        <v>0</v>
      </c>
      <c r="J109" s="27"/>
      <c r="K109" s="27">
        <f t="shared" si="66"/>
        <v>0</v>
      </c>
      <c r="L109" s="27"/>
      <c r="M109" s="27">
        <f t="shared" si="67"/>
        <v>0</v>
      </c>
      <c r="N109" s="27"/>
      <c r="O109" s="27">
        <f t="shared" si="68"/>
        <v>0</v>
      </c>
      <c r="P109" s="27">
        <f t="shared" si="69"/>
        <v>0</v>
      </c>
      <c r="Q109" s="27"/>
      <c r="R109" s="27">
        <f t="shared" si="70"/>
        <v>0</v>
      </c>
      <c r="S109" s="27">
        <f t="shared" si="71"/>
        <v>0</v>
      </c>
      <c r="T109" s="27"/>
      <c r="U109" s="27">
        <f t="shared" si="72"/>
        <v>0</v>
      </c>
      <c r="V109" s="27"/>
      <c r="W109" s="27">
        <f t="shared" si="73"/>
        <v>0</v>
      </c>
      <c r="X109" s="27"/>
      <c r="Y109" s="27">
        <f t="shared" si="74"/>
        <v>0</v>
      </c>
      <c r="Z109" s="27"/>
      <c r="AA109" s="27">
        <f t="shared" si="75"/>
        <v>0</v>
      </c>
      <c r="AB109" s="27">
        <f t="shared" si="76"/>
        <v>0</v>
      </c>
      <c r="AC109" s="22" t="str">
        <f t="shared" si="77"/>
        <v>ok</v>
      </c>
    </row>
    <row r="110" spans="1:29" x14ac:dyDescent="0.25">
      <c r="A110" s="14" t="s">
        <v>427</v>
      </c>
      <c r="C110" s="14" t="s">
        <v>437</v>
      </c>
      <c r="D110" s="14" t="s">
        <v>23</v>
      </c>
      <c r="F110" s="110">
        <v>0</v>
      </c>
      <c r="G110" s="27"/>
      <c r="H110" s="27">
        <f t="shared" si="64"/>
        <v>0</v>
      </c>
      <c r="I110" s="27">
        <f t="shared" si="65"/>
        <v>0</v>
      </c>
      <c r="J110" s="27"/>
      <c r="K110" s="27">
        <f t="shared" si="66"/>
        <v>0</v>
      </c>
      <c r="L110" s="27"/>
      <c r="M110" s="27">
        <f t="shared" si="67"/>
        <v>0</v>
      </c>
      <c r="N110" s="27"/>
      <c r="O110" s="27">
        <f t="shared" si="68"/>
        <v>0</v>
      </c>
      <c r="P110" s="27">
        <f t="shared" si="69"/>
        <v>0</v>
      </c>
      <c r="Q110" s="27"/>
      <c r="R110" s="27">
        <f t="shared" si="70"/>
        <v>0</v>
      </c>
      <c r="S110" s="27">
        <f t="shared" si="71"/>
        <v>0</v>
      </c>
      <c r="T110" s="27"/>
      <c r="U110" s="27">
        <f t="shared" si="72"/>
        <v>0</v>
      </c>
      <c r="V110" s="27"/>
      <c r="W110" s="27">
        <f t="shared" si="73"/>
        <v>0</v>
      </c>
      <c r="X110" s="27"/>
      <c r="Y110" s="27">
        <f t="shared" si="74"/>
        <v>0</v>
      </c>
      <c r="Z110" s="27"/>
      <c r="AA110" s="27">
        <f t="shared" si="75"/>
        <v>0</v>
      </c>
      <c r="AB110" s="27">
        <f t="shared" si="76"/>
        <v>0</v>
      </c>
      <c r="AC110" s="22" t="str">
        <f t="shared" si="77"/>
        <v>ok</v>
      </c>
    </row>
    <row r="111" spans="1:29" x14ac:dyDescent="0.25">
      <c r="A111" s="14" t="s">
        <v>428</v>
      </c>
      <c r="C111" s="14" t="s">
        <v>438</v>
      </c>
      <c r="D111" s="14" t="s">
        <v>26</v>
      </c>
      <c r="F111" s="110">
        <v>0</v>
      </c>
      <c r="G111" s="27"/>
      <c r="H111" s="27">
        <f t="shared" si="64"/>
        <v>0</v>
      </c>
      <c r="I111" s="27">
        <f t="shared" si="65"/>
        <v>0</v>
      </c>
      <c r="J111" s="27"/>
      <c r="K111" s="27">
        <f t="shared" si="66"/>
        <v>0</v>
      </c>
      <c r="L111" s="27"/>
      <c r="M111" s="27">
        <f t="shared" si="67"/>
        <v>0</v>
      </c>
      <c r="N111" s="27"/>
      <c r="O111" s="27">
        <f t="shared" si="68"/>
        <v>0</v>
      </c>
      <c r="P111" s="27">
        <f t="shared" si="69"/>
        <v>0</v>
      </c>
      <c r="Q111" s="27"/>
      <c r="R111" s="27">
        <f t="shared" si="70"/>
        <v>0</v>
      </c>
      <c r="S111" s="27">
        <f t="shared" si="71"/>
        <v>0</v>
      </c>
      <c r="T111" s="27"/>
      <c r="U111" s="27">
        <f t="shared" si="72"/>
        <v>0</v>
      </c>
      <c r="V111" s="27"/>
      <c r="W111" s="27">
        <f t="shared" si="73"/>
        <v>0</v>
      </c>
      <c r="X111" s="27"/>
      <c r="Y111" s="27">
        <f t="shared" si="74"/>
        <v>0</v>
      </c>
      <c r="Z111" s="27"/>
      <c r="AA111" s="27">
        <f t="shared" si="75"/>
        <v>0</v>
      </c>
      <c r="AB111" s="27">
        <f t="shared" si="76"/>
        <v>0</v>
      </c>
      <c r="AC111" s="22" t="str">
        <f t="shared" ref="AC111:AC119" si="78">IF(ABS(AB111-F111)&lt;1,"ok","err")</f>
        <v>ok</v>
      </c>
    </row>
    <row r="112" spans="1:29" x14ac:dyDescent="0.25">
      <c r="A112" s="14" t="s">
        <v>429</v>
      </c>
      <c r="C112" s="14" t="s">
        <v>439</v>
      </c>
      <c r="D112" s="14" t="s">
        <v>29</v>
      </c>
      <c r="F112" s="110">
        <v>0</v>
      </c>
      <c r="G112" s="27"/>
      <c r="H112" s="27">
        <f t="shared" si="64"/>
        <v>0</v>
      </c>
      <c r="I112" s="27">
        <f t="shared" si="65"/>
        <v>0</v>
      </c>
      <c r="J112" s="27"/>
      <c r="K112" s="27">
        <f t="shared" si="66"/>
        <v>0</v>
      </c>
      <c r="L112" s="27"/>
      <c r="M112" s="27">
        <f t="shared" si="67"/>
        <v>0</v>
      </c>
      <c r="N112" s="27"/>
      <c r="O112" s="27">
        <f t="shared" si="68"/>
        <v>0</v>
      </c>
      <c r="P112" s="27">
        <f t="shared" si="69"/>
        <v>0</v>
      </c>
      <c r="Q112" s="27"/>
      <c r="R112" s="27">
        <f t="shared" si="70"/>
        <v>0</v>
      </c>
      <c r="S112" s="27">
        <f t="shared" si="71"/>
        <v>0</v>
      </c>
      <c r="T112" s="27"/>
      <c r="U112" s="27">
        <f t="shared" si="72"/>
        <v>0</v>
      </c>
      <c r="V112" s="27"/>
      <c r="W112" s="27">
        <f t="shared" si="73"/>
        <v>0</v>
      </c>
      <c r="X112" s="27"/>
      <c r="Y112" s="27">
        <f t="shared" si="74"/>
        <v>0</v>
      </c>
      <c r="Z112" s="27"/>
      <c r="AA112" s="27">
        <f t="shared" si="75"/>
        <v>0</v>
      </c>
      <c r="AB112" s="27">
        <f t="shared" si="76"/>
        <v>0</v>
      </c>
      <c r="AC112" s="22" t="str">
        <f t="shared" si="78"/>
        <v>ok</v>
      </c>
    </row>
    <row r="113" spans="1:29" x14ac:dyDescent="0.25">
      <c r="A113" s="14" t="s">
        <v>447</v>
      </c>
      <c r="C113" s="14" t="s">
        <v>440</v>
      </c>
      <c r="D113" s="14" t="s">
        <v>32</v>
      </c>
      <c r="F113" s="110">
        <v>0</v>
      </c>
      <c r="G113" s="27"/>
      <c r="H113" s="27">
        <f t="shared" si="64"/>
        <v>0</v>
      </c>
      <c r="I113" s="27">
        <f t="shared" si="65"/>
        <v>0</v>
      </c>
      <c r="J113" s="27"/>
      <c r="K113" s="27">
        <f t="shared" si="66"/>
        <v>0</v>
      </c>
      <c r="L113" s="27"/>
      <c r="M113" s="27">
        <f t="shared" si="67"/>
        <v>0</v>
      </c>
      <c r="N113" s="27"/>
      <c r="O113" s="27">
        <f t="shared" si="68"/>
        <v>0</v>
      </c>
      <c r="P113" s="27">
        <f t="shared" si="69"/>
        <v>0</v>
      </c>
      <c r="Q113" s="27"/>
      <c r="R113" s="27">
        <f t="shared" si="70"/>
        <v>0</v>
      </c>
      <c r="S113" s="27">
        <f t="shared" si="71"/>
        <v>0</v>
      </c>
      <c r="T113" s="27"/>
      <c r="U113" s="27">
        <f t="shared" si="72"/>
        <v>0</v>
      </c>
      <c r="V113" s="27"/>
      <c r="W113" s="27">
        <f t="shared" si="73"/>
        <v>0</v>
      </c>
      <c r="X113" s="27"/>
      <c r="Y113" s="27">
        <f t="shared" si="74"/>
        <v>0</v>
      </c>
      <c r="Z113" s="27"/>
      <c r="AA113" s="27">
        <f t="shared" si="75"/>
        <v>0</v>
      </c>
      <c r="AB113" s="27">
        <f t="shared" si="76"/>
        <v>0</v>
      </c>
      <c r="AC113" s="22" t="str">
        <f t="shared" si="78"/>
        <v>ok</v>
      </c>
    </row>
    <row r="114" spans="1:29" x14ac:dyDescent="0.25">
      <c r="A114" s="14" t="s">
        <v>430</v>
      </c>
      <c r="C114" s="14" t="s">
        <v>441</v>
      </c>
      <c r="D114" s="14" t="s">
        <v>35</v>
      </c>
      <c r="F114" s="110">
        <v>0</v>
      </c>
      <c r="G114" s="27"/>
      <c r="H114" s="27">
        <f t="shared" si="64"/>
        <v>0</v>
      </c>
      <c r="I114" s="27">
        <f t="shared" si="65"/>
        <v>0</v>
      </c>
      <c r="J114" s="27"/>
      <c r="K114" s="27">
        <f t="shared" si="66"/>
        <v>0</v>
      </c>
      <c r="L114" s="27"/>
      <c r="M114" s="27">
        <f t="shared" si="67"/>
        <v>0</v>
      </c>
      <c r="N114" s="27"/>
      <c r="O114" s="27">
        <f t="shared" si="68"/>
        <v>0</v>
      </c>
      <c r="P114" s="27">
        <f t="shared" si="69"/>
        <v>0</v>
      </c>
      <c r="Q114" s="27"/>
      <c r="R114" s="27">
        <f t="shared" si="70"/>
        <v>0</v>
      </c>
      <c r="S114" s="27">
        <f t="shared" si="71"/>
        <v>0</v>
      </c>
      <c r="T114" s="27"/>
      <c r="U114" s="27">
        <f t="shared" si="72"/>
        <v>0</v>
      </c>
      <c r="V114" s="27"/>
      <c r="W114" s="27">
        <f t="shared" si="73"/>
        <v>0</v>
      </c>
      <c r="X114" s="27"/>
      <c r="Y114" s="27">
        <f t="shared" si="74"/>
        <v>0</v>
      </c>
      <c r="Z114" s="27"/>
      <c r="AA114" s="27">
        <f t="shared" si="75"/>
        <v>0</v>
      </c>
      <c r="AB114" s="27">
        <f t="shared" si="76"/>
        <v>0</v>
      </c>
      <c r="AC114" s="22" t="str">
        <f t="shared" si="78"/>
        <v>ok</v>
      </c>
    </row>
    <row r="115" spans="1:29" x14ac:dyDescent="0.25">
      <c r="A115" s="14" t="s">
        <v>431</v>
      </c>
      <c r="C115" s="14" t="s">
        <v>442</v>
      </c>
      <c r="D115" s="14" t="s">
        <v>37</v>
      </c>
      <c r="F115" s="110">
        <v>0</v>
      </c>
      <c r="G115" s="27"/>
      <c r="H115" s="27">
        <f t="shared" si="64"/>
        <v>0</v>
      </c>
      <c r="I115" s="27">
        <f t="shared" si="65"/>
        <v>0</v>
      </c>
      <c r="J115" s="27"/>
      <c r="K115" s="27">
        <f t="shared" si="66"/>
        <v>0</v>
      </c>
      <c r="L115" s="27"/>
      <c r="M115" s="27">
        <f t="shared" si="67"/>
        <v>0</v>
      </c>
      <c r="N115" s="27"/>
      <c r="O115" s="27">
        <f t="shared" si="68"/>
        <v>0</v>
      </c>
      <c r="P115" s="27">
        <f t="shared" si="69"/>
        <v>0</v>
      </c>
      <c r="Q115" s="27"/>
      <c r="R115" s="27">
        <f t="shared" si="70"/>
        <v>0</v>
      </c>
      <c r="S115" s="27">
        <f t="shared" si="71"/>
        <v>0</v>
      </c>
      <c r="T115" s="27"/>
      <c r="U115" s="27">
        <f t="shared" si="72"/>
        <v>0</v>
      </c>
      <c r="V115" s="27"/>
      <c r="W115" s="27">
        <f t="shared" si="73"/>
        <v>0</v>
      </c>
      <c r="X115" s="27"/>
      <c r="Y115" s="27">
        <f t="shared" si="74"/>
        <v>0</v>
      </c>
      <c r="Z115" s="27"/>
      <c r="AA115" s="27">
        <f t="shared" si="75"/>
        <v>0</v>
      </c>
      <c r="AB115" s="27">
        <f t="shared" si="76"/>
        <v>0</v>
      </c>
      <c r="AC115" s="22" t="str">
        <f>IF(ABS(AB115-F115)&lt;1,"ok","err")</f>
        <v>ok</v>
      </c>
    </row>
    <row r="116" spans="1:29" x14ac:dyDescent="0.25">
      <c r="A116" s="14" t="s">
        <v>432</v>
      </c>
      <c r="C116" s="14" t="s">
        <v>443</v>
      </c>
      <c r="D116" s="14" t="s">
        <v>40</v>
      </c>
      <c r="F116" s="110">
        <v>0</v>
      </c>
      <c r="G116" s="27"/>
      <c r="H116" s="27">
        <f t="shared" si="64"/>
        <v>0</v>
      </c>
      <c r="I116" s="27">
        <f t="shared" si="65"/>
        <v>0</v>
      </c>
      <c r="J116" s="27"/>
      <c r="K116" s="27">
        <f t="shared" si="66"/>
        <v>0</v>
      </c>
      <c r="L116" s="27"/>
      <c r="M116" s="27">
        <f t="shared" si="67"/>
        <v>0</v>
      </c>
      <c r="N116" s="27"/>
      <c r="O116" s="27">
        <f t="shared" si="68"/>
        <v>0</v>
      </c>
      <c r="P116" s="27">
        <f t="shared" si="69"/>
        <v>0</v>
      </c>
      <c r="Q116" s="27"/>
      <c r="R116" s="27">
        <f t="shared" si="70"/>
        <v>0</v>
      </c>
      <c r="S116" s="27">
        <f t="shared" si="71"/>
        <v>0</v>
      </c>
      <c r="T116" s="27"/>
      <c r="U116" s="27">
        <f t="shared" si="72"/>
        <v>0</v>
      </c>
      <c r="V116" s="27"/>
      <c r="W116" s="27">
        <f t="shared" si="73"/>
        <v>0</v>
      </c>
      <c r="X116" s="27"/>
      <c r="Y116" s="27">
        <f t="shared" si="74"/>
        <v>0</v>
      </c>
      <c r="Z116" s="27"/>
      <c r="AA116" s="27">
        <f t="shared" si="75"/>
        <v>0</v>
      </c>
      <c r="AB116" s="27">
        <f t="shared" si="76"/>
        <v>0</v>
      </c>
      <c r="AC116" s="22" t="str">
        <f t="shared" si="78"/>
        <v>ok</v>
      </c>
    </row>
    <row r="117" spans="1:29" x14ac:dyDescent="0.25">
      <c r="A117" s="14" t="s">
        <v>433</v>
      </c>
      <c r="C117" s="14" t="s">
        <v>444</v>
      </c>
      <c r="D117" s="14" t="s">
        <v>43</v>
      </c>
      <c r="F117" s="110">
        <v>0</v>
      </c>
      <c r="G117" s="27"/>
      <c r="H117" s="27">
        <f t="shared" si="64"/>
        <v>0</v>
      </c>
      <c r="I117" s="27">
        <f t="shared" si="65"/>
        <v>0</v>
      </c>
      <c r="J117" s="27"/>
      <c r="K117" s="27">
        <f t="shared" si="66"/>
        <v>0</v>
      </c>
      <c r="L117" s="27"/>
      <c r="M117" s="27">
        <f t="shared" si="67"/>
        <v>0</v>
      </c>
      <c r="N117" s="27"/>
      <c r="O117" s="27">
        <f t="shared" si="68"/>
        <v>0</v>
      </c>
      <c r="P117" s="27">
        <f t="shared" si="69"/>
        <v>0</v>
      </c>
      <c r="Q117" s="27"/>
      <c r="R117" s="27">
        <f t="shared" si="70"/>
        <v>0</v>
      </c>
      <c r="S117" s="27">
        <f t="shared" si="71"/>
        <v>0</v>
      </c>
      <c r="T117" s="27"/>
      <c r="U117" s="27">
        <f t="shared" si="72"/>
        <v>0</v>
      </c>
      <c r="V117" s="27"/>
      <c r="W117" s="27">
        <f t="shared" si="73"/>
        <v>0</v>
      </c>
      <c r="X117" s="27"/>
      <c r="Y117" s="27">
        <f t="shared" si="74"/>
        <v>0</v>
      </c>
      <c r="Z117" s="27"/>
      <c r="AA117" s="27">
        <f t="shared" si="75"/>
        <v>0</v>
      </c>
      <c r="AB117" s="27">
        <f t="shared" si="76"/>
        <v>0</v>
      </c>
      <c r="AC117" s="22" t="str">
        <f t="shared" si="78"/>
        <v>ok</v>
      </c>
    </row>
    <row r="118" spans="1:29" x14ac:dyDescent="0.25">
      <c r="A118" s="14" t="s">
        <v>434</v>
      </c>
      <c r="C118" s="14" t="s">
        <v>445</v>
      </c>
      <c r="D118" s="14" t="s">
        <v>46</v>
      </c>
      <c r="F118" s="110">
        <v>0</v>
      </c>
      <c r="G118" s="27"/>
      <c r="H118" s="27">
        <f t="shared" si="64"/>
        <v>0</v>
      </c>
      <c r="I118" s="27">
        <f t="shared" si="65"/>
        <v>0</v>
      </c>
      <c r="J118" s="27"/>
      <c r="K118" s="27">
        <f t="shared" si="66"/>
        <v>0</v>
      </c>
      <c r="L118" s="27"/>
      <c r="M118" s="27">
        <f t="shared" si="67"/>
        <v>0</v>
      </c>
      <c r="N118" s="27"/>
      <c r="O118" s="27">
        <f t="shared" si="68"/>
        <v>0</v>
      </c>
      <c r="P118" s="27">
        <f t="shared" si="69"/>
        <v>0</v>
      </c>
      <c r="Q118" s="27"/>
      <c r="R118" s="27">
        <f t="shared" si="70"/>
        <v>0</v>
      </c>
      <c r="S118" s="27">
        <f t="shared" si="71"/>
        <v>0</v>
      </c>
      <c r="T118" s="27"/>
      <c r="U118" s="27">
        <f t="shared" si="72"/>
        <v>0</v>
      </c>
      <c r="V118" s="27"/>
      <c r="W118" s="27">
        <f t="shared" si="73"/>
        <v>0</v>
      </c>
      <c r="X118" s="27"/>
      <c r="Y118" s="27">
        <f t="shared" si="74"/>
        <v>0</v>
      </c>
      <c r="Z118" s="27"/>
      <c r="AA118" s="27">
        <f t="shared" si="75"/>
        <v>0</v>
      </c>
      <c r="AB118" s="27">
        <f t="shared" si="76"/>
        <v>0</v>
      </c>
      <c r="AC118" s="22" t="str">
        <f t="shared" si="78"/>
        <v>ok</v>
      </c>
    </row>
    <row r="119" spans="1:29" x14ac:dyDescent="0.25">
      <c r="A119" s="14" t="s">
        <v>435</v>
      </c>
      <c r="C119" s="14" t="s">
        <v>446</v>
      </c>
      <c r="D119" s="14" t="s">
        <v>48</v>
      </c>
      <c r="F119" s="110">
        <v>0</v>
      </c>
      <c r="G119" s="27"/>
      <c r="H119" s="27">
        <f t="shared" si="64"/>
        <v>0</v>
      </c>
      <c r="I119" s="27">
        <f t="shared" si="65"/>
        <v>0</v>
      </c>
      <c r="J119" s="27"/>
      <c r="K119" s="27">
        <f t="shared" si="66"/>
        <v>0</v>
      </c>
      <c r="L119" s="27"/>
      <c r="M119" s="27">
        <f t="shared" si="67"/>
        <v>0</v>
      </c>
      <c r="N119" s="27"/>
      <c r="O119" s="27">
        <f t="shared" si="68"/>
        <v>0</v>
      </c>
      <c r="P119" s="27">
        <f t="shared" si="69"/>
        <v>0</v>
      </c>
      <c r="Q119" s="27"/>
      <c r="R119" s="27">
        <f t="shared" si="70"/>
        <v>0</v>
      </c>
      <c r="S119" s="27">
        <f t="shared" si="71"/>
        <v>0</v>
      </c>
      <c r="T119" s="27"/>
      <c r="U119" s="27">
        <f t="shared" si="72"/>
        <v>0</v>
      </c>
      <c r="V119" s="27"/>
      <c r="W119" s="27">
        <f t="shared" si="73"/>
        <v>0</v>
      </c>
      <c r="X119" s="27"/>
      <c r="Y119" s="27">
        <f t="shared" si="74"/>
        <v>0</v>
      </c>
      <c r="Z119" s="27"/>
      <c r="AA119" s="27">
        <f t="shared" si="75"/>
        <v>0</v>
      </c>
      <c r="AB119" s="27">
        <f t="shared" si="76"/>
        <v>0</v>
      </c>
      <c r="AC119" s="22" t="str">
        <f t="shared" si="78"/>
        <v>ok</v>
      </c>
    </row>
    <row r="120" spans="1:29" x14ac:dyDescent="0.25">
      <c r="A120" s="14" t="s">
        <v>832</v>
      </c>
      <c r="D120" s="14" t="s">
        <v>70</v>
      </c>
      <c r="F120" s="110">
        <v>0</v>
      </c>
      <c r="G120" s="27"/>
      <c r="H120" s="27">
        <f t="shared" si="64"/>
        <v>0</v>
      </c>
      <c r="I120" s="27">
        <f t="shared" si="65"/>
        <v>0</v>
      </c>
      <c r="J120" s="27"/>
      <c r="K120" s="27">
        <f t="shared" si="66"/>
        <v>0</v>
      </c>
      <c r="L120" s="27"/>
      <c r="M120" s="27">
        <f t="shared" si="67"/>
        <v>0</v>
      </c>
      <c r="N120" s="27"/>
      <c r="O120" s="27">
        <f t="shared" si="68"/>
        <v>0</v>
      </c>
      <c r="P120" s="27">
        <f t="shared" si="69"/>
        <v>0</v>
      </c>
      <c r="Q120" s="27"/>
      <c r="R120" s="27">
        <f t="shared" si="70"/>
        <v>0</v>
      </c>
      <c r="S120" s="27">
        <f t="shared" si="71"/>
        <v>0</v>
      </c>
      <c r="T120" s="27"/>
      <c r="U120" s="27">
        <f t="shared" si="72"/>
        <v>0</v>
      </c>
      <c r="V120" s="27"/>
      <c r="W120" s="27">
        <f t="shared" si="73"/>
        <v>0</v>
      </c>
      <c r="X120" s="27"/>
      <c r="Y120" s="27">
        <f t="shared" si="74"/>
        <v>0</v>
      </c>
      <c r="Z120" s="27"/>
      <c r="AA120" s="27">
        <f t="shared" si="75"/>
        <v>0</v>
      </c>
      <c r="AB120" s="27">
        <f t="shared" si="76"/>
        <v>0</v>
      </c>
      <c r="AC120" s="22" t="str">
        <f>IF(ABS(AB120-F120)&lt;1,"ok","err")</f>
        <v>ok</v>
      </c>
    </row>
    <row r="121" spans="1:29" x14ac:dyDescent="0.25">
      <c r="A121" s="86" t="s">
        <v>833</v>
      </c>
      <c r="D121" s="14" t="s">
        <v>70</v>
      </c>
      <c r="F121" s="110">
        <v>15634.48</v>
      </c>
      <c r="G121" s="27"/>
      <c r="H121" s="27">
        <f t="shared" si="64"/>
        <v>0</v>
      </c>
      <c r="I121" s="27">
        <f t="shared" si="65"/>
        <v>0</v>
      </c>
      <c r="J121" s="27"/>
      <c r="K121" s="27">
        <f t="shared" si="66"/>
        <v>0</v>
      </c>
      <c r="L121" s="27"/>
      <c r="M121" s="27">
        <f t="shared" si="67"/>
        <v>0</v>
      </c>
      <c r="N121" s="27"/>
      <c r="O121" s="27">
        <f t="shared" si="68"/>
        <v>9320.2163461343516</v>
      </c>
      <c r="P121" s="27">
        <f t="shared" si="69"/>
        <v>3738.7798059813008</v>
      </c>
      <c r="Q121" s="27"/>
      <c r="R121" s="27">
        <f t="shared" si="70"/>
        <v>0</v>
      </c>
      <c r="S121" s="27">
        <f t="shared" si="71"/>
        <v>1153.2375490263003</v>
      </c>
      <c r="T121" s="27"/>
      <c r="U121" s="27">
        <f t="shared" si="72"/>
        <v>904.26587782043498</v>
      </c>
      <c r="V121" s="27"/>
      <c r="W121" s="27">
        <f t="shared" si="73"/>
        <v>517.98042103760429</v>
      </c>
      <c r="X121" s="27"/>
      <c r="Y121" s="27">
        <f t="shared" si="74"/>
        <v>0</v>
      </c>
      <c r="Z121" s="27"/>
      <c r="AA121" s="27">
        <f t="shared" si="75"/>
        <v>0</v>
      </c>
      <c r="AB121" s="27">
        <f t="shared" si="76"/>
        <v>15634.479999999992</v>
      </c>
      <c r="AC121" s="22" t="str">
        <f>IF(ABS(AB121-F121)&lt;1,"ok","err")</f>
        <v>ok</v>
      </c>
    </row>
    <row r="122" spans="1:29" x14ac:dyDescent="0.25">
      <c r="A122" s="14" t="s">
        <v>834</v>
      </c>
      <c r="D122" s="14" t="s">
        <v>70</v>
      </c>
      <c r="F122" s="110">
        <v>5430253.9399999995</v>
      </c>
      <c r="G122" s="27"/>
      <c r="H122" s="27">
        <f t="shared" si="64"/>
        <v>0</v>
      </c>
      <c r="I122" s="27">
        <f t="shared" si="65"/>
        <v>0</v>
      </c>
      <c r="J122" s="27"/>
      <c r="K122" s="27">
        <f t="shared" si="66"/>
        <v>0</v>
      </c>
      <c r="L122" s="27"/>
      <c r="M122" s="27">
        <f t="shared" si="67"/>
        <v>0</v>
      </c>
      <c r="N122" s="27"/>
      <c r="O122" s="27">
        <f t="shared" si="68"/>
        <v>3237149.0152053963</v>
      </c>
      <c r="P122" s="27">
        <f t="shared" si="69"/>
        <v>1298573.6508168096</v>
      </c>
      <c r="Q122" s="27"/>
      <c r="R122" s="27">
        <f t="shared" si="70"/>
        <v>0</v>
      </c>
      <c r="S122" s="27">
        <f t="shared" si="71"/>
        <v>400548.83464982588</v>
      </c>
      <c r="T122" s="27"/>
      <c r="U122" s="27">
        <f t="shared" si="72"/>
        <v>314074.61878117954</v>
      </c>
      <c r="V122" s="27"/>
      <c r="W122" s="27">
        <f t="shared" si="73"/>
        <v>179907.82054678566</v>
      </c>
      <c r="X122" s="27"/>
      <c r="Y122" s="27">
        <f t="shared" si="74"/>
        <v>0</v>
      </c>
      <c r="Z122" s="27"/>
      <c r="AA122" s="27">
        <f t="shared" si="75"/>
        <v>0</v>
      </c>
      <c r="AB122" s="27">
        <f t="shared" si="76"/>
        <v>5430253.9399999958</v>
      </c>
      <c r="AC122" s="22" t="str">
        <f>IF(ABS(AB122-F122)&lt;1,"ok","err")</f>
        <v>ok</v>
      </c>
    </row>
    <row r="123" spans="1:29" x14ac:dyDescent="0.25">
      <c r="Q123" s="14"/>
      <c r="AB123" s="27"/>
      <c r="AC123" s="22"/>
    </row>
    <row r="124" spans="1:29" x14ac:dyDescent="0.25">
      <c r="A124" s="14" t="s">
        <v>831</v>
      </c>
      <c r="C124" s="14" t="s">
        <v>82</v>
      </c>
      <c r="F124" s="120">
        <f>SUM(F104:F122)</f>
        <v>48256425.979999989</v>
      </c>
      <c r="G124" s="61"/>
      <c r="H124" s="61">
        <f>SUM(H104:H122)</f>
        <v>0</v>
      </c>
      <c r="I124" s="61">
        <f>SUM(I104:I122)</f>
        <v>0</v>
      </c>
      <c r="J124" s="61"/>
      <c r="K124" s="61">
        <f>SUM(K104:K122)</f>
        <v>0</v>
      </c>
      <c r="L124" s="61"/>
      <c r="M124" s="61">
        <f>SUM(M104:M122)</f>
        <v>0</v>
      </c>
      <c r="N124" s="61"/>
      <c r="O124" s="61">
        <f>SUM(O104:O122)</f>
        <v>28767207.494257465</v>
      </c>
      <c r="P124" s="61">
        <f>SUM(P104:P122)</f>
        <v>11539888.180665774</v>
      </c>
      <c r="Q124" s="61"/>
      <c r="R124" s="61">
        <f>SUM(R104:R122)</f>
        <v>0</v>
      </c>
      <c r="S124" s="61">
        <f>SUM(S104:S122)</f>
        <v>3559512.2077577435</v>
      </c>
      <c r="T124" s="61"/>
      <c r="U124" s="61">
        <f>SUM(U104:U122)</f>
        <v>2791051.5347668459</v>
      </c>
      <c r="V124" s="61"/>
      <c r="W124" s="61">
        <f>SUM(W104:W122)</f>
        <v>1598766.5625521531</v>
      </c>
      <c r="X124" s="61"/>
      <c r="Y124" s="61">
        <f>SUM(Y104:Y122)</f>
        <v>0</v>
      </c>
      <c r="Z124" s="61"/>
      <c r="AA124" s="61">
        <f>SUM(AA104:AA122)</f>
        <v>0</v>
      </c>
      <c r="AB124" s="27">
        <f>SUM(H124:AA124)</f>
        <v>48256425.979999982</v>
      </c>
      <c r="AC124" s="22" t="str">
        <f>IF(ABS(AB124-F124)&lt;1,"ok","err")</f>
        <v>ok</v>
      </c>
    </row>
    <row r="125" spans="1:29" x14ac:dyDescent="0.25">
      <c r="D125" s="99"/>
      <c r="F125" s="120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27"/>
      <c r="AC125" s="22"/>
    </row>
    <row r="126" spans="1:29" x14ac:dyDescent="0.25">
      <c r="A126" s="20" t="s">
        <v>83</v>
      </c>
      <c r="C126" s="14" t="s">
        <v>84</v>
      </c>
      <c r="F126" s="120">
        <f>F101-F124</f>
        <v>77065961.970000029</v>
      </c>
      <c r="G126" s="61"/>
      <c r="H126" s="61">
        <f>H101-H124</f>
        <v>0</v>
      </c>
      <c r="I126" s="61">
        <f>I101-I124</f>
        <v>0</v>
      </c>
      <c r="J126" s="61"/>
      <c r="K126" s="61">
        <f>K101-K124</f>
        <v>0</v>
      </c>
      <c r="L126" s="61"/>
      <c r="M126" s="61">
        <f>M101-M124</f>
        <v>0</v>
      </c>
      <c r="N126" s="61"/>
      <c r="O126" s="61">
        <f>O101-O124</f>
        <v>45941498.437003508</v>
      </c>
      <c r="P126" s="61">
        <f>P101-P124</f>
        <v>18429308.959553443</v>
      </c>
      <c r="Q126" s="61"/>
      <c r="R126" s="61">
        <f>R101-R124</f>
        <v>0</v>
      </c>
      <c r="S126" s="61">
        <f>S101-S124</f>
        <v>5684574.1652832013</v>
      </c>
      <c r="T126" s="61"/>
      <c r="U126" s="61">
        <f>U101-U124</f>
        <v>4457335.3095771875</v>
      </c>
      <c r="V126" s="61"/>
      <c r="W126" s="61">
        <f>W101-W124</f>
        <v>2553245.0985826585</v>
      </c>
      <c r="X126" s="61"/>
      <c r="Y126" s="61">
        <f>Y101-Y124</f>
        <v>0</v>
      </c>
      <c r="Z126" s="61"/>
      <c r="AA126" s="61">
        <f>AA101-AA124</f>
        <v>0</v>
      </c>
      <c r="AB126" s="27">
        <f>SUM(H126:AA126)</f>
        <v>77065961.969999984</v>
      </c>
      <c r="AC126" s="22" t="str">
        <f>IF(ABS(AB126-F126)&lt;1,"ok","err")</f>
        <v>ok</v>
      </c>
    </row>
    <row r="127" spans="1:29" x14ac:dyDescent="0.25">
      <c r="Q127" s="14"/>
      <c r="AC127" s="22"/>
    </row>
    <row r="128" spans="1:29" x14ac:dyDescent="0.25">
      <c r="A128" s="20" t="s">
        <v>85</v>
      </c>
      <c r="Q128" s="14"/>
      <c r="AC128" s="22"/>
    </row>
    <row r="129" spans="1:29" x14ac:dyDescent="0.25">
      <c r="A129" s="14" t="s">
        <v>413</v>
      </c>
      <c r="C129" s="14" t="s">
        <v>87</v>
      </c>
      <c r="D129" s="14" t="s">
        <v>88</v>
      </c>
      <c r="F129" s="119">
        <f>0.125*(F285-F180)</f>
        <v>1103796.1750000007</v>
      </c>
      <c r="G129" s="40"/>
      <c r="H129" s="40">
        <f>0.125*(H285-H180)</f>
        <v>0</v>
      </c>
      <c r="I129" s="40">
        <f>0.125*(I285-I180)</f>
        <v>0</v>
      </c>
      <c r="J129" s="40"/>
      <c r="K129" s="40">
        <f>0.125*(K285-K180)</f>
        <v>0</v>
      </c>
      <c r="L129" s="40"/>
      <c r="M129" s="40">
        <f>0.125*(M285-M180)</f>
        <v>0</v>
      </c>
      <c r="N129" s="40"/>
      <c r="O129" s="40">
        <f>0.125*(O285-O180)</f>
        <v>579577.15398114873</v>
      </c>
      <c r="P129" s="40">
        <f>0.125*(P285-P180)</f>
        <v>186273.72989568309</v>
      </c>
      <c r="Q129" s="40"/>
      <c r="R129" s="40">
        <f>0.125*(R285-R180)</f>
        <v>0</v>
      </c>
      <c r="S129" s="40">
        <f>0.125*(S285-S180)</f>
        <v>18149.944531718378</v>
      </c>
      <c r="T129" s="40"/>
      <c r="U129" s="40">
        <f>0.125*(U285-U180)</f>
        <v>73811.943492800987</v>
      </c>
      <c r="V129" s="40"/>
      <c r="W129" s="40">
        <f>0.125*(W285-W180)</f>
        <v>2397.9994875936727</v>
      </c>
      <c r="X129" s="40"/>
      <c r="Y129" s="40">
        <f>0.125*(Y285-Y180)</f>
        <v>231421.11785534897</v>
      </c>
      <c r="Z129" s="40"/>
      <c r="AA129" s="40">
        <f>0.125*(AA285-AA180)</f>
        <v>12164.285755706129</v>
      </c>
      <c r="AB129" s="27">
        <f>SUM(H129:AA129)</f>
        <v>1103796.1749999998</v>
      </c>
      <c r="AC129" s="22" t="str">
        <f>IF(ABS(AB129-F129)&lt;1,"ok","err")</f>
        <v>ok</v>
      </c>
    </row>
    <row r="130" spans="1:29" x14ac:dyDescent="0.25">
      <c r="A130" s="14" t="s">
        <v>941</v>
      </c>
      <c r="C130" s="14" t="s">
        <v>396</v>
      </c>
      <c r="D130" s="14" t="s">
        <v>72</v>
      </c>
      <c r="F130" s="110">
        <v>558121.60461538471</v>
      </c>
      <c r="G130" s="27"/>
      <c r="H130" s="27">
        <f>IF(VLOOKUP($D130,$C$5:$AA$496,6,)=0,0,((VLOOKUP($D130,$C$5:$AA$496,6,)/VLOOKUP($D130,$C$5:$AA$496,4,))*$F130))</f>
        <v>0</v>
      </c>
      <c r="I130" s="27">
        <f>IF(VLOOKUP($D130,$C$5:$AA$496,7,)=0,0,((VLOOKUP($D130,$C$5:$AA$496,7,)/VLOOKUP($D130,$C$5:$AA$496,4,))*$F130))</f>
        <v>0</v>
      </c>
      <c r="J130" s="27"/>
      <c r="K130" s="27">
        <f>IF(VLOOKUP($D130,$C$5:$AA$496,9,)=0,0,((VLOOKUP($D130,$C$5:$AA$496,9,)/VLOOKUP($D130,$C$5:$AA$496,4,))*$F130))</f>
        <v>0</v>
      </c>
      <c r="L130" s="27"/>
      <c r="M130" s="27">
        <f>IF(VLOOKUP($D130,$C$5:$AA$496,11,)=0,0,((VLOOKUP($D130,$C$5:$AA$496,11,)/VLOOKUP($D130,$C$5:$AA$496,4,))*$F130))</f>
        <v>0</v>
      </c>
      <c r="N130" s="27"/>
      <c r="O130" s="27">
        <f>IF(VLOOKUP($D130,$C$5:$AA$496,13,)=0,0,((VLOOKUP($D130,$C$5:$AA$496,13,)/VLOOKUP($D130,$C$5:$AA$496,4,))*$F130))</f>
        <v>332714.23817530507</v>
      </c>
      <c r="P130" s="27">
        <f>IF(VLOOKUP($D130,$C$5:$AA$496,14,)=0,0,((VLOOKUP($D130,$C$5:$AA$496,14,)/VLOOKUP($D130,$C$5:$AA$496,4,))*$F130))</f>
        <v>133467.42485953361</v>
      </c>
      <c r="Q130" s="27"/>
      <c r="R130" s="27">
        <f>IF(VLOOKUP($D130,$C$5:$AA$496,16,)=0,0,((VLOOKUP($D130,$C$5:$AA$496,16,)/VLOOKUP($D130,$C$5:$AA$496,4,))*$F130))</f>
        <v>0</v>
      </c>
      <c r="S130" s="27">
        <f>IF(VLOOKUP($D130,$C$5:$AA$496,17,)=0,0,((VLOOKUP($D130,$C$5:$AA$496,17,)/VLOOKUP($D130,$C$5:$AA$496,4,))*$F130))</f>
        <v>41168.416945448269</v>
      </c>
      <c r="T130" s="27"/>
      <c r="U130" s="27">
        <f>IF(VLOOKUP($D130,$C$5:$AA$496,19,)=0,0,((VLOOKUP($D130,$C$5:$AA$496,19,)/VLOOKUP($D130,$C$5:$AA$496,4,))*$F130))</f>
        <v>32280.595371773201</v>
      </c>
      <c r="V130" s="27"/>
      <c r="W130" s="27">
        <f>IF(VLOOKUP($D130,$C$5:$AA$496,21,)=0,0,((VLOOKUP($D130,$C$5:$AA$496,21,)/VLOOKUP($D130,$C$5:$AA$496,4,))*$F130))</f>
        <v>18490.929263324411</v>
      </c>
      <c r="X130" s="27"/>
      <c r="Y130" s="27">
        <f>IF(VLOOKUP($D130,$C$5:$AA$496,23,)=0,0,((VLOOKUP($D130,$C$5:$AA$496,23,)/VLOOKUP($D130,$C$5:$AA$496,4,))*$F130))</f>
        <v>0</v>
      </c>
      <c r="Z130" s="27"/>
      <c r="AA130" s="27">
        <f>IF(VLOOKUP($D130,$C$5:$AA$496,25,)=0,0,((VLOOKUP($D130,$C$5:$AA$496,25,)/VLOOKUP($D130,$C$5:$AA$496,4,))*$F130))</f>
        <v>0</v>
      </c>
      <c r="AB130" s="27">
        <f>SUM(H130:AA130)</f>
        <v>558121.60461538448</v>
      </c>
      <c r="AC130" s="22" t="str">
        <f>IF(ABS(AB130-F130)&lt;1,"ok","err")</f>
        <v>ok</v>
      </c>
    </row>
    <row r="131" spans="1:29" x14ac:dyDescent="0.25">
      <c r="A131" s="14" t="s">
        <v>942</v>
      </c>
      <c r="C131" s="14" t="s">
        <v>89</v>
      </c>
      <c r="D131" s="14" t="s">
        <v>72</v>
      </c>
      <c r="F131" s="110">
        <v>358441.28230769228</v>
      </c>
      <c r="G131" s="27"/>
      <c r="H131" s="27">
        <f>IF(VLOOKUP($D131,$C$5:$AA$496,6,)=0,0,((VLOOKUP($D131,$C$5:$AA$496,6,)/VLOOKUP($D131,$C$5:$AA$496,4,))*$F131))</f>
        <v>0</v>
      </c>
      <c r="I131" s="27">
        <f>IF(VLOOKUP($D131,$C$5:$AA$496,7,)=0,0,((VLOOKUP($D131,$C$5:$AA$496,7,)/VLOOKUP($D131,$C$5:$AA$496,4,))*$F131))</f>
        <v>0</v>
      </c>
      <c r="J131" s="27"/>
      <c r="K131" s="27">
        <f>IF(VLOOKUP($D131,$C$5:$AA$496,9,)=0,0,((VLOOKUP($D131,$C$5:$AA$496,9,)/VLOOKUP($D131,$C$5:$AA$496,4,))*$F131))</f>
        <v>0</v>
      </c>
      <c r="L131" s="27"/>
      <c r="M131" s="27">
        <f>IF(VLOOKUP($D131,$C$5:$AA$496,11,)=0,0,((VLOOKUP($D131,$C$5:$AA$496,11,)/VLOOKUP($D131,$C$5:$AA$496,4,))*$F131))</f>
        <v>0</v>
      </c>
      <c r="N131" s="27"/>
      <c r="O131" s="27">
        <f>IF(VLOOKUP($D131,$C$5:$AA$496,13,)=0,0,((VLOOKUP($D131,$C$5:$AA$496,13,)/VLOOKUP($D131,$C$5:$AA$496,4,))*$F131))</f>
        <v>213678.37615920146</v>
      </c>
      <c r="P131" s="27">
        <f>IF(VLOOKUP($D131,$C$5:$AA$496,14,)=0,0,((VLOOKUP($D131,$C$5:$AA$496,14,)/VLOOKUP($D131,$C$5:$AA$496,4,))*$F131))</f>
        <v>85716.507867357461</v>
      </c>
      <c r="Q131" s="27"/>
      <c r="R131" s="27">
        <f>IF(VLOOKUP($D131,$C$5:$AA$496,16,)=0,0,((VLOOKUP($D131,$C$5:$AA$496,16,)/VLOOKUP($D131,$C$5:$AA$496,4,))*$F131))</f>
        <v>0</v>
      </c>
      <c r="S131" s="27">
        <f>IF(VLOOKUP($D131,$C$5:$AA$496,17,)=0,0,((VLOOKUP($D131,$C$5:$AA$496,17,)/VLOOKUP($D131,$C$5:$AA$496,4,))*$F131))</f>
        <v>26439.507158432338</v>
      </c>
      <c r="T131" s="27"/>
      <c r="U131" s="27">
        <f>IF(VLOOKUP($D131,$C$5:$AA$496,19,)=0,0,((VLOOKUP($D131,$C$5:$AA$496,19,)/VLOOKUP($D131,$C$5:$AA$496,4,))*$F131))</f>
        <v>20731.499915126551</v>
      </c>
      <c r="V131" s="27"/>
      <c r="W131" s="27">
        <f>IF(VLOOKUP($D131,$C$5:$AA$496,21,)=0,0,((VLOOKUP($D131,$C$5:$AA$496,21,)/VLOOKUP($D131,$C$5:$AA$496,4,))*$F131))</f>
        <v>11875.391207574361</v>
      </c>
      <c r="X131" s="27"/>
      <c r="Y131" s="27">
        <f>IF(VLOOKUP($D131,$C$5:$AA$496,23,)=0,0,((VLOOKUP($D131,$C$5:$AA$496,23,)/VLOOKUP($D131,$C$5:$AA$496,4,))*$F131))</f>
        <v>0</v>
      </c>
      <c r="Z131" s="27"/>
      <c r="AA131" s="27">
        <f>IF(VLOOKUP($D131,$C$5:$AA$496,25,)=0,0,((VLOOKUP($D131,$C$5:$AA$496,25,)/VLOOKUP($D131,$C$5:$AA$496,4,))*$F131))</f>
        <v>0</v>
      </c>
      <c r="AB131" s="27">
        <f>SUM(H131:AA131)</f>
        <v>358441.28230769216</v>
      </c>
      <c r="AC131" s="22" t="str">
        <f>IF(ABS(AB131-F131)&lt;1,"ok","err")</f>
        <v>ok</v>
      </c>
    </row>
    <row r="132" spans="1:29" x14ac:dyDescent="0.25">
      <c r="Q132" s="14"/>
      <c r="AB132" s="27"/>
      <c r="AC132" s="22"/>
    </row>
    <row r="133" spans="1:29" x14ac:dyDescent="0.25">
      <c r="A133" s="64" t="s">
        <v>90</v>
      </c>
      <c r="C133" s="14" t="s">
        <v>91</v>
      </c>
      <c r="F133" s="120">
        <f>SUM(F129:F132)</f>
        <v>2020359.0619230778</v>
      </c>
      <c r="G133" s="61"/>
      <c r="H133" s="61">
        <f t="shared" ref="H133:W133" si="79">SUM(H129:H132)</f>
        <v>0</v>
      </c>
      <c r="I133" s="61">
        <f t="shared" si="79"/>
        <v>0</v>
      </c>
      <c r="J133" s="61"/>
      <c r="K133" s="61">
        <f t="shared" si="79"/>
        <v>0</v>
      </c>
      <c r="L133" s="61"/>
      <c r="M133" s="61">
        <f t="shared" si="79"/>
        <v>0</v>
      </c>
      <c r="N133" s="61"/>
      <c r="O133" s="61">
        <f t="shared" si="79"/>
        <v>1125969.7683156552</v>
      </c>
      <c r="P133" s="61">
        <f t="shared" si="79"/>
        <v>405457.66262257413</v>
      </c>
      <c r="Q133" s="61"/>
      <c r="R133" s="61">
        <f t="shared" si="79"/>
        <v>0</v>
      </c>
      <c r="S133" s="61">
        <f t="shared" si="79"/>
        <v>85757.868635598978</v>
      </c>
      <c r="T133" s="61"/>
      <c r="U133" s="61">
        <f t="shared" si="79"/>
        <v>126824.03877970074</v>
      </c>
      <c r="V133" s="61"/>
      <c r="W133" s="61">
        <f t="shared" si="79"/>
        <v>32764.319958492444</v>
      </c>
      <c r="X133" s="61"/>
      <c r="Y133" s="61">
        <f>SUM(Y129:Y132)</f>
        <v>231421.11785534897</v>
      </c>
      <c r="Z133" s="61"/>
      <c r="AA133" s="61">
        <f>SUM(AA129:AA132)</f>
        <v>12164.285755706129</v>
      </c>
      <c r="AB133" s="27">
        <f>SUM(H133:AA133)</f>
        <v>2020359.0619230764</v>
      </c>
      <c r="AC133" s="22" t="str">
        <f>IF(ABS(AB133-F133)&lt;1,"ok","err")</f>
        <v>ok</v>
      </c>
    </row>
    <row r="134" spans="1:29" x14ac:dyDescent="0.25">
      <c r="Q134" s="14"/>
      <c r="AC134" s="22"/>
    </row>
    <row r="135" spans="1:29" hidden="1" x14ac:dyDescent="0.25">
      <c r="A135" s="20" t="s">
        <v>923</v>
      </c>
      <c r="Q135" s="14"/>
      <c r="AC135" s="22"/>
    </row>
    <row r="136" spans="1:29" hidden="1" x14ac:dyDescent="0.25">
      <c r="A136" s="23">
        <v>1</v>
      </c>
      <c r="C136" s="14" t="s">
        <v>924</v>
      </c>
      <c r="D136" s="14" t="s">
        <v>16</v>
      </c>
      <c r="F136" s="119">
        <v>0</v>
      </c>
      <c r="G136" s="40"/>
      <c r="H136" s="27">
        <f>IF(VLOOKUP($D136,$C$5:$AA$496,6,)=0,0,((VLOOKUP($D136,$C$5:$AA$496,6,)/VLOOKUP($D136,$C$5:$AA$496,4,))*$F136))</f>
        <v>0</v>
      </c>
      <c r="I136" s="27">
        <f>IF(VLOOKUP($D136,$C$5:$AA$496,7,)=0,0,((VLOOKUP($D136,$C$5:$AA$496,7,)/VLOOKUP($D136,$C$5:$AA$496,4,))*$F136))</f>
        <v>0</v>
      </c>
      <c r="J136" s="27"/>
      <c r="K136" s="27">
        <f>IF(VLOOKUP($D136,$C$5:$AA$496,9,)=0,0,((VLOOKUP($D136,$C$5:$AA$496,9,)/VLOOKUP($D136,$C$5:$AA$496,4,))*$F136))</f>
        <v>0</v>
      </c>
      <c r="L136" s="27"/>
      <c r="M136" s="27">
        <f>IF(VLOOKUP($D136,$C$5:$AA$496,11,)=0,0,((VLOOKUP($D136,$C$5:$AA$496,11,)/VLOOKUP($D136,$C$5:$AA$496,4,))*$F136))</f>
        <v>0</v>
      </c>
      <c r="N136" s="27"/>
      <c r="O136" s="27">
        <f>IF(VLOOKUP($D136,$C$5:$AA$496,13,)=0,0,((VLOOKUP($D136,$C$5:$AA$496,13,)/VLOOKUP($D136,$C$5:$AA$496,4,))*$F136))</f>
        <v>0</v>
      </c>
      <c r="P136" s="27">
        <f>IF(VLOOKUP($D136,$C$5:$AA$496,14,)=0,0,((VLOOKUP($D136,$C$5:$AA$496,14,)/VLOOKUP($D136,$C$5:$AA$496,4,))*$F136))</f>
        <v>0</v>
      </c>
      <c r="Q136" s="27"/>
      <c r="R136" s="27">
        <f>IF(VLOOKUP($D136,$C$5:$AA$496,16,)=0,0,((VLOOKUP($D136,$C$5:$AA$496,16,)/VLOOKUP($D136,$C$5:$AA$496,4,))*$F136))</f>
        <v>0</v>
      </c>
      <c r="S136" s="27">
        <f>IF(VLOOKUP($D136,$C$5:$AA$496,17,)=0,0,((VLOOKUP($D136,$C$5:$AA$496,17,)/VLOOKUP($D136,$C$5:$AA$496,4,))*$F136))</f>
        <v>0</v>
      </c>
      <c r="T136" s="27"/>
      <c r="U136" s="27">
        <f>IF(VLOOKUP($D136,$C$5:$AA$496,19,)=0,0,((VLOOKUP($D136,$C$5:$AA$496,19,)/VLOOKUP($D136,$C$5:$AA$496,4,))*$F136))</f>
        <v>0</v>
      </c>
      <c r="V136" s="27"/>
      <c r="W136" s="27">
        <f>IF(VLOOKUP($D136,$C$5:$AA$496,21,)=0,0,((VLOOKUP($D136,$C$5:$AA$496,21,)/VLOOKUP($D136,$C$5:$AA$496,4,))*$F136))</f>
        <v>0</v>
      </c>
      <c r="X136" s="27"/>
      <c r="Y136" s="27">
        <f>IF(VLOOKUP($D136,$C$5:$AA$496,23,)=0,0,((VLOOKUP($D136,$C$5:$AA$496,23,)/VLOOKUP($D136,$C$5:$AA$496,4,))*$F136))</f>
        <v>0</v>
      </c>
      <c r="Z136" s="27"/>
      <c r="AA136" s="27">
        <f>IF(VLOOKUP($D136,$C$5:$AA$496,25,)=0,0,((VLOOKUP($D136,$C$5:$AA$496,25,)/VLOOKUP($D136,$C$5:$AA$496,4,))*$F136))</f>
        <v>0</v>
      </c>
      <c r="AB136" s="27">
        <f>SUM(H136:AA136)</f>
        <v>0</v>
      </c>
      <c r="AC136" s="22" t="str">
        <f>IF(ABS(AB136-F136)&lt;1,"ok","err")</f>
        <v>ok</v>
      </c>
    </row>
    <row r="137" spans="1:29" hidden="1" x14ac:dyDescent="0.25">
      <c r="A137" s="23">
        <v>2</v>
      </c>
      <c r="C137" s="14" t="s">
        <v>925</v>
      </c>
      <c r="D137" s="14" t="s">
        <v>16</v>
      </c>
      <c r="F137" s="119">
        <v>0</v>
      </c>
      <c r="G137" s="40"/>
      <c r="H137" s="27">
        <f>IF(VLOOKUP($D137,$C$5:$AA$496,6,)=0,0,((VLOOKUP($D137,$C$5:$AA$496,6,)/VLOOKUP($D137,$C$5:$AA$496,4,))*$F137))</f>
        <v>0</v>
      </c>
      <c r="I137" s="27">
        <f>IF(VLOOKUP($D137,$C$5:$AA$496,7,)=0,0,((VLOOKUP($D137,$C$5:$AA$496,7,)/VLOOKUP($D137,$C$5:$AA$496,4,))*$F137))</f>
        <v>0</v>
      </c>
      <c r="J137" s="27"/>
      <c r="K137" s="27">
        <f>IF(VLOOKUP($D137,$C$5:$AA$496,9,)=0,0,((VLOOKUP($D137,$C$5:$AA$496,9,)/VLOOKUP($D137,$C$5:$AA$496,4,))*$F137))</f>
        <v>0</v>
      </c>
      <c r="L137" s="27"/>
      <c r="M137" s="27">
        <f>IF(VLOOKUP($D137,$C$5:$AA$496,11,)=0,0,((VLOOKUP($D137,$C$5:$AA$496,11,)/VLOOKUP($D137,$C$5:$AA$496,4,))*$F137))</f>
        <v>0</v>
      </c>
      <c r="N137" s="27"/>
      <c r="O137" s="27">
        <f>IF(VLOOKUP($D137,$C$5:$AA$496,13,)=0,0,((VLOOKUP($D137,$C$5:$AA$496,13,)/VLOOKUP($D137,$C$5:$AA$496,4,))*$F137))</f>
        <v>0</v>
      </c>
      <c r="P137" s="27">
        <f>IF(VLOOKUP($D137,$C$5:$AA$496,14,)=0,0,((VLOOKUP($D137,$C$5:$AA$496,14,)/VLOOKUP($D137,$C$5:$AA$496,4,))*$F137))</f>
        <v>0</v>
      </c>
      <c r="Q137" s="27"/>
      <c r="R137" s="27">
        <f>IF(VLOOKUP($D137,$C$5:$AA$496,16,)=0,0,((VLOOKUP($D137,$C$5:$AA$496,16,)/VLOOKUP($D137,$C$5:$AA$496,4,))*$F137))</f>
        <v>0</v>
      </c>
      <c r="S137" s="27">
        <f>IF(VLOOKUP($D137,$C$5:$AA$496,17,)=0,0,((VLOOKUP($D137,$C$5:$AA$496,17,)/VLOOKUP($D137,$C$5:$AA$496,4,))*$F137))</f>
        <v>0</v>
      </c>
      <c r="T137" s="27"/>
      <c r="U137" s="27">
        <f>IF(VLOOKUP($D137,$C$5:$AA$496,19,)=0,0,((VLOOKUP($D137,$C$5:$AA$496,19,)/VLOOKUP($D137,$C$5:$AA$496,4,))*$F137))</f>
        <v>0</v>
      </c>
      <c r="V137" s="27"/>
      <c r="W137" s="27">
        <f>IF(VLOOKUP($D137,$C$5:$AA$496,21,)=0,0,((VLOOKUP($D137,$C$5:$AA$496,21,)/VLOOKUP($D137,$C$5:$AA$496,4,))*$F137))</f>
        <v>0</v>
      </c>
      <c r="X137" s="27"/>
      <c r="Y137" s="27">
        <f>IF(VLOOKUP($D137,$C$5:$AA$496,23,)=0,0,((VLOOKUP($D137,$C$5:$AA$496,23,)/VLOOKUP($D137,$C$5:$AA$496,4,))*$F137))</f>
        <v>0</v>
      </c>
      <c r="Z137" s="27"/>
      <c r="AA137" s="27">
        <f>IF(VLOOKUP($D137,$C$5:$AA$496,25,)=0,0,((VLOOKUP($D137,$C$5:$AA$496,25,)/VLOOKUP($D137,$C$5:$AA$496,4,))*$F137))</f>
        <v>0</v>
      </c>
      <c r="AB137" s="27">
        <f>SUM(H137:AA137)</f>
        <v>0</v>
      </c>
      <c r="AC137" s="22" t="str">
        <f>IF(ABS(AB137-F137)&lt;1,"ok","err")</f>
        <v>ok</v>
      </c>
    </row>
    <row r="138" spans="1:29" hidden="1" x14ac:dyDescent="0.25">
      <c r="A138" s="23">
        <v>3</v>
      </c>
      <c r="C138" s="14" t="s">
        <v>926</v>
      </c>
      <c r="D138" s="14" t="s">
        <v>16</v>
      </c>
      <c r="F138" s="119">
        <v>0</v>
      </c>
      <c r="G138" s="40"/>
      <c r="H138" s="27">
        <f>IF(VLOOKUP($D138,$C$5:$AA$496,6,)=0,0,((VLOOKUP($D138,$C$5:$AA$496,6,)/VLOOKUP($D138,$C$5:$AA$496,4,))*$F138))</f>
        <v>0</v>
      </c>
      <c r="I138" s="27">
        <f>IF(VLOOKUP($D138,$C$5:$AA$496,7,)=0,0,((VLOOKUP($D138,$C$5:$AA$496,7,)/VLOOKUP($D138,$C$5:$AA$496,4,))*$F138))</f>
        <v>0</v>
      </c>
      <c r="J138" s="27"/>
      <c r="K138" s="27">
        <f>IF(VLOOKUP($D138,$C$5:$AA$496,9,)=0,0,((VLOOKUP($D138,$C$5:$AA$496,9,)/VLOOKUP($D138,$C$5:$AA$496,4,))*$F138))</f>
        <v>0</v>
      </c>
      <c r="L138" s="27"/>
      <c r="M138" s="27">
        <f>IF(VLOOKUP($D138,$C$5:$AA$496,11,)=0,0,((VLOOKUP($D138,$C$5:$AA$496,11,)/VLOOKUP($D138,$C$5:$AA$496,4,))*$F138))</f>
        <v>0</v>
      </c>
      <c r="N138" s="27"/>
      <c r="O138" s="27">
        <f>IF(VLOOKUP($D138,$C$5:$AA$496,13,)=0,0,((VLOOKUP($D138,$C$5:$AA$496,13,)/VLOOKUP($D138,$C$5:$AA$496,4,))*$F138))</f>
        <v>0</v>
      </c>
      <c r="P138" s="27">
        <f>IF(VLOOKUP($D138,$C$5:$AA$496,14,)=0,0,((VLOOKUP($D138,$C$5:$AA$496,14,)/VLOOKUP($D138,$C$5:$AA$496,4,))*$F138))</f>
        <v>0</v>
      </c>
      <c r="Q138" s="27"/>
      <c r="R138" s="27">
        <f>IF(VLOOKUP($D138,$C$5:$AA$496,16,)=0,0,((VLOOKUP($D138,$C$5:$AA$496,16,)/VLOOKUP($D138,$C$5:$AA$496,4,))*$F138))</f>
        <v>0</v>
      </c>
      <c r="S138" s="27">
        <f>IF(VLOOKUP($D138,$C$5:$AA$496,17,)=0,0,((VLOOKUP($D138,$C$5:$AA$496,17,)/VLOOKUP($D138,$C$5:$AA$496,4,))*$F138))</f>
        <v>0</v>
      </c>
      <c r="T138" s="27"/>
      <c r="U138" s="27">
        <f>IF(VLOOKUP($D138,$C$5:$AA$496,19,)=0,0,((VLOOKUP($D138,$C$5:$AA$496,19,)/VLOOKUP($D138,$C$5:$AA$496,4,))*$F138))</f>
        <v>0</v>
      </c>
      <c r="V138" s="27"/>
      <c r="W138" s="27">
        <f>IF(VLOOKUP($D138,$C$5:$AA$496,21,)=0,0,((VLOOKUP($D138,$C$5:$AA$496,21,)/VLOOKUP($D138,$C$5:$AA$496,4,))*$F138))</f>
        <v>0</v>
      </c>
      <c r="X138" s="27"/>
      <c r="Y138" s="27">
        <f>IF(VLOOKUP($D138,$C$5:$AA$496,23,)=0,0,((VLOOKUP($D138,$C$5:$AA$496,23,)/VLOOKUP($D138,$C$5:$AA$496,4,))*$F138))</f>
        <v>0</v>
      </c>
      <c r="Z138" s="27"/>
      <c r="AA138" s="27">
        <f>IF(VLOOKUP($D138,$C$5:$AA$496,25,)=0,0,((VLOOKUP($D138,$C$5:$AA$496,25,)/VLOOKUP($D138,$C$5:$AA$496,4,))*$F138))</f>
        <v>0</v>
      </c>
      <c r="AB138" s="27">
        <f>SUM(H138:AA138)</f>
        <v>0</v>
      </c>
      <c r="AC138" s="22" t="str">
        <f>IF(ABS(AB138-F138)&lt;1,"ok","err")</f>
        <v>ok</v>
      </c>
    </row>
    <row r="139" spans="1:29" hidden="1" x14ac:dyDescent="0.25">
      <c r="A139" s="23">
        <v>4</v>
      </c>
      <c r="C139" s="14" t="s">
        <v>927</v>
      </c>
      <c r="D139" s="14" t="s">
        <v>16</v>
      </c>
      <c r="F139" s="119">
        <v>0</v>
      </c>
      <c r="G139" s="40"/>
      <c r="H139" s="27">
        <f>IF(VLOOKUP($D139,$C$5:$AA$496,6,)=0,0,((VLOOKUP($D139,$C$5:$AA$496,6,)/VLOOKUP($D139,$C$5:$AA$496,4,))*$F139))</f>
        <v>0</v>
      </c>
      <c r="I139" s="27">
        <f>IF(VLOOKUP($D139,$C$5:$AA$496,7,)=0,0,((VLOOKUP($D139,$C$5:$AA$496,7,)/VLOOKUP($D139,$C$5:$AA$496,4,))*$F139))</f>
        <v>0</v>
      </c>
      <c r="J139" s="27"/>
      <c r="K139" s="27">
        <f>IF(VLOOKUP($D139,$C$5:$AA$496,9,)=0,0,((VLOOKUP($D139,$C$5:$AA$496,9,)/VLOOKUP($D139,$C$5:$AA$496,4,))*$F139))</f>
        <v>0</v>
      </c>
      <c r="L139" s="27"/>
      <c r="M139" s="27">
        <f>IF(VLOOKUP($D139,$C$5:$AA$496,11,)=0,0,((VLOOKUP($D139,$C$5:$AA$496,11,)/VLOOKUP($D139,$C$5:$AA$496,4,))*$F139))</f>
        <v>0</v>
      </c>
      <c r="N139" s="27"/>
      <c r="O139" s="27">
        <f>IF(VLOOKUP($D139,$C$5:$AA$496,13,)=0,0,((VLOOKUP($D139,$C$5:$AA$496,13,)/VLOOKUP($D139,$C$5:$AA$496,4,))*$F139))</f>
        <v>0</v>
      </c>
      <c r="P139" s="27">
        <f>IF(VLOOKUP($D139,$C$5:$AA$496,14,)=0,0,((VLOOKUP($D139,$C$5:$AA$496,14,)/VLOOKUP($D139,$C$5:$AA$496,4,))*$F139))</f>
        <v>0</v>
      </c>
      <c r="Q139" s="27"/>
      <c r="R139" s="27">
        <f>IF(VLOOKUP($D139,$C$5:$AA$496,16,)=0,0,((VLOOKUP($D139,$C$5:$AA$496,16,)/VLOOKUP($D139,$C$5:$AA$496,4,))*$F139))</f>
        <v>0</v>
      </c>
      <c r="S139" s="27">
        <f>IF(VLOOKUP($D139,$C$5:$AA$496,17,)=0,0,((VLOOKUP($D139,$C$5:$AA$496,17,)/VLOOKUP($D139,$C$5:$AA$496,4,))*$F139))</f>
        <v>0</v>
      </c>
      <c r="T139" s="27"/>
      <c r="U139" s="27">
        <f>IF(VLOOKUP($D139,$C$5:$AA$496,19,)=0,0,((VLOOKUP($D139,$C$5:$AA$496,19,)/VLOOKUP($D139,$C$5:$AA$496,4,))*$F139))</f>
        <v>0</v>
      </c>
      <c r="V139" s="27"/>
      <c r="W139" s="27">
        <f>IF(VLOOKUP($D139,$C$5:$AA$496,21,)=0,0,((VLOOKUP($D139,$C$5:$AA$496,21,)/VLOOKUP($D139,$C$5:$AA$496,4,))*$F139))</f>
        <v>0</v>
      </c>
      <c r="X139" s="27"/>
      <c r="Y139" s="27">
        <f>IF(VLOOKUP($D139,$C$5:$AA$496,23,)=0,0,((VLOOKUP($D139,$C$5:$AA$496,23,)/VLOOKUP($D139,$C$5:$AA$496,4,))*$F139))</f>
        <v>0</v>
      </c>
      <c r="Z139" s="27"/>
      <c r="AA139" s="27">
        <f>IF(VLOOKUP($D139,$C$5:$AA$496,25,)=0,0,((VLOOKUP($D139,$C$5:$AA$496,25,)/VLOOKUP($D139,$C$5:$AA$496,4,))*$F139))</f>
        <v>0</v>
      </c>
      <c r="AB139" s="27">
        <f>SUM(H139:AA139)</f>
        <v>0</v>
      </c>
      <c r="AC139" s="22" t="str">
        <f>IF(ABS(AB139-F139)&lt;1,"ok","err")</f>
        <v>ok</v>
      </c>
    </row>
    <row r="140" spans="1:29" hidden="1" x14ac:dyDescent="0.25">
      <c r="F140" s="119"/>
      <c r="G140" s="40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2"/>
    </row>
    <row r="141" spans="1:29" hidden="1" x14ac:dyDescent="0.25">
      <c r="A141" s="14" t="s">
        <v>928</v>
      </c>
      <c r="F141" s="120">
        <v>0</v>
      </c>
      <c r="G141" s="61"/>
      <c r="H141" s="61">
        <f>SUM(H136:H139)</f>
        <v>0</v>
      </c>
      <c r="I141" s="61">
        <f>SUM(I136:I139)</f>
        <v>0</v>
      </c>
      <c r="J141" s="61"/>
      <c r="K141" s="61">
        <f>SUM(K136:K139)</f>
        <v>0</v>
      </c>
      <c r="L141" s="61"/>
      <c r="M141" s="61">
        <f>SUM(M136:M139)</f>
        <v>0</v>
      </c>
      <c r="N141" s="61"/>
      <c r="O141" s="61">
        <f>SUM(O136:O139)</f>
        <v>0</v>
      </c>
      <c r="P141" s="61">
        <f>SUM(P136:P139)</f>
        <v>0</v>
      </c>
      <c r="Q141" s="61"/>
      <c r="R141" s="61">
        <f>SUM(R136:R139)</f>
        <v>0</v>
      </c>
      <c r="S141" s="61">
        <f>SUM(S136:S139)</f>
        <v>0</v>
      </c>
      <c r="T141" s="61"/>
      <c r="U141" s="61">
        <f>SUM(U136:U139)</f>
        <v>0</v>
      </c>
      <c r="V141" s="61"/>
      <c r="W141" s="61">
        <f>SUM(W136:W139)</f>
        <v>0</v>
      </c>
      <c r="X141" s="61"/>
      <c r="Y141" s="61">
        <f>SUM(Y136:Y139)</f>
        <v>0</v>
      </c>
      <c r="Z141" s="61"/>
      <c r="AA141" s="61">
        <f>SUM(AA136:AA139)</f>
        <v>0</v>
      </c>
      <c r="AB141" s="27">
        <f>SUM(H141:AA141)</f>
        <v>0</v>
      </c>
      <c r="AC141" s="22" t="str">
        <f>IF(ABS(AB141-F141)&lt;1,"ok","err")</f>
        <v>ok</v>
      </c>
    </row>
    <row r="142" spans="1:29" x14ac:dyDescent="0.25">
      <c r="A142" s="14" t="s">
        <v>92</v>
      </c>
      <c r="C142" s="14" t="s">
        <v>93</v>
      </c>
      <c r="D142" s="14" t="s">
        <v>72</v>
      </c>
      <c r="F142" s="120">
        <v>657046</v>
      </c>
      <c r="G142" s="61"/>
      <c r="H142" s="27">
        <f>IF(VLOOKUP($D142,$C$5:$AA$496,6,)=0,0,((VLOOKUP($D142,$C$5:$AA$496,6,)/VLOOKUP($D142,$C$5:$AA$496,4,))*$F142))</f>
        <v>0</v>
      </c>
      <c r="I142" s="27">
        <f>IF(VLOOKUP($D142,$C$5:$AA$496,7,)=0,0,((VLOOKUP($D142,$C$5:$AA$496,7,)/VLOOKUP($D142,$C$5:$AA$496,4,))*$F142))</f>
        <v>0</v>
      </c>
      <c r="J142" s="27"/>
      <c r="K142" s="27">
        <f>IF(VLOOKUP($D142,$C$5:$AA$496,9,)=0,0,((VLOOKUP($D142,$C$5:$AA$496,9,)/VLOOKUP($D142,$C$5:$AA$496,4,))*$F142))</f>
        <v>0</v>
      </c>
      <c r="L142" s="27"/>
      <c r="M142" s="27">
        <f>IF(VLOOKUP($D142,$C$5:$AA$496,11,)=0,0,((VLOOKUP($D142,$C$5:$AA$496,11,)/VLOOKUP($D142,$C$5:$AA$496,4,))*$F142))</f>
        <v>0</v>
      </c>
      <c r="N142" s="27"/>
      <c r="O142" s="27">
        <f>IF(VLOOKUP($D142,$C$5:$AA$496,13,)=0,0,((VLOOKUP($D142,$C$5:$AA$496,13,)/VLOOKUP($D142,$C$5:$AA$496,4,))*$F142))</f>
        <v>391686.2517565146</v>
      </c>
      <c r="P142" s="27">
        <f>IF(VLOOKUP($D142,$C$5:$AA$496,14,)=0,0,((VLOOKUP($D142,$C$5:$AA$496,14,)/VLOOKUP($D142,$C$5:$AA$496,4,))*$F142))</f>
        <v>157123.89004308367</v>
      </c>
      <c r="Q142" s="27"/>
      <c r="R142" s="27">
        <f>IF(VLOOKUP($D142,$C$5:$AA$496,16,)=0,0,((VLOOKUP($D142,$C$5:$AA$496,16,)/VLOOKUP($D142,$C$5:$AA$496,4,))*$F142))</f>
        <v>0</v>
      </c>
      <c r="S142" s="27">
        <f>IF(VLOOKUP($D142,$C$5:$AA$496,17,)=0,0,((VLOOKUP($D142,$C$5:$AA$496,17,)/VLOOKUP($D142,$C$5:$AA$496,4,))*$F142))</f>
        <v>48465.32271220626</v>
      </c>
      <c r="T142" s="27"/>
      <c r="U142" s="27">
        <f>IF(VLOOKUP($D142,$C$5:$AA$496,19,)=0,0,((VLOOKUP($D142,$C$5:$AA$496,19,)/VLOOKUP($D142,$C$5:$AA$496,4,))*$F142))</f>
        <v>38002.177108442724</v>
      </c>
      <c r="V142" s="27"/>
      <c r="W142" s="27">
        <f>IF(VLOOKUP($D142,$C$5:$AA$496,21,)=0,0,((VLOOKUP($D142,$C$5:$AA$496,21,)/VLOOKUP($D142,$C$5:$AA$496,4,))*$F142))</f>
        <v>21768.358379752553</v>
      </c>
      <c r="X142" s="27"/>
      <c r="Y142" s="27">
        <f>IF(VLOOKUP($D142,$C$5:$AA$496,23,)=0,0,((VLOOKUP($D142,$C$5:$AA$496,23,)/VLOOKUP($D142,$C$5:$AA$496,4,))*$F142))</f>
        <v>0</v>
      </c>
      <c r="Z142" s="27"/>
      <c r="AA142" s="27">
        <f>IF(VLOOKUP($D142,$C$5:$AA$496,25,)=0,0,((VLOOKUP($D142,$C$5:$AA$496,25,)/VLOOKUP($D142,$C$5:$AA$496,4,))*$F142))</f>
        <v>0</v>
      </c>
      <c r="AB142" s="27">
        <f>SUM(H142:AA142)</f>
        <v>657045.99999999988</v>
      </c>
      <c r="AC142" s="22" t="str">
        <f>IF(ABS(AB142-F142)&lt;1,"ok","err")</f>
        <v>ok</v>
      </c>
    </row>
    <row r="143" spans="1:29" x14ac:dyDescent="0.25">
      <c r="F143" s="119"/>
      <c r="G143" s="40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2"/>
    </row>
    <row r="144" spans="1:29" x14ac:dyDescent="0.25">
      <c r="A144" s="13" t="s">
        <v>94</v>
      </c>
      <c r="C144" s="14" t="s">
        <v>95</v>
      </c>
      <c r="F144" s="120">
        <f>F126+F133-F142</f>
        <v>78429275.0319231</v>
      </c>
      <c r="G144" s="61"/>
      <c r="H144" s="61">
        <f>H126+H133-H142</f>
        <v>0</v>
      </c>
      <c r="I144" s="61">
        <f>I126+I133-I142</f>
        <v>0</v>
      </c>
      <c r="J144" s="61"/>
      <c r="K144" s="61">
        <f>K126+K133-K142</f>
        <v>0</v>
      </c>
      <c r="L144" s="61"/>
      <c r="M144" s="61">
        <f>M126+M133-M142</f>
        <v>0</v>
      </c>
      <c r="N144" s="61"/>
      <c r="O144" s="61">
        <f>O126+O133-O142</f>
        <v>46675781.953562655</v>
      </c>
      <c r="P144" s="61">
        <f>P126+P133-P142</f>
        <v>18677642.732132934</v>
      </c>
      <c r="Q144" s="61"/>
      <c r="R144" s="61">
        <f>R126+R133-R142</f>
        <v>0</v>
      </c>
      <c r="S144" s="61">
        <f>S126+S133-S142</f>
        <v>5721866.7112065936</v>
      </c>
      <c r="T144" s="61"/>
      <c r="U144" s="61">
        <f>U126+U133-U142</f>
        <v>4546157.1712484462</v>
      </c>
      <c r="V144" s="61"/>
      <c r="W144" s="61">
        <f>W126+W133-W142</f>
        <v>2564241.0601613987</v>
      </c>
      <c r="X144" s="61"/>
      <c r="Y144" s="61">
        <f>Y126+Y133-Y142</f>
        <v>231421.11785534897</v>
      </c>
      <c r="Z144" s="61"/>
      <c r="AA144" s="61">
        <f>AA126+AA133-AA142</f>
        <v>12164.285755706129</v>
      </c>
      <c r="AB144" s="27">
        <f>SUM(H144:AA144)</f>
        <v>78429275.0319231</v>
      </c>
      <c r="AC144" s="22" t="str">
        <f>IF(ABS(AB144-F144)&lt;1,"ok","err")</f>
        <v>ok</v>
      </c>
    </row>
    <row r="145" spans="1:29" x14ac:dyDescent="0.25">
      <c r="Q145" s="14"/>
      <c r="AC145" s="22"/>
    </row>
    <row r="146" spans="1:29" x14ac:dyDescent="0.25">
      <c r="A146" s="20" t="s">
        <v>86</v>
      </c>
      <c r="Q146" s="14"/>
      <c r="AC146" s="22"/>
    </row>
    <row r="147" spans="1:29" x14ac:dyDescent="0.25">
      <c r="A147" s="20"/>
      <c r="Q147" s="14"/>
      <c r="AC147" s="22"/>
    </row>
    <row r="148" spans="1:29" x14ac:dyDescent="0.25">
      <c r="A148" s="13" t="s">
        <v>785</v>
      </c>
      <c r="Q148" s="14"/>
      <c r="AC148" s="22"/>
    </row>
    <row r="149" spans="1:29" x14ac:dyDescent="0.25">
      <c r="A149" s="14">
        <v>500</v>
      </c>
      <c r="B149" s="14" t="s">
        <v>790</v>
      </c>
      <c r="C149" s="14" t="s">
        <v>803</v>
      </c>
      <c r="D149" s="14" t="s">
        <v>779</v>
      </c>
      <c r="F149" s="119">
        <v>0</v>
      </c>
      <c r="G149" s="40"/>
      <c r="H149" s="27">
        <f t="shared" ref="H149:H157" si="80">IF(VLOOKUP($D149,$C$5:$AA$496,6,)=0,0,((VLOOKUP($D149,$C$5:$AA$496,6,)/VLOOKUP($D149,$C$5:$AA$496,4,))*$F149))</f>
        <v>0</v>
      </c>
      <c r="I149" s="27">
        <f t="shared" ref="I149:I157" si="81">IF(VLOOKUP($D149,$C$5:$AA$496,7,)=0,0,((VLOOKUP($D149,$C$5:$AA$496,7,)/VLOOKUP($D149,$C$5:$AA$496,4,))*$F149))</f>
        <v>0</v>
      </c>
      <c r="J149" s="27"/>
      <c r="K149" s="27">
        <f t="shared" ref="K149:K157" si="82">IF(VLOOKUP($D149,$C$5:$AA$496,9,)=0,0,((VLOOKUP($D149,$C$5:$AA$496,9,)/VLOOKUP($D149,$C$5:$AA$496,4,))*$F149))</f>
        <v>0</v>
      </c>
      <c r="L149" s="27"/>
      <c r="M149" s="27">
        <f t="shared" ref="M149:M157" si="83">IF(VLOOKUP($D149,$C$5:$AA$496,11,)=0,0,((VLOOKUP($D149,$C$5:$AA$496,11,)/VLOOKUP($D149,$C$5:$AA$496,4,))*$F149))</f>
        <v>0</v>
      </c>
      <c r="N149" s="27"/>
      <c r="O149" s="27">
        <f t="shared" ref="O149:O157" si="84">IF(VLOOKUP($D149,$C$5:$AA$496,13,)=0,0,((VLOOKUP($D149,$C$5:$AA$496,13,)/VLOOKUP($D149,$C$5:$AA$496,4,))*$F149))</f>
        <v>0</v>
      </c>
      <c r="P149" s="27">
        <f t="shared" ref="P149:P157" si="85">IF(VLOOKUP($D149,$C$5:$AA$496,14,)=0,0,((VLOOKUP($D149,$C$5:$AA$496,14,)/VLOOKUP($D149,$C$5:$AA$496,4,))*$F149))</f>
        <v>0</v>
      </c>
      <c r="Q149" s="27"/>
      <c r="R149" s="27">
        <f t="shared" ref="R149:R157" si="86">IF(VLOOKUP($D149,$C$5:$AA$496,16,)=0,0,((VLOOKUP($D149,$C$5:$AA$496,16,)/VLOOKUP($D149,$C$5:$AA$496,4,))*$F149))</f>
        <v>0</v>
      </c>
      <c r="S149" s="27">
        <f t="shared" ref="S149:S157" si="87">IF(VLOOKUP($D149,$C$5:$AA$496,17,)=0,0,((VLOOKUP($D149,$C$5:$AA$496,17,)/VLOOKUP($D149,$C$5:$AA$496,4,))*$F149))</f>
        <v>0</v>
      </c>
      <c r="T149" s="27"/>
      <c r="U149" s="27">
        <f t="shared" ref="U149:U157" si="88">IF(VLOOKUP($D149,$C$5:$AA$496,19,)=0,0,((VLOOKUP($D149,$C$5:$AA$496,19,)/VLOOKUP($D149,$C$5:$AA$496,4,))*$F149))</f>
        <v>0</v>
      </c>
      <c r="V149" s="27"/>
      <c r="W149" s="27">
        <f t="shared" ref="W149:W157" si="89">IF(VLOOKUP($D149,$C$5:$AA$496,21,)=0,0,((VLOOKUP($D149,$C$5:$AA$496,21,)/VLOOKUP($D149,$C$5:$AA$496,4,))*$F149))</f>
        <v>0</v>
      </c>
      <c r="X149" s="27"/>
      <c r="Y149" s="27">
        <f t="shared" ref="Y149:Y157" si="90">IF(VLOOKUP($D149,$C$5:$AA$496,23,)=0,0,((VLOOKUP($D149,$C$5:$AA$496,23,)/VLOOKUP($D149,$C$5:$AA$496,4,))*$F149))</f>
        <v>0</v>
      </c>
      <c r="Z149" s="27"/>
      <c r="AA149" s="27">
        <f t="shared" ref="AA149:AA157" si="91">IF(VLOOKUP($D149,$C$5:$AA$496,25,)=0,0,((VLOOKUP($D149,$C$5:$AA$496,25,)/VLOOKUP($D149,$C$5:$AA$496,4,))*$F149))</f>
        <v>0</v>
      </c>
      <c r="AB149" s="27">
        <f t="shared" ref="AB149:AB157" si="92">SUM(H149:AA149)</f>
        <v>0</v>
      </c>
      <c r="AC149" s="22" t="str">
        <f t="shared" ref="AC149:AC157" si="93">IF(ABS(AB149-F149)&lt;1,"ok","err")</f>
        <v>ok</v>
      </c>
    </row>
    <row r="150" spans="1:29" x14ac:dyDescent="0.25">
      <c r="A150" s="14">
        <v>501</v>
      </c>
      <c r="B150" s="14" t="s">
        <v>791</v>
      </c>
      <c r="C150" s="14" t="s">
        <v>804</v>
      </c>
      <c r="D150" s="14" t="s">
        <v>783</v>
      </c>
      <c r="F150" s="110">
        <v>0</v>
      </c>
      <c r="G150" s="27"/>
      <c r="H150" s="27">
        <f t="shared" si="80"/>
        <v>0</v>
      </c>
      <c r="I150" s="27">
        <f t="shared" si="81"/>
        <v>0</v>
      </c>
      <c r="J150" s="27"/>
      <c r="K150" s="27">
        <f t="shared" si="82"/>
        <v>0</v>
      </c>
      <c r="L150" s="27"/>
      <c r="M150" s="27">
        <f t="shared" si="83"/>
        <v>0</v>
      </c>
      <c r="N150" s="27"/>
      <c r="O150" s="27">
        <f t="shared" si="84"/>
        <v>0</v>
      </c>
      <c r="P150" s="27">
        <f t="shared" si="85"/>
        <v>0</v>
      </c>
      <c r="Q150" s="27"/>
      <c r="R150" s="27">
        <f t="shared" si="86"/>
        <v>0</v>
      </c>
      <c r="S150" s="27">
        <f t="shared" si="87"/>
        <v>0</v>
      </c>
      <c r="T150" s="27"/>
      <c r="U150" s="27">
        <f t="shared" si="88"/>
        <v>0</v>
      </c>
      <c r="V150" s="27"/>
      <c r="W150" s="27">
        <f t="shared" si="89"/>
        <v>0</v>
      </c>
      <c r="X150" s="27"/>
      <c r="Y150" s="27">
        <f t="shared" si="90"/>
        <v>0</v>
      </c>
      <c r="Z150" s="27"/>
      <c r="AA150" s="27">
        <f t="shared" si="91"/>
        <v>0</v>
      </c>
      <c r="AB150" s="27">
        <f t="shared" si="92"/>
        <v>0</v>
      </c>
      <c r="AC150" s="22" t="str">
        <f t="shared" si="93"/>
        <v>ok</v>
      </c>
    </row>
    <row r="151" spans="1:29" x14ac:dyDescent="0.25">
      <c r="A151" s="14">
        <v>502</v>
      </c>
      <c r="B151" s="14" t="s">
        <v>792</v>
      </c>
      <c r="C151" s="14" t="s">
        <v>805</v>
      </c>
      <c r="D151" s="14" t="s">
        <v>552</v>
      </c>
      <c r="F151" s="110">
        <v>0</v>
      </c>
      <c r="G151" s="27"/>
      <c r="H151" s="27">
        <f t="shared" si="80"/>
        <v>0</v>
      </c>
      <c r="I151" s="27">
        <f t="shared" si="81"/>
        <v>0</v>
      </c>
      <c r="J151" s="27"/>
      <c r="K151" s="27">
        <f t="shared" si="82"/>
        <v>0</v>
      </c>
      <c r="L151" s="27"/>
      <c r="M151" s="27">
        <f t="shared" si="83"/>
        <v>0</v>
      </c>
      <c r="N151" s="27"/>
      <c r="O151" s="27">
        <f t="shared" si="84"/>
        <v>0</v>
      </c>
      <c r="P151" s="27">
        <f t="shared" si="85"/>
        <v>0</v>
      </c>
      <c r="Q151" s="27"/>
      <c r="R151" s="27">
        <f t="shared" si="86"/>
        <v>0</v>
      </c>
      <c r="S151" s="27">
        <f t="shared" si="87"/>
        <v>0</v>
      </c>
      <c r="T151" s="27"/>
      <c r="U151" s="27">
        <f t="shared" si="88"/>
        <v>0</v>
      </c>
      <c r="V151" s="27"/>
      <c r="W151" s="27">
        <f t="shared" si="89"/>
        <v>0</v>
      </c>
      <c r="X151" s="27"/>
      <c r="Y151" s="27">
        <f t="shared" si="90"/>
        <v>0</v>
      </c>
      <c r="Z151" s="27"/>
      <c r="AA151" s="27">
        <f t="shared" si="91"/>
        <v>0</v>
      </c>
      <c r="AB151" s="27">
        <f t="shared" si="92"/>
        <v>0</v>
      </c>
      <c r="AC151" s="22" t="str">
        <f t="shared" si="93"/>
        <v>ok</v>
      </c>
    </row>
    <row r="152" spans="1:29" x14ac:dyDescent="0.25">
      <c r="A152" s="14">
        <v>503</v>
      </c>
      <c r="B152" s="14" t="s">
        <v>793</v>
      </c>
      <c r="C152" s="14" t="s">
        <v>806</v>
      </c>
      <c r="D152" s="14" t="s">
        <v>552</v>
      </c>
      <c r="F152" s="110">
        <v>0</v>
      </c>
      <c r="G152" s="27"/>
      <c r="H152" s="27">
        <f t="shared" si="80"/>
        <v>0</v>
      </c>
      <c r="I152" s="27">
        <f t="shared" si="81"/>
        <v>0</v>
      </c>
      <c r="J152" s="27"/>
      <c r="K152" s="27">
        <f t="shared" si="82"/>
        <v>0</v>
      </c>
      <c r="L152" s="27"/>
      <c r="M152" s="27">
        <f t="shared" si="83"/>
        <v>0</v>
      </c>
      <c r="N152" s="27"/>
      <c r="O152" s="27">
        <f t="shared" si="84"/>
        <v>0</v>
      </c>
      <c r="P152" s="27">
        <f t="shared" si="85"/>
        <v>0</v>
      </c>
      <c r="Q152" s="27"/>
      <c r="R152" s="27">
        <f t="shared" si="86"/>
        <v>0</v>
      </c>
      <c r="S152" s="27">
        <f t="shared" si="87"/>
        <v>0</v>
      </c>
      <c r="T152" s="27"/>
      <c r="U152" s="27">
        <f t="shared" si="88"/>
        <v>0</v>
      </c>
      <c r="V152" s="27"/>
      <c r="W152" s="27">
        <f t="shared" si="89"/>
        <v>0</v>
      </c>
      <c r="X152" s="27"/>
      <c r="Y152" s="27">
        <f t="shared" si="90"/>
        <v>0</v>
      </c>
      <c r="Z152" s="27"/>
      <c r="AA152" s="27">
        <f t="shared" si="91"/>
        <v>0</v>
      </c>
      <c r="AB152" s="27">
        <f t="shared" si="92"/>
        <v>0</v>
      </c>
      <c r="AC152" s="22" t="str">
        <f t="shared" si="93"/>
        <v>ok</v>
      </c>
    </row>
    <row r="153" spans="1:29" x14ac:dyDescent="0.25">
      <c r="A153" s="14">
        <v>504</v>
      </c>
      <c r="B153" s="14" t="s">
        <v>794</v>
      </c>
      <c r="C153" s="14" t="s">
        <v>807</v>
      </c>
      <c r="D153" s="14" t="s">
        <v>552</v>
      </c>
      <c r="F153" s="110">
        <v>0</v>
      </c>
      <c r="G153" s="27"/>
      <c r="H153" s="27">
        <f t="shared" si="80"/>
        <v>0</v>
      </c>
      <c r="I153" s="27">
        <f t="shared" si="81"/>
        <v>0</v>
      </c>
      <c r="J153" s="27"/>
      <c r="K153" s="27">
        <f t="shared" si="82"/>
        <v>0</v>
      </c>
      <c r="L153" s="27"/>
      <c r="M153" s="27">
        <f t="shared" si="83"/>
        <v>0</v>
      </c>
      <c r="N153" s="27"/>
      <c r="O153" s="27">
        <f t="shared" si="84"/>
        <v>0</v>
      </c>
      <c r="P153" s="27">
        <f t="shared" si="85"/>
        <v>0</v>
      </c>
      <c r="Q153" s="27"/>
      <c r="R153" s="27">
        <f t="shared" si="86"/>
        <v>0</v>
      </c>
      <c r="S153" s="27">
        <f t="shared" si="87"/>
        <v>0</v>
      </c>
      <c r="T153" s="27"/>
      <c r="U153" s="27">
        <f t="shared" si="88"/>
        <v>0</v>
      </c>
      <c r="V153" s="27"/>
      <c r="W153" s="27">
        <f t="shared" si="89"/>
        <v>0</v>
      </c>
      <c r="X153" s="27"/>
      <c r="Y153" s="27">
        <f t="shared" si="90"/>
        <v>0</v>
      </c>
      <c r="Z153" s="27"/>
      <c r="AA153" s="27">
        <f t="shared" si="91"/>
        <v>0</v>
      </c>
      <c r="AB153" s="27">
        <f t="shared" si="92"/>
        <v>0</v>
      </c>
      <c r="AC153" s="22" t="str">
        <f t="shared" si="93"/>
        <v>ok</v>
      </c>
    </row>
    <row r="154" spans="1:29" x14ac:dyDescent="0.25">
      <c r="A154" s="14">
        <v>505</v>
      </c>
      <c r="B154" s="14" t="s">
        <v>795</v>
      </c>
      <c r="C154" s="14" t="s">
        <v>808</v>
      </c>
      <c r="D154" s="14" t="s">
        <v>552</v>
      </c>
      <c r="F154" s="110">
        <v>0</v>
      </c>
      <c r="G154" s="27"/>
      <c r="H154" s="27">
        <f t="shared" si="80"/>
        <v>0</v>
      </c>
      <c r="I154" s="27">
        <f t="shared" si="81"/>
        <v>0</v>
      </c>
      <c r="J154" s="27"/>
      <c r="K154" s="27">
        <f t="shared" si="82"/>
        <v>0</v>
      </c>
      <c r="L154" s="27"/>
      <c r="M154" s="27">
        <f t="shared" si="83"/>
        <v>0</v>
      </c>
      <c r="N154" s="27"/>
      <c r="O154" s="27">
        <f t="shared" si="84"/>
        <v>0</v>
      </c>
      <c r="P154" s="27">
        <f t="shared" si="85"/>
        <v>0</v>
      </c>
      <c r="Q154" s="27"/>
      <c r="R154" s="27">
        <f t="shared" si="86"/>
        <v>0</v>
      </c>
      <c r="S154" s="27">
        <f t="shared" si="87"/>
        <v>0</v>
      </c>
      <c r="T154" s="27"/>
      <c r="U154" s="27">
        <f t="shared" si="88"/>
        <v>0</v>
      </c>
      <c r="V154" s="27"/>
      <c r="W154" s="27">
        <f t="shared" si="89"/>
        <v>0</v>
      </c>
      <c r="X154" s="27"/>
      <c r="Y154" s="27">
        <f t="shared" si="90"/>
        <v>0</v>
      </c>
      <c r="Z154" s="27"/>
      <c r="AA154" s="27">
        <f t="shared" si="91"/>
        <v>0</v>
      </c>
      <c r="AB154" s="27">
        <f t="shared" si="92"/>
        <v>0</v>
      </c>
      <c r="AC154" s="22" t="str">
        <f t="shared" si="93"/>
        <v>ok</v>
      </c>
    </row>
    <row r="155" spans="1:29" x14ac:dyDescent="0.25">
      <c r="A155" s="14">
        <v>506</v>
      </c>
      <c r="B155" s="14" t="s">
        <v>796</v>
      </c>
      <c r="C155" s="14" t="s">
        <v>809</v>
      </c>
      <c r="D155" s="14" t="s">
        <v>552</v>
      </c>
      <c r="F155" s="110">
        <v>0</v>
      </c>
      <c r="G155" s="27"/>
      <c r="H155" s="27">
        <f t="shared" si="80"/>
        <v>0</v>
      </c>
      <c r="I155" s="27">
        <f t="shared" si="81"/>
        <v>0</v>
      </c>
      <c r="J155" s="27"/>
      <c r="K155" s="27">
        <f t="shared" si="82"/>
        <v>0</v>
      </c>
      <c r="L155" s="27"/>
      <c r="M155" s="27">
        <f t="shared" si="83"/>
        <v>0</v>
      </c>
      <c r="N155" s="27"/>
      <c r="O155" s="27">
        <f t="shared" si="84"/>
        <v>0</v>
      </c>
      <c r="P155" s="27">
        <f t="shared" si="85"/>
        <v>0</v>
      </c>
      <c r="Q155" s="27"/>
      <c r="R155" s="27">
        <f t="shared" si="86"/>
        <v>0</v>
      </c>
      <c r="S155" s="27">
        <f t="shared" si="87"/>
        <v>0</v>
      </c>
      <c r="T155" s="27"/>
      <c r="U155" s="27">
        <f t="shared" si="88"/>
        <v>0</v>
      </c>
      <c r="V155" s="27"/>
      <c r="W155" s="27">
        <f t="shared" si="89"/>
        <v>0</v>
      </c>
      <c r="X155" s="27"/>
      <c r="Y155" s="27">
        <f t="shared" si="90"/>
        <v>0</v>
      </c>
      <c r="Z155" s="27"/>
      <c r="AA155" s="27">
        <f t="shared" si="91"/>
        <v>0</v>
      </c>
      <c r="AB155" s="27">
        <f t="shared" si="92"/>
        <v>0</v>
      </c>
      <c r="AC155" s="22" t="str">
        <f t="shared" si="93"/>
        <v>ok</v>
      </c>
    </row>
    <row r="156" spans="1:29" x14ac:dyDescent="0.25">
      <c r="A156" s="14">
        <v>507</v>
      </c>
      <c r="B156" s="14" t="s">
        <v>115</v>
      </c>
      <c r="C156" s="14" t="s">
        <v>810</v>
      </c>
      <c r="D156" s="14" t="s">
        <v>552</v>
      </c>
      <c r="F156" s="110">
        <v>0</v>
      </c>
      <c r="G156" s="27"/>
      <c r="H156" s="27">
        <f t="shared" si="80"/>
        <v>0</v>
      </c>
      <c r="I156" s="27">
        <f t="shared" si="81"/>
        <v>0</v>
      </c>
      <c r="J156" s="27"/>
      <c r="K156" s="27">
        <f t="shared" si="82"/>
        <v>0</v>
      </c>
      <c r="L156" s="27"/>
      <c r="M156" s="27">
        <f t="shared" si="83"/>
        <v>0</v>
      </c>
      <c r="N156" s="27"/>
      <c r="O156" s="27">
        <f t="shared" si="84"/>
        <v>0</v>
      </c>
      <c r="P156" s="27">
        <f t="shared" si="85"/>
        <v>0</v>
      </c>
      <c r="Q156" s="27"/>
      <c r="R156" s="27">
        <f t="shared" si="86"/>
        <v>0</v>
      </c>
      <c r="S156" s="27">
        <f t="shared" si="87"/>
        <v>0</v>
      </c>
      <c r="T156" s="27"/>
      <c r="U156" s="27">
        <f t="shared" si="88"/>
        <v>0</v>
      </c>
      <c r="V156" s="27"/>
      <c r="W156" s="27">
        <f t="shared" si="89"/>
        <v>0</v>
      </c>
      <c r="X156" s="27"/>
      <c r="Y156" s="27">
        <f t="shared" si="90"/>
        <v>0</v>
      </c>
      <c r="Z156" s="27"/>
      <c r="AA156" s="27">
        <f t="shared" si="91"/>
        <v>0</v>
      </c>
      <c r="AB156" s="27">
        <f t="shared" si="92"/>
        <v>0</v>
      </c>
      <c r="AC156" s="22" t="str">
        <f t="shared" si="93"/>
        <v>ok</v>
      </c>
    </row>
    <row r="157" spans="1:29" x14ac:dyDescent="0.25">
      <c r="A157" s="14">
        <v>509</v>
      </c>
      <c r="B157" s="14" t="s">
        <v>797</v>
      </c>
      <c r="C157" s="14" t="s">
        <v>811</v>
      </c>
      <c r="D157" s="14" t="s">
        <v>783</v>
      </c>
      <c r="F157" s="110">
        <v>0</v>
      </c>
      <c r="G157" s="27"/>
      <c r="H157" s="27">
        <f t="shared" si="80"/>
        <v>0</v>
      </c>
      <c r="I157" s="27">
        <f t="shared" si="81"/>
        <v>0</v>
      </c>
      <c r="J157" s="27"/>
      <c r="K157" s="27">
        <f t="shared" si="82"/>
        <v>0</v>
      </c>
      <c r="L157" s="27"/>
      <c r="M157" s="27">
        <f t="shared" si="83"/>
        <v>0</v>
      </c>
      <c r="N157" s="27"/>
      <c r="O157" s="27">
        <f t="shared" si="84"/>
        <v>0</v>
      </c>
      <c r="P157" s="27">
        <f t="shared" si="85"/>
        <v>0</v>
      </c>
      <c r="Q157" s="27"/>
      <c r="R157" s="27">
        <f t="shared" si="86"/>
        <v>0</v>
      </c>
      <c r="S157" s="27">
        <f t="shared" si="87"/>
        <v>0</v>
      </c>
      <c r="T157" s="27"/>
      <c r="U157" s="27">
        <f t="shared" si="88"/>
        <v>0</v>
      </c>
      <c r="V157" s="27"/>
      <c r="W157" s="27">
        <f t="shared" si="89"/>
        <v>0</v>
      </c>
      <c r="X157" s="27"/>
      <c r="Y157" s="27">
        <f t="shared" si="90"/>
        <v>0</v>
      </c>
      <c r="Z157" s="27"/>
      <c r="AA157" s="27">
        <f t="shared" si="91"/>
        <v>0</v>
      </c>
      <c r="AB157" s="27">
        <f t="shared" si="92"/>
        <v>0</v>
      </c>
      <c r="AC157" s="22" t="str">
        <f t="shared" si="93"/>
        <v>ok</v>
      </c>
    </row>
    <row r="158" spans="1:29" x14ac:dyDescent="0.25">
      <c r="F158" s="110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C158" s="22"/>
    </row>
    <row r="159" spans="1:29" x14ac:dyDescent="0.25">
      <c r="A159" s="14" t="s">
        <v>789</v>
      </c>
      <c r="C159" s="14" t="s">
        <v>812</v>
      </c>
      <c r="F159" s="119">
        <f>SUM(F149:F158)</f>
        <v>0</v>
      </c>
      <c r="G159" s="40"/>
      <c r="H159" s="40">
        <f>SUM(H149:H158)</f>
        <v>0</v>
      </c>
      <c r="I159" s="40">
        <f>SUM(I149:I158)</f>
        <v>0</v>
      </c>
      <c r="J159" s="40"/>
      <c r="K159" s="40">
        <f>SUM(K149:K158)</f>
        <v>0</v>
      </c>
      <c r="L159" s="40"/>
      <c r="M159" s="40">
        <f>SUM(M149:M158)</f>
        <v>0</v>
      </c>
      <c r="N159" s="40"/>
      <c r="O159" s="40">
        <f>SUM(O149:O158)</f>
        <v>0</v>
      </c>
      <c r="P159" s="40">
        <f>SUM(P149:P158)</f>
        <v>0</v>
      </c>
      <c r="Q159" s="40"/>
      <c r="R159" s="40">
        <f>SUM(R149:R158)</f>
        <v>0</v>
      </c>
      <c r="S159" s="40">
        <f>SUM(S149:S158)</f>
        <v>0</v>
      </c>
      <c r="T159" s="40"/>
      <c r="U159" s="40">
        <f>SUM(U149:U158)</f>
        <v>0</v>
      </c>
      <c r="V159" s="40"/>
      <c r="W159" s="40">
        <f>SUM(W149:W158)</f>
        <v>0</v>
      </c>
      <c r="X159" s="40"/>
      <c r="Y159" s="40">
        <f>SUM(Y149:Y158)</f>
        <v>0</v>
      </c>
      <c r="Z159" s="40"/>
      <c r="AA159" s="40">
        <f>SUM(AA149:AA158)</f>
        <v>0</v>
      </c>
      <c r="AB159" s="27">
        <f>SUM(H159:AA159)</f>
        <v>0</v>
      </c>
      <c r="AC159" s="22" t="str">
        <f>IF(ABS(AB159-F159)&lt;1,"ok","err")</f>
        <v>ok</v>
      </c>
    </row>
    <row r="160" spans="1:29" x14ac:dyDescent="0.25">
      <c r="A160" s="13"/>
      <c r="F160" s="110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C160" s="22"/>
    </row>
    <row r="161" spans="1:29" x14ac:dyDescent="0.25">
      <c r="A161" s="13" t="s">
        <v>786</v>
      </c>
      <c r="F161" s="110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C161" s="22"/>
    </row>
    <row r="162" spans="1:29" x14ac:dyDescent="0.25">
      <c r="A162" s="14">
        <v>510</v>
      </c>
      <c r="B162" s="14" t="s">
        <v>798</v>
      </c>
      <c r="C162" s="14" t="s">
        <v>814</v>
      </c>
      <c r="D162" s="14" t="s">
        <v>783</v>
      </c>
      <c r="F162" s="119">
        <v>0</v>
      </c>
      <c r="G162" s="40"/>
      <c r="H162" s="27">
        <f>IF(VLOOKUP($D162,$C$5:$AA$496,6,)=0,0,((VLOOKUP($D162,$C$5:$AA$496,6,)/VLOOKUP($D162,$C$5:$AA$496,4,))*$F162))</f>
        <v>0</v>
      </c>
      <c r="I162" s="27">
        <f>IF(VLOOKUP($D162,$C$5:$AA$496,7,)=0,0,((VLOOKUP($D162,$C$5:$AA$496,7,)/VLOOKUP($D162,$C$5:$AA$496,4,))*$F162))</f>
        <v>0</v>
      </c>
      <c r="J162" s="27"/>
      <c r="K162" s="27">
        <f>IF(VLOOKUP($D162,$C$5:$AA$496,9,)=0,0,((VLOOKUP($D162,$C$5:$AA$496,9,)/VLOOKUP($D162,$C$5:$AA$496,4,))*$F162))</f>
        <v>0</v>
      </c>
      <c r="L162" s="27"/>
      <c r="M162" s="27">
        <f>IF(VLOOKUP($D162,$C$5:$AA$496,11,)=0,0,((VLOOKUP($D162,$C$5:$AA$496,11,)/VLOOKUP($D162,$C$5:$AA$496,4,))*$F162))</f>
        <v>0</v>
      </c>
      <c r="N162" s="27"/>
      <c r="O162" s="27">
        <f>IF(VLOOKUP($D162,$C$5:$AA$496,13,)=0,0,((VLOOKUP($D162,$C$5:$AA$496,13,)/VLOOKUP($D162,$C$5:$AA$496,4,))*$F162))</f>
        <v>0</v>
      </c>
      <c r="P162" s="27">
        <f>IF(VLOOKUP($D162,$C$5:$AA$496,14,)=0,0,((VLOOKUP($D162,$C$5:$AA$496,14,)/VLOOKUP($D162,$C$5:$AA$496,4,))*$F162))</f>
        <v>0</v>
      </c>
      <c r="Q162" s="27"/>
      <c r="R162" s="27">
        <f>IF(VLOOKUP($D162,$C$5:$AA$496,16,)=0,0,((VLOOKUP($D162,$C$5:$AA$496,16,)/VLOOKUP($D162,$C$5:$AA$496,4,))*$F162))</f>
        <v>0</v>
      </c>
      <c r="S162" s="27">
        <f>IF(VLOOKUP($D162,$C$5:$AA$496,17,)=0,0,((VLOOKUP($D162,$C$5:$AA$496,17,)/VLOOKUP($D162,$C$5:$AA$496,4,))*$F162))</f>
        <v>0</v>
      </c>
      <c r="T162" s="27"/>
      <c r="U162" s="27">
        <f>IF(VLOOKUP($D162,$C$5:$AA$496,19,)=0,0,((VLOOKUP($D162,$C$5:$AA$496,19,)/VLOOKUP($D162,$C$5:$AA$496,4,))*$F162))</f>
        <v>0</v>
      </c>
      <c r="V162" s="27"/>
      <c r="W162" s="27">
        <f>IF(VLOOKUP($D162,$C$5:$AA$496,21,)=0,0,((VLOOKUP($D162,$C$5:$AA$496,21,)/VLOOKUP($D162,$C$5:$AA$496,4,))*$F162))</f>
        <v>0</v>
      </c>
      <c r="X162" s="27"/>
      <c r="Y162" s="27">
        <f>IF(VLOOKUP($D162,$C$5:$AA$496,23,)=0,0,((VLOOKUP($D162,$C$5:$AA$496,23,)/VLOOKUP($D162,$C$5:$AA$496,4,))*$F162))</f>
        <v>0</v>
      </c>
      <c r="Z162" s="27"/>
      <c r="AA162" s="27">
        <f>IF(VLOOKUP($D162,$C$5:$AA$496,25,)=0,0,((VLOOKUP($D162,$C$5:$AA$496,25,)/VLOOKUP($D162,$C$5:$AA$496,4,))*$F162))</f>
        <v>0</v>
      </c>
      <c r="AB162" s="27">
        <f>SUM(H162:AA162)</f>
        <v>0</v>
      </c>
      <c r="AC162" s="22" t="str">
        <f>IF(ABS(AB162-F162)&lt;1,"ok","err")</f>
        <v>ok</v>
      </c>
    </row>
    <row r="163" spans="1:29" x14ac:dyDescent="0.25">
      <c r="A163" s="14">
        <v>511</v>
      </c>
      <c r="B163" s="14" t="s">
        <v>799</v>
      </c>
      <c r="C163" s="14" t="s">
        <v>815</v>
      </c>
      <c r="D163" s="14" t="s">
        <v>552</v>
      </c>
      <c r="F163" s="110">
        <v>0</v>
      </c>
      <c r="G163" s="27"/>
      <c r="H163" s="27">
        <f>IF(VLOOKUP($D163,$C$5:$AA$496,6,)=0,0,((VLOOKUP($D163,$C$5:$AA$496,6,)/VLOOKUP($D163,$C$5:$AA$496,4,))*$F163))</f>
        <v>0</v>
      </c>
      <c r="I163" s="27">
        <f>IF(VLOOKUP($D163,$C$5:$AA$496,7,)=0,0,((VLOOKUP($D163,$C$5:$AA$496,7,)/VLOOKUP($D163,$C$5:$AA$496,4,))*$F163))</f>
        <v>0</v>
      </c>
      <c r="J163" s="27"/>
      <c r="K163" s="27">
        <f>IF(VLOOKUP($D163,$C$5:$AA$496,9,)=0,0,((VLOOKUP($D163,$C$5:$AA$496,9,)/VLOOKUP($D163,$C$5:$AA$496,4,))*$F163))</f>
        <v>0</v>
      </c>
      <c r="L163" s="27"/>
      <c r="M163" s="27">
        <f>IF(VLOOKUP($D163,$C$5:$AA$496,11,)=0,0,((VLOOKUP($D163,$C$5:$AA$496,11,)/VLOOKUP($D163,$C$5:$AA$496,4,))*$F163))</f>
        <v>0</v>
      </c>
      <c r="N163" s="27"/>
      <c r="O163" s="27">
        <f>IF(VLOOKUP($D163,$C$5:$AA$496,13,)=0,0,((VLOOKUP($D163,$C$5:$AA$496,13,)/VLOOKUP($D163,$C$5:$AA$496,4,))*$F163))</f>
        <v>0</v>
      </c>
      <c r="P163" s="27">
        <f>IF(VLOOKUP($D163,$C$5:$AA$496,14,)=0,0,((VLOOKUP($D163,$C$5:$AA$496,14,)/VLOOKUP($D163,$C$5:$AA$496,4,))*$F163))</f>
        <v>0</v>
      </c>
      <c r="Q163" s="27"/>
      <c r="R163" s="27">
        <f>IF(VLOOKUP($D163,$C$5:$AA$496,16,)=0,0,((VLOOKUP($D163,$C$5:$AA$496,16,)/VLOOKUP($D163,$C$5:$AA$496,4,))*$F163))</f>
        <v>0</v>
      </c>
      <c r="S163" s="27">
        <f>IF(VLOOKUP($D163,$C$5:$AA$496,17,)=0,0,((VLOOKUP($D163,$C$5:$AA$496,17,)/VLOOKUP($D163,$C$5:$AA$496,4,))*$F163))</f>
        <v>0</v>
      </c>
      <c r="T163" s="27"/>
      <c r="U163" s="27">
        <f>IF(VLOOKUP($D163,$C$5:$AA$496,19,)=0,0,((VLOOKUP($D163,$C$5:$AA$496,19,)/VLOOKUP($D163,$C$5:$AA$496,4,))*$F163))</f>
        <v>0</v>
      </c>
      <c r="V163" s="27"/>
      <c r="W163" s="27">
        <f>IF(VLOOKUP($D163,$C$5:$AA$496,21,)=0,0,((VLOOKUP($D163,$C$5:$AA$496,21,)/VLOOKUP($D163,$C$5:$AA$496,4,))*$F163))</f>
        <v>0</v>
      </c>
      <c r="X163" s="27"/>
      <c r="Y163" s="27">
        <f>IF(VLOOKUP($D163,$C$5:$AA$496,23,)=0,0,((VLOOKUP($D163,$C$5:$AA$496,23,)/VLOOKUP($D163,$C$5:$AA$496,4,))*$F163))</f>
        <v>0</v>
      </c>
      <c r="Z163" s="27"/>
      <c r="AA163" s="27">
        <f>IF(VLOOKUP($D163,$C$5:$AA$496,25,)=0,0,((VLOOKUP($D163,$C$5:$AA$496,25,)/VLOOKUP($D163,$C$5:$AA$496,4,))*$F163))</f>
        <v>0</v>
      </c>
      <c r="AB163" s="27">
        <f>SUM(H163:AA163)</f>
        <v>0</v>
      </c>
      <c r="AC163" s="22" t="str">
        <f>IF(ABS(AB163-F163)&lt;1,"ok","err")</f>
        <v>ok</v>
      </c>
    </row>
    <row r="164" spans="1:29" x14ac:dyDescent="0.25">
      <c r="A164" s="14">
        <v>512</v>
      </c>
      <c r="B164" s="14" t="s">
        <v>800</v>
      </c>
      <c r="C164" s="14" t="s">
        <v>816</v>
      </c>
      <c r="D164" s="14" t="s">
        <v>783</v>
      </c>
      <c r="F164" s="110">
        <v>0</v>
      </c>
      <c r="G164" s="27"/>
      <c r="H164" s="27">
        <f>IF(VLOOKUP($D164,$C$5:$AA$496,6,)=0,0,((VLOOKUP($D164,$C$5:$AA$496,6,)/VLOOKUP($D164,$C$5:$AA$496,4,))*$F164))</f>
        <v>0</v>
      </c>
      <c r="I164" s="27">
        <f>IF(VLOOKUP($D164,$C$5:$AA$496,7,)=0,0,((VLOOKUP($D164,$C$5:$AA$496,7,)/VLOOKUP($D164,$C$5:$AA$496,4,))*$F164))</f>
        <v>0</v>
      </c>
      <c r="J164" s="27"/>
      <c r="K164" s="27">
        <f>IF(VLOOKUP($D164,$C$5:$AA$496,9,)=0,0,((VLOOKUP($D164,$C$5:$AA$496,9,)/VLOOKUP($D164,$C$5:$AA$496,4,))*$F164))</f>
        <v>0</v>
      </c>
      <c r="L164" s="27"/>
      <c r="M164" s="27">
        <f>IF(VLOOKUP($D164,$C$5:$AA$496,11,)=0,0,((VLOOKUP($D164,$C$5:$AA$496,11,)/VLOOKUP($D164,$C$5:$AA$496,4,))*$F164))</f>
        <v>0</v>
      </c>
      <c r="N164" s="27"/>
      <c r="O164" s="27">
        <f>IF(VLOOKUP($D164,$C$5:$AA$496,13,)=0,0,((VLOOKUP($D164,$C$5:$AA$496,13,)/VLOOKUP($D164,$C$5:$AA$496,4,))*$F164))</f>
        <v>0</v>
      </c>
      <c r="P164" s="27">
        <f>IF(VLOOKUP($D164,$C$5:$AA$496,14,)=0,0,((VLOOKUP($D164,$C$5:$AA$496,14,)/VLOOKUP($D164,$C$5:$AA$496,4,))*$F164))</f>
        <v>0</v>
      </c>
      <c r="Q164" s="27"/>
      <c r="R164" s="27">
        <f>IF(VLOOKUP($D164,$C$5:$AA$496,16,)=0,0,((VLOOKUP($D164,$C$5:$AA$496,16,)/VLOOKUP($D164,$C$5:$AA$496,4,))*$F164))</f>
        <v>0</v>
      </c>
      <c r="S164" s="27">
        <f>IF(VLOOKUP($D164,$C$5:$AA$496,17,)=0,0,((VLOOKUP($D164,$C$5:$AA$496,17,)/VLOOKUP($D164,$C$5:$AA$496,4,))*$F164))</f>
        <v>0</v>
      </c>
      <c r="T164" s="27"/>
      <c r="U164" s="27">
        <f>IF(VLOOKUP($D164,$C$5:$AA$496,19,)=0,0,((VLOOKUP($D164,$C$5:$AA$496,19,)/VLOOKUP($D164,$C$5:$AA$496,4,))*$F164))</f>
        <v>0</v>
      </c>
      <c r="V164" s="27"/>
      <c r="W164" s="27">
        <f>IF(VLOOKUP($D164,$C$5:$AA$496,21,)=0,0,((VLOOKUP($D164,$C$5:$AA$496,21,)/VLOOKUP($D164,$C$5:$AA$496,4,))*$F164))</f>
        <v>0</v>
      </c>
      <c r="X164" s="27"/>
      <c r="Y164" s="27">
        <f>IF(VLOOKUP($D164,$C$5:$AA$496,23,)=0,0,((VLOOKUP($D164,$C$5:$AA$496,23,)/VLOOKUP($D164,$C$5:$AA$496,4,))*$F164))</f>
        <v>0</v>
      </c>
      <c r="Z164" s="27"/>
      <c r="AA164" s="27">
        <f>IF(VLOOKUP($D164,$C$5:$AA$496,25,)=0,0,((VLOOKUP($D164,$C$5:$AA$496,25,)/VLOOKUP($D164,$C$5:$AA$496,4,))*$F164))</f>
        <v>0</v>
      </c>
      <c r="AB164" s="27">
        <f>SUM(H164:AA164)</f>
        <v>0</v>
      </c>
      <c r="AC164" s="22" t="str">
        <f>IF(ABS(AB164-F164)&lt;1,"ok","err")</f>
        <v>ok</v>
      </c>
    </row>
    <row r="165" spans="1:29" x14ac:dyDescent="0.25">
      <c r="A165" s="14">
        <v>513</v>
      </c>
      <c r="B165" s="14" t="s">
        <v>801</v>
      </c>
      <c r="C165" s="14" t="s">
        <v>817</v>
      </c>
      <c r="D165" s="14" t="s">
        <v>783</v>
      </c>
      <c r="F165" s="110">
        <v>0</v>
      </c>
      <c r="G165" s="27"/>
      <c r="H165" s="27">
        <f>IF(VLOOKUP($D165,$C$5:$AA$496,6,)=0,0,((VLOOKUP($D165,$C$5:$AA$496,6,)/VLOOKUP($D165,$C$5:$AA$496,4,))*$F165))</f>
        <v>0</v>
      </c>
      <c r="I165" s="27">
        <f>IF(VLOOKUP($D165,$C$5:$AA$496,7,)=0,0,((VLOOKUP($D165,$C$5:$AA$496,7,)/VLOOKUP($D165,$C$5:$AA$496,4,))*$F165))</f>
        <v>0</v>
      </c>
      <c r="J165" s="27"/>
      <c r="K165" s="27">
        <f>IF(VLOOKUP($D165,$C$5:$AA$496,9,)=0,0,((VLOOKUP($D165,$C$5:$AA$496,9,)/VLOOKUP($D165,$C$5:$AA$496,4,))*$F165))</f>
        <v>0</v>
      </c>
      <c r="L165" s="27"/>
      <c r="M165" s="27">
        <f>IF(VLOOKUP($D165,$C$5:$AA$496,11,)=0,0,((VLOOKUP($D165,$C$5:$AA$496,11,)/VLOOKUP($D165,$C$5:$AA$496,4,))*$F165))</f>
        <v>0</v>
      </c>
      <c r="N165" s="27"/>
      <c r="O165" s="27">
        <f>IF(VLOOKUP($D165,$C$5:$AA$496,13,)=0,0,((VLOOKUP($D165,$C$5:$AA$496,13,)/VLOOKUP($D165,$C$5:$AA$496,4,))*$F165))</f>
        <v>0</v>
      </c>
      <c r="P165" s="27">
        <f>IF(VLOOKUP($D165,$C$5:$AA$496,14,)=0,0,((VLOOKUP($D165,$C$5:$AA$496,14,)/VLOOKUP($D165,$C$5:$AA$496,4,))*$F165))</f>
        <v>0</v>
      </c>
      <c r="Q165" s="27"/>
      <c r="R165" s="27">
        <f>IF(VLOOKUP($D165,$C$5:$AA$496,16,)=0,0,((VLOOKUP($D165,$C$5:$AA$496,16,)/VLOOKUP($D165,$C$5:$AA$496,4,))*$F165))</f>
        <v>0</v>
      </c>
      <c r="S165" s="27">
        <f>IF(VLOOKUP($D165,$C$5:$AA$496,17,)=0,0,((VLOOKUP($D165,$C$5:$AA$496,17,)/VLOOKUP($D165,$C$5:$AA$496,4,))*$F165))</f>
        <v>0</v>
      </c>
      <c r="T165" s="27"/>
      <c r="U165" s="27">
        <f>IF(VLOOKUP($D165,$C$5:$AA$496,19,)=0,0,((VLOOKUP($D165,$C$5:$AA$496,19,)/VLOOKUP($D165,$C$5:$AA$496,4,))*$F165))</f>
        <v>0</v>
      </c>
      <c r="V165" s="27"/>
      <c r="W165" s="27">
        <f>IF(VLOOKUP($D165,$C$5:$AA$496,21,)=0,0,((VLOOKUP($D165,$C$5:$AA$496,21,)/VLOOKUP($D165,$C$5:$AA$496,4,))*$F165))</f>
        <v>0</v>
      </c>
      <c r="X165" s="27"/>
      <c r="Y165" s="27">
        <f>IF(VLOOKUP($D165,$C$5:$AA$496,23,)=0,0,((VLOOKUP($D165,$C$5:$AA$496,23,)/VLOOKUP($D165,$C$5:$AA$496,4,))*$F165))</f>
        <v>0</v>
      </c>
      <c r="Z165" s="27"/>
      <c r="AA165" s="27">
        <f>IF(VLOOKUP($D165,$C$5:$AA$496,25,)=0,0,((VLOOKUP($D165,$C$5:$AA$496,25,)/VLOOKUP($D165,$C$5:$AA$496,4,))*$F165))</f>
        <v>0</v>
      </c>
      <c r="AB165" s="27">
        <f>SUM(H165:AA165)</f>
        <v>0</v>
      </c>
      <c r="AC165" s="22" t="str">
        <f>IF(ABS(AB165-F165)&lt;1,"ok","err")</f>
        <v>ok</v>
      </c>
    </row>
    <row r="166" spans="1:29" x14ac:dyDescent="0.25">
      <c r="A166" s="14">
        <v>514</v>
      </c>
      <c r="B166" s="14" t="s">
        <v>802</v>
      </c>
      <c r="C166" s="14" t="s">
        <v>818</v>
      </c>
      <c r="D166" s="14" t="s">
        <v>552</v>
      </c>
      <c r="F166" s="110">
        <v>0</v>
      </c>
      <c r="G166" s="27"/>
      <c r="H166" s="27">
        <f>IF(VLOOKUP($D166,$C$5:$AA$496,6,)=0,0,((VLOOKUP($D166,$C$5:$AA$496,6,)/VLOOKUP($D166,$C$5:$AA$496,4,))*$F166))</f>
        <v>0</v>
      </c>
      <c r="I166" s="27">
        <f>IF(VLOOKUP($D166,$C$5:$AA$496,7,)=0,0,((VLOOKUP($D166,$C$5:$AA$496,7,)/VLOOKUP($D166,$C$5:$AA$496,4,))*$F166))</f>
        <v>0</v>
      </c>
      <c r="J166" s="27"/>
      <c r="K166" s="27">
        <f>IF(VLOOKUP($D166,$C$5:$AA$496,9,)=0,0,((VLOOKUP($D166,$C$5:$AA$496,9,)/VLOOKUP($D166,$C$5:$AA$496,4,))*$F166))</f>
        <v>0</v>
      </c>
      <c r="L166" s="27"/>
      <c r="M166" s="27">
        <f>IF(VLOOKUP($D166,$C$5:$AA$496,11,)=0,0,((VLOOKUP($D166,$C$5:$AA$496,11,)/VLOOKUP($D166,$C$5:$AA$496,4,))*$F166))</f>
        <v>0</v>
      </c>
      <c r="N166" s="27"/>
      <c r="O166" s="27">
        <f>IF(VLOOKUP($D166,$C$5:$AA$496,13,)=0,0,((VLOOKUP($D166,$C$5:$AA$496,13,)/VLOOKUP($D166,$C$5:$AA$496,4,))*$F166))</f>
        <v>0</v>
      </c>
      <c r="P166" s="27">
        <f>IF(VLOOKUP($D166,$C$5:$AA$496,14,)=0,0,((VLOOKUP($D166,$C$5:$AA$496,14,)/VLOOKUP($D166,$C$5:$AA$496,4,))*$F166))</f>
        <v>0</v>
      </c>
      <c r="Q166" s="27"/>
      <c r="R166" s="27">
        <f>IF(VLOOKUP($D166,$C$5:$AA$496,16,)=0,0,((VLOOKUP($D166,$C$5:$AA$496,16,)/VLOOKUP($D166,$C$5:$AA$496,4,))*$F166))</f>
        <v>0</v>
      </c>
      <c r="S166" s="27">
        <f>IF(VLOOKUP($D166,$C$5:$AA$496,17,)=0,0,((VLOOKUP($D166,$C$5:$AA$496,17,)/VLOOKUP($D166,$C$5:$AA$496,4,))*$F166))</f>
        <v>0</v>
      </c>
      <c r="T166" s="27"/>
      <c r="U166" s="27">
        <f>IF(VLOOKUP($D166,$C$5:$AA$496,19,)=0,0,((VLOOKUP($D166,$C$5:$AA$496,19,)/VLOOKUP($D166,$C$5:$AA$496,4,))*$F166))</f>
        <v>0</v>
      </c>
      <c r="V166" s="27"/>
      <c r="W166" s="27">
        <f>IF(VLOOKUP($D166,$C$5:$AA$496,21,)=0,0,((VLOOKUP($D166,$C$5:$AA$496,21,)/VLOOKUP($D166,$C$5:$AA$496,4,))*$F166))</f>
        <v>0</v>
      </c>
      <c r="X166" s="27"/>
      <c r="Y166" s="27">
        <f>IF(VLOOKUP($D166,$C$5:$AA$496,23,)=0,0,((VLOOKUP($D166,$C$5:$AA$496,23,)/VLOOKUP($D166,$C$5:$AA$496,4,))*$F166))</f>
        <v>0</v>
      </c>
      <c r="Z166" s="27"/>
      <c r="AA166" s="27">
        <f>IF(VLOOKUP($D166,$C$5:$AA$496,25,)=0,0,((VLOOKUP($D166,$C$5:$AA$496,25,)/VLOOKUP($D166,$C$5:$AA$496,4,))*$F166))</f>
        <v>0</v>
      </c>
      <c r="AB166" s="27">
        <f>SUM(H166:AA166)</f>
        <v>0</v>
      </c>
      <c r="AC166" s="22" t="str">
        <f>IF(ABS(AB166-F166)&lt;1,"ok","err")</f>
        <v>ok</v>
      </c>
    </row>
    <row r="167" spans="1:29" x14ac:dyDescent="0.25">
      <c r="F167" s="110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2"/>
    </row>
    <row r="168" spans="1:29" x14ac:dyDescent="0.25">
      <c r="A168" s="14" t="s">
        <v>787</v>
      </c>
      <c r="C168" s="14" t="s">
        <v>813</v>
      </c>
      <c r="F168" s="119">
        <f>SUM(F162:F167)</f>
        <v>0</v>
      </c>
      <c r="G168" s="40"/>
      <c r="H168" s="40">
        <f>SUM(H162:H167)</f>
        <v>0</v>
      </c>
      <c r="I168" s="40">
        <f>SUM(I162:I167)</f>
        <v>0</v>
      </c>
      <c r="J168" s="40"/>
      <c r="K168" s="40">
        <f>SUM(K162:K167)</f>
        <v>0</v>
      </c>
      <c r="L168" s="40"/>
      <c r="M168" s="40">
        <f>SUM(M162:M167)</f>
        <v>0</v>
      </c>
      <c r="N168" s="40"/>
      <c r="O168" s="40">
        <f>SUM(O162:O167)</f>
        <v>0</v>
      </c>
      <c r="P168" s="40">
        <f>SUM(P162:P167)</f>
        <v>0</v>
      </c>
      <c r="Q168" s="40"/>
      <c r="R168" s="40">
        <f>SUM(R162:R167)</f>
        <v>0</v>
      </c>
      <c r="S168" s="40">
        <f>SUM(S162:S167)</f>
        <v>0</v>
      </c>
      <c r="T168" s="40"/>
      <c r="U168" s="40">
        <f>SUM(U162:U167)</f>
        <v>0</v>
      </c>
      <c r="V168" s="40"/>
      <c r="W168" s="40">
        <f>SUM(W162:W167)</f>
        <v>0</v>
      </c>
      <c r="X168" s="40"/>
      <c r="Y168" s="40">
        <f>SUM(Y162:Y167)</f>
        <v>0</v>
      </c>
      <c r="Z168" s="40"/>
      <c r="AA168" s="40">
        <f>SUM(AA162:AA167)</f>
        <v>0</v>
      </c>
      <c r="AB168" s="27">
        <f>SUM(H168:AA168)</f>
        <v>0</v>
      </c>
      <c r="AC168" s="22" t="str">
        <f>IF(ABS(AB168-F168)&lt;1,"ok","err")</f>
        <v>ok</v>
      </c>
    </row>
    <row r="169" spans="1:29" x14ac:dyDescent="0.25">
      <c r="F169" s="110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C169" s="22"/>
    </row>
    <row r="170" spans="1:29" x14ac:dyDescent="0.25">
      <c r="A170" s="14" t="s">
        <v>788</v>
      </c>
      <c r="C170" s="14" t="s">
        <v>821</v>
      </c>
      <c r="F170" s="110">
        <f>F159+F168</f>
        <v>0</v>
      </c>
      <c r="G170" s="27"/>
      <c r="H170" s="27">
        <f>H159+H168</f>
        <v>0</v>
      </c>
      <c r="I170" s="27">
        <f>I159+I168</f>
        <v>0</v>
      </c>
      <c r="J170" s="27"/>
      <c r="K170" s="27">
        <f>K159+K168</f>
        <v>0</v>
      </c>
      <c r="L170" s="27"/>
      <c r="M170" s="27">
        <f>M159+M168</f>
        <v>0</v>
      </c>
      <c r="N170" s="27"/>
      <c r="O170" s="27">
        <f>O159+O168</f>
        <v>0</v>
      </c>
      <c r="P170" s="27">
        <f>P159+P168</f>
        <v>0</v>
      </c>
      <c r="Q170" s="27"/>
      <c r="R170" s="27">
        <f>R159+R168</f>
        <v>0</v>
      </c>
      <c r="S170" s="27">
        <f>S159+S168</f>
        <v>0</v>
      </c>
      <c r="T170" s="27"/>
      <c r="U170" s="27">
        <f>U159+U168</f>
        <v>0</v>
      </c>
      <c r="V170" s="27"/>
      <c r="W170" s="27">
        <f>W159+W168</f>
        <v>0</v>
      </c>
      <c r="X170" s="27"/>
      <c r="Y170" s="27">
        <f>Y159+Y168</f>
        <v>0</v>
      </c>
      <c r="Z170" s="27"/>
      <c r="AA170" s="27">
        <f>AA159+AA168</f>
        <v>0</v>
      </c>
      <c r="AB170" s="27">
        <f>SUM(H170:AA170)</f>
        <v>0</v>
      </c>
      <c r="AC170" s="22" t="str">
        <f>IF(ABS(AB170-F170)&lt;1,"ok","err")</f>
        <v>ok</v>
      </c>
    </row>
    <row r="171" spans="1:29" x14ac:dyDescent="0.25">
      <c r="F171" s="110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C171" s="22"/>
    </row>
    <row r="172" spans="1:29" x14ac:dyDescent="0.25">
      <c r="A172" s="20" t="s">
        <v>136</v>
      </c>
      <c r="F172" s="110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C172" s="22"/>
    </row>
    <row r="173" spans="1:29" x14ac:dyDescent="0.25">
      <c r="F173" s="110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C173" s="22"/>
    </row>
    <row r="174" spans="1:29" x14ac:dyDescent="0.25">
      <c r="A174" s="13" t="s">
        <v>96</v>
      </c>
      <c r="H174" s="40"/>
      <c r="I174" s="40"/>
      <c r="Q174" s="14"/>
      <c r="AC174" s="22"/>
    </row>
    <row r="175" spans="1:29" x14ac:dyDescent="0.25">
      <c r="A175" s="14">
        <v>555</v>
      </c>
      <c r="B175" s="14" t="s">
        <v>379</v>
      </c>
      <c r="C175" s="14" t="s">
        <v>397</v>
      </c>
      <c r="D175" s="14" t="s">
        <v>97</v>
      </c>
      <c r="F175" s="119">
        <v>80627506.980000004</v>
      </c>
      <c r="G175" s="40"/>
      <c r="H175" s="40">
        <f>IF(VLOOKUP($D175,$C$5:$AA$496,6,)=0,0,((VLOOKUP($D175,$C$5:$AA$496,6,)/VLOOKUP($D175,$C$5:$AA$496,4,))*$F175))</f>
        <v>15694350.815808589</v>
      </c>
      <c r="I175" s="40">
        <f>IF(VLOOKUP($D175,$C$5:$AA$496,7,)=0,0,((VLOOKUP($D175,$C$5:$AA$496,7,)/VLOOKUP($D175,$C$5:$AA$496,4,))*$F175))</f>
        <v>64933156.164191425</v>
      </c>
      <c r="J175" s="27"/>
      <c r="K175" s="27">
        <f>IF(VLOOKUP($D175,$C$5:$AA$496,9,)=0,0,((VLOOKUP($D175,$C$5:$AA$496,9,)/VLOOKUP($D175,$C$5:$AA$496,4,))*$F175))</f>
        <v>0</v>
      </c>
      <c r="L175" s="27"/>
      <c r="M175" s="27">
        <f>IF(VLOOKUP($D175,$C$5:$AA$496,11,)=0,0,((VLOOKUP($D175,$C$5:$AA$496,11,)/VLOOKUP($D175,$C$5:$AA$496,4,))*$F175))</f>
        <v>0</v>
      </c>
      <c r="N175" s="27"/>
      <c r="O175" s="27">
        <f>IF(VLOOKUP($D175,$C$5:$AA$496,13,)=0,0,((VLOOKUP($D175,$C$5:$AA$496,13,)/VLOOKUP($D175,$C$5:$AA$496,4,))*$F175))</f>
        <v>0</v>
      </c>
      <c r="P175" s="27">
        <f>IF(VLOOKUP($D175,$C$5:$AA$496,14,)=0,0,((VLOOKUP($D175,$C$5:$AA$496,14,)/VLOOKUP($D175,$C$5:$AA$496,4,))*$F175))</f>
        <v>0</v>
      </c>
      <c r="Q175" s="27"/>
      <c r="R175" s="27">
        <f>IF(VLOOKUP($D175,$C$5:$AA$496,16,)=0,0,((VLOOKUP($D175,$C$5:$AA$496,16,)/VLOOKUP($D175,$C$5:$AA$496,4,))*$F175))</f>
        <v>0</v>
      </c>
      <c r="S175" s="27">
        <f>IF(VLOOKUP($D175,$C$5:$AA$496,17,)=0,0,((VLOOKUP($D175,$C$5:$AA$496,17,)/VLOOKUP($D175,$C$5:$AA$496,4,))*$F175))</f>
        <v>0</v>
      </c>
      <c r="T175" s="27"/>
      <c r="U175" s="27">
        <f>IF(VLOOKUP($D175,$C$5:$AA$496,19,)=0,0,((VLOOKUP($D175,$C$5:$AA$496,19,)/VLOOKUP($D175,$C$5:$AA$496,4,))*$F175))</f>
        <v>0</v>
      </c>
      <c r="V175" s="27"/>
      <c r="W175" s="27">
        <f>IF(VLOOKUP($D175,$C$5:$AA$496,21,)=0,0,((VLOOKUP($D175,$C$5:$AA$496,21,)/VLOOKUP($D175,$C$5:$AA$496,4,))*$F175))</f>
        <v>0</v>
      </c>
      <c r="X175" s="27"/>
      <c r="Y175" s="27">
        <f>IF(VLOOKUP($D175,$C$5:$AA$496,23,)=0,0,((VLOOKUP($D175,$C$5:$AA$496,23,)/VLOOKUP($D175,$C$5:$AA$496,4,))*$F175))</f>
        <v>0</v>
      </c>
      <c r="Z175" s="27"/>
      <c r="AA175" s="27">
        <f>IF(VLOOKUP($D175,$C$5:$AA$496,25,)=0,0,((VLOOKUP($D175,$C$5:$AA$496,25,)/VLOOKUP($D175,$C$5:$AA$496,4,))*$F175))</f>
        <v>0</v>
      </c>
      <c r="AB175" s="27">
        <f>SUM(H175:AA175)</f>
        <v>80627506.980000019</v>
      </c>
      <c r="AC175" s="22" t="str">
        <f>IF(ABS(AB175-F175)&lt;1,"ok","err")</f>
        <v>ok</v>
      </c>
    </row>
    <row r="176" spans="1:29" x14ac:dyDescent="0.25">
      <c r="A176" s="14">
        <v>556</v>
      </c>
      <c r="B176" s="14" t="s">
        <v>900</v>
      </c>
      <c r="C176" s="14" t="s">
        <v>901</v>
      </c>
      <c r="D176" s="14" t="s">
        <v>97</v>
      </c>
      <c r="F176" s="110">
        <v>0</v>
      </c>
      <c r="G176" s="27"/>
      <c r="H176" s="27">
        <f>IF(VLOOKUP($D176,$C$5:$AA$496,6,)=0,0,((VLOOKUP($D176,$C$5:$AA$496,6,)/VLOOKUP($D176,$C$5:$AA$496,4,))*$F176))</f>
        <v>0</v>
      </c>
      <c r="I176" s="27">
        <f>IF(VLOOKUP($D176,$C$5:$AA$496,7,)=0,0,((VLOOKUP($D176,$C$5:$AA$496,7,)/VLOOKUP($D176,$C$5:$AA$496,4,))*$F176))</f>
        <v>0</v>
      </c>
      <c r="J176" s="27"/>
      <c r="K176" s="27">
        <f>IF(VLOOKUP($D176,$C$5:$AA$496,9,)=0,0,((VLOOKUP($D176,$C$5:$AA$496,9,)/VLOOKUP($D176,$C$5:$AA$496,4,))*$F176))</f>
        <v>0</v>
      </c>
      <c r="L176" s="27"/>
      <c r="M176" s="27">
        <f>IF(VLOOKUP($D176,$C$5:$AA$496,11,)=0,0,((VLOOKUP($D176,$C$5:$AA$496,11,)/VLOOKUP($D176,$C$5:$AA$496,4,))*$F176))</f>
        <v>0</v>
      </c>
      <c r="N176" s="27"/>
      <c r="O176" s="27">
        <f>IF(VLOOKUP($D176,$C$5:$AA$496,13,)=0,0,((VLOOKUP($D176,$C$5:$AA$496,13,)/VLOOKUP($D176,$C$5:$AA$496,4,))*$F176))</f>
        <v>0</v>
      </c>
      <c r="P176" s="27">
        <f>IF(VLOOKUP($D176,$C$5:$AA$496,14,)=0,0,((VLOOKUP($D176,$C$5:$AA$496,14,)/VLOOKUP($D176,$C$5:$AA$496,4,))*$F176))</f>
        <v>0</v>
      </c>
      <c r="Q176" s="27"/>
      <c r="R176" s="27">
        <f>IF(VLOOKUP($D176,$C$5:$AA$496,16,)=0,0,((VLOOKUP($D176,$C$5:$AA$496,16,)/VLOOKUP($D176,$C$5:$AA$496,4,))*$F176))</f>
        <v>0</v>
      </c>
      <c r="S176" s="27">
        <f>IF(VLOOKUP($D176,$C$5:$AA$496,17,)=0,0,((VLOOKUP($D176,$C$5:$AA$496,17,)/VLOOKUP($D176,$C$5:$AA$496,4,))*$F176))</f>
        <v>0</v>
      </c>
      <c r="T176" s="27"/>
      <c r="U176" s="27">
        <f>IF(VLOOKUP($D176,$C$5:$AA$496,19,)=0,0,((VLOOKUP($D176,$C$5:$AA$496,19,)/VLOOKUP($D176,$C$5:$AA$496,4,))*$F176))</f>
        <v>0</v>
      </c>
      <c r="V176" s="27"/>
      <c r="W176" s="27">
        <f>IF(VLOOKUP($D176,$C$5:$AA$496,21,)=0,0,((VLOOKUP($D176,$C$5:$AA$496,21,)/VLOOKUP($D176,$C$5:$AA$496,4,))*$F176))</f>
        <v>0</v>
      </c>
      <c r="X176" s="27"/>
      <c r="Y176" s="27">
        <f>IF(VLOOKUP($D176,$C$5:$AA$496,23,)=0,0,((VLOOKUP($D176,$C$5:$AA$496,23,)/VLOOKUP($D176,$C$5:$AA$496,4,))*$F176))</f>
        <v>0</v>
      </c>
      <c r="Z176" s="27"/>
      <c r="AA176" s="27">
        <f>IF(VLOOKUP($D176,$C$5:$AA$496,25,)=0,0,((VLOOKUP($D176,$C$5:$AA$496,25,)/VLOOKUP($D176,$C$5:$AA$496,4,))*$F176))</f>
        <v>0</v>
      </c>
      <c r="AB176" s="27">
        <f>SUM(H176:AA176)</f>
        <v>0</v>
      </c>
      <c r="AC176" s="22" t="str">
        <f>IF(ABS(AB176-F176)&lt;1,"ok","err")</f>
        <v>ok</v>
      </c>
    </row>
    <row r="177" spans="1:29" x14ac:dyDescent="0.25">
      <c r="A177" s="14">
        <v>557</v>
      </c>
      <c r="B177" s="14" t="s">
        <v>398</v>
      </c>
      <c r="C177" s="14" t="s">
        <v>400</v>
      </c>
      <c r="D177" s="14" t="s">
        <v>97</v>
      </c>
      <c r="F177" s="110">
        <v>0</v>
      </c>
      <c r="G177" s="27"/>
      <c r="H177" s="27">
        <f>IF(VLOOKUP($D177,$C$5:$AA$496,6,)=0,0,((VLOOKUP($D177,$C$5:$AA$496,6,)/VLOOKUP($D177,$C$5:$AA$496,4,))*$F177))</f>
        <v>0</v>
      </c>
      <c r="I177" s="27">
        <f>IF(VLOOKUP($D177,$C$5:$AA$496,7,)=0,0,((VLOOKUP($D177,$C$5:$AA$496,7,)/VLOOKUP($D177,$C$5:$AA$496,4,))*$F177))</f>
        <v>0</v>
      </c>
      <c r="J177" s="27"/>
      <c r="K177" s="27">
        <f>IF(VLOOKUP($D177,$C$5:$AA$496,9,)=0,0,((VLOOKUP($D177,$C$5:$AA$496,9,)/VLOOKUP($D177,$C$5:$AA$496,4,))*$F177))</f>
        <v>0</v>
      </c>
      <c r="L177" s="27"/>
      <c r="M177" s="27">
        <f>IF(VLOOKUP($D177,$C$5:$AA$496,11,)=0,0,((VLOOKUP($D177,$C$5:$AA$496,11,)/VLOOKUP($D177,$C$5:$AA$496,4,))*$F177))</f>
        <v>0</v>
      </c>
      <c r="N177" s="27"/>
      <c r="O177" s="27">
        <f>IF(VLOOKUP($D177,$C$5:$AA$496,13,)=0,0,((VLOOKUP($D177,$C$5:$AA$496,13,)/VLOOKUP($D177,$C$5:$AA$496,4,))*$F177))</f>
        <v>0</v>
      </c>
      <c r="P177" s="27">
        <f>IF(VLOOKUP($D177,$C$5:$AA$496,14,)=0,0,((VLOOKUP($D177,$C$5:$AA$496,14,)/VLOOKUP($D177,$C$5:$AA$496,4,))*$F177))</f>
        <v>0</v>
      </c>
      <c r="Q177" s="27"/>
      <c r="R177" s="27">
        <f>IF(VLOOKUP($D177,$C$5:$AA$496,16,)=0,0,((VLOOKUP($D177,$C$5:$AA$496,16,)/VLOOKUP($D177,$C$5:$AA$496,4,))*$F177))</f>
        <v>0</v>
      </c>
      <c r="S177" s="27">
        <f>IF(VLOOKUP($D177,$C$5:$AA$496,17,)=0,0,((VLOOKUP($D177,$C$5:$AA$496,17,)/VLOOKUP($D177,$C$5:$AA$496,4,))*$F177))</f>
        <v>0</v>
      </c>
      <c r="T177" s="27"/>
      <c r="U177" s="27">
        <f>IF(VLOOKUP($D177,$C$5:$AA$496,19,)=0,0,((VLOOKUP($D177,$C$5:$AA$496,19,)/VLOOKUP($D177,$C$5:$AA$496,4,))*$F177))</f>
        <v>0</v>
      </c>
      <c r="V177" s="27"/>
      <c r="W177" s="27">
        <f>IF(VLOOKUP($D177,$C$5:$AA$496,21,)=0,0,((VLOOKUP($D177,$C$5:$AA$496,21,)/VLOOKUP($D177,$C$5:$AA$496,4,))*$F177))</f>
        <v>0</v>
      </c>
      <c r="X177" s="27"/>
      <c r="Y177" s="27">
        <f>IF(VLOOKUP($D177,$C$5:$AA$496,23,)=0,0,((VLOOKUP($D177,$C$5:$AA$496,23,)/VLOOKUP($D177,$C$5:$AA$496,4,))*$F177))</f>
        <v>0</v>
      </c>
      <c r="Z177" s="27"/>
      <c r="AA177" s="27">
        <f>IF(VLOOKUP($D177,$C$5:$AA$496,25,)=0,0,((VLOOKUP($D177,$C$5:$AA$496,25,)/VLOOKUP($D177,$C$5:$AA$496,4,))*$F177))</f>
        <v>0</v>
      </c>
      <c r="AB177" s="27">
        <f>SUM(H177:AA177)</f>
        <v>0</v>
      </c>
      <c r="AC177" s="22" t="str">
        <f>IF(ABS(AB177-F177)&lt;1,"ok","err")</f>
        <v>ok</v>
      </c>
    </row>
    <row r="178" spans="1:29" x14ac:dyDescent="0.25">
      <c r="A178" s="14">
        <v>559</v>
      </c>
      <c r="B178" s="14" t="s">
        <v>828</v>
      </c>
      <c r="C178" s="14" t="s">
        <v>829</v>
      </c>
      <c r="D178" s="14" t="s">
        <v>97</v>
      </c>
      <c r="F178" s="110">
        <v>0</v>
      </c>
      <c r="G178" s="27"/>
      <c r="H178" s="27">
        <f>IF(VLOOKUP($D178,$C$5:$AA$496,6,)=0,0,((VLOOKUP($D178,$C$5:$AA$496,6,)/VLOOKUP($D178,$C$5:$AA$496,4,))*$F178))</f>
        <v>0</v>
      </c>
      <c r="I178" s="27">
        <f>IF(VLOOKUP($D178,$C$5:$AA$496,7,)=0,0,((VLOOKUP($D178,$C$5:$AA$496,7,)/VLOOKUP($D178,$C$5:$AA$496,4,))*$F178))</f>
        <v>0</v>
      </c>
      <c r="J178" s="27"/>
      <c r="K178" s="27">
        <f>IF(VLOOKUP($D178,$C$5:$AA$496,9,)=0,0,((VLOOKUP($D178,$C$5:$AA$496,9,)/VLOOKUP($D178,$C$5:$AA$496,4,))*$F178))</f>
        <v>0</v>
      </c>
      <c r="L178" s="27"/>
      <c r="M178" s="27">
        <f>IF(VLOOKUP($D178,$C$5:$AA$496,11,)=0,0,((VLOOKUP($D178,$C$5:$AA$496,11,)/VLOOKUP($D178,$C$5:$AA$496,4,))*$F178))</f>
        <v>0</v>
      </c>
      <c r="N178" s="27"/>
      <c r="O178" s="27">
        <f>IF(VLOOKUP($D178,$C$5:$AA$496,13,)=0,0,((VLOOKUP($D178,$C$5:$AA$496,13,)/VLOOKUP($D178,$C$5:$AA$496,4,))*$F178))</f>
        <v>0</v>
      </c>
      <c r="P178" s="27">
        <f>IF(VLOOKUP($D178,$C$5:$AA$496,14,)=0,0,((VLOOKUP($D178,$C$5:$AA$496,14,)/VLOOKUP($D178,$C$5:$AA$496,4,))*$F178))</f>
        <v>0</v>
      </c>
      <c r="Q178" s="27"/>
      <c r="R178" s="27">
        <f>IF(VLOOKUP($D178,$C$5:$AA$496,16,)=0,0,((VLOOKUP($D178,$C$5:$AA$496,16,)/VLOOKUP($D178,$C$5:$AA$496,4,))*$F178))</f>
        <v>0</v>
      </c>
      <c r="S178" s="27">
        <f>IF(VLOOKUP($D178,$C$5:$AA$496,17,)=0,0,((VLOOKUP($D178,$C$5:$AA$496,17,)/VLOOKUP($D178,$C$5:$AA$496,4,))*$F178))</f>
        <v>0</v>
      </c>
      <c r="T178" s="27"/>
      <c r="U178" s="27">
        <f>IF(VLOOKUP($D178,$C$5:$AA$496,19,)=0,0,((VLOOKUP($D178,$C$5:$AA$496,19,)/VLOOKUP($D178,$C$5:$AA$496,4,))*$F178))</f>
        <v>0</v>
      </c>
      <c r="V178" s="27"/>
      <c r="W178" s="27">
        <f>IF(VLOOKUP($D178,$C$5:$AA$496,21,)=0,0,((VLOOKUP($D178,$C$5:$AA$496,21,)/VLOOKUP($D178,$C$5:$AA$496,4,))*$F178))</f>
        <v>0</v>
      </c>
      <c r="X178" s="27"/>
      <c r="Y178" s="27">
        <f>IF(VLOOKUP($D178,$C$5:$AA$496,23,)=0,0,((VLOOKUP($D178,$C$5:$AA$496,23,)/VLOOKUP($D178,$C$5:$AA$496,4,))*$F178))</f>
        <v>0</v>
      </c>
      <c r="Z178" s="27"/>
      <c r="AA178" s="27">
        <f>IF(VLOOKUP($D178,$C$5:$AA$496,25,)=0,0,((VLOOKUP($D178,$C$5:$AA$496,25,)/VLOOKUP($D178,$C$5:$AA$496,4,))*$F178))</f>
        <v>0</v>
      </c>
      <c r="AB178" s="27">
        <f>SUM(H178:AA178)</f>
        <v>0</v>
      </c>
      <c r="AC178" s="22" t="str">
        <f>IF(ABS(AB178-F178)&lt;1,"ok","err")</f>
        <v>ok</v>
      </c>
    </row>
    <row r="179" spans="1:29" x14ac:dyDescent="0.25">
      <c r="F179" s="119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27"/>
      <c r="AC179" s="22"/>
    </row>
    <row r="180" spans="1:29" x14ac:dyDescent="0.25">
      <c r="A180" s="14" t="s">
        <v>399</v>
      </c>
      <c r="C180" s="14" t="s">
        <v>401</v>
      </c>
      <c r="F180" s="119">
        <f>SUM(F175:F179)</f>
        <v>80627506.980000004</v>
      </c>
      <c r="G180" s="40"/>
      <c r="H180" s="40">
        <f>SUM(H175:H179)</f>
        <v>15694350.815808589</v>
      </c>
      <c r="I180" s="40">
        <f t="shared" ref="I180:AA180" si="94">SUM(I175:I179)</f>
        <v>64933156.164191425</v>
      </c>
      <c r="J180" s="40"/>
      <c r="K180" s="40">
        <f t="shared" si="94"/>
        <v>0</v>
      </c>
      <c r="L180" s="40"/>
      <c r="M180" s="40">
        <f t="shared" si="94"/>
        <v>0</v>
      </c>
      <c r="N180" s="40"/>
      <c r="O180" s="40">
        <f t="shared" si="94"/>
        <v>0</v>
      </c>
      <c r="P180" s="40">
        <f t="shared" si="94"/>
        <v>0</v>
      </c>
      <c r="Q180" s="40"/>
      <c r="R180" s="40">
        <f t="shared" si="94"/>
        <v>0</v>
      </c>
      <c r="S180" s="40">
        <f t="shared" si="94"/>
        <v>0</v>
      </c>
      <c r="T180" s="40"/>
      <c r="U180" s="40">
        <f t="shared" si="94"/>
        <v>0</v>
      </c>
      <c r="V180" s="40"/>
      <c r="W180" s="40">
        <f t="shared" si="94"/>
        <v>0</v>
      </c>
      <c r="X180" s="40"/>
      <c r="Y180" s="40">
        <f t="shared" si="94"/>
        <v>0</v>
      </c>
      <c r="Z180" s="40"/>
      <c r="AA180" s="40">
        <f t="shared" si="94"/>
        <v>0</v>
      </c>
      <c r="AB180" s="27">
        <f>SUM(H180:AA180)</f>
        <v>80627506.980000019</v>
      </c>
      <c r="AC180" s="22" t="str">
        <f>IF(ABS(AB180-F180)&lt;1,"ok","err")</f>
        <v>ok</v>
      </c>
    </row>
    <row r="181" spans="1:29" x14ac:dyDescent="0.25">
      <c r="F181" s="119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27"/>
      <c r="AC181" s="22"/>
    </row>
    <row r="182" spans="1:29" x14ac:dyDescent="0.25">
      <c r="A182" s="13" t="s">
        <v>371</v>
      </c>
      <c r="F182" s="11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27"/>
      <c r="AC182" s="22"/>
    </row>
    <row r="183" spans="1:29" x14ac:dyDescent="0.25">
      <c r="A183" s="14">
        <v>560</v>
      </c>
      <c r="B183" s="14" t="s">
        <v>374</v>
      </c>
      <c r="C183" s="14" t="s">
        <v>403</v>
      </c>
      <c r="D183" s="14" t="s">
        <v>390</v>
      </c>
      <c r="F183" s="119">
        <v>0</v>
      </c>
      <c r="G183" s="40"/>
      <c r="H183" s="27">
        <f t="shared" ref="H183:H197" si="95">IF((VLOOKUP($D183,$C$5:$AA$496,6,)=0),0,((VLOOKUP($D183,$C$5:$AA$496,6,)/VLOOKUP($D183,$C$5:$AA$496,4,))*$F183))</f>
        <v>0</v>
      </c>
      <c r="I183" s="27">
        <f t="shared" ref="I183:I197" si="96">IF((VLOOKUP($D183,$C$5:$AA$496,7,)=0),0,((VLOOKUP($D183,$C$5:$AA$496,7,)/VLOOKUP($D183,$C$5:$AA$496,4,))*$F183))</f>
        <v>0</v>
      </c>
      <c r="J183" s="27"/>
      <c r="K183" s="27">
        <f t="shared" ref="K183:K197" si="97">IF((VLOOKUP($D183,$C$5:$AA$496,9,)=0),0,((VLOOKUP($D183,$C$5:$AA$496,9,)/VLOOKUP($D183,$C$5:$AA$496,4,))*$F183))</f>
        <v>0</v>
      </c>
      <c r="L183" s="27"/>
      <c r="M183" s="27">
        <f t="shared" ref="M183:M197" si="98">IF((VLOOKUP($D183,$C$5:$AA$496,11,)=0),0,((VLOOKUP($D183,$C$5:$AA$496,11,)/VLOOKUP($D183,$C$5:$AA$496,4,))*$F183))</f>
        <v>0</v>
      </c>
      <c r="N183" s="27"/>
      <c r="O183" s="27">
        <f t="shared" ref="O183:O197" si="99">IF((VLOOKUP($D183,$C$5:$AA$496,13,)=0),0,((VLOOKUP($D183,$C$5:$AA$496,13,)/VLOOKUP($D183,$C$5:$AA$496,4,))*$F183))</f>
        <v>0</v>
      </c>
      <c r="P183" s="27">
        <f t="shared" ref="P183:P197" si="100">IF((VLOOKUP($D183,$C$5:$AA$496,14,)=0),0,((VLOOKUP($D183,$C$5:$AA$496,14,)/VLOOKUP($D183,$C$5:$AA$496,4,))*$F183))</f>
        <v>0</v>
      </c>
      <c r="Q183" s="27"/>
      <c r="R183" s="27">
        <f t="shared" ref="R183:R197" si="101">IF((VLOOKUP($D183,$C$5:$AA$496,16,)=0),0,((VLOOKUP($D183,$C$5:$AA$496,16,)/VLOOKUP($D183,$C$5:$AA$496,4,))*$F183))</f>
        <v>0</v>
      </c>
      <c r="S183" s="27">
        <f t="shared" ref="S183:S197" si="102">IF((VLOOKUP($D183,$C$5:$AA$496,17,)=0),0,((VLOOKUP($D183,$C$5:$AA$496,17,)/VLOOKUP($D183,$C$5:$AA$496,4,))*$F183))</f>
        <v>0</v>
      </c>
      <c r="T183" s="27"/>
      <c r="U183" s="27">
        <f t="shared" ref="U183:U197" si="103">IF((VLOOKUP($D183,$C$5:$AA$496,19,)=0),0,((VLOOKUP($D183,$C$5:$AA$496,19,)/VLOOKUP($D183,$C$5:$AA$496,4,))*$F183))</f>
        <v>0</v>
      </c>
      <c r="V183" s="27"/>
      <c r="W183" s="27">
        <f t="shared" ref="W183:W197" si="104">IF((VLOOKUP($D183,$C$5:$AA$496,21,)=0),0,((VLOOKUP($D183,$C$5:$AA$496,21,)/VLOOKUP($D183,$C$5:$AA$496,4,))*$F183))</f>
        <v>0</v>
      </c>
      <c r="X183" s="27"/>
      <c r="Y183" s="27">
        <f t="shared" ref="Y183:Y197" si="105">IF((VLOOKUP($D183,$C$5:$AA$496,23,)=0),0,((VLOOKUP($D183,$C$5:$AA$496,23,)/VLOOKUP($D183,$C$5:$AA$496,4,))*$F183))</f>
        <v>0</v>
      </c>
      <c r="Z183" s="27"/>
      <c r="AA183" s="27">
        <f t="shared" ref="AA183:AA197" si="106">IF((VLOOKUP($D183,$C$5:$AA$496,25,)=0),0,((VLOOKUP($D183,$C$5:$AA$496,25,)/VLOOKUP($D183,$C$5:$AA$496,4,))*$F183))</f>
        <v>0</v>
      </c>
      <c r="AB183" s="27">
        <f t="shared" ref="AB183:AB197" si="107">SUM(H183:AA183)</f>
        <v>0</v>
      </c>
      <c r="AC183" s="22" t="str">
        <f t="shared" ref="AC183:AC197" si="108">IF(ABS(AB183-F183)&lt;1,"ok","err")</f>
        <v>ok</v>
      </c>
    </row>
    <row r="184" spans="1:29" x14ac:dyDescent="0.25">
      <c r="A184" s="14">
        <v>561</v>
      </c>
      <c r="B184" s="14" t="s">
        <v>101</v>
      </c>
      <c r="C184" s="14" t="s">
        <v>404</v>
      </c>
      <c r="D184" s="14" t="s">
        <v>390</v>
      </c>
      <c r="F184" s="110">
        <v>0</v>
      </c>
      <c r="G184" s="27"/>
      <c r="H184" s="27">
        <f t="shared" si="95"/>
        <v>0</v>
      </c>
      <c r="I184" s="27">
        <f t="shared" si="96"/>
        <v>0</v>
      </c>
      <c r="J184" s="27"/>
      <c r="K184" s="27">
        <f t="shared" si="97"/>
        <v>0</v>
      </c>
      <c r="L184" s="27"/>
      <c r="M184" s="27">
        <f t="shared" si="98"/>
        <v>0</v>
      </c>
      <c r="N184" s="27"/>
      <c r="O184" s="27">
        <f t="shared" si="99"/>
        <v>0</v>
      </c>
      <c r="P184" s="27">
        <f t="shared" si="100"/>
        <v>0</v>
      </c>
      <c r="Q184" s="27"/>
      <c r="R184" s="27">
        <f t="shared" si="101"/>
        <v>0</v>
      </c>
      <c r="S184" s="27">
        <f t="shared" si="102"/>
        <v>0</v>
      </c>
      <c r="T184" s="27"/>
      <c r="U184" s="27">
        <f t="shared" si="103"/>
        <v>0</v>
      </c>
      <c r="V184" s="27"/>
      <c r="W184" s="27">
        <f t="shared" si="104"/>
        <v>0</v>
      </c>
      <c r="X184" s="27"/>
      <c r="Y184" s="27">
        <f t="shared" si="105"/>
        <v>0</v>
      </c>
      <c r="Z184" s="27"/>
      <c r="AA184" s="27">
        <f t="shared" si="106"/>
        <v>0</v>
      </c>
      <c r="AB184" s="27">
        <f t="shared" si="107"/>
        <v>0</v>
      </c>
      <c r="AC184" s="22" t="str">
        <f t="shared" si="108"/>
        <v>ok</v>
      </c>
    </row>
    <row r="185" spans="1:29" x14ac:dyDescent="0.25">
      <c r="A185" s="14">
        <v>562</v>
      </c>
      <c r="B185" s="14" t="s">
        <v>372</v>
      </c>
      <c r="C185" s="14" t="s">
        <v>405</v>
      </c>
      <c r="D185" s="14" t="s">
        <v>390</v>
      </c>
      <c r="F185" s="110">
        <v>0</v>
      </c>
      <c r="G185" s="27"/>
      <c r="H185" s="27">
        <f t="shared" si="95"/>
        <v>0</v>
      </c>
      <c r="I185" s="27">
        <f t="shared" si="96"/>
        <v>0</v>
      </c>
      <c r="J185" s="27"/>
      <c r="K185" s="27">
        <f t="shared" si="97"/>
        <v>0</v>
      </c>
      <c r="L185" s="27"/>
      <c r="M185" s="27">
        <f t="shared" si="98"/>
        <v>0</v>
      </c>
      <c r="N185" s="27"/>
      <c r="O185" s="27">
        <f t="shared" si="99"/>
        <v>0</v>
      </c>
      <c r="P185" s="27">
        <f t="shared" si="100"/>
        <v>0</v>
      </c>
      <c r="Q185" s="27"/>
      <c r="R185" s="27">
        <f t="shared" si="101"/>
        <v>0</v>
      </c>
      <c r="S185" s="27">
        <f t="shared" si="102"/>
        <v>0</v>
      </c>
      <c r="T185" s="27"/>
      <c r="U185" s="27">
        <f t="shared" si="103"/>
        <v>0</v>
      </c>
      <c r="V185" s="27"/>
      <c r="W185" s="27">
        <f t="shared" si="104"/>
        <v>0</v>
      </c>
      <c r="X185" s="27"/>
      <c r="Y185" s="27">
        <f t="shared" si="105"/>
        <v>0</v>
      </c>
      <c r="Z185" s="27"/>
      <c r="AA185" s="27">
        <f t="shared" si="106"/>
        <v>0</v>
      </c>
      <c r="AB185" s="27">
        <f t="shared" si="107"/>
        <v>0</v>
      </c>
      <c r="AC185" s="22" t="str">
        <f t="shared" si="108"/>
        <v>ok</v>
      </c>
    </row>
    <row r="186" spans="1:29" x14ac:dyDescent="0.25">
      <c r="A186" s="14">
        <v>563</v>
      </c>
      <c r="B186" s="14" t="s">
        <v>103</v>
      </c>
      <c r="C186" s="14" t="s">
        <v>406</v>
      </c>
      <c r="D186" s="14" t="s">
        <v>390</v>
      </c>
      <c r="F186" s="110">
        <v>0</v>
      </c>
      <c r="G186" s="27"/>
      <c r="H186" s="27">
        <f t="shared" si="95"/>
        <v>0</v>
      </c>
      <c r="I186" s="27">
        <f t="shared" si="96"/>
        <v>0</v>
      </c>
      <c r="J186" s="27"/>
      <c r="K186" s="27">
        <f t="shared" si="97"/>
        <v>0</v>
      </c>
      <c r="L186" s="27"/>
      <c r="M186" s="27">
        <f t="shared" si="98"/>
        <v>0</v>
      </c>
      <c r="N186" s="27"/>
      <c r="O186" s="27">
        <f t="shared" si="99"/>
        <v>0</v>
      </c>
      <c r="P186" s="27">
        <f t="shared" si="100"/>
        <v>0</v>
      </c>
      <c r="Q186" s="27"/>
      <c r="R186" s="27">
        <f t="shared" si="101"/>
        <v>0</v>
      </c>
      <c r="S186" s="27">
        <f t="shared" si="102"/>
        <v>0</v>
      </c>
      <c r="T186" s="27"/>
      <c r="U186" s="27">
        <f t="shared" si="103"/>
        <v>0</v>
      </c>
      <c r="V186" s="27"/>
      <c r="W186" s="27">
        <f t="shared" si="104"/>
        <v>0</v>
      </c>
      <c r="X186" s="27"/>
      <c r="Y186" s="27">
        <f t="shared" si="105"/>
        <v>0</v>
      </c>
      <c r="Z186" s="27"/>
      <c r="AA186" s="27">
        <f t="shared" si="106"/>
        <v>0</v>
      </c>
      <c r="AB186" s="27">
        <f t="shared" si="107"/>
        <v>0</v>
      </c>
      <c r="AC186" s="22" t="str">
        <f t="shared" si="108"/>
        <v>ok</v>
      </c>
    </row>
    <row r="187" spans="1:29" x14ac:dyDescent="0.25">
      <c r="A187" s="14">
        <v>564</v>
      </c>
      <c r="B187" s="14" t="s">
        <v>105</v>
      </c>
      <c r="C187" s="14" t="s">
        <v>903</v>
      </c>
      <c r="D187" s="14" t="s">
        <v>390</v>
      </c>
      <c r="F187" s="110">
        <v>0</v>
      </c>
      <c r="G187" s="27"/>
      <c r="H187" s="27">
        <f t="shared" si="95"/>
        <v>0</v>
      </c>
      <c r="I187" s="27">
        <f t="shared" si="96"/>
        <v>0</v>
      </c>
      <c r="J187" s="27"/>
      <c r="K187" s="27">
        <f t="shared" si="97"/>
        <v>0</v>
      </c>
      <c r="L187" s="27"/>
      <c r="M187" s="27">
        <f t="shared" si="98"/>
        <v>0</v>
      </c>
      <c r="N187" s="27"/>
      <c r="O187" s="27">
        <f t="shared" si="99"/>
        <v>0</v>
      </c>
      <c r="P187" s="27">
        <f t="shared" si="100"/>
        <v>0</v>
      </c>
      <c r="Q187" s="27"/>
      <c r="R187" s="27">
        <f t="shared" si="101"/>
        <v>0</v>
      </c>
      <c r="S187" s="27">
        <f t="shared" si="102"/>
        <v>0</v>
      </c>
      <c r="T187" s="27"/>
      <c r="U187" s="27">
        <f t="shared" si="103"/>
        <v>0</v>
      </c>
      <c r="V187" s="27"/>
      <c r="W187" s="27">
        <f t="shared" si="104"/>
        <v>0</v>
      </c>
      <c r="X187" s="27"/>
      <c r="Y187" s="27">
        <f t="shared" si="105"/>
        <v>0</v>
      </c>
      <c r="Z187" s="27"/>
      <c r="AA187" s="27">
        <f t="shared" si="106"/>
        <v>0</v>
      </c>
      <c r="AB187" s="27">
        <f>SUM(H187:AA187)</f>
        <v>0</v>
      </c>
      <c r="AC187" s="22" t="str">
        <f>IF(ABS(AB187-F187)&lt;1,"ok","err")</f>
        <v>ok</v>
      </c>
    </row>
    <row r="188" spans="1:29" x14ac:dyDescent="0.25">
      <c r="A188" s="14">
        <v>565</v>
      </c>
      <c r="B188" s="14" t="s">
        <v>902</v>
      </c>
      <c r="C188" s="14" t="s">
        <v>904</v>
      </c>
      <c r="D188" s="14" t="s">
        <v>390</v>
      </c>
      <c r="F188" s="110">
        <v>0</v>
      </c>
      <c r="G188" s="27"/>
      <c r="H188" s="27">
        <f t="shared" si="95"/>
        <v>0</v>
      </c>
      <c r="I188" s="27">
        <f t="shared" si="96"/>
        <v>0</v>
      </c>
      <c r="J188" s="27"/>
      <c r="K188" s="27">
        <f t="shared" si="97"/>
        <v>0</v>
      </c>
      <c r="L188" s="27"/>
      <c r="M188" s="27">
        <f t="shared" si="98"/>
        <v>0</v>
      </c>
      <c r="N188" s="27"/>
      <c r="O188" s="27">
        <f t="shared" si="99"/>
        <v>0</v>
      </c>
      <c r="P188" s="27">
        <f t="shared" si="100"/>
        <v>0</v>
      </c>
      <c r="Q188" s="27"/>
      <c r="R188" s="27">
        <f t="shared" si="101"/>
        <v>0</v>
      </c>
      <c r="S188" s="27">
        <f t="shared" si="102"/>
        <v>0</v>
      </c>
      <c r="T188" s="27"/>
      <c r="U188" s="27">
        <f t="shared" si="103"/>
        <v>0</v>
      </c>
      <c r="V188" s="27"/>
      <c r="W188" s="27">
        <f t="shared" si="104"/>
        <v>0</v>
      </c>
      <c r="X188" s="27"/>
      <c r="Y188" s="27">
        <f t="shared" si="105"/>
        <v>0</v>
      </c>
      <c r="Z188" s="27"/>
      <c r="AA188" s="27">
        <f t="shared" si="106"/>
        <v>0</v>
      </c>
      <c r="AB188" s="27">
        <f>SUM(H188:AA188)</f>
        <v>0</v>
      </c>
      <c r="AC188" s="22" t="str">
        <f>IF(ABS(AB188-F188)&lt;1,"ok","err")</f>
        <v>ok</v>
      </c>
    </row>
    <row r="189" spans="1:29" x14ac:dyDescent="0.25">
      <c r="A189" s="14">
        <v>566</v>
      </c>
      <c r="B189" s="14" t="s">
        <v>585</v>
      </c>
      <c r="C189" s="14" t="s">
        <v>586</v>
      </c>
      <c r="D189" s="14" t="s">
        <v>390</v>
      </c>
      <c r="F189" s="110">
        <v>0</v>
      </c>
      <c r="G189" s="27"/>
      <c r="H189" s="27">
        <f t="shared" si="95"/>
        <v>0</v>
      </c>
      <c r="I189" s="27">
        <f t="shared" si="96"/>
        <v>0</v>
      </c>
      <c r="J189" s="27"/>
      <c r="K189" s="27">
        <f t="shared" si="97"/>
        <v>0</v>
      </c>
      <c r="L189" s="27"/>
      <c r="M189" s="27">
        <f t="shared" si="98"/>
        <v>0</v>
      </c>
      <c r="N189" s="27"/>
      <c r="O189" s="27">
        <f t="shared" si="99"/>
        <v>0</v>
      </c>
      <c r="P189" s="27">
        <f t="shared" si="100"/>
        <v>0</v>
      </c>
      <c r="Q189" s="27"/>
      <c r="R189" s="27">
        <f t="shared" si="101"/>
        <v>0</v>
      </c>
      <c r="S189" s="27">
        <f t="shared" si="102"/>
        <v>0</v>
      </c>
      <c r="T189" s="27"/>
      <c r="U189" s="27">
        <f t="shared" si="103"/>
        <v>0</v>
      </c>
      <c r="V189" s="27"/>
      <c r="W189" s="27">
        <f t="shared" si="104"/>
        <v>0</v>
      </c>
      <c r="X189" s="27"/>
      <c r="Y189" s="27">
        <f t="shared" si="105"/>
        <v>0</v>
      </c>
      <c r="Z189" s="27"/>
      <c r="AA189" s="27">
        <f t="shared" si="106"/>
        <v>0</v>
      </c>
      <c r="AB189" s="27">
        <f>SUM(H189:AA189)</f>
        <v>0</v>
      </c>
      <c r="AC189" s="22" t="str">
        <f>IF(ABS(AB189-F189)&lt;1,"ok","err")</f>
        <v>ok</v>
      </c>
    </row>
    <row r="190" spans="1:29" x14ac:dyDescent="0.25">
      <c r="A190" s="14">
        <v>567</v>
      </c>
      <c r="B190" s="14" t="s">
        <v>115</v>
      </c>
      <c r="C190" s="14" t="s">
        <v>905</v>
      </c>
      <c r="D190" s="14" t="s">
        <v>390</v>
      </c>
      <c r="F190" s="110">
        <v>0</v>
      </c>
      <c r="G190" s="27"/>
      <c r="H190" s="27">
        <f t="shared" si="95"/>
        <v>0</v>
      </c>
      <c r="I190" s="27">
        <f t="shared" si="96"/>
        <v>0</v>
      </c>
      <c r="J190" s="27"/>
      <c r="K190" s="27">
        <f t="shared" si="97"/>
        <v>0</v>
      </c>
      <c r="L190" s="27"/>
      <c r="M190" s="27">
        <f t="shared" si="98"/>
        <v>0</v>
      </c>
      <c r="N190" s="27"/>
      <c r="O190" s="27">
        <f t="shared" si="99"/>
        <v>0</v>
      </c>
      <c r="P190" s="27">
        <f t="shared" si="100"/>
        <v>0</v>
      </c>
      <c r="Q190" s="27"/>
      <c r="R190" s="27">
        <f t="shared" si="101"/>
        <v>0</v>
      </c>
      <c r="S190" s="27">
        <f t="shared" si="102"/>
        <v>0</v>
      </c>
      <c r="T190" s="27"/>
      <c r="U190" s="27">
        <f t="shared" si="103"/>
        <v>0</v>
      </c>
      <c r="V190" s="27"/>
      <c r="W190" s="27">
        <f t="shared" si="104"/>
        <v>0</v>
      </c>
      <c r="X190" s="27"/>
      <c r="Y190" s="27">
        <f t="shared" si="105"/>
        <v>0</v>
      </c>
      <c r="Z190" s="27"/>
      <c r="AA190" s="27">
        <f t="shared" si="106"/>
        <v>0</v>
      </c>
      <c r="AB190" s="27">
        <f>SUM(H190:AA190)</f>
        <v>0</v>
      </c>
      <c r="AC190" s="22" t="str">
        <f>IF(ABS(AB190-F190)&lt;1,"ok","err")</f>
        <v>ok</v>
      </c>
    </row>
    <row r="191" spans="1:29" x14ac:dyDescent="0.25">
      <c r="A191" s="14">
        <v>568</v>
      </c>
      <c r="B191" s="14" t="s">
        <v>906</v>
      </c>
      <c r="C191" s="14" t="s">
        <v>407</v>
      </c>
      <c r="D191" s="14" t="s">
        <v>390</v>
      </c>
      <c r="F191" s="110">
        <v>0</v>
      </c>
      <c r="G191" s="27"/>
      <c r="H191" s="27">
        <f t="shared" si="95"/>
        <v>0</v>
      </c>
      <c r="I191" s="27">
        <f t="shared" si="96"/>
        <v>0</v>
      </c>
      <c r="J191" s="27"/>
      <c r="K191" s="27">
        <f t="shared" si="97"/>
        <v>0</v>
      </c>
      <c r="L191" s="27"/>
      <c r="M191" s="27">
        <f t="shared" si="98"/>
        <v>0</v>
      </c>
      <c r="N191" s="27"/>
      <c r="O191" s="27">
        <f t="shared" si="99"/>
        <v>0</v>
      </c>
      <c r="P191" s="27">
        <f t="shared" si="100"/>
        <v>0</v>
      </c>
      <c r="Q191" s="27"/>
      <c r="R191" s="27">
        <f t="shared" si="101"/>
        <v>0</v>
      </c>
      <c r="S191" s="27">
        <f t="shared" si="102"/>
        <v>0</v>
      </c>
      <c r="T191" s="27"/>
      <c r="U191" s="27">
        <f t="shared" si="103"/>
        <v>0</v>
      </c>
      <c r="V191" s="27"/>
      <c r="W191" s="27">
        <f t="shared" si="104"/>
        <v>0</v>
      </c>
      <c r="X191" s="27"/>
      <c r="Y191" s="27">
        <f t="shared" si="105"/>
        <v>0</v>
      </c>
      <c r="Z191" s="27"/>
      <c r="AA191" s="27">
        <f t="shared" si="106"/>
        <v>0</v>
      </c>
      <c r="AB191" s="27">
        <f>SUM(H191:AA191)</f>
        <v>0</v>
      </c>
      <c r="AC191" s="22" t="str">
        <f>IF(ABS(AB191-F191)&lt;1,"ok","err")</f>
        <v>ok</v>
      </c>
    </row>
    <row r="192" spans="1:29" x14ac:dyDescent="0.25">
      <c r="A192" s="14">
        <v>569</v>
      </c>
      <c r="B192" s="14" t="s">
        <v>799</v>
      </c>
      <c r="C192" s="14" t="s">
        <v>907</v>
      </c>
      <c r="D192" s="14" t="s">
        <v>390</v>
      </c>
      <c r="F192" s="110">
        <v>0</v>
      </c>
      <c r="G192" s="27"/>
      <c r="H192" s="27">
        <f t="shared" si="95"/>
        <v>0</v>
      </c>
      <c r="I192" s="27">
        <f t="shared" si="96"/>
        <v>0</v>
      </c>
      <c r="J192" s="27"/>
      <c r="K192" s="27">
        <f t="shared" si="97"/>
        <v>0</v>
      </c>
      <c r="L192" s="27"/>
      <c r="M192" s="27">
        <f t="shared" si="98"/>
        <v>0</v>
      </c>
      <c r="N192" s="27"/>
      <c r="O192" s="27">
        <f t="shared" si="99"/>
        <v>0</v>
      </c>
      <c r="P192" s="27">
        <f t="shared" si="100"/>
        <v>0</v>
      </c>
      <c r="Q192" s="27"/>
      <c r="R192" s="27">
        <f t="shared" si="101"/>
        <v>0</v>
      </c>
      <c r="S192" s="27">
        <f t="shared" si="102"/>
        <v>0</v>
      </c>
      <c r="T192" s="27"/>
      <c r="U192" s="27">
        <f t="shared" si="103"/>
        <v>0</v>
      </c>
      <c r="V192" s="27"/>
      <c r="W192" s="27">
        <f t="shared" si="104"/>
        <v>0</v>
      </c>
      <c r="X192" s="27"/>
      <c r="Y192" s="27">
        <f t="shared" si="105"/>
        <v>0</v>
      </c>
      <c r="Z192" s="27"/>
      <c r="AA192" s="27">
        <f t="shared" si="106"/>
        <v>0</v>
      </c>
      <c r="AB192" s="27">
        <f t="shared" si="107"/>
        <v>0</v>
      </c>
      <c r="AC192" s="22" t="str">
        <f t="shared" si="108"/>
        <v>ok</v>
      </c>
    </row>
    <row r="193" spans="1:29" x14ac:dyDescent="0.25">
      <c r="A193" s="14">
        <v>570</v>
      </c>
      <c r="B193" s="14" t="s">
        <v>375</v>
      </c>
      <c r="C193" s="14" t="s">
        <v>408</v>
      </c>
      <c r="D193" s="14" t="s">
        <v>390</v>
      </c>
      <c r="F193" s="110">
        <v>0</v>
      </c>
      <c r="G193" s="27"/>
      <c r="H193" s="27">
        <f t="shared" si="95"/>
        <v>0</v>
      </c>
      <c r="I193" s="27">
        <f t="shared" si="96"/>
        <v>0</v>
      </c>
      <c r="J193" s="27"/>
      <c r="K193" s="27">
        <f t="shared" si="97"/>
        <v>0</v>
      </c>
      <c r="L193" s="27"/>
      <c r="M193" s="27">
        <f t="shared" si="98"/>
        <v>0</v>
      </c>
      <c r="N193" s="27"/>
      <c r="O193" s="27">
        <f t="shared" si="99"/>
        <v>0</v>
      </c>
      <c r="P193" s="27">
        <f t="shared" si="100"/>
        <v>0</v>
      </c>
      <c r="Q193" s="27"/>
      <c r="R193" s="27">
        <f t="shared" si="101"/>
        <v>0</v>
      </c>
      <c r="S193" s="27">
        <f t="shared" si="102"/>
        <v>0</v>
      </c>
      <c r="T193" s="27"/>
      <c r="U193" s="27">
        <f t="shared" si="103"/>
        <v>0</v>
      </c>
      <c r="V193" s="27"/>
      <c r="W193" s="27">
        <f t="shared" si="104"/>
        <v>0</v>
      </c>
      <c r="X193" s="27"/>
      <c r="Y193" s="27">
        <f t="shared" si="105"/>
        <v>0</v>
      </c>
      <c r="Z193" s="27"/>
      <c r="AA193" s="27">
        <f t="shared" si="106"/>
        <v>0</v>
      </c>
      <c r="AB193" s="27">
        <f t="shared" si="107"/>
        <v>0</v>
      </c>
      <c r="AC193" s="22" t="str">
        <f t="shared" si="108"/>
        <v>ok</v>
      </c>
    </row>
    <row r="194" spans="1:29" x14ac:dyDescent="0.25">
      <c r="A194" s="14">
        <v>571</v>
      </c>
      <c r="B194" s="14" t="s">
        <v>376</v>
      </c>
      <c r="C194" s="14" t="s">
        <v>409</v>
      </c>
      <c r="D194" s="14" t="s">
        <v>390</v>
      </c>
      <c r="F194" s="110">
        <v>0</v>
      </c>
      <c r="G194" s="27"/>
      <c r="H194" s="27">
        <f t="shared" si="95"/>
        <v>0</v>
      </c>
      <c r="I194" s="27">
        <f t="shared" si="96"/>
        <v>0</v>
      </c>
      <c r="J194" s="27"/>
      <c r="K194" s="27">
        <f t="shared" si="97"/>
        <v>0</v>
      </c>
      <c r="L194" s="27"/>
      <c r="M194" s="27">
        <f t="shared" si="98"/>
        <v>0</v>
      </c>
      <c r="N194" s="27"/>
      <c r="O194" s="27">
        <f t="shared" si="99"/>
        <v>0</v>
      </c>
      <c r="P194" s="27">
        <f t="shared" si="100"/>
        <v>0</v>
      </c>
      <c r="Q194" s="27"/>
      <c r="R194" s="27">
        <f t="shared" si="101"/>
        <v>0</v>
      </c>
      <c r="S194" s="27">
        <f t="shared" si="102"/>
        <v>0</v>
      </c>
      <c r="T194" s="27"/>
      <c r="U194" s="27">
        <f t="shared" si="103"/>
        <v>0</v>
      </c>
      <c r="V194" s="27"/>
      <c r="W194" s="27">
        <f t="shared" si="104"/>
        <v>0</v>
      </c>
      <c r="X194" s="27"/>
      <c r="Y194" s="27">
        <f t="shared" si="105"/>
        <v>0</v>
      </c>
      <c r="Z194" s="27"/>
      <c r="AA194" s="27">
        <f t="shared" si="106"/>
        <v>0</v>
      </c>
      <c r="AB194" s="27">
        <f t="shared" si="107"/>
        <v>0</v>
      </c>
      <c r="AC194" s="22" t="str">
        <f t="shared" si="108"/>
        <v>ok</v>
      </c>
    </row>
    <row r="195" spans="1:29" x14ac:dyDescent="0.25">
      <c r="A195" s="14">
        <v>572</v>
      </c>
      <c r="B195" s="14" t="s">
        <v>913</v>
      </c>
      <c r="C195" s="14" t="s">
        <v>910</v>
      </c>
      <c r="D195" s="14" t="s">
        <v>390</v>
      </c>
      <c r="F195" s="110">
        <v>0</v>
      </c>
      <c r="G195" s="27"/>
      <c r="H195" s="27">
        <f t="shared" si="95"/>
        <v>0</v>
      </c>
      <c r="I195" s="27">
        <f t="shared" si="96"/>
        <v>0</v>
      </c>
      <c r="J195" s="27"/>
      <c r="K195" s="27">
        <f t="shared" si="97"/>
        <v>0</v>
      </c>
      <c r="L195" s="27"/>
      <c r="M195" s="27">
        <f t="shared" si="98"/>
        <v>0</v>
      </c>
      <c r="N195" s="27"/>
      <c r="O195" s="27">
        <f t="shared" si="99"/>
        <v>0</v>
      </c>
      <c r="P195" s="27">
        <f t="shared" si="100"/>
        <v>0</v>
      </c>
      <c r="Q195" s="27"/>
      <c r="R195" s="27">
        <f t="shared" si="101"/>
        <v>0</v>
      </c>
      <c r="S195" s="27">
        <f t="shared" si="102"/>
        <v>0</v>
      </c>
      <c r="T195" s="27"/>
      <c r="U195" s="27">
        <f t="shared" si="103"/>
        <v>0</v>
      </c>
      <c r="V195" s="27"/>
      <c r="W195" s="27">
        <f t="shared" si="104"/>
        <v>0</v>
      </c>
      <c r="X195" s="27"/>
      <c r="Y195" s="27">
        <f t="shared" si="105"/>
        <v>0</v>
      </c>
      <c r="Z195" s="27"/>
      <c r="AA195" s="27">
        <f t="shared" si="106"/>
        <v>0</v>
      </c>
      <c r="AB195" s="27">
        <f>SUM(H195:AA195)</f>
        <v>0</v>
      </c>
      <c r="AC195" s="22" t="str">
        <f>IF(ABS(AB195-F195)&lt;1,"ok","err")</f>
        <v>ok</v>
      </c>
    </row>
    <row r="196" spans="1:29" x14ac:dyDescent="0.25">
      <c r="A196" s="14">
        <v>573</v>
      </c>
      <c r="B196" s="14" t="s">
        <v>908</v>
      </c>
      <c r="C196" s="14" t="s">
        <v>911</v>
      </c>
      <c r="D196" s="14" t="s">
        <v>390</v>
      </c>
      <c r="F196" s="110">
        <v>0</v>
      </c>
      <c r="G196" s="27"/>
      <c r="H196" s="27">
        <f t="shared" si="95"/>
        <v>0</v>
      </c>
      <c r="I196" s="27">
        <f t="shared" si="96"/>
        <v>0</v>
      </c>
      <c r="J196" s="27"/>
      <c r="K196" s="27">
        <f t="shared" si="97"/>
        <v>0</v>
      </c>
      <c r="L196" s="27"/>
      <c r="M196" s="27">
        <f t="shared" si="98"/>
        <v>0</v>
      </c>
      <c r="N196" s="27"/>
      <c r="O196" s="27">
        <f t="shared" si="99"/>
        <v>0</v>
      </c>
      <c r="P196" s="27">
        <f t="shared" si="100"/>
        <v>0</v>
      </c>
      <c r="Q196" s="27"/>
      <c r="R196" s="27">
        <f t="shared" si="101"/>
        <v>0</v>
      </c>
      <c r="S196" s="27">
        <f t="shared" si="102"/>
        <v>0</v>
      </c>
      <c r="T196" s="27"/>
      <c r="U196" s="27">
        <f t="shared" si="103"/>
        <v>0</v>
      </c>
      <c r="V196" s="27"/>
      <c r="W196" s="27">
        <f t="shared" si="104"/>
        <v>0</v>
      </c>
      <c r="X196" s="27"/>
      <c r="Y196" s="27">
        <f t="shared" si="105"/>
        <v>0</v>
      </c>
      <c r="Z196" s="27"/>
      <c r="AA196" s="27">
        <f t="shared" si="106"/>
        <v>0</v>
      </c>
      <c r="AB196" s="27">
        <f>SUM(H196:AA196)</f>
        <v>0</v>
      </c>
      <c r="AC196" s="22" t="str">
        <f>IF(ABS(AB196-F196)&lt;1,"ok","err")</f>
        <v>ok</v>
      </c>
    </row>
    <row r="197" spans="1:29" x14ac:dyDescent="0.25">
      <c r="A197" s="14">
        <v>574</v>
      </c>
      <c r="B197" s="14" t="s">
        <v>909</v>
      </c>
      <c r="C197" s="14" t="s">
        <v>912</v>
      </c>
      <c r="D197" s="14" t="s">
        <v>390</v>
      </c>
      <c r="F197" s="110">
        <v>0</v>
      </c>
      <c r="G197" s="27"/>
      <c r="H197" s="27">
        <f t="shared" si="95"/>
        <v>0</v>
      </c>
      <c r="I197" s="27">
        <f t="shared" si="96"/>
        <v>0</v>
      </c>
      <c r="J197" s="27"/>
      <c r="K197" s="27">
        <f t="shared" si="97"/>
        <v>0</v>
      </c>
      <c r="L197" s="27"/>
      <c r="M197" s="27">
        <f t="shared" si="98"/>
        <v>0</v>
      </c>
      <c r="N197" s="27"/>
      <c r="O197" s="27">
        <f t="shared" si="99"/>
        <v>0</v>
      </c>
      <c r="P197" s="27">
        <f t="shared" si="100"/>
        <v>0</v>
      </c>
      <c r="Q197" s="27"/>
      <c r="R197" s="27">
        <f t="shared" si="101"/>
        <v>0</v>
      </c>
      <c r="S197" s="27">
        <f t="shared" si="102"/>
        <v>0</v>
      </c>
      <c r="T197" s="27"/>
      <c r="U197" s="27">
        <f t="shared" si="103"/>
        <v>0</v>
      </c>
      <c r="V197" s="27"/>
      <c r="W197" s="27">
        <f t="shared" si="104"/>
        <v>0</v>
      </c>
      <c r="X197" s="27"/>
      <c r="Y197" s="27">
        <f t="shared" si="105"/>
        <v>0</v>
      </c>
      <c r="Z197" s="27"/>
      <c r="AA197" s="27">
        <f t="shared" si="106"/>
        <v>0</v>
      </c>
      <c r="AB197" s="27">
        <f t="shared" si="107"/>
        <v>0</v>
      </c>
      <c r="AC197" s="22" t="str">
        <f t="shared" si="108"/>
        <v>ok</v>
      </c>
    </row>
    <row r="198" spans="1:29" x14ac:dyDescent="0.25">
      <c r="F198" s="119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27"/>
      <c r="AC198" s="22"/>
    </row>
    <row r="199" spans="1:29" x14ac:dyDescent="0.25">
      <c r="A199" s="14" t="s">
        <v>377</v>
      </c>
      <c r="F199" s="120">
        <f>SUM(F183:F197)</f>
        <v>0</v>
      </c>
      <c r="G199" s="61"/>
      <c r="H199" s="61">
        <f t="shared" ref="H199:AA199" si="109">SUM(H183:H197)</f>
        <v>0</v>
      </c>
      <c r="I199" s="61">
        <f t="shared" si="109"/>
        <v>0</v>
      </c>
      <c r="J199" s="61"/>
      <c r="K199" s="61">
        <f t="shared" si="109"/>
        <v>0</v>
      </c>
      <c r="L199" s="61"/>
      <c r="M199" s="61">
        <f t="shared" si="109"/>
        <v>0</v>
      </c>
      <c r="N199" s="61"/>
      <c r="O199" s="61">
        <f t="shared" si="109"/>
        <v>0</v>
      </c>
      <c r="P199" s="61">
        <f t="shared" si="109"/>
        <v>0</v>
      </c>
      <c r="Q199" s="61"/>
      <c r="R199" s="61">
        <f t="shared" si="109"/>
        <v>0</v>
      </c>
      <c r="S199" s="61">
        <f t="shared" si="109"/>
        <v>0</v>
      </c>
      <c r="T199" s="61"/>
      <c r="U199" s="61">
        <f t="shared" si="109"/>
        <v>0</v>
      </c>
      <c r="V199" s="61"/>
      <c r="W199" s="61">
        <f t="shared" si="109"/>
        <v>0</v>
      </c>
      <c r="X199" s="61"/>
      <c r="Y199" s="61">
        <f t="shared" si="109"/>
        <v>0</v>
      </c>
      <c r="Z199" s="61"/>
      <c r="AA199" s="61">
        <f t="shared" si="109"/>
        <v>0</v>
      </c>
      <c r="AB199" s="40">
        <f>SUM(H199:AA199)</f>
        <v>0</v>
      </c>
      <c r="AC199" s="22" t="str">
        <f>IF(ABS(AB199-F199)&lt;1,"ok","err")</f>
        <v>ok</v>
      </c>
    </row>
    <row r="200" spans="1:29" x14ac:dyDescent="0.25">
      <c r="B200" s="61"/>
      <c r="Q200" s="14"/>
      <c r="AC200" s="22"/>
    </row>
    <row r="201" spans="1:29" x14ac:dyDescent="0.25">
      <c r="A201" s="13" t="s">
        <v>98</v>
      </c>
      <c r="Q201" s="14"/>
      <c r="AC201" s="22"/>
    </row>
    <row r="202" spans="1:29" x14ac:dyDescent="0.25">
      <c r="A202" s="14">
        <v>580</v>
      </c>
      <c r="B202" s="14" t="s">
        <v>99</v>
      </c>
      <c r="C202" s="14" t="s">
        <v>100</v>
      </c>
      <c r="D202" s="14" t="s">
        <v>16</v>
      </c>
      <c r="F202" s="119">
        <v>75745.19</v>
      </c>
      <c r="G202" s="40"/>
      <c r="H202" s="27">
        <f t="shared" ref="H202:H213" si="110">IF(VLOOKUP($D202,$C$5:$AA$496,6,)=0,0,((VLOOKUP($D202,$C$5:$AA$496,6,)/VLOOKUP($D202,$C$5:$AA$496,4,))*$F202))</f>
        <v>0</v>
      </c>
      <c r="I202" s="27">
        <f t="shared" ref="I202:I213" si="111">IF(VLOOKUP($D202,$C$5:$AA$496,7,)=0,0,((VLOOKUP($D202,$C$5:$AA$496,7,)/VLOOKUP($D202,$C$5:$AA$496,4,))*$F202))</f>
        <v>0</v>
      </c>
      <c r="J202" s="27"/>
      <c r="K202" s="27">
        <f t="shared" ref="K202:K213" si="112">IF(VLOOKUP($D202,$C$5:$AA$496,9,)=0,0,((VLOOKUP($D202,$C$5:$AA$496,9,)/VLOOKUP($D202,$C$5:$AA$496,4,))*$F202))</f>
        <v>0</v>
      </c>
      <c r="L202" s="27"/>
      <c r="M202" s="27">
        <f t="shared" ref="M202:M213" si="113">IF(VLOOKUP($D202,$C$5:$AA$496,11,)=0,0,((VLOOKUP($D202,$C$5:$AA$496,11,)/VLOOKUP($D202,$C$5:$AA$496,4,))*$F202))</f>
        <v>0</v>
      </c>
      <c r="N202" s="27"/>
      <c r="O202" s="27">
        <f t="shared" ref="O202:O213" si="114">IF(VLOOKUP($D202,$C$5:$AA$496,13,)=0,0,((VLOOKUP($D202,$C$5:$AA$496,13,)/VLOOKUP($D202,$C$5:$AA$496,4,))*$F202))</f>
        <v>45154.143788539979</v>
      </c>
      <c r="P202" s="27">
        <f t="shared" ref="P202:P213" si="115">IF(VLOOKUP($D202,$C$5:$AA$496,14,)=0,0,((VLOOKUP($D202,$C$5:$AA$496,14,)/VLOOKUP($D202,$C$5:$AA$496,4,))*$F202))</f>
        <v>18113.463752693846</v>
      </c>
      <c r="Q202" s="27"/>
      <c r="R202" s="27">
        <f t="shared" ref="R202:R213" si="116">IF(VLOOKUP($D202,$C$5:$AA$496,16,)=0,0,((VLOOKUP($D202,$C$5:$AA$496,16,)/VLOOKUP($D202,$C$5:$AA$496,4,))*$F202))</f>
        <v>0</v>
      </c>
      <c r="S202" s="27">
        <f t="shared" ref="S202:S213" si="117">IF(VLOOKUP($D202,$C$5:$AA$496,17,)=0,0,((VLOOKUP($D202,$C$5:$AA$496,17,)/VLOOKUP($D202,$C$5:$AA$496,4,))*$F202))</f>
        <v>5587.1507889057675</v>
      </c>
      <c r="T202" s="27"/>
      <c r="U202" s="27">
        <f t="shared" ref="U202:U213" si="118">IF(VLOOKUP($D202,$C$5:$AA$496,19,)=0,0,((VLOOKUP($D202,$C$5:$AA$496,19,)/VLOOKUP($D202,$C$5:$AA$496,4,))*$F202))</f>
        <v>4380.9445997580769</v>
      </c>
      <c r="V202" s="27"/>
      <c r="W202" s="27">
        <f t="shared" ref="W202:W213" si="119">IF(VLOOKUP($D202,$C$5:$AA$496,21,)=0,0,((VLOOKUP($D202,$C$5:$AA$496,21,)/VLOOKUP($D202,$C$5:$AA$496,4,))*$F202))</f>
        <v>2509.487070102321</v>
      </c>
      <c r="X202" s="27"/>
      <c r="Y202" s="27">
        <f t="shared" ref="Y202:Y213" si="120">IF(VLOOKUP($D202,$C$5:$AA$496,23,)=0,0,((VLOOKUP($D202,$C$5:$AA$496,23,)/VLOOKUP($D202,$C$5:$AA$496,4,))*$F202))</f>
        <v>0</v>
      </c>
      <c r="Z202" s="27"/>
      <c r="AA202" s="27">
        <f t="shared" ref="AA202:AA213" si="121">IF(VLOOKUP($D202,$C$5:$AA$496,25,)=0,0,((VLOOKUP($D202,$C$5:$AA$496,25,)/VLOOKUP($D202,$C$5:$AA$496,4,))*$F202))</f>
        <v>0</v>
      </c>
      <c r="AB202" s="27">
        <f t="shared" ref="AB202:AB213" si="122">SUM(H202:AA202)</f>
        <v>75745.189999999988</v>
      </c>
      <c r="AC202" s="22" t="str">
        <f t="shared" ref="AC202:AC213" si="123">IF(ABS(AB202-F202)&lt;1,"ok","err")</f>
        <v>ok</v>
      </c>
    </row>
    <row r="203" spans="1:29" x14ac:dyDescent="0.25">
      <c r="A203" s="14">
        <v>581</v>
      </c>
      <c r="B203" s="14" t="s">
        <v>101</v>
      </c>
      <c r="C203" s="14" t="s">
        <v>102</v>
      </c>
      <c r="D203" s="14" t="s">
        <v>23</v>
      </c>
      <c r="F203" s="110">
        <v>0</v>
      </c>
      <c r="G203" s="27"/>
      <c r="H203" s="27">
        <f t="shared" si="110"/>
        <v>0</v>
      </c>
      <c r="I203" s="27">
        <f t="shared" si="111"/>
        <v>0</v>
      </c>
      <c r="J203" s="27"/>
      <c r="K203" s="27">
        <f t="shared" si="112"/>
        <v>0</v>
      </c>
      <c r="L203" s="27"/>
      <c r="M203" s="27">
        <f t="shared" si="113"/>
        <v>0</v>
      </c>
      <c r="N203" s="27"/>
      <c r="O203" s="27">
        <f t="shared" si="114"/>
        <v>0</v>
      </c>
      <c r="P203" s="27">
        <f t="shared" si="115"/>
        <v>0</v>
      </c>
      <c r="Q203" s="27"/>
      <c r="R203" s="27">
        <f t="shared" si="116"/>
        <v>0</v>
      </c>
      <c r="S203" s="27">
        <f t="shared" si="117"/>
        <v>0</v>
      </c>
      <c r="T203" s="27"/>
      <c r="U203" s="27">
        <f t="shared" si="118"/>
        <v>0</v>
      </c>
      <c r="V203" s="27"/>
      <c r="W203" s="27">
        <f t="shared" si="119"/>
        <v>0</v>
      </c>
      <c r="X203" s="27"/>
      <c r="Y203" s="27">
        <f t="shared" si="120"/>
        <v>0</v>
      </c>
      <c r="Z203" s="27"/>
      <c r="AA203" s="27">
        <f t="shared" si="121"/>
        <v>0</v>
      </c>
      <c r="AB203" s="27">
        <f t="shared" si="122"/>
        <v>0</v>
      </c>
      <c r="AC203" s="22" t="str">
        <f t="shared" si="123"/>
        <v>ok</v>
      </c>
    </row>
    <row r="204" spans="1:29" x14ac:dyDescent="0.25">
      <c r="A204" s="14">
        <v>582</v>
      </c>
      <c r="B204" s="14" t="s">
        <v>372</v>
      </c>
      <c r="C204" s="14" t="s">
        <v>378</v>
      </c>
      <c r="D204" s="14" t="s">
        <v>23</v>
      </c>
      <c r="F204" s="110">
        <v>0</v>
      </c>
      <c r="G204" s="27"/>
      <c r="H204" s="27">
        <f t="shared" si="110"/>
        <v>0</v>
      </c>
      <c r="I204" s="27">
        <f t="shared" si="111"/>
        <v>0</v>
      </c>
      <c r="J204" s="27"/>
      <c r="K204" s="27">
        <f t="shared" si="112"/>
        <v>0</v>
      </c>
      <c r="L204" s="27"/>
      <c r="M204" s="27">
        <f t="shared" si="113"/>
        <v>0</v>
      </c>
      <c r="N204" s="27"/>
      <c r="O204" s="27">
        <f t="shared" si="114"/>
        <v>0</v>
      </c>
      <c r="P204" s="27">
        <f t="shared" si="115"/>
        <v>0</v>
      </c>
      <c r="Q204" s="27"/>
      <c r="R204" s="27">
        <f t="shared" si="116"/>
        <v>0</v>
      </c>
      <c r="S204" s="27">
        <f t="shared" si="117"/>
        <v>0</v>
      </c>
      <c r="T204" s="27"/>
      <c r="U204" s="27">
        <f t="shared" si="118"/>
        <v>0</v>
      </c>
      <c r="V204" s="27"/>
      <c r="W204" s="27">
        <f t="shared" si="119"/>
        <v>0</v>
      </c>
      <c r="X204" s="27"/>
      <c r="Y204" s="27">
        <f t="shared" si="120"/>
        <v>0</v>
      </c>
      <c r="Z204" s="27"/>
      <c r="AA204" s="27">
        <f t="shared" si="121"/>
        <v>0</v>
      </c>
      <c r="AB204" s="27">
        <f t="shared" ref="AB204" si="124">SUM(H204:AA204)</f>
        <v>0</v>
      </c>
      <c r="AC204" s="22" t="str">
        <f t="shared" si="123"/>
        <v>ok</v>
      </c>
    </row>
    <row r="205" spans="1:29" x14ac:dyDescent="0.25">
      <c r="A205" s="14">
        <v>583</v>
      </c>
      <c r="B205" s="14" t="s">
        <v>103</v>
      </c>
      <c r="C205" s="14" t="s">
        <v>104</v>
      </c>
      <c r="D205" s="14" t="s">
        <v>29</v>
      </c>
      <c r="F205" s="110">
        <f>782539.33+170243.17</f>
        <v>952782.5</v>
      </c>
      <c r="G205" s="27"/>
      <c r="H205" s="27">
        <f t="shared" si="110"/>
        <v>0</v>
      </c>
      <c r="I205" s="27">
        <f t="shared" si="111"/>
        <v>0</v>
      </c>
      <c r="J205" s="27"/>
      <c r="K205" s="27">
        <f t="shared" si="112"/>
        <v>0</v>
      </c>
      <c r="L205" s="27"/>
      <c r="M205" s="27">
        <f t="shared" si="113"/>
        <v>0</v>
      </c>
      <c r="N205" s="27"/>
      <c r="O205" s="27">
        <f t="shared" si="114"/>
        <v>774849.06934257038</v>
      </c>
      <c r="P205" s="27">
        <f t="shared" si="115"/>
        <v>177933.43065742956</v>
      </c>
      <c r="Q205" s="27"/>
      <c r="R205" s="27">
        <f t="shared" si="116"/>
        <v>0</v>
      </c>
      <c r="S205" s="27">
        <f t="shared" si="117"/>
        <v>0</v>
      </c>
      <c r="T205" s="27"/>
      <c r="U205" s="27">
        <f t="shared" si="118"/>
        <v>0</v>
      </c>
      <c r="V205" s="27"/>
      <c r="W205" s="27">
        <f t="shared" si="119"/>
        <v>0</v>
      </c>
      <c r="X205" s="27"/>
      <c r="Y205" s="27">
        <f t="shared" si="120"/>
        <v>0</v>
      </c>
      <c r="Z205" s="27"/>
      <c r="AA205" s="27">
        <f t="shared" si="121"/>
        <v>0</v>
      </c>
      <c r="AB205" s="27">
        <f t="shared" ref="AB205" si="125">SUM(H205:AA205)</f>
        <v>952782.5</v>
      </c>
      <c r="AC205" s="22" t="str">
        <f t="shared" si="123"/>
        <v>ok</v>
      </c>
    </row>
    <row r="206" spans="1:29" x14ac:dyDescent="0.25">
      <c r="A206" s="14">
        <v>584</v>
      </c>
      <c r="B206" s="14" t="s">
        <v>105</v>
      </c>
      <c r="C206" s="14" t="s">
        <v>106</v>
      </c>
      <c r="D206" s="14" t="s">
        <v>35</v>
      </c>
      <c r="F206" s="110">
        <v>16075.02</v>
      </c>
      <c r="G206" s="27"/>
      <c r="H206" s="27">
        <f t="shared" si="110"/>
        <v>0</v>
      </c>
      <c r="I206" s="27">
        <f t="shared" si="111"/>
        <v>0</v>
      </c>
      <c r="J206" s="27"/>
      <c r="K206" s="27">
        <f t="shared" si="112"/>
        <v>0</v>
      </c>
      <c r="L206" s="27"/>
      <c r="M206" s="27">
        <f t="shared" si="113"/>
        <v>0</v>
      </c>
      <c r="N206" s="27"/>
      <c r="O206" s="27">
        <f t="shared" si="114"/>
        <v>10620.652475960427</v>
      </c>
      <c r="P206" s="27">
        <f t="shared" si="115"/>
        <v>5454.3675240395733</v>
      </c>
      <c r="Q206" s="27"/>
      <c r="R206" s="27">
        <f t="shared" si="116"/>
        <v>0</v>
      </c>
      <c r="S206" s="27">
        <f t="shared" si="117"/>
        <v>0</v>
      </c>
      <c r="T206" s="27"/>
      <c r="U206" s="27">
        <f t="shared" si="118"/>
        <v>0</v>
      </c>
      <c r="V206" s="27"/>
      <c r="W206" s="27">
        <f t="shared" si="119"/>
        <v>0</v>
      </c>
      <c r="X206" s="27"/>
      <c r="Y206" s="27">
        <f t="shared" si="120"/>
        <v>0</v>
      </c>
      <c r="Z206" s="27"/>
      <c r="AA206" s="27">
        <f t="shared" si="121"/>
        <v>0</v>
      </c>
      <c r="AB206" s="27">
        <f t="shared" si="122"/>
        <v>16075.02</v>
      </c>
      <c r="AC206" s="22" t="str">
        <f t="shared" si="123"/>
        <v>ok</v>
      </c>
    </row>
    <row r="207" spans="1:29" x14ac:dyDescent="0.25">
      <c r="A207" s="14">
        <v>585</v>
      </c>
      <c r="B207" s="14" t="s">
        <v>107</v>
      </c>
      <c r="C207" s="14" t="s">
        <v>108</v>
      </c>
      <c r="D207" s="14" t="s">
        <v>46</v>
      </c>
      <c r="F207" s="110">
        <v>0</v>
      </c>
      <c r="G207" s="27"/>
      <c r="H207" s="27">
        <f t="shared" si="110"/>
        <v>0</v>
      </c>
      <c r="I207" s="27">
        <f t="shared" si="111"/>
        <v>0</v>
      </c>
      <c r="J207" s="27"/>
      <c r="K207" s="27">
        <f t="shared" si="112"/>
        <v>0</v>
      </c>
      <c r="L207" s="27"/>
      <c r="M207" s="27">
        <f t="shared" si="113"/>
        <v>0</v>
      </c>
      <c r="N207" s="27"/>
      <c r="O207" s="27">
        <f t="shared" si="114"/>
        <v>0</v>
      </c>
      <c r="P207" s="27">
        <f t="shared" si="115"/>
        <v>0</v>
      </c>
      <c r="Q207" s="27"/>
      <c r="R207" s="27">
        <f t="shared" si="116"/>
        <v>0</v>
      </c>
      <c r="S207" s="27">
        <f t="shared" si="117"/>
        <v>0</v>
      </c>
      <c r="T207" s="27"/>
      <c r="U207" s="27">
        <f t="shared" si="118"/>
        <v>0</v>
      </c>
      <c r="V207" s="27"/>
      <c r="W207" s="27">
        <f t="shared" si="119"/>
        <v>0</v>
      </c>
      <c r="X207" s="27"/>
      <c r="Y207" s="27">
        <f t="shared" si="120"/>
        <v>0</v>
      </c>
      <c r="Z207" s="27"/>
      <c r="AA207" s="27">
        <f t="shared" si="121"/>
        <v>0</v>
      </c>
      <c r="AB207" s="27">
        <f t="shared" si="122"/>
        <v>0</v>
      </c>
      <c r="AC207" s="22" t="str">
        <f t="shared" si="123"/>
        <v>ok</v>
      </c>
    </row>
    <row r="208" spans="1:29" x14ac:dyDescent="0.25">
      <c r="A208" s="14">
        <v>586</v>
      </c>
      <c r="B208" s="14" t="s">
        <v>109</v>
      </c>
      <c r="C208" s="14" t="s">
        <v>110</v>
      </c>
      <c r="D208" s="14" t="s">
        <v>43</v>
      </c>
      <c r="F208" s="110">
        <f>426214.95+11757.61</f>
        <v>437972.56</v>
      </c>
      <c r="G208" s="27"/>
      <c r="H208" s="27">
        <f t="shared" si="110"/>
        <v>0</v>
      </c>
      <c r="I208" s="27">
        <f t="shared" si="111"/>
        <v>0</v>
      </c>
      <c r="J208" s="27"/>
      <c r="K208" s="27">
        <f t="shared" si="112"/>
        <v>0</v>
      </c>
      <c r="L208" s="27"/>
      <c r="M208" s="27">
        <f t="shared" si="113"/>
        <v>0</v>
      </c>
      <c r="N208" s="27"/>
      <c r="O208" s="27">
        <f t="shared" si="114"/>
        <v>0</v>
      </c>
      <c r="P208" s="27">
        <f t="shared" si="115"/>
        <v>0</v>
      </c>
      <c r="Q208" s="27"/>
      <c r="R208" s="27">
        <f t="shared" si="116"/>
        <v>0</v>
      </c>
      <c r="S208" s="27">
        <f t="shared" si="117"/>
        <v>0</v>
      </c>
      <c r="T208" s="27"/>
      <c r="U208" s="27">
        <f t="shared" si="118"/>
        <v>437972.56</v>
      </c>
      <c r="V208" s="27"/>
      <c r="W208" s="27">
        <f t="shared" si="119"/>
        <v>0</v>
      </c>
      <c r="X208" s="27"/>
      <c r="Y208" s="27">
        <f t="shared" si="120"/>
        <v>0</v>
      </c>
      <c r="Z208" s="27"/>
      <c r="AA208" s="27">
        <f t="shared" si="121"/>
        <v>0</v>
      </c>
      <c r="AB208" s="27">
        <f t="shared" si="122"/>
        <v>437972.56</v>
      </c>
      <c r="AC208" s="22" t="str">
        <f t="shared" si="123"/>
        <v>ok</v>
      </c>
    </row>
    <row r="209" spans="1:29" x14ac:dyDescent="0.25">
      <c r="A209" s="14">
        <v>586</v>
      </c>
      <c r="B209" s="14" t="s">
        <v>450</v>
      </c>
      <c r="C209" s="14" t="s">
        <v>451</v>
      </c>
      <c r="D209" s="14" t="s">
        <v>471</v>
      </c>
      <c r="F209" s="110">
        <v>0</v>
      </c>
      <c r="G209" s="27"/>
      <c r="H209" s="27">
        <f t="shared" si="110"/>
        <v>0</v>
      </c>
      <c r="I209" s="27">
        <f t="shared" si="111"/>
        <v>0</v>
      </c>
      <c r="J209" s="27"/>
      <c r="K209" s="27">
        <f t="shared" si="112"/>
        <v>0</v>
      </c>
      <c r="L209" s="27"/>
      <c r="M209" s="27">
        <f t="shared" si="113"/>
        <v>0</v>
      </c>
      <c r="N209" s="27"/>
      <c r="O209" s="27">
        <f t="shared" si="114"/>
        <v>0</v>
      </c>
      <c r="P209" s="27">
        <f t="shared" si="115"/>
        <v>0</v>
      </c>
      <c r="Q209" s="27"/>
      <c r="R209" s="27">
        <f t="shared" si="116"/>
        <v>0</v>
      </c>
      <c r="S209" s="27">
        <f t="shared" si="117"/>
        <v>0</v>
      </c>
      <c r="T209" s="27"/>
      <c r="U209" s="27">
        <f t="shared" si="118"/>
        <v>0</v>
      </c>
      <c r="V209" s="27"/>
      <c r="W209" s="27">
        <f t="shared" si="119"/>
        <v>0</v>
      </c>
      <c r="X209" s="27"/>
      <c r="Y209" s="27">
        <f t="shared" si="120"/>
        <v>0</v>
      </c>
      <c r="Z209" s="27"/>
      <c r="AA209" s="27">
        <f t="shared" si="121"/>
        <v>0</v>
      </c>
      <c r="AB209" s="27">
        <f t="shared" si="122"/>
        <v>0</v>
      </c>
      <c r="AC209" s="22" t="str">
        <f t="shared" si="123"/>
        <v>ok</v>
      </c>
    </row>
    <row r="210" spans="1:29" x14ac:dyDescent="0.25">
      <c r="A210" s="14">
        <v>587</v>
      </c>
      <c r="B210" s="14" t="s">
        <v>111</v>
      </c>
      <c r="C210" s="14" t="s">
        <v>112</v>
      </c>
      <c r="D210" s="14" t="s">
        <v>40</v>
      </c>
      <c r="F210" s="110">
        <v>85627.93</v>
      </c>
      <c r="G210" s="27"/>
      <c r="H210" s="27">
        <f t="shared" si="110"/>
        <v>0</v>
      </c>
      <c r="I210" s="27">
        <f t="shared" si="111"/>
        <v>0</v>
      </c>
      <c r="J210" s="27"/>
      <c r="K210" s="27">
        <f t="shared" si="112"/>
        <v>0</v>
      </c>
      <c r="L210" s="27"/>
      <c r="M210" s="27">
        <f t="shared" si="113"/>
        <v>0</v>
      </c>
      <c r="N210" s="27"/>
      <c r="O210" s="27">
        <f t="shared" si="114"/>
        <v>0</v>
      </c>
      <c r="P210" s="27">
        <f t="shared" si="115"/>
        <v>0</v>
      </c>
      <c r="Q210" s="27"/>
      <c r="R210" s="27">
        <f t="shared" si="116"/>
        <v>0</v>
      </c>
      <c r="S210" s="27">
        <f t="shared" si="117"/>
        <v>85627.93</v>
      </c>
      <c r="T210" s="27"/>
      <c r="U210" s="27">
        <f t="shared" si="118"/>
        <v>0</v>
      </c>
      <c r="V210" s="27"/>
      <c r="W210" s="27">
        <f t="shared" si="119"/>
        <v>0</v>
      </c>
      <c r="X210" s="27"/>
      <c r="Y210" s="27">
        <f t="shared" si="120"/>
        <v>0</v>
      </c>
      <c r="Z210" s="27"/>
      <c r="AA210" s="27">
        <f t="shared" si="121"/>
        <v>0</v>
      </c>
      <c r="AB210" s="27">
        <f t="shared" si="122"/>
        <v>85627.93</v>
      </c>
      <c r="AC210" s="22" t="str">
        <f t="shared" si="123"/>
        <v>ok</v>
      </c>
    </row>
    <row r="211" spans="1:29" x14ac:dyDescent="0.25">
      <c r="A211" s="14">
        <v>588</v>
      </c>
      <c r="B211" s="14" t="s">
        <v>113</v>
      </c>
      <c r="C211" s="14" t="s">
        <v>114</v>
      </c>
      <c r="D211" s="14" t="s">
        <v>16</v>
      </c>
      <c r="F211" s="110">
        <v>125161.63</v>
      </c>
      <c r="G211" s="27"/>
      <c r="H211" s="27">
        <f t="shared" si="110"/>
        <v>0</v>
      </c>
      <c r="I211" s="27">
        <f t="shared" si="111"/>
        <v>0</v>
      </c>
      <c r="J211" s="27"/>
      <c r="K211" s="27">
        <f t="shared" si="112"/>
        <v>0</v>
      </c>
      <c r="L211" s="27"/>
      <c r="M211" s="27">
        <f t="shared" si="113"/>
        <v>0</v>
      </c>
      <c r="N211" s="27"/>
      <c r="O211" s="27">
        <f t="shared" si="114"/>
        <v>74612.872947153985</v>
      </c>
      <c r="P211" s="27">
        <f t="shared" si="115"/>
        <v>29930.753995508872</v>
      </c>
      <c r="Q211" s="27"/>
      <c r="R211" s="27">
        <f t="shared" si="116"/>
        <v>0</v>
      </c>
      <c r="S211" s="27">
        <f t="shared" si="117"/>
        <v>9232.2284727945334</v>
      </c>
      <c r="T211" s="27"/>
      <c r="U211" s="27">
        <f t="shared" si="118"/>
        <v>7239.0889381281968</v>
      </c>
      <c r="V211" s="27"/>
      <c r="W211" s="27">
        <f t="shared" si="119"/>
        <v>4146.6856464143902</v>
      </c>
      <c r="X211" s="27"/>
      <c r="Y211" s="27">
        <f t="shared" si="120"/>
        <v>0</v>
      </c>
      <c r="Z211" s="27"/>
      <c r="AA211" s="27">
        <f t="shared" si="121"/>
        <v>0</v>
      </c>
      <c r="AB211" s="27">
        <f t="shared" si="122"/>
        <v>125161.62999999999</v>
      </c>
      <c r="AC211" s="22" t="str">
        <f t="shared" si="123"/>
        <v>ok</v>
      </c>
    </row>
    <row r="212" spans="1:29" x14ac:dyDescent="0.25">
      <c r="A212" s="14">
        <v>588</v>
      </c>
      <c r="B212" s="14" t="s">
        <v>706</v>
      </c>
      <c r="C212" s="14" t="s">
        <v>550</v>
      </c>
      <c r="D212" s="14" t="s">
        <v>551</v>
      </c>
      <c r="F212" s="110">
        <v>120519.27</v>
      </c>
      <c r="G212" s="27"/>
      <c r="H212" s="27">
        <f t="shared" si="110"/>
        <v>0</v>
      </c>
      <c r="I212" s="27">
        <f t="shared" si="111"/>
        <v>0</v>
      </c>
      <c r="J212" s="27"/>
      <c r="K212" s="27">
        <f t="shared" si="112"/>
        <v>0</v>
      </c>
      <c r="L212" s="27"/>
      <c r="M212" s="27">
        <f t="shared" si="113"/>
        <v>0</v>
      </c>
      <c r="N212" s="27"/>
      <c r="O212" s="27">
        <f t="shared" si="114"/>
        <v>0</v>
      </c>
      <c r="P212" s="27">
        <f t="shared" si="115"/>
        <v>120519.27</v>
      </c>
      <c r="Q212" s="27"/>
      <c r="R212" s="27">
        <f t="shared" si="116"/>
        <v>0</v>
      </c>
      <c r="S212" s="27">
        <f t="shared" si="117"/>
        <v>0</v>
      </c>
      <c r="T212" s="27"/>
      <c r="U212" s="27">
        <f t="shared" si="118"/>
        <v>0</v>
      </c>
      <c r="V212" s="27"/>
      <c r="W212" s="27">
        <f t="shared" si="119"/>
        <v>0</v>
      </c>
      <c r="X212" s="27"/>
      <c r="Y212" s="27">
        <f t="shared" si="120"/>
        <v>0</v>
      </c>
      <c r="Z212" s="27"/>
      <c r="AA212" s="27">
        <f t="shared" si="121"/>
        <v>0</v>
      </c>
      <c r="AB212" s="27">
        <f t="shared" si="122"/>
        <v>120519.27</v>
      </c>
      <c r="AC212" s="22" t="str">
        <f t="shared" si="123"/>
        <v>ok</v>
      </c>
    </row>
    <row r="213" spans="1:29" x14ac:dyDescent="0.25">
      <c r="A213" s="14">
        <v>589</v>
      </c>
      <c r="B213" s="14" t="s">
        <v>115</v>
      </c>
      <c r="C213" s="14" t="s">
        <v>116</v>
      </c>
      <c r="D213" s="14" t="s">
        <v>16</v>
      </c>
      <c r="F213" s="110">
        <v>14887.96</v>
      </c>
      <c r="G213" s="27"/>
      <c r="H213" s="27">
        <f t="shared" si="110"/>
        <v>0</v>
      </c>
      <c r="I213" s="27">
        <f t="shared" si="111"/>
        <v>0</v>
      </c>
      <c r="J213" s="27"/>
      <c r="K213" s="27">
        <f t="shared" si="112"/>
        <v>0</v>
      </c>
      <c r="L213" s="27"/>
      <c r="M213" s="27">
        <f t="shared" si="113"/>
        <v>0</v>
      </c>
      <c r="N213" s="27"/>
      <c r="O213" s="27">
        <f t="shared" si="114"/>
        <v>8875.1917654181289</v>
      </c>
      <c r="P213" s="27">
        <f t="shared" si="115"/>
        <v>3560.2593882404394</v>
      </c>
      <c r="Q213" s="27"/>
      <c r="R213" s="27">
        <f t="shared" si="116"/>
        <v>0</v>
      </c>
      <c r="S213" s="27">
        <f t="shared" si="117"/>
        <v>1098.1724048642232</v>
      </c>
      <c r="T213" s="27"/>
      <c r="U213" s="27">
        <f t="shared" si="118"/>
        <v>861.08871023248139</v>
      </c>
      <c r="V213" s="27"/>
      <c r="W213" s="27">
        <f t="shared" si="119"/>
        <v>493.24773124472392</v>
      </c>
      <c r="X213" s="27"/>
      <c r="Y213" s="27">
        <f t="shared" si="120"/>
        <v>0</v>
      </c>
      <c r="Z213" s="27"/>
      <c r="AA213" s="27">
        <f t="shared" si="121"/>
        <v>0</v>
      </c>
      <c r="AB213" s="27">
        <f t="shared" si="122"/>
        <v>14887.959999999997</v>
      </c>
      <c r="AC213" s="22" t="str">
        <f t="shared" si="123"/>
        <v>ok</v>
      </c>
    </row>
    <row r="214" spans="1:29" x14ac:dyDescent="0.25">
      <c r="F214" s="110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C214" s="22"/>
    </row>
    <row r="215" spans="1:29" x14ac:dyDescent="0.25">
      <c r="A215" s="14" t="s">
        <v>117</v>
      </c>
      <c r="C215" s="14" t="s">
        <v>118</v>
      </c>
      <c r="F215" s="119">
        <f>SUM(F202:F214)</f>
        <v>1828772.06</v>
      </c>
      <c r="G215" s="40"/>
      <c r="H215" s="40">
        <f t="shared" ref="H215:AA215" si="126">SUM(H202:H214)</f>
        <v>0</v>
      </c>
      <c r="I215" s="40">
        <f t="shared" si="126"/>
        <v>0</v>
      </c>
      <c r="J215" s="40"/>
      <c r="K215" s="40">
        <f t="shared" si="126"/>
        <v>0</v>
      </c>
      <c r="L215" s="40"/>
      <c r="M215" s="40">
        <f t="shared" si="126"/>
        <v>0</v>
      </c>
      <c r="N215" s="40"/>
      <c r="O215" s="40">
        <f t="shared" si="126"/>
        <v>914111.930319643</v>
      </c>
      <c r="P215" s="40">
        <f t="shared" si="126"/>
        <v>355511.54531791236</v>
      </c>
      <c r="Q215" s="40"/>
      <c r="R215" s="40">
        <f t="shared" si="126"/>
        <v>0</v>
      </c>
      <c r="S215" s="40">
        <f t="shared" si="126"/>
        <v>101545.48166656452</v>
      </c>
      <c r="T215" s="40"/>
      <c r="U215" s="40">
        <f t="shared" si="126"/>
        <v>450453.68224811874</v>
      </c>
      <c r="V215" s="40"/>
      <c r="W215" s="40">
        <f t="shared" si="126"/>
        <v>7149.4204477614348</v>
      </c>
      <c r="X215" s="40"/>
      <c r="Y215" s="40">
        <f t="shared" si="126"/>
        <v>0</v>
      </c>
      <c r="Z215" s="40"/>
      <c r="AA215" s="40">
        <f t="shared" si="126"/>
        <v>0</v>
      </c>
      <c r="AB215" s="27">
        <f>SUM(H215:AA215)</f>
        <v>1828772.06</v>
      </c>
      <c r="AC215" s="22" t="str">
        <f>IF(ABS(AB215-F215)&lt;1,"ok","err")</f>
        <v>ok</v>
      </c>
    </row>
    <row r="216" spans="1:29" x14ac:dyDescent="0.25">
      <c r="F216" s="119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27"/>
      <c r="AC216" s="22"/>
    </row>
    <row r="217" spans="1:29" x14ac:dyDescent="0.25">
      <c r="A217" s="20" t="s">
        <v>136</v>
      </c>
      <c r="F217" s="110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C217" s="22"/>
    </row>
    <row r="218" spans="1:29" x14ac:dyDescent="0.25">
      <c r="F218" s="110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C218" s="22"/>
    </row>
    <row r="219" spans="1:29" x14ac:dyDescent="0.25">
      <c r="A219" s="13" t="s">
        <v>119</v>
      </c>
      <c r="F219" s="110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C219" s="22"/>
    </row>
    <row r="220" spans="1:29" x14ac:dyDescent="0.25">
      <c r="A220" s="14">
        <v>590</v>
      </c>
      <c r="B220" s="14" t="s">
        <v>120</v>
      </c>
      <c r="C220" s="14" t="s">
        <v>121</v>
      </c>
      <c r="D220" s="14" t="s">
        <v>16</v>
      </c>
      <c r="F220" s="119">
        <v>34997.08</v>
      </c>
      <c r="G220" s="40"/>
      <c r="H220" s="27">
        <f t="shared" ref="H220:H227" si="127">IF(VLOOKUP($D220,$C$5:$AA$496,6,)=0,0,((VLOOKUP($D220,$C$5:$AA$496,6,)/VLOOKUP($D220,$C$5:$AA$496,4,))*$F220))</f>
        <v>0</v>
      </c>
      <c r="I220" s="27">
        <f t="shared" ref="I220:I227" si="128">IF(VLOOKUP($D220,$C$5:$AA$496,7,)=0,0,((VLOOKUP($D220,$C$5:$AA$496,7,)/VLOOKUP($D220,$C$5:$AA$496,4,))*$F220))</f>
        <v>0</v>
      </c>
      <c r="J220" s="27"/>
      <c r="K220" s="27">
        <f t="shared" ref="K220:K227" si="129">IF(VLOOKUP($D220,$C$5:$AA$496,9,)=0,0,((VLOOKUP($D220,$C$5:$AA$496,9,)/VLOOKUP($D220,$C$5:$AA$496,4,))*$F220))</f>
        <v>0</v>
      </c>
      <c r="L220" s="27"/>
      <c r="M220" s="27">
        <f t="shared" ref="M220:M227" si="130">IF(VLOOKUP($D220,$C$5:$AA$496,11,)=0,0,((VLOOKUP($D220,$C$5:$AA$496,11,)/VLOOKUP($D220,$C$5:$AA$496,4,))*$F220))</f>
        <v>0</v>
      </c>
      <c r="N220" s="27"/>
      <c r="O220" s="27">
        <f t="shared" ref="O220:O227" si="131">IF(VLOOKUP($D220,$C$5:$AA$496,13,)=0,0,((VLOOKUP($D220,$C$5:$AA$496,13,)/VLOOKUP($D220,$C$5:$AA$496,4,))*$F220))</f>
        <v>20862.884923769241</v>
      </c>
      <c r="P220" s="27">
        <f t="shared" ref="P220:P227" si="132">IF(VLOOKUP($D220,$C$5:$AA$496,14,)=0,0,((VLOOKUP($D220,$C$5:$AA$496,14,)/VLOOKUP($D220,$C$5:$AA$496,4,))*$F220))</f>
        <v>8369.0903677200731</v>
      </c>
      <c r="Q220" s="27"/>
      <c r="R220" s="27">
        <f t="shared" ref="R220:R227" si="133">IF(VLOOKUP($D220,$C$5:$AA$496,16,)=0,0,((VLOOKUP($D220,$C$5:$AA$496,16,)/VLOOKUP($D220,$C$5:$AA$496,4,))*$F220))</f>
        <v>0</v>
      </c>
      <c r="S220" s="27">
        <f t="shared" ref="S220:S227" si="134">IF(VLOOKUP($D220,$C$5:$AA$496,17,)=0,0,((VLOOKUP($D220,$C$5:$AA$496,17,)/VLOOKUP($D220,$C$5:$AA$496,4,))*$F220))</f>
        <v>2581.470363087059</v>
      </c>
      <c r="T220" s="27"/>
      <c r="U220" s="27">
        <f t="shared" ref="U220:U227" si="135">IF(VLOOKUP($D220,$C$5:$AA$496,19,)=0,0,((VLOOKUP($D220,$C$5:$AA$496,19,)/VLOOKUP($D220,$C$5:$AA$496,4,))*$F220))</f>
        <v>2024.1584796777379</v>
      </c>
      <c r="V220" s="27"/>
      <c r="W220" s="27">
        <f t="shared" ref="W220:W227" si="136">IF(VLOOKUP($D220,$C$5:$AA$496,21,)=0,0,((VLOOKUP($D220,$C$5:$AA$496,21,)/VLOOKUP($D220,$C$5:$AA$496,4,))*$F220))</f>
        <v>1159.4758657458849</v>
      </c>
      <c r="X220" s="27"/>
      <c r="Y220" s="27">
        <f t="shared" ref="Y220:Y227" si="137">IF(VLOOKUP($D220,$C$5:$AA$496,23,)=0,0,((VLOOKUP($D220,$C$5:$AA$496,23,)/VLOOKUP($D220,$C$5:$AA$496,4,))*$F220))</f>
        <v>0</v>
      </c>
      <c r="Z220" s="27"/>
      <c r="AA220" s="27">
        <f t="shared" ref="AA220:AA227" si="138">IF(VLOOKUP($D220,$C$5:$AA$496,25,)=0,0,((VLOOKUP($D220,$C$5:$AA$496,25,)/VLOOKUP($D220,$C$5:$AA$496,4,))*$F220))</f>
        <v>0</v>
      </c>
      <c r="AB220" s="27">
        <f t="shared" ref="AB220:AB227" si="139">SUM(H220:AA220)</f>
        <v>34997.08</v>
      </c>
      <c r="AC220" s="22" t="str">
        <f t="shared" ref="AC220:AC227" si="140">IF(ABS(AB220-F220)&lt;1,"ok","err")</f>
        <v>ok</v>
      </c>
    </row>
    <row r="221" spans="1:29" x14ac:dyDescent="0.25">
      <c r="A221" s="14">
        <v>592</v>
      </c>
      <c r="B221" s="14" t="s">
        <v>122</v>
      </c>
      <c r="C221" s="14" t="s">
        <v>123</v>
      </c>
      <c r="D221" s="14" t="s">
        <v>23</v>
      </c>
      <c r="F221" s="110">
        <v>0</v>
      </c>
      <c r="G221" s="27"/>
      <c r="H221" s="27">
        <f t="shared" si="127"/>
        <v>0</v>
      </c>
      <c r="I221" s="27">
        <f t="shared" si="128"/>
        <v>0</v>
      </c>
      <c r="J221" s="27"/>
      <c r="K221" s="27">
        <f t="shared" si="129"/>
        <v>0</v>
      </c>
      <c r="L221" s="27"/>
      <c r="M221" s="27">
        <f t="shared" si="130"/>
        <v>0</v>
      </c>
      <c r="N221" s="27"/>
      <c r="O221" s="27">
        <f t="shared" si="131"/>
        <v>0</v>
      </c>
      <c r="P221" s="27">
        <f t="shared" si="132"/>
        <v>0</v>
      </c>
      <c r="Q221" s="27"/>
      <c r="R221" s="27">
        <f t="shared" si="133"/>
        <v>0</v>
      </c>
      <c r="S221" s="27">
        <f t="shared" si="134"/>
        <v>0</v>
      </c>
      <c r="T221" s="27"/>
      <c r="U221" s="27">
        <f t="shared" si="135"/>
        <v>0</v>
      </c>
      <c r="V221" s="27"/>
      <c r="W221" s="27">
        <f t="shared" si="136"/>
        <v>0</v>
      </c>
      <c r="X221" s="27"/>
      <c r="Y221" s="27">
        <f t="shared" si="137"/>
        <v>0</v>
      </c>
      <c r="Z221" s="27"/>
      <c r="AA221" s="27">
        <f t="shared" si="138"/>
        <v>0</v>
      </c>
      <c r="AB221" s="27">
        <f t="shared" si="139"/>
        <v>0</v>
      </c>
      <c r="AC221" s="22" t="str">
        <f t="shared" si="140"/>
        <v>ok</v>
      </c>
    </row>
    <row r="222" spans="1:29" x14ac:dyDescent="0.25">
      <c r="A222" s="14">
        <v>593</v>
      </c>
      <c r="B222" s="14" t="s">
        <v>124</v>
      </c>
      <c r="C222" s="14" t="s">
        <v>125</v>
      </c>
      <c r="D222" s="14" t="s">
        <v>29</v>
      </c>
      <c r="F222" s="110">
        <f>784969.92+1934951.35+430300.59+110356.37</f>
        <v>3260578.23</v>
      </c>
      <c r="G222" s="27"/>
      <c r="H222" s="27">
        <f t="shared" si="127"/>
        <v>0</v>
      </c>
      <c r="I222" s="27">
        <f t="shared" si="128"/>
        <v>0</v>
      </c>
      <c r="J222" s="27"/>
      <c r="K222" s="27">
        <f t="shared" si="129"/>
        <v>0</v>
      </c>
      <c r="L222" s="27"/>
      <c r="M222" s="27">
        <f t="shared" si="130"/>
        <v>0</v>
      </c>
      <c r="N222" s="27"/>
      <c r="O222" s="27">
        <f t="shared" si="131"/>
        <v>2651660.800900673</v>
      </c>
      <c r="P222" s="27">
        <f t="shared" si="132"/>
        <v>608917.42909932684</v>
      </c>
      <c r="Q222" s="27"/>
      <c r="R222" s="27">
        <f t="shared" si="133"/>
        <v>0</v>
      </c>
      <c r="S222" s="27">
        <f t="shared" si="134"/>
        <v>0</v>
      </c>
      <c r="T222" s="27"/>
      <c r="U222" s="27">
        <f t="shared" si="135"/>
        <v>0</v>
      </c>
      <c r="V222" s="27"/>
      <c r="W222" s="27">
        <f t="shared" si="136"/>
        <v>0</v>
      </c>
      <c r="X222" s="27"/>
      <c r="Y222" s="27">
        <f t="shared" si="137"/>
        <v>0</v>
      </c>
      <c r="Z222" s="27"/>
      <c r="AA222" s="27">
        <f t="shared" si="138"/>
        <v>0</v>
      </c>
      <c r="AB222" s="27">
        <f t="shared" si="139"/>
        <v>3260578.23</v>
      </c>
      <c r="AC222" s="22" t="str">
        <f t="shared" si="140"/>
        <v>ok</v>
      </c>
    </row>
    <row r="223" spans="1:29" x14ac:dyDescent="0.25">
      <c r="A223" s="14">
        <v>594</v>
      </c>
      <c r="B223" s="14" t="s">
        <v>126</v>
      </c>
      <c r="C223" s="14" t="s">
        <v>127</v>
      </c>
      <c r="D223" s="14" t="s">
        <v>35</v>
      </c>
      <c r="F223" s="110">
        <v>53483.77</v>
      </c>
      <c r="G223" s="27"/>
      <c r="H223" s="27">
        <f t="shared" si="127"/>
        <v>0</v>
      </c>
      <c r="I223" s="27">
        <f t="shared" si="128"/>
        <v>0</v>
      </c>
      <c r="J223" s="27"/>
      <c r="K223" s="27">
        <f t="shared" si="129"/>
        <v>0</v>
      </c>
      <c r="L223" s="27"/>
      <c r="M223" s="27">
        <f t="shared" si="130"/>
        <v>0</v>
      </c>
      <c r="N223" s="27"/>
      <c r="O223" s="27">
        <f t="shared" si="131"/>
        <v>35336.350080696509</v>
      </c>
      <c r="P223" s="27">
        <f t="shared" si="132"/>
        <v>18147.419919303491</v>
      </c>
      <c r="Q223" s="27"/>
      <c r="R223" s="27">
        <f t="shared" si="133"/>
        <v>0</v>
      </c>
      <c r="S223" s="27">
        <f t="shared" si="134"/>
        <v>0</v>
      </c>
      <c r="T223" s="27"/>
      <c r="U223" s="27">
        <f t="shared" si="135"/>
        <v>0</v>
      </c>
      <c r="V223" s="27"/>
      <c r="W223" s="27">
        <f t="shared" si="136"/>
        <v>0</v>
      </c>
      <c r="X223" s="27"/>
      <c r="Y223" s="27">
        <f t="shared" si="137"/>
        <v>0</v>
      </c>
      <c r="Z223" s="27"/>
      <c r="AA223" s="27">
        <f t="shared" si="138"/>
        <v>0</v>
      </c>
      <c r="AB223" s="27">
        <f t="shared" si="139"/>
        <v>53483.770000000004</v>
      </c>
      <c r="AC223" s="22" t="str">
        <f t="shared" si="140"/>
        <v>ok</v>
      </c>
    </row>
    <row r="224" spans="1:29" x14ac:dyDescent="0.25">
      <c r="A224" s="14">
        <v>595</v>
      </c>
      <c r="B224" s="14" t="s">
        <v>128</v>
      </c>
      <c r="C224" s="14" t="s">
        <v>129</v>
      </c>
      <c r="D224" s="14" t="s">
        <v>37</v>
      </c>
      <c r="F224" s="110">
        <f>316038.06</f>
        <v>316038.06</v>
      </c>
      <c r="G224" s="27"/>
      <c r="H224" s="27">
        <f t="shared" si="127"/>
        <v>0</v>
      </c>
      <c r="I224" s="27">
        <f t="shared" si="128"/>
        <v>0</v>
      </c>
      <c r="J224" s="27"/>
      <c r="K224" s="27">
        <f t="shared" si="129"/>
        <v>0</v>
      </c>
      <c r="L224" s="27"/>
      <c r="M224" s="27">
        <f t="shared" si="130"/>
        <v>0</v>
      </c>
      <c r="N224" s="27"/>
      <c r="O224" s="27">
        <f t="shared" si="131"/>
        <v>116876.37383887071</v>
      </c>
      <c r="P224" s="27">
        <f t="shared" si="132"/>
        <v>199161.6861611293</v>
      </c>
      <c r="Q224" s="27"/>
      <c r="R224" s="27">
        <f t="shared" si="133"/>
        <v>0</v>
      </c>
      <c r="S224" s="27">
        <f t="shared" si="134"/>
        <v>0</v>
      </c>
      <c r="T224" s="27"/>
      <c r="U224" s="27">
        <f t="shared" si="135"/>
        <v>0</v>
      </c>
      <c r="V224" s="27"/>
      <c r="W224" s="27">
        <f t="shared" si="136"/>
        <v>0</v>
      </c>
      <c r="X224" s="27"/>
      <c r="Y224" s="27">
        <f t="shared" si="137"/>
        <v>0</v>
      </c>
      <c r="Z224" s="27"/>
      <c r="AA224" s="27">
        <f t="shared" si="138"/>
        <v>0</v>
      </c>
      <c r="AB224" s="27">
        <f t="shared" si="139"/>
        <v>316038.06</v>
      </c>
      <c r="AC224" s="22" t="str">
        <f t="shared" si="140"/>
        <v>ok</v>
      </c>
    </row>
    <row r="225" spans="1:29" x14ac:dyDescent="0.25">
      <c r="A225" s="14">
        <v>596</v>
      </c>
      <c r="B225" s="14" t="s">
        <v>380</v>
      </c>
      <c r="C225" s="14" t="s">
        <v>381</v>
      </c>
      <c r="D225" s="14" t="s">
        <v>48</v>
      </c>
      <c r="F225" s="110">
        <v>0</v>
      </c>
      <c r="G225" s="27"/>
      <c r="H225" s="27">
        <f t="shared" si="127"/>
        <v>0</v>
      </c>
      <c r="I225" s="27">
        <f t="shared" si="128"/>
        <v>0</v>
      </c>
      <c r="J225" s="27"/>
      <c r="K225" s="27">
        <f t="shared" si="129"/>
        <v>0</v>
      </c>
      <c r="L225" s="27"/>
      <c r="M225" s="27">
        <f t="shared" si="130"/>
        <v>0</v>
      </c>
      <c r="N225" s="27"/>
      <c r="O225" s="27">
        <f t="shared" si="131"/>
        <v>0</v>
      </c>
      <c r="P225" s="27">
        <f t="shared" si="132"/>
        <v>0</v>
      </c>
      <c r="Q225" s="27"/>
      <c r="R225" s="27">
        <f t="shared" si="133"/>
        <v>0</v>
      </c>
      <c r="S225" s="27">
        <f t="shared" si="134"/>
        <v>0</v>
      </c>
      <c r="T225" s="27"/>
      <c r="U225" s="27">
        <f t="shared" si="135"/>
        <v>0</v>
      </c>
      <c r="V225" s="27"/>
      <c r="W225" s="27">
        <f t="shared" si="136"/>
        <v>0</v>
      </c>
      <c r="X225" s="27"/>
      <c r="Y225" s="27">
        <f t="shared" si="137"/>
        <v>0</v>
      </c>
      <c r="Z225" s="27"/>
      <c r="AA225" s="27">
        <f t="shared" si="138"/>
        <v>0</v>
      </c>
      <c r="AB225" s="27">
        <f t="shared" si="139"/>
        <v>0</v>
      </c>
      <c r="AC225" s="22" t="str">
        <f t="shared" si="140"/>
        <v>ok</v>
      </c>
    </row>
    <row r="226" spans="1:29" x14ac:dyDescent="0.25">
      <c r="A226" s="14">
        <v>597</v>
      </c>
      <c r="B226" s="14" t="s">
        <v>130</v>
      </c>
      <c r="C226" s="14" t="s">
        <v>131</v>
      </c>
      <c r="D226" s="14" t="s">
        <v>43</v>
      </c>
      <c r="F226" s="110">
        <v>11415.91</v>
      </c>
      <c r="G226" s="27"/>
      <c r="H226" s="27"/>
      <c r="I226" s="27">
        <f t="shared" si="128"/>
        <v>0</v>
      </c>
      <c r="J226" s="27"/>
      <c r="K226" s="27">
        <f t="shared" si="129"/>
        <v>0</v>
      </c>
      <c r="L226" s="27"/>
      <c r="M226" s="27">
        <f t="shared" si="130"/>
        <v>0</v>
      </c>
      <c r="N226" s="27"/>
      <c r="O226" s="27">
        <f t="shared" si="131"/>
        <v>0</v>
      </c>
      <c r="P226" s="27">
        <f t="shared" si="132"/>
        <v>0</v>
      </c>
      <c r="Q226" s="27"/>
      <c r="R226" s="27">
        <f t="shared" si="133"/>
        <v>0</v>
      </c>
      <c r="S226" s="27">
        <f t="shared" si="134"/>
        <v>0</v>
      </c>
      <c r="T226" s="27"/>
      <c r="U226" s="27">
        <f t="shared" si="135"/>
        <v>11415.91</v>
      </c>
      <c r="V226" s="27"/>
      <c r="W226" s="27">
        <f t="shared" si="136"/>
        <v>0</v>
      </c>
      <c r="X226" s="27"/>
      <c r="Y226" s="27">
        <f t="shared" si="137"/>
        <v>0</v>
      </c>
      <c r="Z226" s="27"/>
      <c r="AA226" s="27">
        <f t="shared" si="138"/>
        <v>0</v>
      </c>
      <c r="AB226" s="27">
        <f t="shared" si="139"/>
        <v>11415.91</v>
      </c>
      <c r="AC226" s="22" t="str">
        <f t="shared" si="140"/>
        <v>ok</v>
      </c>
    </row>
    <row r="227" spans="1:29" x14ac:dyDescent="0.25">
      <c r="A227" s="14">
        <v>598</v>
      </c>
      <c r="B227" s="14" t="s">
        <v>384</v>
      </c>
      <c r="C227" s="14" t="s">
        <v>132</v>
      </c>
      <c r="D227" s="14" t="s">
        <v>16</v>
      </c>
      <c r="F227" s="110">
        <v>91933.87</v>
      </c>
      <c r="G227" s="27"/>
      <c r="H227" s="27">
        <f t="shared" si="127"/>
        <v>0</v>
      </c>
      <c r="I227" s="27">
        <f t="shared" si="128"/>
        <v>0</v>
      </c>
      <c r="J227" s="27"/>
      <c r="K227" s="27">
        <f t="shared" si="129"/>
        <v>0</v>
      </c>
      <c r="L227" s="27"/>
      <c r="M227" s="27">
        <f t="shared" si="130"/>
        <v>0</v>
      </c>
      <c r="N227" s="27"/>
      <c r="O227" s="27">
        <f t="shared" si="131"/>
        <v>54804.736578216274</v>
      </c>
      <c r="P227" s="27">
        <f t="shared" si="132"/>
        <v>21984.773183483572</v>
      </c>
      <c r="Q227" s="27"/>
      <c r="R227" s="27">
        <f t="shared" si="133"/>
        <v>0</v>
      </c>
      <c r="S227" s="27">
        <f t="shared" si="134"/>
        <v>6781.2674877132167</v>
      </c>
      <c r="T227" s="27"/>
      <c r="U227" s="27">
        <f t="shared" si="135"/>
        <v>5317.2642554776221</v>
      </c>
      <c r="V227" s="27"/>
      <c r="W227" s="27">
        <f t="shared" si="136"/>
        <v>3045.8284951092955</v>
      </c>
      <c r="X227" s="27"/>
      <c r="Y227" s="27">
        <f t="shared" si="137"/>
        <v>0</v>
      </c>
      <c r="Z227" s="27"/>
      <c r="AA227" s="27">
        <f t="shared" si="138"/>
        <v>0</v>
      </c>
      <c r="AB227" s="27">
        <f t="shared" si="139"/>
        <v>91933.87</v>
      </c>
      <c r="AC227" s="22" t="str">
        <f t="shared" si="140"/>
        <v>ok</v>
      </c>
    </row>
    <row r="228" spans="1:29" x14ac:dyDescent="0.25">
      <c r="F228" s="110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2"/>
    </row>
    <row r="229" spans="1:29" x14ac:dyDescent="0.25">
      <c r="A229" s="14" t="s">
        <v>133</v>
      </c>
      <c r="C229" s="14" t="s">
        <v>134</v>
      </c>
      <c r="F229" s="119">
        <f t="shared" ref="F229:M229" si="141">SUM(F220:F228)</f>
        <v>3768446.9200000004</v>
      </c>
      <c r="G229" s="40"/>
      <c r="H229" s="40">
        <f t="shared" si="141"/>
        <v>0</v>
      </c>
      <c r="I229" s="40">
        <f t="shared" si="141"/>
        <v>0</v>
      </c>
      <c r="J229" s="40"/>
      <c r="K229" s="40">
        <f t="shared" si="141"/>
        <v>0</v>
      </c>
      <c r="L229" s="40"/>
      <c r="M229" s="40">
        <f t="shared" si="141"/>
        <v>0</v>
      </c>
      <c r="N229" s="40"/>
      <c r="O229" s="40">
        <f t="shared" ref="O229:AA229" si="142">SUM(O220:O228)</f>
        <v>2879541.1463222257</v>
      </c>
      <c r="P229" s="40">
        <f t="shared" si="142"/>
        <v>856580.39873096324</v>
      </c>
      <c r="Q229" s="40"/>
      <c r="R229" s="40">
        <f t="shared" si="142"/>
        <v>0</v>
      </c>
      <c r="S229" s="40">
        <f t="shared" si="142"/>
        <v>9362.7378508002766</v>
      </c>
      <c r="T229" s="40"/>
      <c r="U229" s="40">
        <f t="shared" si="142"/>
        <v>18757.33273515536</v>
      </c>
      <c r="V229" s="40"/>
      <c r="W229" s="40">
        <f t="shared" si="142"/>
        <v>4205.3043608551807</v>
      </c>
      <c r="X229" s="40"/>
      <c r="Y229" s="40">
        <f t="shared" si="142"/>
        <v>0</v>
      </c>
      <c r="Z229" s="40"/>
      <c r="AA229" s="40">
        <f t="shared" si="142"/>
        <v>0</v>
      </c>
      <c r="AB229" s="27">
        <f>SUM(H229:AA229)</f>
        <v>3768446.9199999995</v>
      </c>
      <c r="AC229" s="22" t="str">
        <f>IF(ABS(AB229-F229)&lt;1,"ok","err")</f>
        <v>ok</v>
      </c>
    </row>
    <row r="230" spans="1:29" x14ac:dyDescent="0.25">
      <c r="D230" s="2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C230" s="22"/>
    </row>
    <row r="231" spans="1:29" x14ac:dyDescent="0.25">
      <c r="A231" s="14" t="s">
        <v>382</v>
      </c>
      <c r="D231" s="24"/>
      <c r="F231" s="110">
        <f>F215+F229</f>
        <v>5597218.9800000004</v>
      </c>
      <c r="G231" s="27"/>
      <c r="H231" s="27">
        <f>H215+H229</f>
        <v>0</v>
      </c>
      <c r="I231" s="27">
        <f>I215+I229</f>
        <v>0</v>
      </c>
      <c r="J231" s="27"/>
      <c r="K231" s="27">
        <f>K215+K229</f>
        <v>0</v>
      </c>
      <c r="L231" s="27"/>
      <c r="M231" s="27">
        <f>M215+M229</f>
        <v>0</v>
      </c>
      <c r="N231" s="27"/>
      <c r="O231" s="27">
        <f>O215+O229</f>
        <v>3793653.0766418688</v>
      </c>
      <c r="P231" s="27">
        <f>P215+P229</f>
        <v>1212091.9440488755</v>
      </c>
      <c r="Q231" s="27"/>
      <c r="R231" s="27">
        <f>R215+R229</f>
        <v>0</v>
      </c>
      <c r="S231" s="27">
        <f>S215+S229</f>
        <v>110908.21951736479</v>
      </c>
      <c r="T231" s="27"/>
      <c r="U231" s="27">
        <f>U215+U229</f>
        <v>469211.0149832741</v>
      </c>
      <c r="V231" s="27"/>
      <c r="W231" s="27">
        <f>W215+W229</f>
        <v>11354.724808616615</v>
      </c>
      <c r="X231" s="27"/>
      <c r="Y231" s="27">
        <f>Y215+Y229</f>
        <v>0</v>
      </c>
      <c r="Z231" s="27"/>
      <c r="AA231" s="27">
        <f>AA215+AA229</f>
        <v>0</v>
      </c>
      <c r="AB231" s="27">
        <f>SUM(H231:AA231)</f>
        <v>5597218.9800000004</v>
      </c>
      <c r="AC231" s="22" t="str">
        <f>IF(ABS(AB231-F231)&lt;1,"ok","err")</f>
        <v>ok</v>
      </c>
    </row>
    <row r="232" spans="1:29" x14ac:dyDescent="0.25">
      <c r="F232" s="110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C232" s="22"/>
    </row>
    <row r="233" spans="1:29" x14ac:dyDescent="0.25">
      <c r="A233" s="14" t="s">
        <v>383</v>
      </c>
      <c r="F233" s="110">
        <f>F231+F199</f>
        <v>5597218.9800000004</v>
      </c>
      <c r="G233" s="27"/>
      <c r="H233" s="27">
        <f>H231+H199</f>
        <v>0</v>
      </c>
      <c r="I233" s="27">
        <f>I231+I199</f>
        <v>0</v>
      </c>
      <c r="J233" s="27"/>
      <c r="K233" s="27">
        <f>K231+K199</f>
        <v>0</v>
      </c>
      <c r="L233" s="27"/>
      <c r="M233" s="27">
        <f>M231+M199</f>
        <v>0</v>
      </c>
      <c r="N233" s="27"/>
      <c r="O233" s="27">
        <f>O231+O199</f>
        <v>3793653.0766418688</v>
      </c>
      <c r="P233" s="27">
        <f>P231+P199</f>
        <v>1212091.9440488755</v>
      </c>
      <c r="Q233" s="27"/>
      <c r="R233" s="27">
        <f>R231+R199</f>
        <v>0</v>
      </c>
      <c r="S233" s="27">
        <f>S231+S199</f>
        <v>110908.21951736479</v>
      </c>
      <c r="T233" s="27"/>
      <c r="U233" s="27">
        <f>U231+U199</f>
        <v>469211.0149832741</v>
      </c>
      <c r="V233" s="27"/>
      <c r="W233" s="27">
        <f>W231+W199</f>
        <v>11354.724808616615</v>
      </c>
      <c r="X233" s="27"/>
      <c r="Y233" s="27">
        <f>Y231+Y199</f>
        <v>0</v>
      </c>
      <c r="Z233" s="27"/>
      <c r="AA233" s="27">
        <f>AA231+AA199</f>
        <v>0</v>
      </c>
      <c r="AB233" s="27">
        <f>SUM(H233:AA233)</f>
        <v>5597218.9800000004</v>
      </c>
      <c r="AC233" s="22" t="str">
        <f>IF(ABS(AB233-F233)&lt;1,"ok","err")</f>
        <v>ok</v>
      </c>
    </row>
    <row r="234" spans="1:29" x14ac:dyDescent="0.25">
      <c r="F234" s="110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C234" s="22"/>
    </row>
    <row r="235" spans="1:29" x14ac:dyDescent="0.25">
      <c r="A235" s="14" t="s">
        <v>823</v>
      </c>
      <c r="F235" s="110">
        <f>F170+F199+F231</f>
        <v>5597218.9800000004</v>
      </c>
      <c r="G235" s="27"/>
      <c r="H235" s="27">
        <f>H170+H199+H231</f>
        <v>0</v>
      </c>
      <c r="I235" s="27">
        <f>I170+I199+I231</f>
        <v>0</v>
      </c>
      <c r="J235" s="27"/>
      <c r="K235" s="27">
        <f>K170+K199+K231</f>
        <v>0</v>
      </c>
      <c r="L235" s="27"/>
      <c r="M235" s="27">
        <f>M170+M199+M231</f>
        <v>0</v>
      </c>
      <c r="N235" s="27"/>
      <c r="O235" s="27">
        <f>O170+O199+O231</f>
        <v>3793653.0766418688</v>
      </c>
      <c r="P235" s="27">
        <f>P170+P199+P231</f>
        <v>1212091.9440488755</v>
      </c>
      <c r="Q235" s="27"/>
      <c r="R235" s="27">
        <f>R170+R199+R231</f>
        <v>0</v>
      </c>
      <c r="S235" s="27">
        <f>S170+S199+S231</f>
        <v>110908.21951736479</v>
      </c>
      <c r="T235" s="27"/>
      <c r="U235" s="27">
        <f>U170+U199+U231</f>
        <v>469211.0149832741</v>
      </c>
      <c r="V235" s="27"/>
      <c r="W235" s="27">
        <f>W170+W199+W231</f>
        <v>11354.724808616615</v>
      </c>
      <c r="X235" s="27"/>
      <c r="Y235" s="27">
        <f>Y170+Y199+Y231</f>
        <v>0</v>
      </c>
      <c r="Z235" s="27"/>
      <c r="AA235" s="27">
        <f>AA170+AA199+AA231</f>
        <v>0</v>
      </c>
      <c r="AB235" s="27">
        <f>SUM(H235:AA235)</f>
        <v>5597218.9800000004</v>
      </c>
      <c r="AC235" s="22" t="str">
        <f>IF(ABS(AB235-F235)&lt;1,"ok","err")</f>
        <v>ok</v>
      </c>
    </row>
    <row r="236" spans="1:29" x14ac:dyDescent="0.25">
      <c r="F236" s="110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C236" s="22"/>
    </row>
    <row r="237" spans="1:29" x14ac:dyDescent="0.25">
      <c r="A237" s="14" t="s">
        <v>822</v>
      </c>
      <c r="C237" s="14" t="s">
        <v>135</v>
      </c>
      <c r="F237" s="119">
        <f>F231+F199+F180+F170</f>
        <v>86224725.960000008</v>
      </c>
      <c r="G237" s="40"/>
      <c r="H237" s="40">
        <f>H231+H199+H180+H170</f>
        <v>15694350.815808589</v>
      </c>
      <c r="I237" s="40">
        <f>I231+I199+I180+I170</f>
        <v>64933156.164191425</v>
      </c>
      <c r="J237" s="40"/>
      <c r="K237" s="40">
        <f>K231+K199+K180+K170</f>
        <v>0</v>
      </c>
      <c r="L237" s="40"/>
      <c r="M237" s="40">
        <f>M231+M199+M180+M170</f>
        <v>0</v>
      </c>
      <c r="N237" s="40"/>
      <c r="O237" s="40">
        <f>O231+O199+O180+O170</f>
        <v>3793653.0766418688</v>
      </c>
      <c r="P237" s="40">
        <f>P231+P199+P180+P170</f>
        <v>1212091.9440488755</v>
      </c>
      <c r="Q237" s="40"/>
      <c r="R237" s="40">
        <f>R231+R199+R180+R170</f>
        <v>0</v>
      </c>
      <c r="S237" s="40">
        <f>S231+S199+S180+S170</f>
        <v>110908.21951736479</v>
      </c>
      <c r="T237" s="40"/>
      <c r="U237" s="40">
        <f>U231+U199+U180+U170</f>
        <v>469211.0149832741</v>
      </c>
      <c r="V237" s="40"/>
      <c r="W237" s="40">
        <f>W231+W199+W180+W170</f>
        <v>11354.724808616615</v>
      </c>
      <c r="X237" s="40"/>
      <c r="Y237" s="40">
        <f>Y231+Y199+Y180+Y170</f>
        <v>0</v>
      </c>
      <c r="Z237" s="40"/>
      <c r="AA237" s="40">
        <f>AA231+AA199+AA180+AA170</f>
        <v>0</v>
      </c>
      <c r="AB237" s="27">
        <f>SUM(H237:AA237)</f>
        <v>86224725.960000038</v>
      </c>
      <c r="AC237" s="22" t="str">
        <f>IF(ABS(AB237-F237)&lt;1,"ok","err")</f>
        <v>ok</v>
      </c>
    </row>
    <row r="238" spans="1:29" x14ac:dyDescent="0.25">
      <c r="A238" s="13"/>
      <c r="F238" s="110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C238" s="22"/>
    </row>
    <row r="239" spans="1:29" x14ac:dyDescent="0.25">
      <c r="A239" s="13" t="s">
        <v>137</v>
      </c>
      <c r="F239" s="110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C239" s="22"/>
    </row>
    <row r="240" spans="1:29" x14ac:dyDescent="0.25">
      <c r="A240" s="14">
        <v>901</v>
      </c>
      <c r="B240" s="14" t="s">
        <v>138</v>
      </c>
      <c r="C240" s="14" t="s">
        <v>139</v>
      </c>
      <c r="D240" s="14" t="s">
        <v>140</v>
      </c>
      <c r="F240" s="119">
        <v>70503.28</v>
      </c>
      <c r="G240" s="40"/>
      <c r="H240" s="27">
        <f>IF(VLOOKUP($D240,$C$5:$AA$496,6,)=0,0,((VLOOKUP($D240,$C$5:$AA$496,6,)/VLOOKUP($D240,$C$5:$AA$496,4,))*$F240))</f>
        <v>0</v>
      </c>
      <c r="I240" s="27">
        <f>IF(VLOOKUP($D240,$C$5:$AA$496,7,)=0,0,((VLOOKUP($D240,$C$5:$AA$496,7,)/VLOOKUP($D240,$C$5:$AA$496,4,))*$F240))</f>
        <v>0</v>
      </c>
      <c r="J240" s="27"/>
      <c r="K240" s="27">
        <f>IF(VLOOKUP($D240,$C$5:$AA$496,9,)=0,0,((VLOOKUP($D240,$C$5:$AA$496,9,)/VLOOKUP($D240,$C$5:$AA$496,4,))*$F240))</f>
        <v>0</v>
      </c>
      <c r="L240" s="27"/>
      <c r="M240" s="27">
        <f>IF(VLOOKUP($D240,$C$5:$AA$496,11,)=0,0,((VLOOKUP($D240,$C$5:$AA$496,11,)/VLOOKUP($D240,$C$5:$AA$496,4,))*$F240))</f>
        <v>0</v>
      </c>
      <c r="N240" s="27"/>
      <c r="O240" s="27">
        <f>IF(VLOOKUP($D240,$C$5:$AA$496,13,)=0,0,((VLOOKUP($D240,$C$5:$AA$496,13,)/VLOOKUP($D240,$C$5:$AA$496,4,))*$F240))</f>
        <v>0</v>
      </c>
      <c r="P240" s="27">
        <f>IF(VLOOKUP($D240,$C$5:$AA$496,14,)=0,0,((VLOOKUP($D240,$C$5:$AA$496,14,)/VLOOKUP($D240,$C$5:$AA$496,4,))*$F240))</f>
        <v>0</v>
      </c>
      <c r="Q240" s="27"/>
      <c r="R240" s="27">
        <f>IF(VLOOKUP($D240,$C$5:$AA$496,16,)=0,0,((VLOOKUP($D240,$C$5:$AA$496,16,)/VLOOKUP($D240,$C$5:$AA$496,4,))*$F240))</f>
        <v>0</v>
      </c>
      <c r="S240" s="27">
        <f>IF(VLOOKUP($D240,$C$5:$AA$496,17,)=0,0,((VLOOKUP($D240,$C$5:$AA$496,17,)/VLOOKUP($D240,$C$5:$AA$496,4,))*$F240))</f>
        <v>0</v>
      </c>
      <c r="T240" s="27"/>
      <c r="U240" s="27">
        <f>IF(VLOOKUP($D240,$C$5:$AA$496,19,)=0,0,((VLOOKUP($D240,$C$5:$AA$496,19,)/VLOOKUP($D240,$C$5:$AA$496,4,))*$F240))</f>
        <v>0</v>
      </c>
      <c r="V240" s="27"/>
      <c r="W240" s="27">
        <f>IF(VLOOKUP($D240,$C$5:$AA$496,21,)=0,0,((VLOOKUP($D240,$C$5:$AA$496,21,)/VLOOKUP($D240,$C$5:$AA$496,4,))*$F240))</f>
        <v>0</v>
      </c>
      <c r="X240" s="27"/>
      <c r="Y240" s="27">
        <f>IF(VLOOKUP($D240,$C$5:$AA$496,23,)=0,0,((VLOOKUP($D240,$C$5:$AA$496,23,)/VLOOKUP($D240,$C$5:$AA$496,4,))*$F240))</f>
        <v>70503.28</v>
      </c>
      <c r="Z240" s="27"/>
      <c r="AA240" s="27">
        <f>IF(VLOOKUP($D240,$C$5:$AA$496,25,)=0,0,((VLOOKUP($D240,$C$5:$AA$496,25,)/VLOOKUP($D240,$C$5:$AA$496,4,))*$F240))</f>
        <v>0</v>
      </c>
      <c r="AB240" s="27">
        <f>SUM(H240:AA240)</f>
        <v>70503.28</v>
      </c>
      <c r="AC240" s="22" t="str">
        <f>IF(ABS(AB240-F240)&lt;1,"ok","err")</f>
        <v>ok</v>
      </c>
    </row>
    <row r="241" spans="1:29" x14ac:dyDescent="0.25">
      <c r="A241" s="14">
        <v>902</v>
      </c>
      <c r="B241" s="14" t="s">
        <v>141</v>
      </c>
      <c r="C241" s="14" t="s">
        <v>142</v>
      </c>
      <c r="D241" s="14" t="s">
        <v>140</v>
      </c>
      <c r="F241" s="110">
        <v>58727.6</v>
      </c>
      <c r="G241" s="27"/>
      <c r="H241" s="27">
        <f>IF(VLOOKUP($D241,$C$5:$AA$496,6,)=0,0,((VLOOKUP($D241,$C$5:$AA$496,6,)/VLOOKUP($D241,$C$5:$AA$496,4,))*$F241))</f>
        <v>0</v>
      </c>
      <c r="I241" s="27">
        <f>IF(VLOOKUP($D241,$C$5:$AA$496,7,)=0,0,((VLOOKUP($D241,$C$5:$AA$496,7,)/VLOOKUP($D241,$C$5:$AA$496,4,))*$F241))</f>
        <v>0</v>
      </c>
      <c r="J241" s="27"/>
      <c r="K241" s="27">
        <f>IF(VLOOKUP($D241,$C$5:$AA$496,9,)=0,0,((VLOOKUP($D241,$C$5:$AA$496,9,)/VLOOKUP($D241,$C$5:$AA$496,4,))*$F241))</f>
        <v>0</v>
      </c>
      <c r="L241" s="27"/>
      <c r="M241" s="27">
        <f>IF(VLOOKUP($D241,$C$5:$AA$496,11,)=0,0,((VLOOKUP($D241,$C$5:$AA$496,11,)/VLOOKUP($D241,$C$5:$AA$496,4,))*$F241))</f>
        <v>0</v>
      </c>
      <c r="N241" s="27"/>
      <c r="O241" s="27">
        <f>IF(VLOOKUP($D241,$C$5:$AA$496,13,)=0,0,((VLOOKUP($D241,$C$5:$AA$496,13,)/VLOOKUP($D241,$C$5:$AA$496,4,))*$F241))</f>
        <v>0</v>
      </c>
      <c r="P241" s="27">
        <f>IF(VLOOKUP($D241,$C$5:$AA$496,14,)=0,0,((VLOOKUP($D241,$C$5:$AA$496,14,)/VLOOKUP($D241,$C$5:$AA$496,4,))*$F241))</f>
        <v>0</v>
      </c>
      <c r="Q241" s="27"/>
      <c r="R241" s="27">
        <f>IF(VLOOKUP($D241,$C$5:$AA$496,16,)=0,0,((VLOOKUP($D241,$C$5:$AA$496,16,)/VLOOKUP($D241,$C$5:$AA$496,4,))*$F241))</f>
        <v>0</v>
      </c>
      <c r="S241" s="27">
        <f>IF(VLOOKUP($D241,$C$5:$AA$496,17,)=0,0,((VLOOKUP($D241,$C$5:$AA$496,17,)/VLOOKUP($D241,$C$5:$AA$496,4,))*$F241))</f>
        <v>0</v>
      </c>
      <c r="T241" s="27"/>
      <c r="U241" s="27">
        <f>IF(VLOOKUP($D241,$C$5:$AA$496,19,)=0,0,((VLOOKUP($D241,$C$5:$AA$496,19,)/VLOOKUP($D241,$C$5:$AA$496,4,))*$F241))</f>
        <v>0</v>
      </c>
      <c r="V241" s="27"/>
      <c r="W241" s="27">
        <f>IF(VLOOKUP($D241,$C$5:$AA$496,21,)=0,0,((VLOOKUP($D241,$C$5:$AA$496,21,)/VLOOKUP($D241,$C$5:$AA$496,4,))*$F241))</f>
        <v>0</v>
      </c>
      <c r="X241" s="27"/>
      <c r="Y241" s="27">
        <f>IF(VLOOKUP($D241,$C$5:$AA$496,23,)=0,0,((VLOOKUP($D241,$C$5:$AA$496,23,)/VLOOKUP($D241,$C$5:$AA$496,4,))*$F241))</f>
        <v>58727.6</v>
      </c>
      <c r="Z241" s="27"/>
      <c r="AA241" s="27">
        <f>IF(VLOOKUP($D241,$C$5:$AA$496,25,)=0,0,((VLOOKUP($D241,$C$5:$AA$496,25,)/VLOOKUP($D241,$C$5:$AA$496,4,))*$F241))</f>
        <v>0</v>
      </c>
      <c r="AB241" s="27">
        <f>SUM(H241:AA241)</f>
        <v>58727.6</v>
      </c>
      <c r="AC241" s="22" t="str">
        <f>IF(ABS(AB241-F241)&lt;1,"ok","err")</f>
        <v>ok</v>
      </c>
    </row>
    <row r="242" spans="1:29" x14ac:dyDescent="0.25">
      <c r="A242" s="14">
        <v>903</v>
      </c>
      <c r="B242" s="14" t="s">
        <v>452</v>
      </c>
      <c r="C242" s="14" t="s">
        <v>143</v>
      </c>
      <c r="D242" s="14" t="s">
        <v>140</v>
      </c>
      <c r="F242" s="110">
        <f>1231088.88+9+23025.86</f>
        <v>1254123.74</v>
      </c>
      <c r="G242" s="27"/>
      <c r="H242" s="27">
        <f>IF(VLOOKUP($D242,$C$5:$AA$496,6,)=0,0,((VLOOKUP($D242,$C$5:$AA$496,6,)/VLOOKUP($D242,$C$5:$AA$496,4,))*$F242))</f>
        <v>0</v>
      </c>
      <c r="I242" s="27">
        <f>IF(VLOOKUP($D242,$C$5:$AA$496,7,)=0,0,((VLOOKUP($D242,$C$5:$AA$496,7,)/VLOOKUP($D242,$C$5:$AA$496,4,))*$F242))</f>
        <v>0</v>
      </c>
      <c r="J242" s="27"/>
      <c r="K242" s="27">
        <f>IF(VLOOKUP($D242,$C$5:$AA$496,9,)=0,0,((VLOOKUP($D242,$C$5:$AA$496,9,)/VLOOKUP($D242,$C$5:$AA$496,4,))*$F242))</f>
        <v>0</v>
      </c>
      <c r="L242" s="27"/>
      <c r="M242" s="27">
        <f>IF(VLOOKUP($D242,$C$5:$AA$496,11,)=0,0,((VLOOKUP($D242,$C$5:$AA$496,11,)/VLOOKUP($D242,$C$5:$AA$496,4,))*$F242))</f>
        <v>0</v>
      </c>
      <c r="N242" s="27"/>
      <c r="O242" s="27">
        <f>IF(VLOOKUP($D242,$C$5:$AA$496,13,)=0,0,((VLOOKUP($D242,$C$5:$AA$496,13,)/VLOOKUP($D242,$C$5:$AA$496,4,))*$F242))</f>
        <v>0</v>
      </c>
      <c r="P242" s="27">
        <f>IF(VLOOKUP($D242,$C$5:$AA$496,14,)=0,0,((VLOOKUP($D242,$C$5:$AA$496,14,)/VLOOKUP($D242,$C$5:$AA$496,4,))*$F242))</f>
        <v>0</v>
      </c>
      <c r="Q242" s="27"/>
      <c r="R242" s="27">
        <f>IF(VLOOKUP($D242,$C$5:$AA$496,16,)=0,0,((VLOOKUP($D242,$C$5:$AA$496,16,)/VLOOKUP($D242,$C$5:$AA$496,4,))*$F242))</f>
        <v>0</v>
      </c>
      <c r="S242" s="27">
        <f>IF(VLOOKUP($D242,$C$5:$AA$496,17,)=0,0,((VLOOKUP($D242,$C$5:$AA$496,17,)/VLOOKUP($D242,$C$5:$AA$496,4,))*$F242))</f>
        <v>0</v>
      </c>
      <c r="T242" s="27"/>
      <c r="U242" s="27">
        <f>IF(VLOOKUP($D242,$C$5:$AA$496,19,)=0,0,((VLOOKUP($D242,$C$5:$AA$496,19,)/VLOOKUP($D242,$C$5:$AA$496,4,))*$F242))</f>
        <v>0</v>
      </c>
      <c r="V242" s="27"/>
      <c r="W242" s="27">
        <f>IF(VLOOKUP($D242,$C$5:$AA$496,21,)=0,0,((VLOOKUP($D242,$C$5:$AA$496,21,)/VLOOKUP($D242,$C$5:$AA$496,4,))*$F242))</f>
        <v>0</v>
      </c>
      <c r="X242" s="27"/>
      <c r="Y242" s="27">
        <f>IF(VLOOKUP($D242,$C$5:$AA$496,23,)=0,0,((VLOOKUP($D242,$C$5:$AA$496,23,)/VLOOKUP($D242,$C$5:$AA$496,4,))*$F242))</f>
        <v>1254123.74</v>
      </c>
      <c r="Z242" s="27"/>
      <c r="AA242" s="27">
        <f>IF(VLOOKUP($D242,$C$5:$AA$496,25,)=0,0,((VLOOKUP($D242,$C$5:$AA$496,25,)/VLOOKUP($D242,$C$5:$AA$496,4,))*$F242))</f>
        <v>0</v>
      </c>
      <c r="AB242" s="27">
        <f>SUM(H242:AA242)</f>
        <v>1254123.74</v>
      </c>
      <c r="AC242" s="22" t="str">
        <f>IF(ABS(AB242-F242)&lt;1,"ok","err")</f>
        <v>ok</v>
      </c>
    </row>
    <row r="243" spans="1:29" x14ac:dyDescent="0.25">
      <c r="A243" s="14">
        <v>904</v>
      </c>
      <c r="B243" s="14" t="s">
        <v>144</v>
      </c>
      <c r="C243" s="14" t="s">
        <v>145</v>
      </c>
      <c r="D243" s="14" t="s">
        <v>140</v>
      </c>
      <c r="F243" s="110">
        <v>31139.07</v>
      </c>
      <c r="G243" s="27"/>
      <c r="H243" s="27">
        <f>IF(VLOOKUP($D243,$C$5:$AA$496,6,)=0,0,((VLOOKUP($D243,$C$5:$AA$496,6,)/VLOOKUP($D243,$C$5:$AA$496,4,))*$F243))</f>
        <v>0</v>
      </c>
      <c r="I243" s="27">
        <f>IF(VLOOKUP($D243,$C$5:$AA$496,7,)=0,0,((VLOOKUP($D243,$C$5:$AA$496,7,)/VLOOKUP($D243,$C$5:$AA$496,4,))*$F243))</f>
        <v>0</v>
      </c>
      <c r="J243" s="27"/>
      <c r="K243" s="27">
        <f>IF(VLOOKUP($D243,$C$5:$AA$496,9,)=0,0,((VLOOKUP($D243,$C$5:$AA$496,9,)/VLOOKUP($D243,$C$5:$AA$496,4,))*$F243))</f>
        <v>0</v>
      </c>
      <c r="L243" s="27"/>
      <c r="M243" s="27">
        <f>IF(VLOOKUP($D243,$C$5:$AA$496,11,)=0,0,((VLOOKUP($D243,$C$5:$AA$496,11,)/VLOOKUP($D243,$C$5:$AA$496,4,))*$F243))</f>
        <v>0</v>
      </c>
      <c r="N243" s="27"/>
      <c r="O243" s="27">
        <f>IF(VLOOKUP($D243,$C$5:$AA$496,13,)=0,0,((VLOOKUP($D243,$C$5:$AA$496,13,)/VLOOKUP($D243,$C$5:$AA$496,4,))*$F243))</f>
        <v>0</v>
      </c>
      <c r="P243" s="27">
        <f>IF(VLOOKUP($D243,$C$5:$AA$496,14,)=0,0,((VLOOKUP($D243,$C$5:$AA$496,14,)/VLOOKUP($D243,$C$5:$AA$496,4,))*$F243))</f>
        <v>0</v>
      </c>
      <c r="Q243" s="27"/>
      <c r="R243" s="27">
        <f>IF(VLOOKUP($D243,$C$5:$AA$496,16,)=0,0,((VLOOKUP($D243,$C$5:$AA$496,16,)/VLOOKUP($D243,$C$5:$AA$496,4,))*$F243))</f>
        <v>0</v>
      </c>
      <c r="S243" s="27">
        <f>IF(VLOOKUP($D243,$C$5:$AA$496,17,)=0,0,((VLOOKUP($D243,$C$5:$AA$496,17,)/VLOOKUP($D243,$C$5:$AA$496,4,))*$F243))</f>
        <v>0</v>
      </c>
      <c r="T243" s="27"/>
      <c r="U243" s="27">
        <f>IF(VLOOKUP($D243,$C$5:$AA$496,19,)=0,0,((VLOOKUP($D243,$C$5:$AA$496,19,)/VLOOKUP($D243,$C$5:$AA$496,4,))*$F243))</f>
        <v>0</v>
      </c>
      <c r="V243" s="27"/>
      <c r="W243" s="27">
        <f>IF(VLOOKUP($D243,$C$5:$AA$496,21,)=0,0,((VLOOKUP($D243,$C$5:$AA$496,21,)/VLOOKUP($D243,$C$5:$AA$496,4,))*$F243))</f>
        <v>0</v>
      </c>
      <c r="X243" s="27"/>
      <c r="Y243" s="27">
        <f>IF(VLOOKUP($D243,$C$5:$AA$496,23,)=0,0,((VLOOKUP($D243,$C$5:$AA$496,23,)/VLOOKUP($D243,$C$5:$AA$496,4,))*$F243))</f>
        <v>31139.07</v>
      </c>
      <c r="Z243" s="27"/>
      <c r="AA243" s="27">
        <f>IF(VLOOKUP($D243,$C$5:$AA$496,25,)=0,0,((VLOOKUP($D243,$C$5:$AA$496,25,)/VLOOKUP($D243,$C$5:$AA$496,4,))*$F243))</f>
        <v>0</v>
      </c>
      <c r="AB243" s="27">
        <f>SUM(H243:AA243)</f>
        <v>31139.07</v>
      </c>
      <c r="AC243" s="22" t="str">
        <f>IF(ABS(AB243-F243)&lt;1,"ok","err")</f>
        <v>ok</v>
      </c>
    </row>
    <row r="244" spans="1:29" x14ac:dyDescent="0.25">
      <c r="A244" s="14">
        <v>905</v>
      </c>
      <c r="B244" s="14" t="s">
        <v>453</v>
      </c>
      <c r="C244" s="14" t="s">
        <v>143</v>
      </c>
      <c r="D244" s="14" t="s">
        <v>140</v>
      </c>
      <c r="F244" s="110">
        <v>0</v>
      </c>
      <c r="G244" s="27"/>
      <c r="H244" s="27">
        <f>IF(VLOOKUP($D244,$C$5:$AA$496,6,)=0,0,((VLOOKUP($D244,$C$5:$AA$496,6,)/VLOOKUP($D244,$C$5:$AA$496,4,))*$F244))</f>
        <v>0</v>
      </c>
      <c r="I244" s="27">
        <f>IF(VLOOKUP($D244,$C$5:$AA$496,7,)=0,0,((VLOOKUP($D244,$C$5:$AA$496,7,)/VLOOKUP($D244,$C$5:$AA$496,4,))*$F244))</f>
        <v>0</v>
      </c>
      <c r="J244" s="27"/>
      <c r="K244" s="27">
        <f>IF(VLOOKUP($D244,$C$5:$AA$496,9,)=0,0,((VLOOKUP($D244,$C$5:$AA$496,9,)/VLOOKUP($D244,$C$5:$AA$496,4,))*$F244))</f>
        <v>0</v>
      </c>
      <c r="L244" s="27"/>
      <c r="M244" s="27">
        <f>IF(VLOOKUP($D244,$C$5:$AA$496,11,)=0,0,((VLOOKUP($D244,$C$5:$AA$496,11,)/VLOOKUP($D244,$C$5:$AA$496,4,))*$F244))</f>
        <v>0</v>
      </c>
      <c r="N244" s="27"/>
      <c r="O244" s="27">
        <f>IF(VLOOKUP($D244,$C$5:$AA$496,13,)=0,0,((VLOOKUP($D244,$C$5:$AA$496,13,)/VLOOKUP($D244,$C$5:$AA$496,4,))*$F244))</f>
        <v>0</v>
      </c>
      <c r="P244" s="27">
        <f>IF(VLOOKUP($D244,$C$5:$AA$496,14,)=0,0,((VLOOKUP($D244,$C$5:$AA$496,14,)/VLOOKUP($D244,$C$5:$AA$496,4,))*$F244))</f>
        <v>0</v>
      </c>
      <c r="Q244" s="27"/>
      <c r="R244" s="27">
        <f>IF(VLOOKUP($D244,$C$5:$AA$496,16,)=0,0,((VLOOKUP($D244,$C$5:$AA$496,16,)/VLOOKUP($D244,$C$5:$AA$496,4,))*$F244))</f>
        <v>0</v>
      </c>
      <c r="S244" s="27">
        <f>IF(VLOOKUP($D244,$C$5:$AA$496,17,)=0,0,((VLOOKUP($D244,$C$5:$AA$496,17,)/VLOOKUP($D244,$C$5:$AA$496,4,))*$F244))</f>
        <v>0</v>
      </c>
      <c r="T244" s="27"/>
      <c r="U244" s="27">
        <f>IF(VLOOKUP($D244,$C$5:$AA$496,19,)=0,0,((VLOOKUP($D244,$C$5:$AA$496,19,)/VLOOKUP($D244,$C$5:$AA$496,4,))*$F244))</f>
        <v>0</v>
      </c>
      <c r="V244" s="27"/>
      <c r="W244" s="27">
        <f>IF(VLOOKUP($D244,$C$5:$AA$496,21,)=0,0,((VLOOKUP($D244,$C$5:$AA$496,21,)/VLOOKUP($D244,$C$5:$AA$496,4,))*$F244))</f>
        <v>0</v>
      </c>
      <c r="X244" s="27"/>
      <c r="Y244" s="27">
        <f>IF(VLOOKUP($D244,$C$5:$AA$496,23,)=0,0,((VLOOKUP($D244,$C$5:$AA$496,23,)/VLOOKUP($D244,$C$5:$AA$496,4,))*$F244))</f>
        <v>0</v>
      </c>
      <c r="Z244" s="27"/>
      <c r="AA244" s="27">
        <f>IF(VLOOKUP($D244,$C$5:$AA$496,25,)=0,0,((VLOOKUP($D244,$C$5:$AA$496,25,)/VLOOKUP($D244,$C$5:$AA$496,4,))*$F244))</f>
        <v>0</v>
      </c>
      <c r="AB244" s="27">
        <f>SUM(H244:AA244)</f>
        <v>0</v>
      </c>
      <c r="AC244" s="22" t="str">
        <f>IF(ABS(AB244-F244)&lt;1,"ok","err")</f>
        <v>ok</v>
      </c>
    </row>
    <row r="245" spans="1:29" x14ac:dyDescent="0.25">
      <c r="A245" s="13"/>
      <c r="F245" s="110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2"/>
    </row>
    <row r="246" spans="1:29" x14ac:dyDescent="0.25">
      <c r="A246" s="14" t="s">
        <v>146</v>
      </c>
      <c r="C246" s="14" t="s">
        <v>147</v>
      </c>
      <c r="F246" s="119">
        <f>SUM(F240:F245)</f>
        <v>1414493.6900000002</v>
      </c>
      <c r="G246" s="40"/>
      <c r="H246" s="40">
        <f t="shared" ref="H246:W246" si="143">SUM(H240:H245)</f>
        <v>0</v>
      </c>
      <c r="I246" s="40">
        <f t="shared" si="143"/>
        <v>0</v>
      </c>
      <c r="J246" s="40"/>
      <c r="K246" s="40">
        <f t="shared" si="143"/>
        <v>0</v>
      </c>
      <c r="L246" s="40"/>
      <c r="M246" s="40">
        <f t="shared" si="143"/>
        <v>0</v>
      </c>
      <c r="N246" s="40"/>
      <c r="O246" s="40">
        <f t="shared" si="143"/>
        <v>0</v>
      </c>
      <c r="P246" s="40">
        <f t="shared" si="143"/>
        <v>0</v>
      </c>
      <c r="Q246" s="40"/>
      <c r="R246" s="40"/>
      <c r="S246" s="40">
        <f t="shared" si="143"/>
        <v>0</v>
      </c>
      <c r="T246" s="40"/>
      <c r="U246" s="40">
        <f t="shared" si="143"/>
        <v>0</v>
      </c>
      <c r="V246" s="40"/>
      <c r="W246" s="40">
        <f t="shared" si="143"/>
        <v>0</v>
      </c>
      <c r="X246" s="40"/>
      <c r="Y246" s="40">
        <f>SUM(Y240:Y245)</f>
        <v>1414493.6900000002</v>
      </c>
      <c r="Z246" s="40"/>
      <c r="AA246" s="40">
        <f>SUM(AA240:AA245)</f>
        <v>0</v>
      </c>
      <c r="AB246" s="27">
        <f>SUM(H246:AA246)</f>
        <v>1414493.6900000002</v>
      </c>
      <c r="AC246" s="22" t="str">
        <f>IF(ABS(AB246-F246)&lt;1,"ok","err")</f>
        <v>ok</v>
      </c>
    </row>
    <row r="247" spans="1:29" x14ac:dyDescent="0.25">
      <c r="F247" s="110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C247" s="22"/>
    </row>
    <row r="248" spans="1:29" x14ac:dyDescent="0.25">
      <c r="A248" s="13" t="s">
        <v>148</v>
      </c>
      <c r="F248" s="110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C248" s="22"/>
    </row>
    <row r="249" spans="1:29" x14ac:dyDescent="0.25">
      <c r="A249" s="14">
        <v>907</v>
      </c>
      <c r="B249" s="14" t="s">
        <v>385</v>
      </c>
      <c r="C249" s="14" t="s">
        <v>149</v>
      </c>
      <c r="D249" s="14" t="s">
        <v>150</v>
      </c>
      <c r="F249" s="119">
        <v>50755.57</v>
      </c>
      <c r="G249" s="40"/>
      <c r="H249" s="27">
        <f t="shared" ref="H249:H260" si="144">IF(VLOOKUP($D249,$C$5:$AA$496,6,)=0,0,((VLOOKUP($D249,$C$5:$AA$496,6,)/VLOOKUP($D249,$C$5:$AA$496,4,))*$F249))</f>
        <v>0</v>
      </c>
      <c r="I249" s="27">
        <f t="shared" ref="I249:I260" si="145">IF(VLOOKUP($D249,$C$5:$AA$496,7,)=0,0,((VLOOKUP($D249,$C$5:$AA$496,7,)/VLOOKUP($D249,$C$5:$AA$496,4,))*$F249))</f>
        <v>0</v>
      </c>
      <c r="J249" s="27"/>
      <c r="K249" s="27">
        <f t="shared" ref="K249:K260" si="146">IF(VLOOKUP($D249,$C$5:$AA$496,9,)=0,0,((VLOOKUP($D249,$C$5:$AA$496,9,)/VLOOKUP($D249,$C$5:$AA$496,4,))*$F249))</f>
        <v>0</v>
      </c>
      <c r="L249" s="27"/>
      <c r="M249" s="27">
        <f t="shared" ref="M249:M260" si="147">IF(VLOOKUP($D249,$C$5:$AA$496,11,)=0,0,((VLOOKUP($D249,$C$5:$AA$496,11,)/VLOOKUP($D249,$C$5:$AA$496,4,))*$F249))</f>
        <v>0</v>
      </c>
      <c r="N249" s="27"/>
      <c r="O249" s="27">
        <f t="shared" ref="O249:O260" si="148">IF(VLOOKUP($D249,$C$5:$AA$496,13,)=0,0,((VLOOKUP($D249,$C$5:$AA$496,13,)/VLOOKUP($D249,$C$5:$AA$496,4,))*$F249))</f>
        <v>0</v>
      </c>
      <c r="P249" s="27">
        <f t="shared" ref="P249:P260" si="149">IF(VLOOKUP($D249,$C$5:$AA$496,14,)=0,0,((VLOOKUP($D249,$C$5:$AA$496,14,)/VLOOKUP($D249,$C$5:$AA$496,4,))*$F249))</f>
        <v>0</v>
      </c>
      <c r="Q249" s="27"/>
      <c r="R249" s="27">
        <f t="shared" ref="R249:R260" si="150">IF(VLOOKUP($D249,$C$5:$AA$496,16,)=0,0,((VLOOKUP($D249,$C$5:$AA$496,16,)/VLOOKUP($D249,$C$5:$AA$496,4,))*$F249))</f>
        <v>0</v>
      </c>
      <c r="S249" s="27">
        <f t="shared" ref="S249:S260" si="151">IF(VLOOKUP($D249,$C$5:$AA$496,17,)=0,0,((VLOOKUP($D249,$C$5:$AA$496,17,)/VLOOKUP($D249,$C$5:$AA$496,4,))*$F249))</f>
        <v>0</v>
      </c>
      <c r="T249" s="27"/>
      <c r="U249" s="27">
        <f t="shared" ref="U249:U260" si="152">IF(VLOOKUP($D249,$C$5:$AA$496,19,)=0,0,((VLOOKUP($D249,$C$5:$AA$496,19,)/VLOOKUP($D249,$C$5:$AA$496,4,))*$F249))</f>
        <v>0</v>
      </c>
      <c r="V249" s="27"/>
      <c r="W249" s="27">
        <f t="shared" ref="W249:W260" si="153">IF(VLOOKUP($D249,$C$5:$AA$496,21,)=0,0,((VLOOKUP($D249,$C$5:$AA$496,21,)/VLOOKUP($D249,$C$5:$AA$496,4,))*$F249))</f>
        <v>0</v>
      </c>
      <c r="X249" s="27"/>
      <c r="Y249" s="27">
        <f t="shared" ref="Y249:Y260" si="154">IF(VLOOKUP($D249,$C$5:$AA$496,23,)=0,0,((VLOOKUP($D249,$C$5:$AA$496,23,)/VLOOKUP($D249,$C$5:$AA$496,4,))*$F249))</f>
        <v>50755.57</v>
      </c>
      <c r="Z249" s="27"/>
      <c r="AA249" s="27">
        <f t="shared" ref="AA249:AA260" si="155">IF(VLOOKUP($D249,$C$5:$AA$496,25,)=0,0,((VLOOKUP($D249,$C$5:$AA$496,25,)/VLOOKUP($D249,$C$5:$AA$496,4,))*$F249))</f>
        <v>0</v>
      </c>
      <c r="AB249" s="27">
        <f t="shared" ref="AB249:AB260" si="156">SUM(H249:AA249)</f>
        <v>50755.57</v>
      </c>
      <c r="AC249" s="22" t="str">
        <f t="shared" ref="AC249:AC260" si="157">IF(ABS(AB249-F249)&lt;1,"ok","err")</f>
        <v>ok</v>
      </c>
    </row>
    <row r="250" spans="1:29" x14ac:dyDescent="0.25">
      <c r="A250" s="14">
        <v>908</v>
      </c>
      <c r="B250" s="14" t="s">
        <v>151</v>
      </c>
      <c r="C250" s="14" t="s">
        <v>152</v>
      </c>
      <c r="D250" s="14" t="s">
        <v>150</v>
      </c>
      <c r="F250" s="110">
        <v>17261.22</v>
      </c>
      <c r="G250" s="27"/>
      <c r="H250" s="27"/>
      <c r="I250" s="27">
        <f t="shared" si="145"/>
        <v>0</v>
      </c>
      <c r="J250" s="27"/>
      <c r="K250" s="27">
        <f t="shared" si="146"/>
        <v>0</v>
      </c>
      <c r="L250" s="27"/>
      <c r="M250" s="27">
        <f t="shared" si="147"/>
        <v>0</v>
      </c>
      <c r="N250" s="27"/>
      <c r="O250" s="27">
        <f t="shared" si="148"/>
        <v>0</v>
      </c>
      <c r="P250" s="27">
        <f t="shared" si="149"/>
        <v>0</v>
      </c>
      <c r="Q250" s="27"/>
      <c r="R250" s="27">
        <f t="shared" si="150"/>
        <v>0</v>
      </c>
      <c r="S250" s="27">
        <f t="shared" si="151"/>
        <v>0</v>
      </c>
      <c r="T250" s="27"/>
      <c r="U250" s="27">
        <f t="shared" si="152"/>
        <v>0</v>
      </c>
      <c r="V250" s="27"/>
      <c r="W250" s="27">
        <f t="shared" si="153"/>
        <v>0</v>
      </c>
      <c r="X250" s="27"/>
      <c r="Y250" s="27">
        <f t="shared" si="154"/>
        <v>17261.22</v>
      </c>
      <c r="Z250" s="27"/>
      <c r="AA250" s="27">
        <f t="shared" si="155"/>
        <v>0</v>
      </c>
      <c r="AB250" s="27">
        <f t="shared" si="156"/>
        <v>17261.22</v>
      </c>
      <c r="AC250" s="22" t="str">
        <f t="shared" si="157"/>
        <v>ok</v>
      </c>
    </row>
    <row r="251" spans="1:29" x14ac:dyDescent="0.25">
      <c r="A251" s="14">
        <v>908</v>
      </c>
      <c r="B251" s="14" t="s">
        <v>454</v>
      </c>
      <c r="C251" s="14" t="s">
        <v>455</v>
      </c>
      <c r="D251" s="14" t="s">
        <v>471</v>
      </c>
      <c r="F251" s="110">
        <v>0</v>
      </c>
      <c r="G251" s="27"/>
      <c r="H251" s="27">
        <f t="shared" si="144"/>
        <v>0</v>
      </c>
      <c r="I251" s="27">
        <f t="shared" si="145"/>
        <v>0</v>
      </c>
      <c r="J251" s="27"/>
      <c r="K251" s="27">
        <f t="shared" si="146"/>
        <v>0</v>
      </c>
      <c r="L251" s="27"/>
      <c r="M251" s="27">
        <f t="shared" si="147"/>
        <v>0</v>
      </c>
      <c r="N251" s="27"/>
      <c r="O251" s="27">
        <f t="shared" si="148"/>
        <v>0</v>
      </c>
      <c r="P251" s="27">
        <f t="shared" si="149"/>
        <v>0</v>
      </c>
      <c r="Q251" s="27"/>
      <c r="R251" s="27">
        <f t="shared" si="150"/>
        <v>0</v>
      </c>
      <c r="S251" s="27">
        <f t="shared" si="151"/>
        <v>0</v>
      </c>
      <c r="T251" s="27"/>
      <c r="U251" s="27">
        <f t="shared" si="152"/>
        <v>0</v>
      </c>
      <c r="V251" s="27"/>
      <c r="W251" s="27">
        <f t="shared" si="153"/>
        <v>0</v>
      </c>
      <c r="X251" s="27"/>
      <c r="Y251" s="27">
        <f t="shared" si="154"/>
        <v>0</v>
      </c>
      <c r="Z251" s="27"/>
      <c r="AA251" s="27">
        <f t="shared" si="155"/>
        <v>0</v>
      </c>
      <c r="AB251" s="27">
        <f t="shared" si="156"/>
        <v>0</v>
      </c>
      <c r="AC251" s="22" t="str">
        <f t="shared" si="157"/>
        <v>ok</v>
      </c>
    </row>
    <row r="252" spans="1:29" x14ac:dyDescent="0.25">
      <c r="A252" s="14">
        <v>909</v>
      </c>
      <c r="B252" s="14" t="s">
        <v>153</v>
      </c>
      <c r="C252" s="14" t="s">
        <v>154</v>
      </c>
      <c r="D252" s="14" t="s">
        <v>150</v>
      </c>
      <c r="F252" s="110">
        <v>48942.49</v>
      </c>
      <c r="G252" s="27"/>
      <c r="H252" s="27">
        <f t="shared" si="144"/>
        <v>0</v>
      </c>
      <c r="I252" s="27">
        <f t="shared" si="145"/>
        <v>0</v>
      </c>
      <c r="J252" s="27"/>
      <c r="K252" s="27">
        <f t="shared" si="146"/>
        <v>0</v>
      </c>
      <c r="L252" s="27"/>
      <c r="M252" s="27">
        <f t="shared" si="147"/>
        <v>0</v>
      </c>
      <c r="N252" s="27"/>
      <c r="O252" s="27">
        <f t="shared" si="148"/>
        <v>0</v>
      </c>
      <c r="P252" s="27">
        <f t="shared" si="149"/>
        <v>0</v>
      </c>
      <c r="Q252" s="27"/>
      <c r="R252" s="27">
        <f t="shared" si="150"/>
        <v>0</v>
      </c>
      <c r="S252" s="27">
        <f t="shared" si="151"/>
        <v>0</v>
      </c>
      <c r="T252" s="27"/>
      <c r="U252" s="27">
        <f t="shared" si="152"/>
        <v>0</v>
      </c>
      <c r="V252" s="27"/>
      <c r="W252" s="27">
        <f t="shared" si="153"/>
        <v>0</v>
      </c>
      <c r="X252" s="27"/>
      <c r="Y252" s="27">
        <f t="shared" si="154"/>
        <v>48942.49</v>
      </c>
      <c r="Z252" s="27"/>
      <c r="AA252" s="27">
        <f t="shared" si="155"/>
        <v>0</v>
      </c>
      <c r="AB252" s="27">
        <f t="shared" si="156"/>
        <v>48942.49</v>
      </c>
      <c r="AC252" s="22" t="str">
        <f t="shared" si="157"/>
        <v>ok</v>
      </c>
    </row>
    <row r="253" spans="1:29" x14ac:dyDescent="0.25">
      <c r="A253" s="14">
        <v>909</v>
      </c>
      <c r="B253" s="14" t="s">
        <v>456</v>
      </c>
      <c r="C253" s="14" t="s">
        <v>457</v>
      </c>
      <c r="D253" s="14" t="s">
        <v>471</v>
      </c>
      <c r="F253" s="110">
        <v>0</v>
      </c>
      <c r="G253" s="27"/>
      <c r="H253" s="27">
        <f t="shared" si="144"/>
        <v>0</v>
      </c>
      <c r="I253" s="27">
        <f t="shared" si="145"/>
        <v>0</v>
      </c>
      <c r="J253" s="27"/>
      <c r="K253" s="27">
        <f t="shared" si="146"/>
        <v>0</v>
      </c>
      <c r="L253" s="27"/>
      <c r="M253" s="27">
        <f t="shared" si="147"/>
        <v>0</v>
      </c>
      <c r="N253" s="27"/>
      <c r="O253" s="27">
        <f t="shared" si="148"/>
        <v>0</v>
      </c>
      <c r="P253" s="27">
        <f t="shared" si="149"/>
        <v>0</v>
      </c>
      <c r="Q253" s="27"/>
      <c r="R253" s="27">
        <f t="shared" si="150"/>
        <v>0</v>
      </c>
      <c r="S253" s="27">
        <f t="shared" si="151"/>
        <v>0</v>
      </c>
      <c r="T253" s="27"/>
      <c r="U253" s="27">
        <f t="shared" si="152"/>
        <v>0</v>
      </c>
      <c r="V253" s="27"/>
      <c r="W253" s="27">
        <f t="shared" si="153"/>
        <v>0</v>
      </c>
      <c r="X253" s="27"/>
      <c r="Y253" s="27">
        <f t="shared" si="154"/>
        <v>0</v>
      </c>
      <c r="Z253" s="27"/>
      <c r="AA253" s="27">
        <f t="shared" si="155"/>
        <v>0</v>
      </c>
      <c r="AB253" s="27">
        <f t="shared" si="156"/>
        <v>0</v>
      </c>
      <c r="AC253" s="22" t="str">
        <f t="shared" si="157"/>
        <v>ok</v>
      </c>
    </row>
    <row r="254" spans="1:29" x14ac:dyDescent="0.25">
      <c r="A254" s="14">
        <v>910</v>
      </c>
      <c r="B254" s="14" t="s">
        <v>155</v>
      </c>
      <c r="C254" s="14" t="s">
        <v>156</v>
      </c>
      <c r="D254" s="14" t="s">
        <v>150</v>
      </c>
      <c r="F254" s="110">
        <v>0</v>
      </c>
      <c r="G254" s="27"/>
      <c r="H254" s="27">
        <f t="shared" si="144"/>
        <v>0</v>
      </c>
      <c r="I254" s="27">
        <f t="shared" si="145"/>
        <v>0</v>
      </c>
      <c r="J254" s="27"/>
      <c r="K254" s="27">
        <f t="shared" si="146"/>
        <v>0</v>
      </c>
      <c r="L254" s="27"/>
      <c r="M254" s="27">
        <f t="shared" si="147"/>
        <v>0</v>
      </c>
      <c r="N254" s="27"/>
      <c r="O254" s="27">
        <f t="shared" si="148"/>
        <v>0</v>
      </c>
      <c r="P254" s="27">
        <f t="shared" si="149"/>
        <v>0</v>
      </c>
      <c r="Q254" s="27"/>
      <c r="R254" s="27">
        <f t="shared" si="150"/>
        <v>0</v>
      </c>
      <c r="S254" s="27">
        <f t="shared" si="151"/>
        <v>0</v>
      </c>
      <c r="T254" s="27"/>
      <c r="U254" s="27">
        <f t="shared" si="152"/>
        <v>0</v>
      </c>
      <c r="V254" s="27"/>
      <c r="W254" s="27">
        <f t="shared" si="153"/>
        <v>0</v>
      </c>
      <c r="X254" s="27"/>
      <c r="Y254" s="27">
        <f t="shared" si="154"/>
        <v>0</v>
      </c>
      <c r="Z254" s="27"/>
      <c r="AA254" s="27">
        <f t="shared" si="155"/>
        <v>0</v>
      </c>
      <c r="AB254" s="27">
        <f t="shared" si="156"/>
        <v>0</v>
      </c>
      <c r="AC254" s="22" t="str">
        <f t="shared" si="157"/>
        <v>ok</v>
      </c>
    </row>
    <row r="255" spans="1:29" x14ac:dyDescent="0.25">
      <c r="A255" s="14">
        <v>911</v>
      </c>
      <c r="B255" s="14" t="s">
        <v>385</v>
      </c>
      <c r="C255" s="14" t="s">
        <v>707</v>
      </c>
      <c r="D255" s="14" t="s">
        <v>150</v>
      </c>
      <c r="F255" s="110">
        <v>0</v>
      </c>
      <c r="G255" s="27"/>
      <c r="H255" s="27">
        <f t="shared" si="144"/>
        <v>0</v>
      </c>
      <c r="I255" s="27">
        <f t="shared" si="145"/>
        <v>0</v>
      </c>
      <c r="J255" s="27"/>
      <c r="K255" s="27">
        <f t="shared" si="146"/>
        <v>0</v>
      </c>
      <c r="L255" s="27"/>
      <c r="M255" s="27">
        <f t="shared" si="147"/>
        <v>0</v>
      </c>
      <c r="N255" s="27"/>
      <c r="O255" s="27">
        <f t="shared" si="148"/>
        <v>0</v>
      </c>
      <c r="P255" s="27">
        <f t="shared" si="149"/>
        <v>0</v>
      </c>
      <c r="Q255" s="27"/>
      <c r="R255" s="27">
        <f t="shared" si="150"/>
        <v>0</v>
      </c>
      <c r="S255" s="27">
        <f t="shared" si="151"/>
        <v>0</v>
      </c>
      <c r="T255" s="27"/>
      <c r="U255" s="27">
        <f t="shared" si="152"/>
        <v>0</v>
      </c>
      <c r="V255" s="27"/>
      <c r="W255" s="27">
        <f t="shared" si="153"/>
        <v>0</v>
      </c>
      <c r="X255" s="27"/>
      <c r="Y255" s="27">
        <f t="shared" si="154"/>
        <v>0</v>
      </c>
      <c r="Z255" s="27"/>
      <c r="AA255" s="27">
        <f t="shared" si="155"/>
        <v>0</v>
      </c>
      <c r="AB255" s="27">
        <f>SUM(H255:AA255)</f>
        <v>0</v>
      </c>
      <c r="AC255" s="22" t="str">
        <f>IF(ABS(AB255-F255)&lt;1,"ok","err")</f>
        <v>ok</v>
      </c>
    </row>
    <row r="256" spans="1:29" x14ac:dyDescent="0.25">
      <c r="A256" s="14">
        <v>912</v>
      </c>
      <c r="B256" s="14" t="s">
        <v>587</v>
      </c>
      <c r="C256" s="14" t="s">
        <v>588</v>
      </c>
      <c r="D256" s="14" t="s">
        <v>471</v>
      </c>
      <c r="F256" s="110">
        <v>79733.48</v>
      </c>
      <c r="G256" s="27"/>
      <c r="H256" s="27">
        <f t="shared" si="144"/>
        <v>0</v>
      </c>
      <c r="I256" s="27">
        <f t="shared" si="145"/>
        <v>0</v>
      </c>
      <c r="J256" s="27"/>
      <c r="K256" s="27">
        <f t="shared" si="146"/>
        <v>0</v>
      </c>
      <c r="L256" s="27"/>
      <c r="M256" s="27">
        <f t="shared" si="147"/>
        <v>0</v>
      </c>
      <c r="N256" s="27"/>
      <c r="O256" s="27">
        <f t="shared" si="148"/>
        <v>0</v>
      </c>
      <c r="P256" s="27">
        <f t="shared" si="149"/>
        <v>0</v>
      </c>
      <c r="Q256" s="27"/>
      <c r="R256" s="27">
        <f t="shared" si="150"/>
        <v>0</v>
      </c>
      <c r="S256" s="27">
        <f t="shared" si="151"/>
        <v>0</v>
      </c>
      <c r="T256" s="27"/>
      <c r="U256" s="27">
        <f t="shared" si="152"/>
        <v>0</v>
      </c>
      <c r="V256" s="27"/>
      <c r="W256" s="27">
        <f t="shared" si="153"/>
        <v>0</v>
      </c>
      <c r="X256" s="27"/>
      <c r="Y256" s="27">
        <f t="shared" si="154"/>
        <v>0</v>
      </c>
      <c r="Z256" s="27"/>
      <c r="AA256" s="27">
        <f t="shared" si="155"/>
        <v>79733.48</v>
      </c>
      <c r="AB256" s="27">
        <f t="shared" si="156"/>
        <v>79733.48</v>
      </c>
      <c r="AC256" s="22" t="str">
        <f t="shared" si="157"/>
        <v>ok</v>
      </c>
    </row>
    <row r="257" spans="1:29" x14ac:dyDescent="0.25">
      <c r="A257" s="14">
        <v>913</v>
      </c>
      <c r="B257" s="14" t="s">
        <v>636</v>
      </c>
      <c r="C257" s="14" t="s">
        <v>577</v>
      </c>
      <c r="D257" s="14" t="s">
        <v>471</v>
      </c>
      <c r="F257" s="110">
        <v>0</v>
      </c>
      <c r="G257" s="27"/>
      <c r="H257" s="27">
        <f t="shared" si="144"/>
        <v>0</v>
      </c>
      <c r="I257" s="27">
        <f t="shared" si="145"/>
        <v>0</v>
      </c>
      <c r="J257" s="27"/>
      <c r="K257" s="27">
        <f t="shared" si="146"/>
        <v>0</v>
      </c>
      <c r="L257" s="27"/>
      <c r="M257" s="27">
        <f t="shared" si="147"/>
        <v>0</v>
      </c>
      <c r="N257" s="27"/>
      <c r="O257" s="27">
        <f t="shared" si="148"/>
        <v>0</v>
      </c>
      <c r="P257" s="27">
        <f t="shared" si="149"/>
        <v>0</v>
      </c>
      <c r="Q257" s="27"/>
      <c r="R257" s="27">
        <f t="shared" si="150"/>
        <v>0</v>
      </c>
      <c r="S257" s="27">
        <f t="shared" si="151"/>
        <v>0</v>
      </c>
      <c r="T257" s="27"/>
      <c r="U257" s="27">
        <f t="shared" si="152"/>
        <v>0</v>
      </c>
      <c r="V257" s="27"/>
      <c r="W257" s="27">
        <f t="shared" si="153"/>
        <v>0</v>
      </c>
      <c r="X257" s="27"/>
      <c r="Y257" s="27">
        <f t="shared" si="154"/>
        <v>0</v>
      </c>
      <c r="Z257" s="27"/>
      <c r="AA257" s="27">
        <f t="shared" si="155"/>
        <v>0</v>
      </c>
      <c r="AB257" s="27">
        <f t="shared" si="156"/>
        <v>0</v>
      </c>
      <c r="AC257" s="22" t="str">
        <f t="shared" si="157"/>
        <v>ok</v>
      </c>
    </row>
    <row r="258" spans="1:29" x14ac:dyDescent="0.25">
      <c r="A258" s="14">
        <v>914</v>
      </c>
      <c r="B258" s="14" t="s">
        <v>919</v>
      </c>
      <c r="C258" s="14" t="s">
        <v>920</v>
      </c>
      <c r="D258" s="14" t="s">
        <v>471</v>
      </c>
      <c r="F258" s="110">
        <v>0</v>
      </c>
      <c r="G258" s="27"/>
      <c r="H258" s="27">
        <f t="shared" si="144"/>
        <v>0</v>
      </c>
      <c r="I258" s="27">
        <f t="shared" si="145"/>
        <v>0</v>
      </c>
      <c r="J258" s="27"/>
      <c r="K258" s="27">
        <f t="shared" si="146"/>
        <v>0</v>
      </c>
      <c r="L258" s="27"/>
      <c r="M258" s="27">
        <f t="shared" si="147"/>
        <v>0</v>
      </c>
      <c r="N258" s="27"/>
      <c r="O258" s="27">
        <f t="shared" si="148"/>
        <v>0</v>
      </c>
      <c r="P258" s="27">
        <f t="shared" si="149"/>
        <v>0</v>
      </c>
      <c r="Q258" s="27"/>
      <c r="R258" s="27">
        <f t="shared" si="150"/>
        <v>0</v>
      </c>
      <c r="S258" s="27">
        <f t="shared" si="151"/>
        <v>0</v>
      </c>
      <c r="T258" s="27"/>
      <c r="U258" s="27">
        <f t="shared" si="152"/>
        <v>0</v>
      </c>
      <c r="V258" s="27"/>
      <c r="W258" s="27">
        <f t="shared" si="153"/>
        <v>0</v>
      </c>
      <c r="X258" s="27"/>
      <c r="Y258" s="27">
        <f t="shared" si="154"/>
        <v>0</v>
      </c>
      <c r="Z258" s="27"/>
      <c r="AA258" s="27">
        <f t="shared" si="155"/>
        <v>0</v>
      </c>
      <c r="AB258" s="27">
        <f>SUM(H258:AA258)</f>
        <v>0</v>
      </c>
      <c r="AC258" s="22" t="str">
        <f>IF(ABS(AB258-F258)&lt;1,"ok","err")</f>
        <v>ok</v>
      </c>
    </row>
    <row r="259" spans="1:29" x14ac:dyDescent="0.25">
      <c r="A259" s="14">
        <v>916</v>
      </c>
      <c r="B259" s="14" t="s">
        <v>638</v>
      </c>
      <c r="C259" s="14" t="s">
        <v>639</v>
      </c>
      <c r="D259" s="14" t="s">
        <v>471</v>
      </c>
      <c r="F259" s="110">
        <v>0</v>
      </c>
      <c r="G259" s="27"/>
      <c r="H259" s="27">
        <f t="shared" si="144"/>
        <v>0</v>
      </c>
      <c r="I259" s="27">
        <f t="shared" si="145"/>
        <v>0</v>
      </c>
      <c r="J259" s="27"/>
      <c r="K259" s="27">
        <f t="shared" si="146"/>
        <v>0</v>
      </c>
      <c r="L259" s="27"/>
      <c r="M259" s="27">
        <f t="shared" si="147"/>
        <v>0</v>
      </c>
      <c r="N259" s="27"/>
      <c r="O259" s="27">
        <f t="shared" si="148"/>
        <v>0</v>
      </c>
      <c r="P259" s="27">
        <f t="shared" si="149"/>
        <v>0</v>
      </c>
      <c r="Q259" s="27"/>
      <c r="R259" s="27">
        <f t="shared" si="150"/>
        <v>0</v>
      </c>
      <c r="S259" s="27">
        <f t="shared" si="151"/>
        <v>0</v>
      </c>
      <c r="T259" s="27"/>
      <c r="U259" s="27">
        <f t="shared" si="152"/>
        <v>0</v>
      </c>
      <c r="V259" s="27"/>
      <c r="W259" s="27">
        <f t="shared" si="153"/>
        <v>0</v>
      </c>
      <c r="X259" s="27"/>
      <c r="Y259" s="27">
        <f t="shared" si="154"/>
        <v>0</v>
      </c>
      <c r="Z259" s="27"/>
      <c r="AA259" s="27">
        <f t="shared" si="155"/>
        <v>0</v>
      </c>
      <c r="AB259" s="27">
        <f t="shared" si="156"/>
        <v>0</v>
      </c>
      <c r="AC259" s="22" t="str">
        <f t="shared" si="157"/>
        <v>ok</v>
      </c>
    </row>
    <row r="260" spans="1:29" x14ac:dyDescent="0.25">
      <c r="A260" s="14">
        <v>917</v>
      </c>
      <c r="B260" s="14" t="s">
        <v>638</v>
      </c>
      <c r="C260" s="14" t="s">
        <v>914</v>
      </c>
      <c r="D260" s="14" t="s">
        <v>471</v>
      </c>
      <c r="F260" s="110">
        <v>0</v>
      </c>
      <c r="G260" s="27"/>
      <c r="H260" s="27">
        <f t="shared" si="144"/>
        <v>0</v>
      </c>
      <c r="I260" s="27">
        <f t="shared" si="145"/>
        <v>0</v>
      </c>
      <c r="J260" s="27"/>
      <c r="K260" s="27">
        <f t="shared" si="146"/>
        <v>0</v>
      </c>
      <c r="L260" s="27"/>
      <c r="M260" s="27">
        <f t="shared" si="147"/>
        <v>0</v>
      </c>
      <c r="N260" s="27"/>
      <c r="O260" s="27">
        <f t="shared" si="148"/>
        <v>0</v>
      </c>
      <c r="P260" s="27">
        <f t="shared" si="149"/>
        <v>0</v>
      </c>
      <c r="Q260" s="27"/>
      <c r="R260" s="27">
        <f t="shared" si="150"/>
        <v>0</v>
      </c>
      <c r="S260" s="27">
        <f t="shared" si="151"/>
        <v>0</v>
      </c>
      <c r="T260" s="27"/>
      <c r="U260" s="27">
        <f t="shared" si="152"/>
        <v>0</v>
      </c>
      <c r="V260" s="27"/>
      <c r="W260" s="27">
        <f t="shared" si="153"/>
        <v>0</v>
      </c>
      <c r="X260" s="27"/>
      <c r="Y260" s="27">
        <f t="shared" si="154"/>
        <v>0</v>
      </c>
      <c r="Z260" s="27"/>
      <c r="AA260" s="27">
        <f t="shared" si="155"/>
        <v>0</v>
      </c>
      <c r="AB260" s="27">
        <f t="shared" si="156"/>
        <v>0</v>
      </c>
      <c r="AC260" s="22" t="str">
        <f t="shared" si="157"/>
        <v>ok</v>
      </c>
    </row>
    <row r="261" spans="1:29" x14ac:dyDescent="0.25">
      <c r="F261" s="110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2"/>
    </row>
    <row r="262" spans="1:29" x14ac:dyDescent="0.25">
      <c r="A262" s="14" t="s">
        <v>157</v>
      </c>
      <c r="C262" s="14" t="s">
        <v>158</v>
      </c>
      <c r="F262" s="119">
        <f>SUM(F249:F260)</f>
        <v>196692.76</v>
      </c>
      <c r="G262" s="40"/>
      <c r="H262" s="40">
        <f t="shared" ref="H262:W262" si="158">SUM(H249:H261)</f>
        <v>0</v>
      </c>
      <c r="I262" s="40">
        <f t="shared" si="158"/>
        <v>0</v>
      </c>
      <c r="J262" s="40"/>
      <c r="K262" s="40">
        <f t="shared" si="158"/>
        <v>0</v>
      </c>
      <c r="L262" s="40"/>
      <c r="M262" s="40">
        <f t="shared" si="158"/>
        <v>0</v>
      </c>
      <c r="N262" s="40"/>
      <c r="O262" s="40">
        <f t="shared" si="158"/>
        <v>0</v>
      </c>
      <c r="P262" s="40">
        <f t="shared" si="158"/>
        <v>0</v>
      </c>
      <c r="Q262" s="40"/>
      <c r="R262" s="40">
        <f t="shared" si="158"/>
        <v>0</v>
      </c>
      <c r="S262" s="40">
        <f t="shared" si="158"/>
        <v>0</v>
      </c>
      <c r="T262" s="40"/>
      <c r="U262" s="40">
        <f t="shared" si="158"/>
        <v>0</v>
      </c>
      <c r="V262" s="40"/>
      <c r="W262" s="40">
        <f t="shared" si="158"/>
        <v>0</v>
      </c>
      <c r="X262" s="40"/>
      <c r="Y262" s="40">
        <f>SUM(Y249:Y261)</f>
        <v>116959.28</v>
      </c>
      <c r="Z262" s="40"/>
      <c r="AA262" s="40">
        <f>SUM(AA249:AA261)</f>
        <v>79733.48</v>
      </c>
      <c r="AB262" s="27">
        <f>SUM(H262:AA262)</f>
        <v>196692.76</v>
      </c>
      <c r="AC262" s="22" t="str">
        <f>IF(ABS(AB262-F262)&lt;1,"ok","err")</f>
        <v>ok</v>
      </c>
    </row>
    <row r="263" spans="1:29" x14ac:dyDescent="0.25">
      <c r="D263" s="61"/>
      <c r="F263" s="110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C263" s="22"/>
    </row>
    <row r="264" spans="1:29" x14ac:dyDescent="0.25">
      <c r="A264" s="14" t="s">
        <v>410</v>
      </c>
      <c r="C264" s="14" t="s">
        <v>411</v>
      </c>
      <c r="F264" s="110">
        <f t="shared" ref="F264:M264" si="159">F233+F246+F262</f>
        <v>7208405.4300000006</v>
      </c>
      <c r="G264" s="27"/>
      <c r="H264" s="27">
        <f t="shared" si="159"/>
        <v>0</v>
      </c>
      <c r="I264" s="27">
        <f t="shared" si="159"/>
        <v>0</v>
      </c>
      <c r="J264" s="27"/>
      <c r="K264" s="27">
        <f t="shared" si="159"/>
        <v>0</v>
      </c>
      <c r="L264" s="27"/>
      <c r="M264" s="27">
        <f t="shared" si="159"/>
        <v>0</v>
      </c>
      <c r="N264" s="27"/>
      <c r="O264" s="27">
        <f t="shared" ref="O264:AA264" si="160">O233+O246+O262</f>
        <v>3793653.0766418688</v>
      </c>
      <c r="P264" s="27">
        <f t="shared" si="160"/>
        <v>1212091.9440488755</v>
      </c>
      <c r="Q264" s="27"/>
      <c r="R264" s="27">
        <f t="shared" si="160"/>
        <v>0</v>
      </c>
      <c r="S264" s="27">
        <f t="shared" si="160"/>
        <v>110908.21951736479</v>
      </c>
      <c r="T264" s="27"/>
      <c r="U264" s="27">
        <f t="shared" si="160"/>
        <v>469211.0149832741</v>
      </c>
      <c r="V264" s="27"/>
      <c r="W264" s="27">
        <f t="shared" si="160"/>
        <v>11354.724808616615</v>
      </c>
      <c r="X264" s="27"/>
      <c r="Y264" s="27">
        <f t="shared" si="160"/>
        <v>1531452.9700000002</v>
      </c>
      <c r="Z264" s="27"/>
      <c r="AA264" s="27">
        <f t="shared" si="160"/>
        <v>79733.48</v>
      </c>
      <c r="AB264" s="27">
        <f>SUM(H264:AA264)</f>
        <v>7208405.4300000016</v>
      </c>
      <c r="AC264" s="22" t="str">
        <f>IF(ABS(AB264-F264)&lt;1,"ok","err")</f>
        <v>ok</v>
      </c>
    </row>
    <row r="265" spans="1:29" x14ac:dyDescent="0.25">
      <c r="F265" s="110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C265" s="22"/>
    </row>
    <row r="266" spans="1:29" x14ac:dyDescent="0.25">
      <c r="A266" s="20" t="s">
        <v>136</v>
      </c>
      <c r="F266" s="110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C266" s="22"/>
    </row>
    <row r="267" spans="1:29" x14ac:dyDescent="0.25">
      <c r="F267" s="110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C267" s="22"/>
    </row>
    <row r="268" spans="1:29" x14ac:dyDescent="0.25">
      <c r="A268" s="13" t="s">
        <v>159</v>
      </c>
      <c r="F268" s="110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C268" s="22"/>
    </row>
    <row r="269" spans="1:29" x14ac:dyDescent="0.25">
      <c r="A269" s="14">
        <v>920</v>
      </c>
      <c r="B269" s="14" t="s">
        <v>160</v>
      </c>
      <c r="C269" s="14" t="s">
        <v>161</v>
      </c>
      <c r="D269" s="14" t="s">
        <v>411</v>
      </c>
      <c r="F269" s="119">
        <f>690244.36+38302.5</f>
        <v>728546.86</v>
      </c>
      <c r="G269" s="40"/>
      <c r="H269" s="27">
        <f>IF((VLOOKUP($D269,$C$5:$AA$496,6,)=0),0,((VLOOKUP($D269,$C$5:$AA$496,6,)/VLOOKUP($D269,$C$5:$AA$496,4,))*$F269))</f>
        <v>0</v>
      </c>
      <c r="I269" s="27">
        <f>(VLOOKUP($D269,$C$5:$AA$496,7,)/VLOOKUP($D269,$C$5:$AA$496,4,))*$F269</f>
        <v>0</v>
      </c>
      <c r="J269" s="27"/>
      <c r="K269" s="27">
        <f>(VLOOKUP($D269,$C$5:$AA$496,9,)/VLOOKUP($D269,$C$5:$AA$496,4,))*$F269</f>
        <v>0</v>
      </c>
      <c r="L269" s="27"/>
      <c r="M269" s="27">
        <f>(VLOOKUP($D269,$C$5:$AA$496,11,)/VLOOKUP($D269,$C$5:$AA$496,4,))*$F269</f>
        <v>0</v>
      </c>
      <c r="N269" s="27"/>
      <c r="O269" s="27">
        <f>(VLOOKUP($D269,$C$5:$AA$496,13,)/VLOOKUP($D269,$C$5:$AA$496,4,))*$F269</f>
        <v>383421.00257210038</v>
      </c>
      <c r="P269" s="27">
        <f>(VLOOKUP($D269,$C$5:$AA$496,14,)/VLOOKUP($D269,$C$5:$AA$496,4,))*$F269</f>
        <v>122505.01008072514</v>
      </c>
      <c r="Q269" s="27"/>
      <c r="R269" s="27">
        <f>(VLOOKUP($D269,$C$5:$AA$496,16,)/VLOOKUP($D269,$C$5:$AA$496,4,))*$F269</f>
        <v>0</v>
      </c>
      <c r="S269" s="27">
        <f>(VLOOKUP($D269,$C$5:$AA$496,17,)/VLOOKUP($D269,$C$5:$AA$496,4,))*$F269</f>
        <v>11209.391017503691</v>
      </c>
      <c r="T269" s="27"/>
      <c r="U269" s="27">
        <f>(VLOOKUP($D269,$C$5:$AA$496,19,)/VLOOKUP($D269,$C$5:$AA$496,4,))*$F269</f>
        <v>47422.722676057536</v>
      </c>
      <c r="V269" s="27"/>
      <c r="W269" s="27">
        <f>(VLOOKUP($D269,$C$5:$AA$496,21,)/VLOOKUP($D269,$C$5:$AA$496,4,))*$F269</f>
        <v>1147.6115190543237</v>
      </c>
      <c r="X269" s="27"/>
      <c r="Y269" s="27">
        <f>(VLOOKUP($D269,$C$5:$AA$496,23,)/VLOOKUP($D269,$C$5:$AA$496,4,))*$F269</f>
        <v>154782.53316436644</v>
      </c>
      <c r="Z269" s="27"/>
      <c r="AA269" s="27">
        <f>(VLOOKUP($D269,$C$5:$AA$496,25,)/VLOOKUP($D269,$C$5:$AA$496,4,))*$F269</f>
        <v>8058.5889701923697</v>
      </c>
      <c r="AB269" s="27">
        <f t="shared" ref="AB269:AB281" si="161">SUM(H269:AA269)</f>
        <v>728546.85999999975</v>
      </c>
      <c r="AC269" s="22" t="str">
        <f t="shared" ref="AC269:AC281" si="162">IF(ABS(AB269-F269)&lt;1,"ok","err")</f>
        <v>ok</v>
      </c>
    </row>
    <row r="270" spans="1:29" x14ac:dyDescent="0.25">
      <c r="A270" s="14">
        <v>921</v>
      </c>
      <c r="B270" s="14" t="s">
        <v>162</v>
      </c>
      <c r="C270" s="14" t="s">
        <v>163</v>
      </c>
      <c r="D270" s="14" t="s">
        <v>516</v>
      </c>
      <c r="F270" s="110">
        <f>204409.38+13452.73</f>
        <v>217862.11000000002</v>
      </c>
      <c r="G270" s="27"/>
      <c r="H270" s="27">
        <f>IF(VLOOKUP($D270,$C$5:$AA$496,6,)=0,0,((VLOOKUP($D270,$C$5:$AA$496,6,)/VLOOKUP($D270,$C$5:$AA$496,4,))*$F270))</f>
        <v>0</v>
      </c>
      <c r="I270" s="27">
        <f>IF(VLOOKUP($D270,$C$5:$AA$496,7,)=0,0,((VLOOKUP($D270,$C$5:$AA$496,7,)/VLOOKUP($D270,$C$5:$AA$496,4,))*$F270))</f>
        <v>0</v>
      </c>
      <c r="J270" s="27"/>
      <c r="K270" s="27">
        <f>IF(VLOOKUP($D270,$C$5:$AA$496,9,)=0,0,((VLOOKUP($D270,$C$5:$AA$496,9,)/VLOOKUP($D270,$C$5:$AA$496,4,))*$F270))</f>
        <v>0</v>
      </c>
      <c r="L270" s="27"/>
      <c r="M270" s="27">
        <f>IF(VLOOKUP($D270,$C$5:$AA$496,11,)=0,0,((VLOOKUP($D270,$C$5:$AA$496,11,)/VLOOKUP($D270,$C$5:$AA$496,4,))*$F270))</f>
        <v>0</v>
      </c>
      <c r="N270" s="27"/>
      <c r="O270" s="27">
        <f>IF(VLOOKUP($D270,$C$5:$AA$496,13,)=0,0,((VLOOKUP($D270,$C$5:$AA$496,13,)/VLOOKUP($D270,$C$5:$AA$496,4,))*$F270))</f>
        <v>92698.652934821977</v>
      </c>
      <c r="P270" s="27">
        <f>IF(VLOOKUP($D270,$C$5:$AA$496,14,)=0,0,((VLOOKUP($D270,$C$5:$AA$496,14,)/VLOOKUP($D270,$C$5:$AA$496,4,))*$F270))</f>
        <v>30502.202699815389</v>
      </c>
      <c r="Q270" s="27"/>
      <c r="R270" s="27">
        <f>IF(VLOOKUP($D270,$C$5:$AA$496,16,)=0,0,((VLOOKUP($D270,$C$5:$AA$496,16,)/VLOOKUP($D270,$C$5:$AA$496,4,))*$F270))</f>
        <v>0</v>
      </c>
      <c r="S270" s="27">
        <f>IF(VLOOKUP($D270,$C$5:$AA$496,17,)=0,0,((VLOOKUP($D270,$C$5:$AA$496,17,)/VLOOKUP($D270,$C$5:$AA$496,4,))*$F270))</f>
        <v>3233.8980607077101</v>
      </c>
      <c r="T270" s="27"/>
      <c r="U270" s="27">
        <f>IF(VLOOKUP($D270,$C$5:$AA$496,19,)=0,0,((VLOOKUP($D270,$C$5:$AA$496,19,)/VLOOKUP($D270,$C$5:$AA$496,4,))*$F270))</f>
        <v>31063.264971702436</v>
      </c>
      <c r="V270" s="27"/>
      <c r="W270" s="27">
        <f>IF(VLOOKUP($D270,$C$5:$AA$496,21,)=0,0,((VLOOKUP($D270,$C$5:$AA$496,21,)/VLOOKUP($D270,$C$5:$AA$496,4,))*$F270))</f>
        <v>507.16408065636739</v>
      </c>
      <c r="X270" s="27"/>
      <c r="Y270" s="27">
        <f>IF(VLOOKUP($D270,$C$5:$AA$496,23,)=0,0,((VLOOKUP($D270,$C$5:$AA$496,23,)/VLOOKUP($D270,$C$5:$AA$496,4,))*$F270))</f>
        <v>56015.80450502233</v>
      </c>
      <c r="Z270" s="27"/>
      <c r="AA270" s="27">
        <f>IF(VLOOKUP($D270,$C$5:$AA$496,25,)=0,0,((VLOOKUP($D270,$C$5:$AA$496,25,)/VLOOKUP($D270,$C$5:$AA$496,4,))*$F270))</f>
        <v>3841.1227472737928</v>
      </c>
      <c r="AB270" s="27">
        <f>SUM(H270:AA270)</f>
        <v>217862.11000000002</v>
      </c>
      <c r="AC270" s="22" t="str">
        <f>IF(ABS(AB270-F270)&lt;1,"ok","err")</f>
        <v>ok</v>
      </c>
    </row>
    <row r="271" spans="1:29" x14ac:dyDescent="0.25">
      <c r="A271" s="14">
        <v>923</v>
      </c>
      <c r="B271" s="14" t="s">
        <v>164</v>
      </c>
      <c r="C271" s="14" t="s">
        <v>165</v>
      </c>
      <c r="D271" s="14" t="s">
        <v>411</v>
      </c>
      <c r="F271" s="110">
        <v>95362.75</v>
      </c>
      <c r="G271" s="27"/>
      <c r="H271" s="27">
        <f t="shared" ref="H271:H281" si="163">IF((VLOOKUP($D271,$C$5:$AA$496,6,)=0),0,((VLOOKUP($D271,$C$5:$AA$496,6,)/VLOOKUP($D271,$C$5:$AA$496,4,))*$F271))</f>
        <v>0</v>
      </c>
      <c r="I271" s="27">
        <f t="shared" ref="I271:I281" si="164">(VLOOKUP($D271,$C$5:$AA$496,7,)/VLOOKUP($D271,$C$5:$AA$496,4,))*$F271</f>
        <v>0</v>
      </c>
      <c r="J271" s="27"/>
      <c r="K271" s="27">
        <f t="shared" ref="K271:K281" si="165">(VLOOKUP($D271,$C$5:$AA$496,9,)/VLOOKUP($D271,$C$5:$AA$496,4,))*$F271</f>
        <v>0</v>
      </c>
      <c r="L271" s="27"/>
      <c r="M271" s="27">
        <f t="shared" ref="M271:M281" si="166">(VLOOKUP($D271,$C$5:$AA$496,11,)/VLOOKUP($D271,$C$5:$AA$496,4,))*$F271</f>
        <v>0</v>
      </c>
      <c r="N271" s="27"/>
      <c r="O271" s="27">
        <f t="shared" ref="O271:O281" si="167">(VLOOKUP($D271,$C$5:$AA$496,13,)/VLOOKUP($D271,$C$5:$AA$496,4,))*$F271</f>
        <v>50187.686229314844</v>
      </c>
      <c r="P271" s="27">
        <f t="shared" ref="P271:P281" si="168">(VLOOKUP($D271,$C$5:$AA$496,14,)/VLOOKUP($D271,$C$5:$AA$496,4,))*$F271</f>
        <v>16035.227507638521</v>
      </c>
      <c r="Q271" s="27"/>
      <c r="R271" s="27">
        <f t="shared" ref="R271:R281" si="169">(VLOOKUP($D271,$C$5:$AA$496,16,)/VLOOKUP($D271,$C$5:$AA$496,4,))*$F271</f>
        <v>0</v>
      </c>
      <c r="S271" s="27">
        <f t="shared" ref="S271:S281" si="170">(VLOOKUP($D271,$C$5:$AA$496,17,)/VLOOKUP($D271,$C$5:$AA$496,4,))*$F271</f>
        <v>1467.247217638753</v>
      </c>
      <c r="T271" s="27"/>
      <c r="U271" s="27">
        <f t="shared" ref="U271:U281" si="171">(VLOOKUP($D271,$C$5:$AA$496,19,)/VLOOKUP($D271,$C$5:$AA$496,4,))*$F271</f>
        <v>6207.3718180271972</v>
      </c>
      <c r="V271" s="27"/>
      <c r="W271" s="27">
        <f t="shared" ref="W271:W281" si="172">(VLOOKUP($D271,$C$5:$AA$496,21,)/VLOOKUP($D271,$C$5:$AA$496,4,))*$F271</f>
        <v>150.21599350342092</v>
      </c>
      <c r="X271" s="27"/>
      <c r="Y271" s="27">
        <f t="shared" ref="Y271:Y281" si="173">(VLOOKUP($D271,$C$5:$AA$496,23,)/VLOOKUP($D271,$C$5:$AA$496,4,))*$F271</f>
        <v>20260.176558197214</v>
      </c>
      <c r="Z271" s="27"/>
      <c r="AA271" s="27">
        <f t="shared" ref="AA271:AA281" si="174">(VLOOKUP($D271,$C$5:$AA$496,25,)/VLOOKUP($D271,$C$5:$AA$496,4,))*$F271</f>
        <v>1054.8246756800413</v>
      </c>
      <c r="AB271" s="27">
        <f t="shared" si="161"/>
        <v>95362.749999999985</v>
      </c>
      <c r="AC271" s="22" t="str">
        <f t="shared" si="162"/>
        <v>ok</v>
      </c>
    </row>
    <row r="272" spans="1:29" x14ac:dyDescent="0.25">
      <c r="A272" s="14">
        <v>924</v>
      </c>
      <c r="B272" s="14" t="s">
        <v>166</v>
      </c>
      <c r="C272" s="14" t="s">
        <v>167</v>
      </c>
      <c r="D272" s="14" t="s">
        <v>84</v>
      </c>
      <c r="F272" s="110">
        <v>0</v>
      </c>
      <c r="G272" s="27"/>
      <c r="H272" s="27">
        <f t="shared" si="163"/>
        <v>0</v>
      </c>
      <c r="I272" s="27">
        <f t="shared" si="164"/>
        <v>0</v>
      </c>
      <c r="J272" s="27"/>
      <c r="K272" s="27">
        <f t="shared" si="165"/>
        <v>0</v>
      </c>
      <c r="L272" s="27"/>
      <c r="M272" s="27">
        <f t="shared" si="166"/>
        <v>0</v>
      </c>
      <c r="N272" s="27"/>
      <c r="O272" s="27">
        <f t="shared" si="167"/>
        <v>0</v>
      </c>
      <c r="P272" s="27">
        <f t="shared" si="168"/>
        <v>0</v>
      </c>
      <c r="Q272" s="27"/>
      <c r="R272" s="27">
        <f t="shared" si="169"/>
        <v>0</v>
      </c>
      <c r="S272" s="27">
        <f t="shared" si="170"/>
        <v>0</v>
      </c>
      <c r="T272" s="27"/>
      <c r="U272" s="27">
        <f t="shared" si="171"/>
        <v>0</v>
      </c>
      <c r="V272" s="27"/>
      <c r="W272" s="27">
        <f t="shared" si="172"/>
        <v>0</v>
      </c>
      <c r="X272" s="27"/>
      <c r="Y272" s="27">
        <f t="shared" si="173"/>
        <v>0</v>
      </c>
      <c r="Z272" s="27"/>
      <c r="AA272" s="27">
        <f t="shared" si="174"/>
        <v>0</v>
      </c>
      <c r="AB272" s="27">
        <f t="shared" si="161"/>
        <v>0</v>
      </c>
      <c r="AC272" s="22" t="str">
        <f t="shared" si="162"/>
        <v>ok</v>
      </c>
    </row>
    <row r="273" spans="1:29" x14ac:dyDescent="0.25">
      <c r="A273" s="14">
        <v>925</v>
      </c>
      <c r="B273" s="14" t="s">
        <v>168</v>
      </c>
      <c r="C273" s="14" t="s">
        <v>169</v>
      </c>
      <c r="D273" s="14" t="s">
        <v>516</v>
      </c>
      <c r="F273" s="110">
        <v>0</v>
      </c>
      <c r="G273" s="27"/>
      <c r="H273" s="27">
        <f t="shared" si="163"/>
        <v>0</v>
      </c>
      <c r="I273" s="27">
        <f t="shared" si="164"/>
        <v>0</v>
      </c>
      <c r="J273" s="27"/>
      <c r="K273" s="27">
        <f t="shared" si="165"/>
        <v>0</v>
      </c>
      <c r="L273" s="27"/>
      <c r="M273" s="27">
        <f t="shared" si="166"/>
        <v>0</v>
      </c>
      <c r="N273" s="27"/>
      <c r="O273" s="27">
        <f t="shared" si="167"/>
        <v>0</v>
      </c>
      <c r="P273" s="27">
        <f t="shared" si="168"/>
        <v>0</v>
      </c>
      <c r="Q273" s="27"/>
      <c r="R273" s="27">
        <f t="shared" si="169"/>
        <v>0</v>
      </c>
      <c r="S273" s="27">
        <f t="shared" si="170"/>
        <v>0</v>
      </c>
      <c r="T273" s="27"/>
      <c r="U273" s="27">
        <f t="shared" si="171"/>
        <v>0</v>
      </c>
      <c r="V273" s="27"/>
      <c r="W273" s="27">
        <f t="shared" si="172"/>
        <v>0</v>
      </c>
      <c r="X273" s="27"/>
      <c r="Y273" s="27">
        <f t="shared" si="173"/>
        <v>0</v>
      </c>
      <c r="Z273" s="27"/>
      <c r="AA273" s="27">
        <f t="shared" si="174"/>
        <v>0</v>
      </c>
      <c r="AB273" s="27">
        <f t="shared" si="161"/>
        <v>0</v>
      </c>
      <c r="AC273" s="22" t="str">
        <f t="shared" si="162"/>
        <v>ok</v>
      </c>
    </row>
    <row r="274" spans="1:29" x14ac:dyDescent="0.25">
      <c r="A274" s="14">
        <v>926</v>
      </c>
      <c r="B274" s="14" t="s">
        <v>170</v>
      </c>
      <c r="C274" s="14" t="s">
        <v>171</v>
      </c>
      <c r="D274" s="14" t="s">
        <v>516</v>
      </c>
      <c r="F274" s="110">
        <v>0</v>
      </c>
      <c r="G274" s="27"/>
      <c r="H274" s="27">
        <f t="shared" si="163"/>
        <v>0</v>
      </c>
      <c r="I274" s="27">
        <f t="shared" si="164"/>
        <v>0</v>
      </c>
      <c r="J274" s="27"/>
      <c r="K274" s="27">
        <f t="shared" si="165"/>
        <v>0</v>
      </c>
      <c r="L274" s="27"/>
      <c r="M274" s="27">
        <f t="shared" si="166"/>
        <v>0</v>
      </c>
      <c r="N274" s="27"/>
      <c r="O274" s="27">
        <f t="shared" si="167"/>
        <v>0</v>
      </c>
      <c r="P274" s="27">
        <f t="shared" si="168"/>
        <v>0</v>
      </c>
      <c r="Q274" s="27"/>
      <c r="R274" s="27">
        <f t="shared" si="169"/>
        <v>0</v>
      </c>
      <c r="S274" s="27">
        <f t="shared" si="170"/>
        <v>0</v>
      </c>
      <c r="T274" s="27"/>
      <c r="U274" s="27">
        <f t="shared" si="171"/>
        <v>0</v>
      </c>
      <c r="V274" s="27"/>
      <c r="W274" s="27">
        <f t="shared" si="172"/>
        <v>0</v>
      </c>
      <c r="X274" s="27"/>
      <c r="Y274" s="27">
        <f t="shared" si="173"/>
        <v>0</v>
      </c>
      <c r="Z274" s="27"/>
      <c r="AA274" s="27">
        <f t="shared" si="174"/>
        <v>0</v>
      </c>
      <c r="AB274" s="27">
        <f t="shared" si="161"/>
        <v>0</v>
      </c>
      <c r="AC274" s="22" t="str">
        <f t="shared" si="162"/>
        <v>ok</v>
      </c>
    </row>
    <row r="275" spans="1:29" x14ac:dyDescent="0.25">
      <c r="A275" s="14">
        <v>928</v>
      </c>
      <c r="B275" s="14" t="s">
        <v>578</v>
      </c>
      <c r="C275" s="14" t="s">
        <v>173</v>
      </c>
      <c r="D275" s="14" t="s">
        <v>411</v>
      </c>
      <c r="F275" s="110">
        <v>0</v>
      </c>
      <c r="G275" s="27"/>
      <c r="H275" s="27">
        <f t="shared" si="163"/>
        <v>0</v>
      </c>
      <c r="I275" s="27">
        <f t="shared" si="164"/>
        <v>0</v>
      </c>
      <c r="J275" s="27"/>
      <c r="K275" s="27">
        <f t="shared" si="165"/>
        <v>0</v>
      </c>
      <c r="L275" s="27"/>
      <c r="M275" s="27">
        <f t="shared" si="166"/>
        <v>0</v>
      </c>
      <c r="N275" s="27"/>
      <c r="O275" s="27">
        <f t="shared" si="167"/>
        <v>0</v>
      </c>
      <c r="P275" s="27">
        <f t="shared" si="168"/>
        <v>0</v>
      </c>
      <c r="Q275" s="27"/>
      <c r="R275" s="27">
        <f t="shared" si="169"/>
        <v>0</v>
      </c>
      <c r="S275" s="27">
        <f t="shared" si="170"/>
        <v>0</v>
      </c>
      <c r="T275" s="27"/>
      <c r="U275" s="27">
        <f t="shared" si="171"/>
        <v>0</v>
      </c>
      <c r="V275" s="27"/>
      <c r="W275" s="27">
        <f t="shared" si="172"/>
        <v>0</v>
      </c>
      <c r="X275" s="27"/>
      <c r="Y275" s="27">
        <f t="shared" si="173"/>
        <v>0</v>
      </c>
      <c r="Z275" s="27"/>
      <c r="AA275" s="27">
        <f t="shared" si="174"/>
        <v>0</v>
      </c>
      <c r="AB275" s="27">
        <f t="shared" si="161"/>
        <v>0</v>
      </c>
      <c r="AC275" s="22" t="str">
        <f t="shared" si="162"/>
        <v>ok</v>
      </c>
    </row>
    <row r="276" spans="1:29" x14ac:dyDescent="0.25">
      <c r="A276" s="14">
        <v>929</v>
      </c>
      <c r="B276" s="14" t="s">
        <v>921</v>
      </c>
      <c r="C276" s="14" t="s">
        <v>387</v>
      </c>
      <c r="D276" s="14" t="s">
        <v>411</v>
      </c>
      <c r="F276" s="110">
        <v>-51523.08</v>
      </c>
      <c r="G276" s="27"/>
      <c r="H276" s="27">
        <f t="shared" si="163"/>
        <v>0</v>
      </c>
      <c r="I276" s="27">
        <f t="shared" si="164"/>
        <v>0</v>
      </c>
      <c r="J276" s="27"/>
      <c r="K276" s="27">
        <f t="shared" si="165"/>
        <v>0</v>
      </c>
      <c r="L276" s="27"/>
      <c r="M276" s="27">
        <f t="shared" si="166"/>
        <v>0</v>
      </c>
      <c r="N276" s="27"/>
      <c r="O276" s="27">
        <f t="shared" si="167"/>
        <v>-27115.662799236463</v>
      </c>
      <c r="P276" s="27">
        <f t="shared" si="168"/>
        <v>-8663.5956879836231</v>
      </c>
      <c r="Q276" s="27"/>
      <c r="R276" s="27">
        <f t="shared" si="169"/>
        <v>0</v>
      </c>
      <c r="S276" s="27">
        <f t="shared" si="170"/>
        <v>-792.73191863886984</v>
      </c>
      <c r="T276" s="27"/>
      <c r="U276" s="27">
        <f t="shared" si="171"/>
        <v>-3353.7509642912009</v>
      </c>
      <c r="V276" s="27"/>
      <c r="W276" s="27">
        <f t="shared" si="172"/>
        <v>-81.159474224015526</v>
      </c>
      <c r="X276" s="27"/>
      <c r="Y276" s="27">
        <f t="shared" si="173"/>
        <v>-10946.273021930678</v>
      </c>
      <c r="Z276" s="27"/>
      <c r="AA276" s="27">
        <f t="shared" si="174"/>
        <v>-569.90613369514642</v>
      </c>
      <c r="AB276" s="27">
        <f t="shared" si="161"/>
        <v>-51523.079999999987</v>
      </c>
      <c r="AC276" s="22" t="str">
        <f t="shared" si="162"/>
        <v>ok</v>
      </c>
    </row>
    <row r="277" spans="1:29" x14ac:dyDescent="0.25">
      <c r="A277" s="14">
        <v>930</v>
      </c>
      <c r="B277" s="14" t="s">
        <v>174</v>
      </c>
      <c r="C277" s="14" t="s">
        <v>175</v>
      </c>
      <c r="D277" s="14" t="s">
        <v>411</v>
      </c>
      <c r="F277" s="110">
        <f>93295.67+34803.62+148545.49+144356.01+48766.01</f>
        <v>469766.80000000005</v>
      </c>
      <c r="G277" s="27"/>
      <c r="H277" s="27">
        <f t="shared" si="163"/>
        <v>0</v>
      </c>
      <c r="I277" s="27">
        <f t="shared" si="164"/>
        <v>0</v>
      </c>
      <c r="J277" s="27"/>
      <c r="K277" s="27">
        <f t="shared" si="165"/>
        <v>0</v>
      </c>
      <c r="L277" s="27"/>
      <c r="M277" s="27">
        <f t="shared" si="166"/>
        <v>0</v>
      </c>
      <c r="N277" s="27"/>
      <c r="O277" s="27">
        <f t="shared" si="167"/>
        <v>247229.74913526824</v>
      </c>
      <c r="P277" s="27">
        <f t="shared" si="168"/>
        <v>78991.194292691071</v>
      </c>
      <c r="Q277" s="27"/>
      <c r="R277" s="27">
        <f t="shared" si="169"/>
        <v>0</v>
      </c>
      <c r="S277" s="27">
        <f t="shared" si="170"/>
        <v>7227.8120150589257</v>
      </c>
      <c r="T277" s="27"/>
      <c r="U277" s="27">
        <f t="shared" si="171"/>
        <v>30578.157565347254</v>
      </c>
      <c r="V277" s="27"/>
      <c r="W277" s="27">
        <f t="shared" si="172"/>
        <v>739.97956830023088</v>
      </c>
      <c r="X277" s="27"/>
      <c r="Y277" s="27">
        <f t="shared" si="173"/>
        <v>99803.731637136298</v>
      </c>
      <c r="Z277" s="27"/>
      <c r="AA277" s="27">
        <f t="shared" si="174"/>
        <v>5196.175786197974</v>
      </c>
      <c r="AB277" s="27">
        <f t="shared" si="161"/>
        <v>469766.8000000001</v>
      </c>
      <c r="AC277" s="22" t="str">
        <f t="shared" si="162"/>
        <v>ok</v>
      </c>
    </row>
    <row r="278" spans="1:29" x14ac:dyDescent="0.25">
      <c r="A278" s="14">
        <v>931</v>
      </c>
      <c r="B278" s="14" t="s">
        <v>176</v>
      </c>
      <c r="C278" s="14" t="s">
        <v>177</v>
      </c>
      <c r="D278" s="14" t="s">
        <v>84</v>
      </c>
      <c r="F278" s="110">
        <v>0</v>
      </c>
      <c r="G278" s="27"/>
      <c r="H278" s="27">
        <f t="shared" si="163"/>
        <v>0</v>
      </c>
      <c r="I278" s="27">
        <f t="shared" si="164"/>
        <v>0</v>
      </c>
      <c r="J278" s="27"/>
      <c r="K278" s="27">
        <f t="shared" si="165"/>
        <v>0</v>
      </c>
      <c r="L278" s="27"/>
      <c r="M278" s="27">
        <f t="shared" si="166"/>
        <v>0</v>
      </c>
      <c r="N278" s="27"/>
      <c r="O278" s="27">
        <f t="shared" si="167"/>
        <v>0</v>
      </c>
      <c r="P278" s="27">
        <f t="shared" si="168"/>
        <v>0</v>
      </c>
      <c r="Q278" s="27"/>
      <c r="R278" s="27">
        <f t="shared" si="169"/>
        <v>0</v>
      </c>
      <c r="S278" s="27">
        <f t="shared" si="170"/>
        <v>0</v>
      </c>
      <c r="T278" s="27"/>
      <c r="U278" s="27">
        <f t="shared" si="171"/>
        <v>0</v>
      </c>
      <c r="V278" s="27"/>
      <c r="W278" s="27">
        <f t="shared" si="172"/>
        <v>0</v>
      </c>
      <c r="X278" s="27"/>
      <c r="Y278" s="27">
        <f t="shared" si="173"/>
        <v>0</v>
      </c>
      <c r="Z278" s="27"/>
      <c r="AA278" s="27">
        <f t="shared" si="174"/>
        <v>0</v>
      </c>
      <c r="AB278" s="27">
        <f t="shared" si="161"/>
        <v>0</v>
      </c>
      <c r="AC278" s="22" t="str">
        <f t="shared" si="162"/>
        <v>ok</v>
      </c>
    </row>
    <row r="279" spans="1:29" x14ac:dyDescent="0.25">
      <c r="A279" s="14">
        <v>932</v>
      </c>
      <c r="B279" s="14" t="s">
        <v>178</v>
      </c>
      <c r="C279" s="14" t="s">
        <v>917</v>
      </c>
      <c r="D279" s="14" t="s">
        <v>70</v>
      </c>
      <c r="F279" s="110">
        <v>0</v>
      </c>
      <c r="G279" s="27"/>
      <c r="H279" s="27"/>
      <c r="I279" s="27">
        <f t="shared" si="164"/>
        <v>0</v>
      </c>
      <c r="J279" s="27"/>
      <c r="K279" s="27">
        <f t="shared" si="165"/>
        <v>0</v>
      </c>
      <c r="L279" s="27"/>
      <c r="M279" s="27">
        <f t="shared" si="166"/>
        <v>0</v>
      </c>
      <c r="N279" s="27"/>
      <c r="O279" s="27">
        <f t="shared" si="167"/>
        <v>0</v>
      </c>
      <c r="P279" s="27">
        <f t="shared" si="168"/>
        <v>0</v>
      </c>
      <c r="Q279" s="27"/>
      <c r="R279" s="27">
        <f t="shared" si="169"/>
        <v>0</v>
      </c>
      <c r="S279" s="27">
        <f t="shared" si="170"/>
        <v>0</v>
      </c>
      <c r="T279" s="27"/>
      <c r="U279" s="27">
        <f t="shared" si="171"/>
        <v>0</v>
      </c>
      <c r="V279" s="27"/>
      <c r="W279" s="27">
        <f t="shared" si="172"/>
        <v>0</v>
      </c>
      <c r="X279" s="27"/>
      <c r="Y279" s="27">
        <f t="shared" si="173"/>
        <v>0</v>
      </c>
      <c r="Z279" s="27"/>
      <c r="AA279" s="27">
        <f t="shared" si="174"/>
        <v>0</v>
      </c>
      <c r="AB279" s="27">
        <f>SUM(H279:AA279)</f>
        <v>0</v>
      </c>
      <c r="AC279" s="22" t="str">
        <f>IF(ABS(AB279-F279)&lt;1,"ok","err")</f>
        <v>ok</v>
      </c>
    </row>
    <row r="280" spans="1:29" x14ac:dyDescent="0.25">
      <c r="A280" s="14">
        <v>933</v>
      </c>
      <c r="B280" s="14" t="s">
        <v>915</v>
      </c>
      <c r="C280" s="14" t="s">
        <v>916</v>
      </c>
      <c r="D280" s="14" t="s">
        <v>70</v>
      </c>
      <c r="F280" s="110">
        <v>0</v>
      </c>
      <c r="G280" s="27"/>
      <c r="H280" s="27">
        <f t="shared" si="163"/>
        <v>0</v>
      </c>
      <c r="I280" s="27">
        <f t="shared" si="164"/>
        <v>0</v>
      </c>
      <c r="J280" s="27"/>
      <c r="K280" s="27">
        <f t="shared" si="165"/>
        <v>0</v>
      </c>
      <c r="L280" s="27"/>
      <c r="M280" s="27">
        <f t="shared" si="166"/>
        <v>0</v>
      </c>
      <c r="N280" s="27"/>
      <c r="O280" s="27">
        <f t="shared" si="167"/>
        <v>0</v>
      </c>
      <c r="P280" s="27">
        <f t="shared" si="168"/>
        <v>0</v>
      </c>
      <c r="Q280" s="27"/>
      <c r="R280" s="27">
        <f t="shared" si="169"/>
        <v>0</v>
      </c>
      <c r="S280" s="27">
        <f t="shared" si="170"/>
        <v>0</v>
      </c>
      <c r="T280" s="27"/>
      <c r="U280" s="27">
        <f t="shared" si="171"/>
        <v>0</v>
      </c>
      <c r="V280" s="27"/>
      <c r="W280" s="27">
        <f t="shared" si="172"/>
        <v>0</v>
      </c>
      <c r="X280" s="27"/>
      <c r="Y280" s="27">
        <f t="shared" si="173"/>
        <v>0</v>
      </c>
      <c r="Z280" s="27"/>
      <c r="AA280" s="27">
        <f t="shared" si="174"/>
        <v>0</v>
      </c>
      <c r="AB280" s="27">
        <f>SUM(H280:AA280)</f>
        <v>0</v>
      </c>
      <c r="AC280" s="22" t="str">
        <f>IF(ABS(AB280-F280)&lt;1,"ok","err")</f>
        <v>ok</v>
      </c>
    </row>
    <row r="281" spans="1:29" x14ac:dyDescent="0.25">
      <c r="A281" s="14">
        <v>935</v>
      </c>
      <c r="B281" s="14" t="s">
        <v>918</v>
      </c>
      <c r="C281" s="14" t="s">
        <v>708</v>
      </c>
      <c r="D281" s="14" t="s">
        <v>84</v>
      </c>
      <c r="F281" s="110">
        <v>161948.53</v>
      </c>
      <c r="G281" s="27"/>
      <c r="H281" s="27">
        <f t="shared" si="163"/>
        <v>0</v>
      </c>
      <c r="I281" s="27">
        <f t="shared" si="164"/>
        <v>0</v>
      </c>
      <c r="J281" s="27"/>
      <c r="K281" s="27">
        <f t="shared" si="165"/>
        <v>0</v>
      </c>
      <c r="L281" s="27"/>
      <c r="M281" s="27">
        <f t="shared" si="166"/>
        <v>0</v>
      </c>
      <c r="N281" s="27"/>
      <c r="O281" s="27">
        <f t="shared" si="167"/>
        <v>96542.727135052104</v>
      </c>
      <c r="P281" s="27">
        <f t="shared" si="168"/>
        <v>38727.856223702809</v>
      </c>
      <c r="Q281" s="27"/>
      <c r="R281" s="27">
        <f t="shared" si="169"/>
        <v>0</v>
      </c>
      <c r="S281" s="27">
        <f t="shared" si="170"/>
        <v>11945.720344112005</v>
      </c>
      <c r="T281" s="27"/>
      <c r="U281" s="27">
        <f t="shared" si="171"/>
        <v>9366.7668922905705</v>
      </c>
      <c r="V281" s="27"/>
      <c r="W281" s="27">
        <f t="shared" si="172"/>
        <v>5365.4594048424415</v>
      </c>
      <c r="X281" s="27"/>
      <c r="Y281" s="27">
        <f t="shared" si="173"/>
        <v>0</v>
      </c>
      <c r="Z281" s="27"/>
      <c r="AA281" s="27">
        <f t="shared" si="174"/>
        <v>0</v>
      </c>
      <c r="AB281" s="27">
        <f t="shared" si="161"/>
        <v>161948.52999999991</v>
      </c>
      <c r="AC281" s="22" t="str">
        <f t="shared" si="162"/>
        <v>ok</v>
      </c>
    </row>
    <row r="282" spans="1:29" x14ac:dyDescent="0.25">
      <c r="F282" s="110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2"/>
    </row>
    <row r="283" spans="1:29" x14ac:dyDescent="0.25">
      <c r="A283" s="14" t="s">
        <v>179</v>
      </c>
      <c r="C283" s="14" t="s">
        <v>180</v>
      </c>
      <c r="D283" s="82"/>
      <c r="F283" s="119">
        <f>SUM(F269:F282)</f>
        <v>1621963.97</v>
      </c>
      <c r="G283" s="40"/>
      <c r="H283" s="40">
        <f>SUM(H269:H282)</f>
        <v>0</v>
      </c>
      <c r="I283" s="40">
        <f>SUM(I269:I282)</f>
        <v>0</v>
      </c>
      <c r="J283" s="40"/>
      <c r="K283" s="40">
        <f>SUM(K269:K282)</f>
        <v>0</v>
      </c>
      <c r="L283" s="40"/>
      <c r="M283" s="40">
        <f>SUM(M269:M282)</f>
        <v>0</v>
      </c>
      <c r="N283" s="40"/>
      <c r="O283" s="40">
        <f>SUM(O269:O282)</f>
        <v>842964.15520732105</v>
      </c>
      <c r="P283" s="40">
        <f>SUM(P269:P282)</f>
        <v>278097.89511658926</v>
      </c>
      <c r="Q283" s="40"/>
      <c r="R283" s="40">
        <f>SUM(R269:R282)</f>
        <v>0</v>
      </c>
      <c r="S283" s="40">
        <f>SUM(S269:S282)</f>
        <v>34291.336736382218</v>
      </c>
      <c r="T283" s="40"/>
      <c r="U283" s="40">
        <f>SUM(U269:U282)</f>
        <v>121284.53295913379</v>
      </c>
      <c r="V283" s="40"/>
      <c r="W283" s="40">
        <f>SUM(W269:W282)</f>
        <v>7829.2710921327689</v>
      </c>
      <c r="X283" s="40"/>
      <c r="Y283" s="40">
        <f>SUM(Y269:Y282)</f>
        <v>319915.97284279158</v>
      </c>
      <c r="Z283" s="40"/>
      <c r="AA283" s="40">
        <f>SUM(AA269:AA282)</f>
        <v>17580.806045649031</v>
      </c>
      <c r="AB283" s="27">
        <f>SUM(H283:AA283)</f>
        <v>1621963.9699999997</v>
      </c>
      <c r="AC283" s="22" t="str">
        <f>IF(ABS(AB283-F283)&lt;1,"ok","err")</f>
        <v>ok</v>
      </c>
    </row>
    <row r="284" spans="1:29" x14ac:dyDescent="0.25">
      <c r="F284" s="110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2"/>
    </row>
    <row r="285" spans="1:29" x14ac:dyDescent="0.25">
      <c r="A285" s="14" t="s">
        <v>181</v>
      </c>
      <c r="C285" s="14" t="s">
        <v>182</v>
      </c>
      <c r="F285" s="119">
        <f>F237+F246+F262+F283</f>
        <v>89457876.38000001</v>
      </c>
      <c r="G285" s="40"/>
      <c r="H285" s="40">
        <f>H237+H246+H262+H283</f>
        <v>15694350.815808589</v>
      </c>
      <c r="I285" s="40">
        <f>I237+I246+I262+I283</f>
        <v>64933156.164191425</v>
      </c>
      <c r="J285" s="40"/>
      <c r="K285" s="40">
        <f>K237+K246+K262+K283</f>
        <v>0</v>
      </c>
      <c r="L285" s="40"/>
      <c r="M285" s="40">
        <f>M237+M246+M262+M283</f>
        <v>0</v>
      </c>
      <c r="N285" s="40"/>
      <c r="O285" s="40">
        <f>O237+O246+O262+O283</f>
        <v>4636617.2318491898</v>
      </c>
      <c r="P285" s="40">
        <f>P237+P246+P262+P283</f>
        <v>1490189.8391654647</v>
      </c>
      <c r="Q285" s="40"/>
      <c r="R285" s="40">
        <f>R237+R246+R262+R283</f>
        <v>0</v>
      </c>
      <c r="S285" s="40">
        <f>S237+S246+S262+S283</f>
        <v>145199.55625374703</v>
      </c>
      <c r="T285" s="40"/>
      <c r="U285" s="40">
        <f>U237+U246+U262+U283</f>
        <v>590495.54794240789</v>
      </c>
      <c r="V285" s="40"/>
      <c r="W285" s="40">
        <f>W237+W246+W262+W283</f>
        <v>19183.995900749382</v>
      </c>
      <c r="X285" s="40"/>
      <c r="Y285" s="40">
        <f>Y237+Y246+Y262+Y283</f>
        <v>1851368.9428427918</v>
      </c>
      <c r="Z285" s="40"/>
      <c r="AA285" s="40">
        <f>AA237+AA246+AA262+AA283</f>
        <v>97314.286045649031</v>
      </c>
      <c r="AB285" s="27">
        <f>SUM(H285:AA285)</f>
        <v>89457876.38000004</v>
      </c>
      <c r="AC285" s="22" t="str">
        <f>IF(ABS(AB285-F285)&lt;1,"ok","err")</f>
        <v>ok</v>
      </c>
    </row>
    <row r="286" spans="1:29" x14ac:dyDescent="0.25">
      <c r="F286" s="110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2"/>
    </row>
    <row r="287" spans="1:29" x14ac:dyDescent="0.25">
      <c r="A287" s="14" t="s">
        <v>412</v>
      </c>
      <c r="C287" s="14" t="s">
        <v>88</v>
      </c>
      <c r="F287" s="120">
        <f>F285-F180</f>
        <v>8830369.400000006</v>
      </c>
      <c r="G287" s="61"/>
      <c r="H287" s="61">
        <f>H285-H180</f>
        <v>0</v>
      </c>
      <c r="I287" s="61">
        <f>I285-I180</f>
        <v>0</v>
      </c>
      <c r="J287" s="61"/>
      <c r="K287" s="61">
        <f>K285-K180</f>
        <v>0</v>
      </c>
      <c r="L287" s="61"/>
      <c r="M287" s="61">
        <f>M285-M180</f>
        <v>0</v>
      </c>
      <c r="N287" s="61"/>
      <c r="O287" s="61">
        <f>O285-O180</f>
        <v>4636617.2318491898</v>
      </c>
      <c r="P287" s="61">
        <f>P285-P180</f>
        <v>1490189.8391654647</v>
      </c>
      <c r="Q287" s="61">
        <f>Q285-Q180</f>
        <v>0</v>
      </c>
      <c r="R287" s="61">
        <f>R285-R180</f>
        <v>0</v>
      </c>
      <c r="S287" s="61">
        <f>S285-S180</f>
        <v>145199.55625374703</v>
      </c>
      <c r="T287" s="61"/>
      <c r="U287" s="61">
        <f>U285-U180</f>
        <v>590495.54794240789</v>
      </c>
      <c r="V287" s="61"/>
      <c r="W287" s="61">
        <f>W285-W180</f>
        <v>19183.995900749382</v>
      </c>
      <c r="X287" s="61"/>
      <c r="Y287" s="61">
        <f>Y285-Y180</f>
        <v>1851368.9428427918</v>
      </c>
      <c r="Z287" s="61"/>
      <c r="AA287" s="61">
        <f>AA285-AA180</f>
        <v>97314.286045649031</v>
      </c>
      <c r="AB287" s="27">
        <f>SUM(H287:AA287)</f>
        <v>8830369.3999999985</v>
      </c>
      <c r="AC287" s="22" t="str">
        <f>IF(ABS(AB287-F287)&lt;1,"ok","err")</f>
        <v>ok</v>
      </c>
    </row>
    <row r="288" spans="1:29" x14ac:dyDescent="0.25">
      <c r="Q288" s="14"/>
      <c r="AC288" s="22"/>
    </row>
    <row r="289" spans="1:29" x14ac:dyDescent="0.25">
      <c r="AC289" s="22"/>
    </row>
    <row r="290" spans="1:29" x14ac:dyDescent="0.25">
      <c r="A290" s="20" t="s">
        <v>184</v>
      </c>
      <c r="AC290" s="22"/>
    </row>
    <row r="291" spans="1:29" x14ac:dyDescent="0.25">
      <c r="AC291" s="22"/>
    </row>
    <row r="292" spans="1:29" x14ac:dyDescent="0.25">
      <c r="A292" s="13" t="s">
        <v>185</v>
      </c>
      <c r="AC292" s="22"/>
    </row>
    <row r="293" spans="1:29" x14ac:dyDescent="0.25">
      <c r="A293" s="14" t="s">
        <v>763</v>
      </c>
      <c r="C293" s="14" t="s">
        <v>824</v>
      </c>
      <c r="D293" s="14" t="s">
        <v>779</v>
      </c>
      <c r="F293" s="110"/>
      <c r="G293" s="27"/>
      <c r="H293" s="27">
        <f t="shared" ref="H293:H310" si="175">IF((VLOOKUP($D293,$C$5:$AA$496,6,)=0),0,((VLOOKUP($D293,$C$5:$AA$496,6,)/VLOOKUP($D293,$C$5:$AA$496,4,))*$F293))</f>
        <v>0</v>
      </c>
      <c r="I293" s="27">
        <f t="shared" ref="I293:I310" si="176">IF((VLOOKUP($D293,$C$5:$AA$496,7,)=0),0,((VLOOKUP($D293,$C$5:$AA$496,7,)/VLOOKUP($D293,$C$5:$AA$496,4,))*$F293))</f>
        <v>0</v>
      </c>
      <c r="J293" s="27"/>
      <c r="K293" s="27">
        <f t="shared" ref="K293:K310" si="177">IF((VLOOKUP($D293,$C$5:$AA$496,9,)=0),0,((VLOOKUP($D293,$C$5:$AA$496,9,)/VLOOKUP($D293,$C$5:$AA$496,4,))*$F293))</f>
        <v>0</v>
      </c>
      <c r="L293" s="27"/>
      <c r="M293" s="27">
        <f t="shared" ref="M293:M310" si="178">IF((VLOOKUP($D293,$C$5:$AA$496,11,)=0),0,((VLOOKUP($D293,$C$5:$AA$496,11,)/VLOOKUP($D293,$C$5:$AA$496,4,))*$F293))</f>
        <v>0</v>
      </c>
      <c r="N293" s="27"/>
      <c r="O293" s="27">
        <f t="shared" ref="O293:O310" si="179">IF((VLOOKUP($D293,$C$5:$AA$496,13,)=0),0,((VLOOKUP($D293,$C$5:$AA$496,13,)/VLOOKUP($D293,$C$5:$AA$496,4,))*$F293))</f>
        <v>0</v>
      </c>
      <c r="P293" s="27">
        <f t="shared" ref="P293:P310" si="180">IF((VLOOKUP($D293,$C$5:$AA$496,14,)=0),0,((VLOOKUP($D293,$C$5:$AA$496,14,)/VLOOKUP($D293,$C$5:$AA$496,4,))*$F293))</f>
        <v>0</v>
      </c>
      <c r="Q293" s="27"/>
      <c r="R293" s="27">
        <f t="shared" ref="R293:R310" si="181">IF((VLOOKUP($D293,$C$5:$AA$496,16,)=0),0,((VLOOKUP($D293,$C$5:$AA$496,16,)/VLOOKUP($D293,$C$5:$AA$496,4,))*$F293))</f>
        <v>0</v>
      </c>
      <c r="S293" s="27">
        <f t="shared" ref="S293:S310" si="182">IF((VLOOKUP($D293,$C$5:$AA$496,17,)=0),0,((VLOOKUP($D293,$C$5:$AA$496,17,)/VLOOKUP($D293,$C$5:$AA$496,4,))*$F293))</f>
        <v>0</v>
      </c>
      <c r="T293" s="27"/>
      <c r="U293" s="27">
        <f t="shared" ref="U293:U310" si="183">IF((VLOOKUP($D293,$C$5:$AA$496,19,)=0),0,((VLOOKUP($D293,$C$5:$AA$496,19,)/VLOOKUP($D293,$C$5:$AA$496,4,))*$F293))</f>
        <v>0</v>
      </c>
      <c r="V293" s="27"/>
      <c r="W293" s="27">
        <f t="shared" ref="W293:W310" si="184">IF((VLOOKUP($D293,$C$5:$AA$496,21,)=0),0,((VLOOKUP($D293,$C$5:$AA$496,21,)/VLOOKUP($D293,$C$5:$AA$496,4,))*$F293))</f>
        <v>0</v>
      </c>
      <c r="X293" s="27"/>
      <c r="Y293" s="27">
        <f t="shared" ref="Y293:Y310" si="185">IF((VLOOKUP($D293,$C$5:$AA$496,23,)=0),0,((VLOOKUP($D293,$C$5:$AA$496,23,)/VLOOKUP($D293,$C$5:$AA$496,4,))*$F293))</f>
        <v>0</v>
      </c>
      <c r="Z293" s="27"/>
      <c r="AA293" s="27">
        <f t="shared" ref="AA293:AA310" si="186">IF((VLOOKUP($D293,$C$5:$AA$496,25,)=0),0,((VLOOKUP($D293,$C$5:$AA$496,25,)/VLOOKUP($D293,$C$5:$AA$496,4,))*$F293))</f>
        <v>0</v>
      </c>
      <c r="AB293" s="27">
        <f>SUM(H293:AA293)</f>
        <v>0</v>
      </c>
      <c r="AC293" s="22" t="str">
        <f>IF(ABS(AB293-F293)&lt;1,"ok","err")</f>
        <v>ok</v>
      </c>
    </row>
    <row r="294" spans="1:29" x14ac:dyDescent="0.25">
      <c r="A294" s="14" t="s">
        <v>368</v>
      </c>
      <c r="C294" s="14" t="s">
        <v>414</v>
      </c>
      <c r="D294" s="14" t="s">
        <v>390</v>
      </c>
      <c r="F294" s="110"/>
      <c r="G294" s="27"/>
      <c r="H294" s="27">
        <f t="shared" si="175"/>
        <v>0</v>
      </c>
      <c r="I294" s="27">
        <f t="shared" si="176"/>
        <v>0</v>
      </c>
      <c r="J294" s="27"/>
      <c r="K294" s="27">
        <f t="shared" si="177"/>
        <v>0</v>
      </c>
      <c r="L294" s="27"/>
      <c r="M294" s="27">
        <f t="shared" si="178"/>
        <v>0</v>
      </c>
      <c r="N294" s="27"/>
      <c r="O294" s="27">
        <f t="shared" si="179"/>
        <v>0</v>
      </c>
      <c r="P294" s="27">
        <f t="shared" si="180"/>
        <v>0</v>
      </c>
      <c r="Q294" s="27"/>
      <c r="R294" s="27">
        <f t="shared" si="181"/>
        <v>0</v>
      </c>
      <c r="S294" s="27">
        <f t="shared" si="182"/>
        <v>0</v>
      </c>
      <c r="T294" s="27"/>
      <c r="U294" s="27">
        <f t="shared" si="183"/>
        <v>0</v>
      </c>
      <c r="V294" s="27"/>
      <c r="W294" s="27">
        <f t="shared" si="184"/>
        <v>0</v>
      </c>
      <c r="X294" s="27"/>
      <c r="Y294" s="27">
        <f t="shared" si="185"/>
        <v>0</v>
      </c>
      <c r="Z294" s="27"/>
      <c r="AA294" s="27">
        <f t="shared" si="186"/>
        <v>0</v>
      </c>
      <c r="AB294" s="27">
        <f>SUM(H294:AA294)</f>
        <v>0</v>
      </c>
      <c r="AC294" s="22" t="str">
        <f>IF(ABS(AB294-F294)&lt;1,"ok","err")</f>
        <v>ok</v>
      </c>
    </row>
    <row r="295" spans="1:29" x14ac:dyDescent="0.25">
      <c r="A295" s="14" t="s">
        <v>426</v>
      </c>
      <c r="C295" s="14" t="s">
        <v>458</v>
      </c>
      <c r="D295" s="14" t="s">
        <v>424</v>
      </c>
      <c r="F295" s="110"/>
      <c r="G295" s="27"/>
      <c r="H295" s="27">
        <f t="shared" si="175"/>
        <v>0</v>
      </c>
      <c r="I295" s="27">
        <f t="shared" si="176"/>
        <v>0</v>
      </c>
      <c r="J295" s="27"/>
      <c r="K295" s="27">
        <f t="shared" si="177"/>
        <v>0</v>
      </c>
      <c r="L295" s="27"/>
      <c r="M295" s="27">
        <f t="shared" si="178"/>
        <v>0</v>
      </c>
      <c r="N295" s="27"/>
      <c r="O295" s="27">
        <f t="shared" si="179"/>
        <v>0</v>
      </c>
      <c r="P295" s="27">
        <f t="shared" si="180"/>
        <v>0</v>
      </c>
      <c r="Q295" s="27"/>
      <c r="R295" s="27">
        <f t="shared" si="181"/>
        <v>0</v>
      </c>
      <c r="S295" s="27">
        <f t="shared" si="182"/>
        <v>0</v>
      </c>
      <c r="T295" s="27"/>
      <c r="U295" s="27">
        <f t="shared" si="183"/>
        <v>0</v>
      </c>
      <c r="V295" s="27"/>
      <c r="W295" s="27">
        <f t="shared" si="184"/>
        <v>0</v>
      </c>
      <c r="X295" s="27"/>
      <c r="Y295" s="27">
        <f t="shared" si="185"/>
        <v>0</v>
      </c>
      <c r="Z295" s="27"/>
      <c r="AA295" s="27">
        <f t="shared" si="186"/>
        <v>0</v>
      </c>
      <c r="AB295" s="27">
        <f t="shared" ref="AB295:AB306" si="187">SUM(H295:AA295)</f>
        <v>0</v>
      </c>
      <c r="AC295" s="22" t="str">
        <f t="shared" ref="AC295:AC306" si="188">IF(ABS(AB295-F295)&lt;1,"ok","err")</f>
        <v>ok</v>
      </c>
    </row>
    <row r="296" spans="1:29" x14ac:dyDescent="0.25">
      <c r="A296" s="14" t="s">
        <v>427</v>
      </c>
      <c r="C296" s="14" t="s">
        <v>459</v>
      </c>
      <c r="D296" s="14" t="s">
        <v>23</v>
      </c>
      <c r="F296" s="110"/>
      <c r="G296" s="27"/>
      <c r="H296" s="27">
        <f t="shared" si="175"/>
        <v>0</v>
      </c>
      <c r="I296" s="27">
        <f t="shared" si="176"/>
        <v>0</v>
      </c>
      <c r="J296" s="27"/>
      <c r="K296" s="27">
        <f t="shared" si="177"/>
        <v>0</v>
      </c>
      <c r="L296" s="27"/>
      <c r="M296" s="27">
        <f t="shared" si="178"/>
        <v>0</v>
      </c>
      <c r="N296" s="27"/>
      <c r="O296" s="27">
        <f t="shared" si="179"/>
        <v>0</v>
      </c>
      <c r="P296" s="27">
        <f t="shared" si="180"/>
        <v>0</v>
      </c>
      <c r="Q296" s="27"/>
      <c r="R296" s="27">
        <f t="shared" si="181"/>
        <v>0</v>
      </c>
      <c r="S296" s="27">
        <f t="shared" si="182"/>
        <v>0</v>
      </c>
      <c r="T296" s="27"/>
      <c r="U296" s="27">
        <f t="shared" si="183"/>
        <v>0</v>
      </c>
      <c r="V296" s="27"/>
      <c r="W296" s="27">
        <f t="shared" si="184"/>
        <v>0</v>
      </c>
      <c r="X296" s="27"/>
      <c r="Y296" s="27">
        <f t="shared" si="185"/>
        <v>0</v>
      </c>
      <c r="Z296" s="27"/>
      <c r="AA296" s="27">
        <f t="shared" si="186"/>
        <v>0</v>
      </c>
      <c r="AB296" s="27">
        <f t="shared" si="187"/>
        <v>0</v>
      </c>
      <c r="AC296" s="22" t="str">
        <f t="shared" si="188"/>
        <v>ok</v>
      </c>
    </row>
    <row r="297" spans="1:29" x14ac:dyDescent="0.25">
      <c r="A297" s="14" t="s">
        <v>428</v>
      </c>
      <c r="C297" s="14" t="s">
        <v>460</v>
      </c>
      <c r="D297" s="14" t="s">
        <v>26</v>
      </c>
      <c r="F297" s="110"/>
      <c r="G297" s="27"/>
      <c r="H297" s="27">
        <f t="shared" si="175"/>
        <v>0</v>
      </c>
      <c r="I297" s="27">
        <f t="shared" si="176"/>
        <v>0</v>
      </c>
      <c r="J297" s="27"/>
      <c r="K297" s="27">
        <f t="shared" si="177"/>
        <v>0</v>
      </c>
      <c r="L297" s="27"/>
      <c r="M297" s="27">
        <f t="shared" si="178"/>
        <v>0</v>
      </c>
      <c r="N297" s="27"/>
      <c r="O297" s="27">
        <f t="shared" si="179"/>
        <v>0</v>
      </c>
      <c r="P297" s="27">
        <f t="shared" si="180"/>
        <v>0</v>
      </c>
      <c r="Q297" s="27"/>
      <c r="R297" s="27">
        <f t="shared" si="181"/>
        <v>0</v>
      </c>
      <c r="S297" s="27">
        <f t="shared" si="182"/>
        <v>0</v>
      </c>
      <c r="T297" s="27"/>
      <c r="U297" s="27">
        <f t="shared" si="183"/>
        <v>0</v>
      </c>
      <c r="V297" s="27"/>
      <c r="W297" s="27">
        <f t="shared" si="184"/>
        <v>0</v>
      </c>
      <c r="X297" s="27"/>
      <c r="Y297" s="27">
        <f t="shared" si="185"/>
        <v>0</v>
      </c>
      <c r="Z297" s="27"/>
      <c r="AA297" s="27">
        <f t="shared" si="186"/>
        <v>0</v>
      </c>
      <c r="AB297" s="27">
        <f t="shared" si="187"/>
        <v>0</v>
      </c>
      <c r="AC297" s="22" t="str">
        <f t="shared" si="188"/>
        <v>ok</v>
      </c>
    </row>
    <row r="298" spans="1:29" x14ac:dyDescent="0.25">
      <c r="A298" s="14" t="s">
        <v>429</v>
      </c>
      <c r="C298" s="14" t="s">
        <v>461</v>
      </c>
      <c r="D298" s="14" t="s">
        <v>29</v>
      </c>
      <c r="F298" s="110"/>
      <c r="G298" s="27"/>
      <c r="H298" s="27">
        <f t="shared" si="175"/>
        <v>0</v>
      </c>
      <c r="I298" s="27">
        <f t="shared" si="176"/>
        <v>0</v>
      </c>
      <c r="J298" s="27"/>
      <c r="K298" s="27">
        <f t="shared" si="177"/>
        <v>0</v>
      </c>
      <c r="L298" s="27"/>
      <c r="M298" s="27">
        <f t="shared" si="178"/>
        <v>0</v>
      </c>
      <c r="N298" s="27"/>
      <c r="O298" s="27">
        <f t="shared" si="179"/>
        <v>0</v>
      </c>
      <c r="P298" s="27">
        <f t="shared" si="180"/>
        <v>0</v>
      </c>
      <c r="Q298" s="27"/>
      <c r="R298" s="27">
        <f t="shared" si="181"/>
        <v>0</v>
      </c>
      <c r="S298" s="27">
        <f t="shared" si="182"/>
        <v>0</v>
      </c>
      <c r="T298" s="27"/>
      <c r="U298" s="27">
        <f t="shared" si="183"/>
        <v>0</v>
      </c>
      <c r="V298" s="27"/>
      <c r="W298" s="27">
        <f t="shared" si="184"/>
        <v>0</v>
      </c>
      <c r="X298" s="27"/>
      <c r="Y298" s="27">
        <f t="shared" si="185"/>
        <v>0</v>
      </c>
      <c r="Z298" s="27"/>
      <c r="AA298" s="27">
        <f t="shared" si="186"/>
        <v>0</v>
      </c>
      <c r="AB298" s="27">
        <f t="shared" si="187"/>
        <v>0</v>
      </c>
      <c r="AC298" s="22" t="str">
        <f t="shared" si="188"/>
        <v>ok</v>
      </c>
    </row>
    <row r="299" spans="1:29" x14ac:dyDescent="0.25">
      <c r="A299" s="14" t="s">
        <v>447</v>
      </c>
      <c r="C299" s="14" t="s">
        <v>462</v>
      </c>
      <c r="D299" s="14" t="s">
        <v>32</v>
      </c>
      <c r="F299" s="110"/>
      <c r="G299" s="27"/>
      <c r="H299" s="27">
        <f t="shared" si="175"/>
        <v>0</v>
      </c>
      <c r="I299" s="27">
        <f t="shared" si="176"/>
        <v>0</v>
      </c>
      <c r="J299" s="27"/>
      <c r="K299" s="27">
        <f t="shared" si="177"/>
        <v>0</v>
      </c>
      <c r="L299" s="27"/>
      <c r="M299" s="27">
        <f t="shared" si="178"/>
        <v>0</v>
      </c>
      <c r="N299" s="27"/>
      <c r="O299" s="27">
        <f t="shared" si="179"/>
        <v>0</v>
      </c>
      <c r="P299" s="27">
        <f t="shared" si="180"/>
        <v>0</v>
      </c>
      <c r="Q299" s="27"/>
      <c r="R299" s="27">
        <f t="shared" si="181"/>
        <v>0</v>
      </c>
      <c r="S299" s="27">
        <f t="shared" si="182"/>
        <v>0</v>
      </c>
      <c r="T299" s="27"/>
      <c r="U299" s="27">
        <f t="shared" si="183"/>
        <v>0</v>
      </c>
      <c r="V299" s="27"/>
      <c r="W299" s="27">
        <f t="shared" si="184"/>
        <v>0</v>
      </c>
      <c r="X299" s="27"/>
      <c r="Y299" s="27">
        <f t="shared" si="185"/>
        <v>0</v>
      </c>
      <c r="Z299" s="27"/>
      <c r="AA299" s="27">
        <f t="shared" si="186"/>
        <v>0</v>
      </c>
      <c r="AB299" s="27">
        <f t="shared" si="187"/>
        <v>0</v>
      </c>
      <c r="AC299" s="22" t="str">
        <f t="shared" si="188"/>
        <v>ok</v>
      </c>
    </row>
    <row r="300" spans="1:29" x14ac:dyDescent="0.25">
      <c r="A300" s="14" t="s">
        <v>430</v>
      </c>
      <c r="C300" s="14" t="s">
        <v>463</v>
      </c>
      <c r="D300" s="14" t="s">
        <v>35</v>
      </c>
      <c r="F300" s="110"/>
      <c r="G300" s="27"/>
      <c r="H300" s="27">
        <f t="shared" si="175"/>
        <v>0</v>
      </c>
      <c r="I300" s="27">
        <f t="shared" si="176"/>
        <v>0</v>
      </c>
      <c r="J300" s="27"/>
      <c r="K300" s="27">
        <f t="shared" si="177"/>
        <v>0</v>
      </c>
      <c r="L300" s="27"/>
      <c r="M300" s="27">
        <f t="shared" si="178"/>
        <v>0</v>
      </c>
      <c r="N300" s="27"/>
      <c r="O300" s="27">
        <f t="shared" si="179"/>
        <v>0</v>
      </c>
      <c r="P300" s="27">
        <f t="shared" si="180"/>
        <v>0</v>
      </c>
      <c r="Q300" s="27"/>
      <c r="R300" s="27">
        <f t="shared" si="181"/>
        <v>0</v>
      </c>
      <c r="S300" s="27">
        <f t="shared" si="182"/>
        <v>0</v>
      </c>
      <c r="T300" s="27"/>
      <c r="U300" s="27">
        <f t="shared" si="183"/>
        <v>0</v>
      </c>
      <c r="V300" s="27"/>
      <c r="W300" s="27">
        <f t="shared" si="184"/>
        <v>0</v>
      </c>
      <c r="X300" s="27"/>
      <c r="Y300" s="27">
        <f t="shared" si="185"/>
        <v>0</v>
      </c>
      <c r="Z300" s="27"/>
      <c r="AA300" s="27">
        <f t="shared" si="186"/>
        <v>0</v>
      </c>
      <c r="AB300" s="27">
        <f t="shared" si="187"/>
        <v>0</v>
      </c>
      <c r="AC300" s="22" t="str">
        <f t="shared" si="188"/>
        <v>ok</v>
      </c>
    </row>
    <row r="301" spans="1:29" x14ac:dyDescent="0.25">
      <c r="A301" s="14" t="s">
        <v>431</v>
      </c>
      <c r="C301" s="14" t="s">
        <v>464</v>
      </c>
      <c r="D301" s="14" t="s">
        <v>37</v>
      </c>
      <c r="F301" s="110"/>
      <c r="G301" s="27"/>
      <c r="H301" s="27">
        <f t="shared" si="175"/>
        <v>0</v>
      </c>
      <c r="I301" s="27">
        <f t="shared" si="176"/>
        <v>0</v>
      </c>
      <c r="J301" s="27"/>
      <c r="K301" s="27">
        <f t="shared" si="177"/>
        <v>0</v>
      </c>
      <c r="L301" s="27"/>
      <c r="M301" s="27">
        <f t="shared" si="178"/>
        <v>0</v>
      </c>
      <c r="N301" s="27"/>
      <c r="O301" s="27">
        <f t="shared" si="179"/>
        <v>0</v>
      </c>
      <c r="P301" s="27">
        <f t="shared" si="180"/>
        <v>0</v>
      </c>
      <c r="Q301" s="27"/>
      <c r="R301" s="27">
        <f t="shared" si="181"/>
        <v>0</v>
      </c>
      <c r="S301" s="27">
        <f t="shared" si="182"/>
        <v>0</v>
      </c>
      <c r="T301" s="27"/>
      <c r="U301" s="27">
        <f t="shared" si="183"/>
        <v>0</v>
      </c>
      <c r="V301" s="27"/>
      <c r="W301" s="27">
        <f t="shared" si="184"/>
        <v>0</v>
      </c>
      <c r="X301" s="27"/>
      <c r="Y301" s="27">
        <f t="shared" si="185"/>
        <v>0</v>
      </c>
      <c r="Z301" s="27"/>
      <c r="AA301" s="27">
        <f t="shared" si="186"/>
        <v>0</v>
      </c>
      <c r="AB301" s="27">
        <f t="shared" si="187"/>
        <v>0</v>
      </c>
      <c r="AC301" s="22" t="str">
        <f t="shared" si="188"/>
        <v>ok</v>
      </c>
    </row>
    <row r="302" spans="1:29" x14ac:dyDescent="0.25">
      <c r="A302" s="14" t="s">
        <v>432</v>
      </c>
      <c r="C302" s="14" t="s">
        <v>465</v>
      </c>
      <c r="D302" s="14" t="s">
        <v>40</v>
      </c>
      <c r="F302" s="110"/>
      <c r="G302" s="27"/>
      <c r="H302" s="27">
        <f t="shared" si="175"/>
        <v>0</v>
      </c>
      <c r="I302" s="27">
        <f t="shared" si="176"/>
        <v>0</v>
      </c>
      <c r="J302" s="27"/>
      <c r="K302" s="27">
        <f t="shared" si="177"/>
        <v>0</v>
      </c>
      <c r="L302" s="27"/>
      <c r="M302" s="27">
        <f t="shared" si="178"/>
        <v>0</v>
      </c>
      <c r="N302" s="27"/>
      <c r="O302" s="27">
        <f t="shared" si="179"/>
        <v>0</v>
      </c>
      <c r="P302" s="27">
        <f t="shared" si="180"/>
        <v>0</v>
      </c>
      <c r="Q302" s="27"/>
      <c r="R302" s="27">
        <f t="shared" si="181"/>
        <v>0</v>
      </c>
      <c r="S302" s="27">
        <f t="shared" si="182"/>
        <v>0</v>
      </c>
      <c r="T302" s="27"/>
      <c r="U302" s="27">
        <f t="shared" si="183"/>
        <v>0</v>
      </c>
      <c r="V302" s="27"/>
      <c r="W302" s="27">
        <f t="shared" si="184"/>
        <v>0</v>
      </c>
      <c r="X302" s="27"/>
      <c r="Y302" s="27">
        <f t="shared" si="185"/>
        <v>0</v>
      </c>
      <c r="Z302" s="27"/>
      <c r="AA302" s="27">
        <f t="shared" si="186"/>
        <v>0</v>
      </c>
      <c r="AB302" s="27">
        <f t="shared" si="187"/>
        <v>0</v>
      </c>
      <c r="AC302" s="22" t="str">
        <f t="shared" si="188"/>
        <v>ok</v>
      </c>
    </row>
    <row r="303" spans="1:29" x14ac:dyDescent="0.25">
      <c r="A303" s="14" t="s">
        <v>433</v>
      </c>
      <c r="C303" s="14" t="s">
        <v>466</v>
      </c>
      <c r="D303" s="14" t="s">
        <v>43</v>
      </c>
      <c r="F303" s="110"/>
      <c r="G303" s="27"/>
      <c r="H303" s="27">
        <f t="shared" si="175"/>
        <v>0</v>
      </c>
      <c r="I303" s="27">
        <f t="shared" si="176"/>
        <v>0</v>
      </c>
      <c r="J303" s="27"/>
      <c r="K303" s="27">
        <f t="shared" si="177"/>
        <v>0</v>
      </c>
      <c r="L303" s="27"/>
      <c r="M303" s="27">
        <f t="shared" si="178"/>
        <v>0</v>
      </c>
      <c r="N303" s="27"/>
      <c r="O303" s="27">
        <f t="shared" si="179"/>
        <v>0</v>
      </c>
      <c r="P303" s="27">
        <f t="shared" si="180"/>
        <v>0</v>
      </c>
      <c r="Q303" s="27"/>
      <c r="R303" s="27">
        <f t="shared" si="181"/>
        <v>0</v>
      </c>
      <c r="S303" s="27">
        <f t="shared" si="182"/>
        <v>0</v>
      </c>
      <c r="T303" s="27"/>
      <c r="U303" s="27">
        <f t="shared" si="183"/>
        <v>0</v>
      </c>
      <c r="V303" s="27"/>
      <c r="W303" s="27">
        <f t="shared" si="184"/>
        <v>0</v>
      </c>
      <c r="X303" s="27"/>
      <c r="Y303" s="27">
        <f t="shared" si="185"/>
        <v>0</v>
      </c>
      <c r="Z303" s="27"/>
      <c r="AA303" s="27">
        <f t="shared" si="186"/>
        <v>0</v>
      </c>
      <c r="AB303" s="27">
        <f t="shared" si="187"/>
        <v>0</v>
      </c>
      <c r="AC303" s="22" t="str">
        <f t="shared" si="188"/>
        <v>ok</v>
      </c>
    </row>
    <row r="304" spans="1:29" x14ac:dyDescent="0.25">
      <c r="A304" s="14" t="s">
        <v>434</v>
      </c>
      <c r="C304" s="14" t="s">
        <v>467</v>
      </c>
      <c r="D304" s="14" t="s">
        <v>46</v>
      </c>
      <c r="F304" s="110"/>
      <c r="G304" s="27"/>
      <c r="H304" s="27">
        <f t="shared" si="175"/>
        <v>0</v>
      </c>
      <c r="I304" s="27">
        <f t="shared" si="176"/>
        <v>0</v>
      </c>
      <c r="J304" s="27"/>
      <c r="K304" s="27">
        <f t="shared" si="177"/>
        <v>0</v>
      </c>
      <c r="L304" s="27"/>
      <c r="M304" s="27">
        <f t="shared" si="178"/>
        <v>0</v>
      </c>
      <c r="N304" s="27"/>
      <c r="O304" s="27">
        <f t="shared" si="179"/>
        <v>0</v>
      </c>
      <c r="P304" s="27">
        <f t="shared" si="180"/>
        <v>0</v>
      </c>
      <c r="Q304" s="27"/>
      <c r="R304" s="27">
        <f t="shared" si="181"/>
        <v>0</v>
      </c>
      <c r="S304" s="27">
        <f t="shared" si="182"/>
        <v>0</v>
      </c>
      <c r="T304" s="27"/>
      <c r="U304" s="27">
        <f t="shared" si="183"/>
        <v>0</v>
      </c>
      <c r="V304" s="27"/>
      <c r="W304" s="27">
        <f t="shared" si="184"/>
        <v>0</v>
      </c>
      <c r="X304" s="27"/>
      <c r="Y304" s="27">
        <f t="shared" si="185"/>
        <v>0</v>
      </c>
      <c r="Z304" s="27"/>
      <c r="AA304" s="27">
        <f t="shared" si="186"/>
        <v>0</v>
      </c>
      <c r="AB304" s="27">
        <f t="shared" si="187"/>
        <v>0</v>
      </c>
      <c r="AC304" s="22" t="str">
        <f t="shared" si="188"/>
        <v>ok</v>
      </c>
    </row>
    <row r="305" spans="1:29" x14ac:dyDescent="0.25">
      <c r="A305" s="14" t="s">
        <v>435</v>
      </c>
      <c r="C305" s="14" t="s">
        <v>468</v>
      </c>
      <c r="D305" s="14" t="s">
        <v>48</v>
      </c>
      <c r="F305" s="110"/>
      <c r="G305" s="27"/>
      <c r="H305" s="27">
        <f t="shared" si="175"/>
        <v>0</v>
      </c>
      <c r="I305" s="27">
        <f t="shared" si="176"/>
        <v>0</v>
      </c>
      <c r="J305" s="27"/>
      <c r="K305" s="27">
        <f t="shared" si="177"/>
        <v>0</v>
      </c>
      <c r="L305" s="27"/>
      <c r="M305" s="27">
        <f t="shared" si="178"/>
        <v>0</v>
      </c>
      <c r="N305" s="27"/>
      <c r="O305" s="27">
        <f t="shared" si="179"/>
        <v>0</v>
      </c>
      <c r="P305" s="27">
        <f t="shared" si="180"/>
        <v>0</v>
      </c>
      <c r="Q305" s="27"/>
      <c r="R305" s="27">
        <f t="shared" si="181"/>
        <v>0</v>
      </c>
      <c r="S305" s="27">
        <f t="shared" si="182"/>
        <v>0</v>
      </c>
      <c r="T305" s="27"/>
      <c r="U305" s="27">
        <f t="shared" si="183"/>
        <v>0</v>
      </c>
      <c r="V305" s="27"/>
      <c r="W305" s="27">
        <f t="shared" si="184"/>
        <v>0</v>
      </c>
      <c r="X305" s="27"/>
      <c r="Y305" s="27">
        <f t="shared" si="185"/>
        <v>0</v>
      </c>
      <c r="Z305" s="27"/>
      <c r="AA305" s="27">
        <f t="shared" si="186"/>
        <v>0</v>
      </c>
      <c r="AB305" s="27">
        <f t="shared" si="187"/>
        <v>0</v>
      </c>
      <c r="AC305" s="22" t="str">
        <f t="shared" si="188"/>
        <v>ok</v>
      </c>
    </row>
    <row r="306" spans="1:29" x14ac:dyDescent="0.25">
      <c r="A306" s="14" t="s">
        <v>579</v>
      </c>
      <c r="C306" s="14" t="s">
        <v>469</v>
      </c>
      <c r="D306" s="14" t="s">
        <v>16</v>
      </c>
      <c r="F306" s="110">
        <v>3902677.13</v>
      </c>
      <c r="G306" s="27"/>
      <c r="H306" s="27">
        <f t="shared" si="175"/>
        <v>0</v>
      </c>
      <c r="I306" s="27">
        <f t="shared" si="176"/>
        <v>0</v>
      </c>
      <c r="J306" s="27"/>
      <c r="K306" s="27">
        <f t="shared" si="177"/>
        <v>0</v>
      </c>
      <c r="L306" s="27"/>
      <c r="M306" s="27">
        <f t="shared" si="178"/>
        <v>0</v>
      </c>
      <c r="N306" s="27"/>
      <c r="O306" s="27">
        <f t="shared" si="179"/>
        <v>2326511.3505988503</v>
      </c>
      <c r="P306" s="27">
        <f t="shared" si="180"/>
        <v>933273.79247081233</v>
      </c>
      <c r="Q306" s="27"/>
      <c r="R306" s="27">
        <f t="shared" si="181"/>
        <v>0</v>
      </c>
      <c r="S306" s="27">
        <f t="shared" si="182"/>
        <v>287871.02660543856</v>
      </c>
      <c r="T306" s="27"/>
      <c r="U306" s="27">
        <f t="shared" si="183"/>
        <v>225722.74618722126</v>
      </c>
      <c r="V306" s="27"/>
      <c r="W306" s="27">
        <f t="shared" si="184"/>
        <v>129298.21413767706</v>
      </c>
      <c r="X306" s="27"/>
      <c r="Y306" s="27">
        <f t="shared" si="185"/>
        <v>0</v>
      </c>
      <c r="Z306" s="27"/>
      <c r="AA306" s="27">
        <f t="shared" si="186"/>
        <v>0</v>
      </c>
      <c r="AB306" s="27">
        <f t="shared" si="187"/>
        <v>3902677.1299999994</v>
      </c>
      <c r="AC306" s="22" t="str">
        <f t="shared" si="188"/>
        <v>ok</v>
      </c>
    </row>
    <row r="307" spans="1:29" x14ac:dyDescent="0.25">
      <c r="A307" s="14" t="s">
        <v>81</v>
      </c>
      <c r="C307" s="14" t="s">
        <v>415</v>
      </c>
      <c r="D307" s="14" t="s">
        <v>70</v>
      </c>
      <c r="F307" s="110">
        <v>241078.33</v>
      </c>
      <c r="G307" s="27"/>
      <c r="H307" s="27">
        <f t="shared" si="175"/>
        <v>0</v>
      </c>
      <c r="I307" s="27">
        <f t="shared" si="176"/>
        <v>0</v>
      </c>
      <c r="J307" s="27"/>
      <c r="K307" s="27">
        <f t="shared" si="177"/>
        <v>0</v>
      </c>
      <c r="L307" s="27"/>
      <c r="M307" s="27">
        <f t="shared" si="178"/>
        <v>0</v>
      </c>
      <c r="N307" s="27"/>
      <c r="O307" s="27">
        <f t="shared" si="179"/>
        <v>143714.5457965197</v>
      </c>
      <c r="P307" s="27">
        <f t="shared" si="180"/>
        <v>57650.704843633815</v>
      </c>
      <c r="Q307" s="27"/>
      <c r="R307" s="27">
        <f t="shared" si="181"/>
        <v>0</v>
      </c>
      <c r="S307" s="27">
        <f t="shared" si="182"/>
        <v>17782.528258858216</v>
      </c>
      <c r="T307" s="27"/>
      <c r="U307" s="27">
        <f t="shared" si="183"/>
        <v>13943.47031055299</v>
      </c>
      <c r="V307" s="27"/>
      <c r="W307" s="27">
        <f t="shared" si="184"/>
        <v>7987.0807904351477</v>
      </c>
      <c r="X307" s="27"/>
      <c r="Y307" s="27">
        <f t="shared" si="185"/>
        <v>0</v>
      </c>
      <c r="Z307" s="27"/>
      <c r="AA307" s="27">
        <f t="shared" si="186"/>
        <v>0</v>
      </c>
      <c r="AB307" s="27">
        <f>SUM(H307:AA307)</f>
        <v>241078.32999999984</v>
      </c>
      <c r="AC307" s="22" t="str">
        <f>IF(ABS(AB307-F307)&lt;1,"ok","err")</f>
        <v>ok</v>
      </c>
    </row>
    <row r="308" spans="1:29" x14ac:dyDescent="0.25">
      <c r="A308" s="14" t="s">
        <v>762</v>
      </c>
      <c r="C308" s="14" t="s">
        <v>415</v>
      </c>
      <c r="D308" s="14" t="s">
        <v>70</v>
      </c>
      <c r="F308" s="110"/>
      <c r="G308" s="27"/>
      <c r="H308" s="27">
        <f t="shared" si="175"/>
        <v>0</v>
      </c>
      <c r="I308" s="27">
        <f t="shared" si="176"/>
        <v>0</v>
      </c>
      <c r="J308" s="27"/>
      <c r="K308" s="27">
        <f t="shared" si="177"/>
        <v>0</v>
      </c>
      <c r="L308" s="27"/>
      <c r="M308" s="27">
        <f t="shared" si="178"/>
        <v>0</v>
      </c>
      <c r="N308" s="27"/>
      <c r="O308" s="27">
        <f t="shared" si="179"/>
        <v>0</v>
      </c>
      <c r="P308" s="27">
        <f t="shared" si="180"/>
        <v>0</v>
      </c>
      <c r="Q308" s="27"/>
      <c r="R308" s="27">
        <f t="shared" si="181"/>
        <v>0</v>
      </c>
      <c r="S308" s="27">
        <f t="shared" si="182"/>
        <v>0</v>
      </c>
      <c r="T308" s="27"/>
      <c r="U308" s="27">
        <f t="shared" si="183"/>
        <v>0</v>
      </c>
      <c r="V308" s="27"/>
      <c r="W308" s="27">
        <f t="shared" si="184"/>
        <v>0</v>
      </c>
      <c r="X308" s="27"/>
      <c r="Y308" s="27">
        <f t="shared" si="185"/>
        <v>0</v>
      </c>
      <c r="Z308" s="27"/>
      <c r="AA308" s="27">
        <f t="shared" si="186"/>
        <v>0</v>
      </c>
      <c r="AB308" s="27">
        <f>SUM(H308:AA308)</f>
        <v>0</v>
      </c>
      <c r="AC308" s="22" t="str">
        <f>IF(ABS(AB308-F308)&lt;1,"ok","err")</f>
        <v>ok</v>
      </c>
    </row>
    <row r="309" spans="1:29" x14ac:dyDescent="0.25">
      <c r="A309" s="14" t="s">
        <v>1000</v>
      </c>
      <c r="C309" s="14" t="s">
        <v>416</v>
      </c>
      <c r="D309" s="14" t="s">
        <v>392</v>
      </c>
      <c r="F309" s="110"/>
      <c r="G309" s="27"/>
      <c r="H309" s="27">
        <f t="shared" si="175"/>
        <v>0</v>
      </c>
      <c r="I309" s="27">
        <f t="shared" si="176"/>
        <v>0</v>
      </c>
      <c r="J309" s="27"/>
      <c r="K309" s="27">
        <f t="shared" si="177"/>
        <v>0</v>
      </c>
      <c r="L309" s="27"/>
      <c r="M309" s="27">
        <f t="shared" si="178"/>
        <v>0</v>
      </c>
      <c r="N309" s="27"/>
      <c r="O309" s="27">
        <f t="shared" si="179"/>
        <v>0</v>
      </c>
      <c r="P309" s="27">
        <f t="shared" si="180"/>
        <v>0</v>
      </c>
      <c r="Q309" s="27"/>
      <c r="R309" s="27">
        <f t="shared" si="181"/>
        <v>0</v>
      </c>
      <c r="S309" s="27">
        <f t="shared" si="182"/>
        <v>0</v>
      </c>
      <c r="T309" s="27"/>
      <c r="U309" s="27">
        <f t="shared" si="183"/>
        <v>0</v>
      </c>
      <c r="V309" s="27"/>
      <c r="W309" s="27">
        <f t="shared" si="184"/>
        <v>0</v>
      </c>
      <c r="X309" s="27"/>
      <c r="Y309" s="27">
        <f t="shared" si="185"/>
        <v>0</v>
      </c>
      <c r="Z309" s="27"/>
      <c r="AA309" s="27">
        <f t="shared" si="186"/>
        <v>0</v>
      </c>
      <c r="AB309" s="27">
        <f>SUM(H309:AA309)</f>
        <v>0</v>
      </c>
      <c r="AC309" s="22" t="str">
        <f>IF(ABS(AB309-F309)&lt;1,"ok","err")</f>
        <v>ok</v>
      </c>
    </row>
    <row r="310" spans="1:29" x14ac:dyDescent="0.25">
      <c r="A310" s="14" t="s">
        <v>388</v>
      </c>
      <c r="C310" s="14" t="s">
        <v>417</v>
      </c>
      <c r="D310" s="14" t="s">
        <v>16</v>
      </c>
      <c r="F310" s="110"/>
      <c r="G310" s="27"/>
      <c r="H310" s="27">
        <f t="shared" si="175"/>
        <v>0</v>
      </c>
      <c r="I310" s="27">
        <f t="shared" si="176"/>
        <v>0</v>
      </c>
      <c r="J310" s="27"/>
      <c r="K310" s="27">
        <f t="shared" si="177"/>
        <v>0</v>
      </c>
      <c r="L310" s="27"/>
      <c r="M310" s="27">
        <f t="shared" si="178"/>
        <v>0</v>
      </c>
      <c r="N310" s="27"/>
      <c r="O310" s="27">
        <f t="shared" si="179"/>
        <v>0</v>
      </c>
      <c r="P310" s="27">
        <f t="shared" si="180"/>
        <v>0</v>
      </c>
      <c r="Q310" s="27"/>
      <c r="R310" s="27">
        <f t="shared" si="181"/>
        <v>0</v>
      </c>
      <c r="S310" s="27">
        <f t="shared" si="182"/>
        <v>0</v>
      </c>
      <c r="T310" s="27"/>
      <c r="U310" s="27">
        <f t="shared" si="183"/>
        <v>0</v>
      </c>
      <c r="V310" s="27"/>
      <c r="W310" s="27">
        <f t="shared" si="184"/>
        <v>0</v>
      </c>
      <c r="X310" s="27"/>
      <c r="Y310" s="27">
        <f t="shared" si="185"/>
        <v>0</v>
      </c>
      <c r="Z310" s="27"/>
      <c r="AA310" s="27">
        <f t="shared" si="186"/>
        <v>0</v>
      </c>
      <c r="AB310" s="27">
        <f>SUM(H310:AA310)</f>
        <v>0</v>
      </c>
      <c r="AC310" s="22" t="str">
        <f>IF(ABS(AB310-F310)&lt;1,"ok","err")</f>
        <v>ok</v>
      </c>
    </row>
    <row r="311" spans="1:29" x14ac:dyDescent="0.25">
      <c r="F311" s="110"/>
      <c r="G311" s="27"/>
      <c r="AC311" s="22"/>
    </row>
    <row r="312" spans="1:29" x14ac:dyDescent="0.25">
      <c r="A312" s="14" t="s">
        <v>186</v>
      </c>
      <c r="C312" s="14" t="s">
        <v>187</v>
      </c>
      <c r="F312" s="119">
        <f>SUM(F293:F311)</f>
        <v>4143755.46</v>
      </c>
      <c r="G312" s="40"/>
      <c r="H312" s="27">
        <f>SUM(H293:H311)</f>
        <v>0</v>
      </c>
      <c r="I312" s="27">
        <f>SUM(I293:I311)</f>
        <v>0</v>
      </c>
      <c r="J312" s="27"/>
      <c r="K312" s="27">
        <f>SUM(K293:K311)</f>
        <v>0</v>
      </c>
      <c r="M312" s="27">
        <f>SUM(M293:M311)</f>
        <v>0</v>
      </c>
      <c r="O312" s="27">
        <f>SUM(O293:O311)</f>
        <v>2470225.8963953699</v>
      </c>
      <c r="P312" s="27">
        <f>SUM(P293:P311)</f>
        <v>990924.49731444614</v>
      </c>
      <c r="R312" s="27">
        <f>SUM(R293:R311)</f>
        <v>0</v>
      </c>
      <c r="S312" s="27">
        <f>SUM(S293:S311)</f>
        <v>305653.55486429675</v>
      </c>
      <c r="U312" s="27">
        <f>SUM(U293:U311)</f>
        <v>239666.21649777424</v>
      </c>
      <c r="W312" s="27">
        <f>SUM(W293:W311)</f>
        <v>137285.29492811221</v>
      </c>
      <c r="Y312" s="27">
        <f>SUM(Y293:Y311)</f>
        <v>0</v>
      </c>
      <c r="AA312" s="27">
        <f>SUM(AA293:AA311)</f>
        <v>0</v>
      </c>
      <c r="AB312" s="27">
        <f>SUM(H312:AA312)</f>
        <v>4143755.459999999</v>
      </c>
      <c r="AC312" s="22" t="str">
        <f>IF(ABS(AB312-F312)&lt;1,"ok","err")</f>
        <v>ok</v>
      </c>
    </row>
    <row r="313" spans="1:29" x14ac:dyDescent="0.25">
      <c r="B313" s="61"/>
      <c r="F313" s="110"/>
      <c r="G313" s="27"/>
      <c r="AC313" s="22"/>
    </row>
    <row r="314" spans="1:29" x14ac:dyDescent="0.25">
      <c r="A314" s="14" t="s">
        <v>188</v>
      </c>
      <c r="C314" s="14" t="s">
        <v>189</v>
      </c>
      <c r="D314" s="14" t="s">
        <v>84</v>
      </c>
      <c r="F314" s="119">
        <v>0</v>
      </c>
      <c r="G314" s="40"/>
      <c r="H314" s="27">
        <f>IF(VLOOKUP($D314,$C$5:$AA$496,6,)=0,0,((VLOOKUP($D314,$C$5:$AA$496,6,)/VLOOKUP($D314,$C$5:$AA$496,4,))*$F314))</f>
        <v>0</v>
      </c>
      <c r="I314" s="27">
        <f>IF(VLOOKUP($D314,$C$5:$AA$496,7,)=0,0,((VLOOKUP($D314,$C$5:$AA$496,7,)/VLOOKUP($D314,$C$5:$AA$496,4,))*$F314))</f>
        <v>0</v>
      </c>
      <c r="J314" s="27"/>
      <c r="K314" s="27">
        <f>IF(VLOOKUP($D314,$C$5:$AA$496,9,)=0,0,((VLOOKUP($D314,$C$5:$AA$496,9,)/VLOOKUP($D314,$C$5:$AA$496,4,))*$F314))</f>
        <v>0</v>
      </c>
      <c r="L314" s="27"/>
      <c r="M314" s="27">
        <f>IF(VLOOKUP($D314,$C$5:$AA$496,11,)=0,0,((VLOOKUP($D314,$C$5:$AA$496,11,)/VLOOKUP($D314,$C$5:$AA$496,4,))*$F314))</f>
        <v>0</v>
      </c>
      <c r="N314" s="27"/>
      <c r="O314" s="27">
        <f>IF(VLOOKUP($D314,$C$5:$AA$496,13,)=0,0,((VLOOKUP($D314,$C$5:$AA$496,13,)/VLOOKUP($D314,$C$5:$AA$496,4,))*$F314))</f>
        <v>0</v>
      </c>
      <c r="P314" s="27">
        <f>IF(VLOOKUP($D314,$C$5:$AA$496,14,)=0,0,((VLOOKUP($D314,$C$5:$AA$496,14,)/VLOOKUP($D314,$C$5:$AA$496,4,))*$F314))</f>
        <v>0</v>
      </c>
      <c r="Q314" s="27"/>
      <c r="R314" s="27">
        <f>IF(VLOOKUP($D314,$C$5:$AA$496,16,)=0,0,((VLOOKUP($D314,$C$5:$AA$496,16,)/VLOOKUP($D314,$C$5:$AA$496,4,))*$F314))</f>
        <v>0</v>
      </c>
      <c r="S314" s="27">
        <f>IF(VLOOKUP($D314,$C$5:$AA$496,17,)=0,0,((VLOOKUP($D314,$C$5:$AA$496,17,)/VLOOKUP($D314,$C$5:$AA$496,4,))*$F314))</f>
        <v>0</v>
      </c>
      <c r="T314" s="27"/>
      <c r="U314" s="27">
        <f>IF(VLOOKUP($D314,$C$5:$AA$496,19,)=0,0,((VLOOKUP($D314,$C$5:$AA$496,19,)/VLOOKUP($D314,$C$5:$AA$496,4,))*$F314))</f>
        <v>0</v>
      </c>
      <c r="V314" s="27"/>
      <c r="W314" s="27">
        <f>IF(VLOOKUP($D314,$C$5:$AA$496,21,)=0,0,((VLOOKUP($D314,$C$5:$AA$496,21,)/VLOOKUP($D314,$C$5:$AA$496,4,))*$F314))</f>
        <v>0</v>
      </c>
      <c r="X314" s="27"/>
      <c r="Y314" s="27">
        <f>IF(VLOOKUP($D314,$C$5:$AA$496,23,)=0,0,((VLOOKUP($D314,$C$5:$AA$496,23,)/VLOOKUP($D314,$C$5:$AA$496,4,))*$F314))</f>
        <v>0</v>
      </c>
      <c r="Z314" s="27"/>
      <c r="AA314" s="27">
        <f>IF(VLOOKUP($D314,$C$5:$AA$496,25,)=0,0,((VLOOKUP($D314,$C$5:$AA$496,25,)/VLOOKUP($D314,$C$5:$AA$496,4,))*$F314))</f>
        <v>0</v>
      </c>
      <c r="AB314" s="27">
        <f>SUM(H314:AA314)</f>
        <v>0</v>
      </c>
      <c r="AC314" s="22" t="str">
        <f>IF(ABS(AB314-F314)&lt;1,"ok","err")</f>
        <v>ok</v>
      </c>
    </row>
    <row r="315" spans="1:29" x14ac:dyDescent="0.25">
      <c r="AC315" s="22"/>
    </row>
    <row r="316" spans="1:29" x14ac:dyDescent="0.25">
      <c r="A316" s="14" t="s">
        <v>310</v>
      </c>
      <c r="C316" s="14" t="s">
        <v>190</v>
      </c>
      <c r="D316" s="14" t="s">
        <v>84</v>
      </c>
      <c r="F316" s="119">
        <v>74473</v>
      </c>
      <c r="G316" s="40"/>
      <c r="H316" s="27">
        <f>IF(VLOOKUP($D316,$C$5:$AA$496,6,)=0,0,((VLOOKUP($D316,$C$5:$AA$496,6,)/VLOOKUP($D316,$C$5:$AA$496,4,))*$F316))</f>
        <v>0</v>
      </c>
      <c r="I316" s="27">
        <f>IF(VLOOKUP($D316,$C$5:$AA$496,7,)=0,0,((VLOOKUP($D316,$C$5:$AA$496,7,)/VLOOKUP($D316,$C$5:$AA$496,4,))*$F316))</f>
        <v>0</v>
      </c>
      <c r="J316" s="27"/>
      <c r="K316" s="27">
        <f>IF(VLOOKUP($D316,$C$5:$AA$496,9,)=0,0,((VLOOKUP($D316,$C$5:$AA$496,9,)/VLOOKUP($D316,$C$5:$AA$496,4,))*$F316))</f>
        <v>0</v>
      </c>
      <c r="L316" s="27"/>
      <c r="M316" s="27">
        <f>IF(VLOOKUP($D316,$C$5:$AA$496,11,)=0,0,((VLOOKUP($D316,$C$5:$AA$496,11,)/VLOOKUP($D316,$C$5:$AA$496,4,))*$F316))</f>
        <v>0</v>
      </c>
      <c r="N316" s="27"/>
      <c r="O316" s="27">
        <f>IF(VLOOKUP($D316,$C$5:$AA$496,13,)=0,0,((VLOOKUP($D316,$C$5:$AA$496,13,)/VLOOKUP($D316,$C$5:$AA$496,4,))*$F316))</f>
        <v>44395.750414830785</v>
      </c>
      <c r="P316" s="27">
        <f>IF(VLOOKUP($D316,$C$5:$AA$496,14,)=0,0,((VLOOKUP($D316,$C$5:$AA$496,14,)/VLOOKUP($D316,$C$5:$AA$496,4,))*$F316))</f>
        <v>17809.236283576141</v>
      </c>
      <c r="Q316" s="27"/>
      <c r="R316" s="27">
        <f>IF(VLOOKUP($D316,$C$5:$AA$496,16,)=0,0,((VLOOKUP($D316,$C$5:$AA$496,16,)/VLOOKUP($D316,$C$5:$AA$496,4,))*$F316))</f>
        <v>0</v>
      </c>
      <c r="S316" s="27">
        <f>IF(VLOOKUP($D316,$C$5:$AA$496,17,)=0,0,((VLOOKUP($D316,$C$5:$AA$496,17,)/VLOOKUP($D316,$C$5:$AA$496,4,))*$F316))</f>
        <v>5493.3109376605853</v>
      </c>
      <c r="T316" s="27"/>
      <c r="U316" s="27">
        <f>IF(VLOOKUP($D316,$C$5:$AA$496,19,)=0,0,((VLOOKUP($D316,$C$5:$AA$496,19,)/VLOOKUP($D316,$C$5:$AA$496,4,))*$F316))</f>
        <v>4307.3637702642663</v>
      </c>
      <c r="V316" s="27"/>
      <c r="W316" s="27">
        <f>IF(VLOOKUP($D316,$C$5:$AA$496,21,)=0,0,((VLOOKUP($D316,$C$5:$AA$496,21,)/VLOOKUP($D316,$C$5:$AA$496,4,))*$F316))</f>
        <v>2467.338593668193</v>
      </c>
      <c r="X316" s="27"/>
      <c r="Y316" s="27">
        <f>IF(VLOOKUP($D316,$C$5:$AA$496,23,)=0,0,((VLOOKUP($D316,$C$5:$AA$496,23,)/VLOOKUP($D316,$C$5:$AA$496,4,))*$F316))</f>
        <v>0</v>
      </c>
      <c r="Z316" s="27"/>
      <c r="AA316" s="27">
        <f>IF(VLOOKUP($D316,$C$5:$AA$496,25,)=0,0,((VLOOKUP($D316,$C$5:$AA$496,25,)/VLOOKUP($D316,$C$5:$AA$496,4,))*$F316))</f>
        <v>0</v>
      </c>
      <c r="AB316" s="27">
        <f>SUM(H316:AA316)</f>
        <v>74472.999999999971</v>
      </c>
      <c r="AC316" s="22" t="str">
        <f>IF(ABS(AB316-F316)&lt;1,"ok","err")</f>
        <v>ok</v>
      </c>
    </row>
    <row r="317" spans="1:29" x14ac:dyDescent="0.25">
      <c r="Q317" s="14"/>
    </row>
    <row r="318" spans="1:29" x14ac:dyDescent="0.25">
      <c r="A318" s="14" t="s">
        <v>191</v>
      </c>
      <c r="C318" s="14" t="s">
        <v>192</v>
      </c>
      <c r="D318" s="14" t="s">
        <v>84</v>
      </c>
      <c r="F318" s="119">
        <v>1047376</v>
      </c>
      <c r="G318" s="40"/>
      <c r="H318" s="27">
        <f>IF(VLOOKUP($D318,$C$5:$AA$496,6,)=0,0,((VLOOKUP($D318,$C$5:$AA$496,6,)/VLOOKUP($D318,$C$5:$AA$496,4,))*$F318))</f>
        <v>0</v>
      </c>
      <c r="I318" s="27">
        <f>IF(VLOOKUP($D318,$C$5:$AA$496,7,)=0,0,((VLOOKUP($D318,$C$5:$AA$496,7,)/VLOOKUP($D318,$C$5:$AA$496,4,))*$F318))</f>
        <v>0</v>
      </c>
      <c r="J318" s="27"/>
      <c r="K318" s="27">
        <f>IF(VLOOKUP($D318,$C$5:$AA$496,9,)=0,0,((VLOOKUP($D318,$C$5:$AA$496,9,)/VLOOKUP($D318,$C$5:$AA$496,4,))*$F318))</f>
        <v>0</v>
      </c>
      <c r="L318" s="27"/>
      <c r="M318" s="27">
        <f>IF(VLOOKUP($D318,$C$5:$AA$496,11,)=0,0,((VLOOKUP($D318,$C$5:$AA$496,11,)/VLOOKUP($D318,$C$5:$AA$496,4,))*$F318))</f>
        <v>0</v>
      </c>
      <c r="N318" s="27"/>
      <c r="O318" s="27">
        <f>IF(VLOOKUP($D318,$C$5:$AA$496,13,)=0,0,((VLOOKUP($D318,$C$5:$AA$496,13,)/VLOOKUP($D318,$C$5:$AA$496,4,))*$F318))</f>
        <v>624374.5181003022</v>
      </c>
      <c r="P318" s="27">
        <f>IF(VLOOKUP($D318,$C$5:$AA$496,14,)=0,0,((VLOOKUP($D318,$C$5:$AA$496,14,)/VLOOKUP($D318,$C$5:$AA$496,4,))*$F318))</f>
        <v>250466.16440517831</v>
      </c>
      <c r="Q318" s="27"/>
      <c r="R318" s="27">
        <f>IF(VLOOKUP($D318,$C$5:$AA$496,16,)=0,0,((VLOOKUP($D318,$C$5:$AA$496,16,)/VLOOKUP($D318,$C$5:$AA$496,4,))*$F318))</f>
        <v>0</v>
      </c>
      <c r="S318" s="27">
        <f>IF(VLOOKUP($D318,$C$5:$AA$496,17,)=0,0,((VLOOKUP($D318,$C$5:$AA$496,17,)/VLOOKUP($D318,$C$5:$AA$496,4,))*$F318))</f>
        <v>77257.019814472267</v>
      </c>
      <c r="T318" s="27"/>
      <c r="U318" s="27">
        <f>IF(VLOOKUP($D318,$C$5:$AA$496,19,)=0,0,((VLOOKUP($D318,$C$5:$AA$496,19,)/VLOOKUP($D318,$C$5:$AA$496,4,))*$F318))</f>
        <v>60578.054277984054</v>
      </c>
      <c r="V318" s="27"/>
      <c r="W318" s="27">
        <f>IF(VLOOKUP($D318,$C$5:$AA$496,21,)=0,0,((VLOOKUP($D318,$C$5:$AA$496,21,)/VLOOKUP($D318,$C$5:$AA$496,4,))*$F318))</f>
        <v>34700.243402062726</v>
      </c>
      <c r="X318" s="27"/>
      <c r="Y318" s="27">
        <f>IF(VLOOKUP($D318,$C$5:$AA$496,23,)=0,0,((VLOOKUP($D318,$C$5:$AA$496,23,)/VLOOKUP($D318,$C$5:$AA$496,4,))*$F318))</f>
        <v>0</v>
      </c>
      <c r="Z318" s="27"/>
      <c r="AA318" s="27">
        <f>IF(VLOOKUP($D318,$C$5:$AA$496,25,)=0,0,((VLOOKUP($D318,$C$5:$AA$496,25,)/VLOOKUP($D318,$C$5:$AA$496,4,))*$F318))</f>
        <v>0</v>
      </c>
      <c r="AB318" s="27">
        <f>SUM(H318:AA318)</f>
        <v>1047375.9999999995</v>
      </c>
      <c r="AC318" s="22" t="str">
        <f>IF(ABS(AB318-F318)&lt;1,"ok","err")</f>
        <v>ok</v>
      </c>
    </row>
    <row r="319" spans="1:29" x14ac:dyDescent="0.25">
      <c r="AC319" s="22"/>
    </row>
    <row r="320" spans="1:29" x14ac:dyDescent="0.25">
      <c r="A320" s="14" t="s">
        <v>193</v>
      </c>
      <c r="C320" s="14" t="s">
        <v>194</v>
      </c>
      <c r="D320" s="14" t="s">
        <v>84</v>
      </c>
      <c r="F320" s="119">
        <v>142023</v>
      </c>
      <c r="G320" s="40"/>
      <c r="H320" s="27">
        <f>IF(VLOOKUP($D320,$C$5:$AA$496,6,)=0,0,((VLOOKUP($D320,$C$5:$AA$496,6,)/VLOOKUP($D320,$C$5:$AA$496,4,))*$F320))</f>
        <v>0</v>
      </c>
      <c r="I320" s="27">
        <f>IF(VLOOKUP($D320,$C$5:$AA$496,7,)=0,0,((VLOOKUP($D320,$C$5:$AA$496,7,)/VLOOKUP($D320,$C$5:$AA$496,4,))*$F320))</f>
        <v>0</v>
      </c>
      <c r="J320" s="27"/>
      <c r="K320" s="27">
        <f>IF(VLOOKUP($D320,$C$5:$AA$496,9,)=0,0,((VLOOKUP($D320,$C$5:$AA$496,9,)/VLOOKUP($D320,$C$5:$AA$496,4,))*$F320))</f>
        <v>0</v>
      </c>
      <c r="L320" s="27"/>
      <c r="M320" s="27">
        <f>IF(VLOOKUP($D320,$C$5:$AA$496,11,)=0,0,((VLOOKUP($D320,$C$5:$AA$496,11,)/VLOOKUP($D320,$C$5:$AA$496,4,))*$F320))</f>
        <v>0</v>
      </c>
      <c r="N320" s="27"/>
      <c r="O320" s="27">
        <f>IF(VLOOKUP($D320,$C$5:$AA$496,13,)=0,0,((VLOOKUP($D320,$C$5:$AA$496,13,)/VLOOKUP($D320,$C$5:$AA$496,4,))*$F320))</f>
        <v>84664.477880111081</v>
      </c>
      <c r="P320" s="27">
        <f>IF(VLOOKUP($D320,$C$5:$AA$496,14,)=0,0,((VLOOKUP($D320,$C$5:$AA$496,14,)/VLOOKUP($D320,$C$5:$AA$496,4,))*$F320))</f>
        <v>33962.928372730174</v>
      </c>
      <c r="Q320" s="27"/>
      <c r="R320" s="27">
        <f>IF(VLOOKUP($D320,$C$5:$AA$496,16,)=0,0,((VLOOKUP($D320,$C$5:$AA$496,16,)/VLOOKUP($D320,$C$5:$AA$496,4,))*$F320))</f>
        <v>0</v>
      </c>
      <c r="S320" s="27">
        <f>IF(VLOOKUP($D320,$C$5:$AA$496,17,)=0,0,((VLOOKUP($D320,$C$5:$AA$496,17,)/VLOOKUP($D320,$C$5:$AA$496,4,))*$F320))</f>
        <v>10475.964434081738</v>
      </c>
      <c r="T320" s="27"/>
      <c r="U320" s="27">
        <f>IF(VLOOKUP($D320,$C$5:$AA$496,19,)=0,0,((VLOOKUP($D320,$C$5:$AA$496,19,)/VLOOKUP($D320,$C$5:$AA$496,4,))*$F320))</f>
        <v>8214.3155874510485</v>
      </c>
      <c r="V320" s="27"/>
      <c r="W320" s="27">
        <f>IF(VLOOKUP($D320,$C$5:$AA$496,21,)=0,0,((VLOOKUP($D320,$C$5:$AA$496,21,)/VLOOKUP($D320,$C$5:$AA$496,4,))*$F320))</f>
        <v>4705.3137256259015</v>
      </c>
      <c r="X320" s="27"/>
      <c r="Y320" s="27">
        <f>IF(VLOOKUP($D320,$C$5:$AA$496,23,)=0,0,((VLOOKUP($D320,$C$5:$AA$496,23,)/VLOOKUP($D320,$C$5:$AA$496,4,))*$F320))</f>
        <v>0</v>
      </c>
      <c r="Z320" s="27"/>
      <c r="AA320" s="27">
        <f>IF(VLOOKUP($D320,$C$5:$AA$496,25,)=0,0,((VLOOKUP($D320,$C$5:$AA$496,25,)/VLOOKUP($D320,$C$5:$AA$496,4,))*$F320))</f>
        <v>0</v>
      </c>
      <c r="AB320" s="27">
        <f>SUM(H320:AA320)</f>
        <v>142022.99999999994</v>
      </c>
      <c r="AC320" s="22" t="str">
        <f>IF(ABS(AB320-F320)&lt;1,"ok","err")</f>
        <v>ok</v>
      </c>
    </row>
    <row r="321" spans="1:29" x14ac:dyDescent="0.25"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2"/>
    </row>
    <row r="322" spans="1:29" x14ac:dyDescent="0.25">
      <c r="A322" s="14" t="s">
        <v>195</v>
      </c>
      <c r="C322" s="14" t="s">
        <v>1039</v>
      </c>
      <c r="D322" s="14" t="s">
        <v>84</v>
      </c>
      <c r="F322" s="119">
        <v>14585.39</v>
      </c>
      <c r="G322" s="40"/>
      <c r="H322" s="27">
        <f>IF(VLOOKUP($D322,$C$5:$AA$496,6,)=0,0,((VLOOKUP($D322,$C$5:$AA$496,6,)/VLOOKUP($D322,$C$5:$AA$496,4,))*$F322))</f>
        <v>0</v>
      </c>
      <c r="I322" s="27">
        <f>IF(VLOOKUP($D322,$C$5:$AA$496,7,)=0,0,((VLOOKUP($D322,$C$5:$AA$496,7,)/VLOOKUP($D322,$C$5:$AA$496,4,))*$F322))</f>
        <v>0</v>
      </c>
      <c r="J322" s="27"/>
      <c r="K322" s="27">
        <f>IF(VLOOKUP($D322,$C$5:$AA$496,9,)=0,0,((VLOOKUP($D322,$C$5:$AA$496,9,)/VLOOKUP($D322,$C$5:$AA$496,4,))*$F322))</f>
        <v>0</v>
      </c>
      <c r="L322" s="27"/>
      <c r="M322" s="27">
        <f>IF(VLOOKUP($D322,$C$5:$AA$496,11,)=0,0,((VLOOKUP($D322,$C$5:$AA$496,11,)/VLOOKUP($D322,$C$5:$AA$496,4,))*$F322))</f>
        <v>0</v>
      </c>
      <c r="N322" s="27"/>
      <c r="O322" s="27">
        <f>IF(VLOOKUP($D322,$C$5:$AA$496,13,)=0,0,((VLOOKUP($D322,$C$5:$AA$496,13,)/VLOOKUP($D322,$C$5:$AA$496,4,))*$F322))</f>
        <v>8694.8200575103565</v>
      </c>
      <c r="P322" s="27">
        <f>IF(VLOOKUP($D322,$C$5:$AA$496,14,)=0,0,((VLOOKUP($D322,$C$5:$AA$496,14,)/VLOOKUP($D322,$C$5:$AA$496,4,))*$F322))</f>
        <v>3487.9037610692276</v>
      </c>
      <c r="Q322" s="27"/>
      <c r="R322" s="27">
        <f>IF(VLOOKUP($D322,$C$5:$AA$496,16,)=0,0,((VLOOKUP($D322,$C$5:$AA$496,16,)/VLOOKUP($D322,$C$5:$AA$496,4,))*$F322))</f>
        <v>0</v>
      </c>
      <c r="S322" s="27">
        <f>IF(VLOOKUP($D322,$C$5:$AA$496,17,)=0,0,((VLOOKUP($D322,$C$5:$AA$496,17,)/VLOOKUP($D322,$C$5:$AA$496,4,))*$F322))</f>
        <v>1075.8541003725554</v>
      </c>
      <c r="T322" s="27"/>
      <c r="U322" s="27">
        <f>IF(VLOOKUP($D322,$C$5:$AA$496,19,)=0,0,((VLOOKUP($D322,$C$5:$AA$496,19,)/VLOOKUP($D322,$C$5:$AA$496,4,))*$F322))</f>
        <v>843.58868933942131</v>
      </c>
      <c r="V322" s="27"/>
      <c r="W322" s="27">
        <f>IF(VLOOKUP($D322,$C$5:$AA$496,21,)=0,0,((VLOOKUP($D322,$C$5:$AA$496,21,)/VLOOKUP($D322,$C$5:$AA$496,4,))*$F322))</f>
        <v>483.22339170843293</v>
      </c>
      <c r="X322" s="27"/>
      <c r="Y322" s="27">
        <f>IF(VLOOKUP($D322,$C$5:$AA$496,23,)=0,0,((VLOOKUP($D322,$C$5:$AA$496,23,)/VLOOKUP($D322,$C$5:$AA$496,4,))*$F322))</f>
        <v>0</v>
      </c>
      <c r="Z322" s="27"/>
      <c r="AA322" s="27">
        <f>IF(VLOOKUP($D322,$C$5:$AA$496,25,)=0,0,((VLOOKUP($D322,$C$5:$AA$496,25,)/VLOOKUP($D322,$C$5:$AA$496,4,))*$F322))</f>
        <v>0</v>
      </c>
      <c r="AB322" s="27">
        <f>SUM(H322:AA322)</f>
        <v>14585.389999999992</v>
      </c>
      <c r="AC322" s="22" t="str">
        <f>IF(ABS(AB322-F322)&lt;1,"ok","err")</f>
        <v>ok</v>
      </c>
    </row>
    <row r="323" spans="1:29" x14ac:dyDescent="0.25"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2"/>
    </row>
    <row r="324" spans="1:29" hidden="1" x14ac:dyDescent="0.25">
      <c r="A324" s="14" t="s">
        <v>854</v>
      </c>
      <c r="C324" s="14" t="s">
        <v>855</v>
      </c>
      <c r="D324" s="14" t="s">
        <v>84</v>
      </c>
      <c r="F324" s="119">
        <v>0</v>
      </c>
      <c r="G324" s="40"/>
      <c r="H324" s="27">
        <f>IF(VLOOKUP($D324,$C$5:$AA$496,6,)=0,0,((VLOOKUP($D324,$C$5:$AA$496,6,)/VLOOKUP($D324,$C$5:$AA$496,4,))*$F324))</f>
        <v>0</v>
      </c>
      <c r="I324" s="27">
        <f>IF(VLOOKUP($D324,$C$5:$AA$496,7,)=0,0,((VLOOKUP($D324,$C$5:$AA$496,7,)/VLOOKUP($D324,$C$5:$AA$496,4,))*$F324))</f>
        <v>0</v>
      </c>
      <c r="J324" s="27"/>
      <c r="K324" s="27">
        <f>IF(VLOOKUP($D324,$C$5:$AA$496,9,)=0,0,((VLOOKUP($D324,$C$5:$AA$496,9,)/VLOOKUP($D324,$C$5:$AA$496,4,))*$F324))</f>
        <v>0</v>
      </c>
      <c r="L324" s="27"/>
      <c r="M324" s="27">
        <f>IF(VLOOKUP($D324,$C$5:$AA$496,11,)=0,0,((VLOOKUP($D324,$C$5:$AA$496,11,)/VLOOKUP($D324,$C$5:$AA$496,4,))*$F324))</f>
        <v>0</v>
      </c>
      <c r="N324" s="27"/>
      <c r="O324" s="27">
        <f>IF(VLOOKUP($D324,$C$5:$AA$496,13,)=0,0,((VLOOKUP($D324,$C$5:$AA$496,13,)/VLOOKUP($D324,$C$5:$AA$496,4,))*$F324))</f>
        <v>0</v>
      </c>
      <c r="P324" s="27">
        <f>IF(VLOOKUP($D324,$C$5:$AA$496,14,)=0,0,((VLOOKUP($D324,$C$5:$AA$496,14,)/VLOOKUP($D324,$C$5:$AA$496,4,))*$F324))</f>
        <v>0</v>
      </c>
      <c r="Q324" s="27"/>
      <c r="R324" s="27">
        <f>IF(VLOOKUP($D324,$C$5:$AA$496,16,)=0,0,((VLOOKUP($D324,$C$5:$AA$496,16,)/VLOOKUP($D324,$C$5:$AA$496,4,))*$F324))</f>
        <v>0</v>
      </c>
      <c r="S324" s="27">
        <f>IF(VLOOKUP($D324,$C$5:$AA$496,17,)=0,0,((VLOOKUP($D324,$C$5:$AA$496,17,)/VLOOKUP($D324,$C$5:$AA$496,4,))*$F324))</f>
        <v>0</v>
      </c>
      <c r="T324" s="27"/>
      <c r="U324" s="27">
        <f>IF(VLOOKUP($D324,$C$5:$AA$496,19,)=0,0,((VLOOKUP($D324,$C$5:$AA$496,19,)/VLOOKUP($D324,$C$5:$AA$496,4,))*$F324))</f>
        <v>0</v>
      </c>
      <c r="V324" s="27"/>
      <c r="W324" s="27">
        <f>IF(VLOOKUP($D324,$C$5:$AA$496,21,)=0,0,((VLOOKUP($D324,$C$5:$AA$496,21,)/VLOOKUP($D324,$C$5:$AA$496,4,))*$F324))</f>
        <v>0</v>
      </c>
      <c r="X324" s="27"/>
      <c r="Y324" s="27">
        <f>IF(VLOOKUP($D324,$C$5:$AA$496,23,)=0,0,((VLOOKUP($D324,$C$5:$AA$496,23,)/VLOOKUP($D324,$C$5:$AA$496,4,))*$F324))</f>
        <v>0</v>
      </c>
      <c r="Z324" s="27"/>
      <c r="AA324" s="27">
        <f>IF(VLOOKUP($D324,$C$5:$AA$496,25,)=0,0,((VLOOKUP($D324,$C$5:$AA$496,25,)/VLOOKUP($D324,$C$5:$AA$496,4,))*$F324))</f>
        <v>0</v>
      </c>
      <c r="AB324" s="27">
        <f>SUM(H324:AA324)</f>
        <v>0</v>
      </c>
      <c r="AC324" s="22" t="str">
        <f>IF(ABS(AB324-F324)&lt;1,"ok","err")</f>
        <v>ok</v>
      </c>
    </row>
    <row r="325" spans="1:29" hidden="1" x14ac:dyDescent="0.25">
      <c r="AC325" s="22"/>
    </row>
    <row r="326" spans="1:29" hidden="1" x14ac:dyDescent="0.25">
      <c r="A326" s="14" t="s">
        <v>195</v>
      </c>
      <c r="C326" s="14" t="s">
        <v>196</v>
      </c>
      <c r="D326" s="14" t="s">
        <v>84</v>
      </c>
      <c r="F326" s="119">
        <v>0</v>
      </c>
      <c r="G326" s="40"/>
      <c r="H326" s="27">
        <f>IF(VLOOKUP($D326,$C$5:$AA$496,6,)=0,0,((VLOOKUP($D326,$C$5:$AA$496,6,)/VLOOKUP($D326,$C$5:$AA$496,4,))*$F326))</f>
        <v>0</v>
      </c>
      <c r="I326" s="27">
        <f>IF(VLOOKUP($D326,$C$5:$AA$496,7,)=0,0,((VLOOKUP($D326,$C$5:$AA$496,7,)/VLOOKUP($D326,$C$5:$AA$496,4,))*$F326))</f>
        <v>0</v>
      </c>
      <c r="J326" s="27"/>
      <c r="K326" s="27">
        <f>IF(VLOOKUP($D326,$C$5:$AA$496,9,)=0,0,((VLOOKUP($D326,$C$5:$AA$496,9,)/VLOOKUP($D326,$C$5:$AA$496,4,))*$F326))</f>
        <v>0</v>
      </c>
      <c r="L326" s="27"/>
      <c r="M326" s="27">
        <f>IF(VLOOKUP($D326,$C$5:$AA$496,11,)=0,0,((VLOOKUP($D326,$C$5:$AA$496,11,)/VLOOKUP($D326,$C$5:$AA$496,4,))*$F326))</f>
        <v>0</v>
      </c>
      <c r="N326" s="27"/>
      <c r="O326" s="27">
        <f>IF(VLOOKUP($D326,$C$5:$AA$496,13,)=0,0,((VLOOKUP($D326,$C$5:$AA$496,13,)/VLOOKUP($D326,$C$5:$AA$496,4,))*$F326))</f>
        <v>0</v>
      </c>
      <c r="P326" s="27">
        <f>IF(VLOOKUP($D326,$C$5:$AA$496,14,)=0,0,((VLOOKUP($D326,$C$5:$AA$496,14,)/VLOOKUP($D326,$C$5:$AA$496,4,))*$F326))</f>
        <v>0</v>
      </c>
      <c r="Q326" s="27"/>
      <c r="R326" s="27">
        <f>IF(VLOOKUP($D326,$C$5:$AA$496,16,)=0,0,((VLOOKUP($D326,$C$5:$AA$496,16,)/VLOOKUP($D326,$C$5:$AA$496,4,))*$F326))</f>
        <v>0</v>
      </c>
      <c r="S326" s="27">
        <f>IF(VLOOKUP($D326,$C$5:$AA$496,17,)=0,0,((VLOOKUP($D326,$C$5:$AA$496,17,)/VLOOKUP($D326,$C$5:$AA$496,4,))*$F326))</f>
        <v>0</v>
      </c>
      <c r="T326" s="27"/>
      <c r="U326" s="27">
        <f>IF(VLOOKUP($D326,$C$5:$AA$496,19,)=0,0,((VLOOKUP($D326,$C$5:$AA$496,19,)/VLOOKUP($D326,$C$5:$AA$496,4,))*$F326))</f>
        <v>0</v>
      </c>
      <c r="V326" s="27"/>
      <c r="W326" s="27">
        <f>IF(VLOOKUP($D326,$C$5:$AA$496,21,)=0,0,((VLOOKUP($D326,$C$5:$AA$496,21,)/VLOOKUP($D326,$C$5:$AA$496,4,))*$F326))</f>
        <v>0</v>
      </c>
      <c r="X326" s="27"/>
      <c r="Y326" s="27">
        <f>IF(VLOOKUP($D326,$C$5:$AA$496,23,)=0,0,((VLOOKUP($D326,$C$5:$AA$496,23,)/VLOOKUP($D326,$C$5:$AA$496,4,))*$F326))</f>
        <v>0</v>
      </c>
      <c r="Z326" s="27"/>
      <c r="AA326" s="27">
        <f>IF(VLOOKUP($D326,$C$5:$AA$496,25,)=0,0,((VLOOKUP($D326,$C$5:$AA$496,25,)/VLOOKUP($D326,$C$5:$AA$496,4,))*$F326))</f>
        <v>0</v>
      </c>
      <c r="AB326" s="27">
        <f>SUM(H326:AA326)</f>
        <v>0</v>
      </c>
      <c r="AC326" s="22" t="str">
        <f>IF(ABS(AB326-F326)&lt;1,"ok","err")</f>
        <v>ok</v>
      </c>
    </row>
    <row r="327" spans="1:29" hidden="1" x14ac:dyDescent="0.25">
      <c r="AB327" s="27"/>
      <c r="AC327" s="22"/>
    </row>
    <row r="328" spans="1:29" x14ac:dyDescent="0.25">
      <c r="A328" s="13" t="s">
        <v>197</v>
      </c>
      <c r="C328" s="14" t="s">
        <v>198</v>
      </c>
      <c r="F328" s="120">
        <f>SUM(F312:F326)</f>
        <v>5422212.8499999996</v>
      </c>
      <c r="G328" s="61"/>
      <c r="H328" s="61">
        <f>SUM(H312:H326)</f>
        <v>0</v>
      </c>
      <c r="I328" s="61">
        <f>SUM(I312:I326)</f>
        <v>0</v>
      </c>
      <c r="J328" s="61"/>
      <c r="K328" s="61">
        <f>SUM(K312:K326)</f>
        <v>0</v>
      </c>
      <c r="L328" s="61"/>
      <c r="M328" s="61">
        <f>SUM(M312:M326)</f>
        <v>0</v>
      </c>
      <c r="N328" s="61"/>
      <c r="O328" s="61">
        <f>SUM(O312:O326)</f>
        <v>3232355.4628481241</v>
      </c>
      <c r="P328" s="61">
        <f>SUM(P312:P326)</f>
        <v>1296650.7301370001</v>
      </c>
      <c r="Q328" s="61">
        <f>SUM(Q312:Q326)</f>
        <v>0</v>
      </c>
      <c r="R328" s="61">
        <f>SUM(R312:R326)</f>
        <v>0</v>
      </c>
      <c r="S328" s="61">
        <f>SUM(S312:S326)</f>
        <v>399955.70415088395</v>
      </c>
      <c r="T328" s="61">
        <f>T312+T314+T316+T318+T322+T326</f>
        <v>0</v>
      </c>
      <c r="U328" s="61">
        <f>SUM(U312:U326)</f>
        <v>313609.53882281302</v>
      </c>
      <c r="V328" s="61">
        <f>V312+V314+V316+V318+V322+V326</f>
        <v>0</v>
      </c>
      <c r="W328" s="61">
        <f>SUM(W312:W326)</f>
        <v>179641.41404117743</v>
      </c>
      <c r="X328" s="61">
        <f>X312+X314+X316+X318+X322+X326</f>
        <v>0</v>
      </c>
      <c r="Y328" s="61">
        <f>SUM(Y312:Y326)</f>
        <v>0</v>
      </c>
      <c r="Z328" s="61">
        <f>Z312+Z314+Z316+Z318+Z322+Z326</f>
        <v>0</v>
      </c>
      <c r="AA328" s="61">
        <f>SUM(AA312:AA326)</f>
        <v>0</v>
      </c>
      <c r="AB328" s="27">
        <f>SUM(H328:AA328)</f>
        <v>5422212.8499999987</v>
      </c>
      <c r="AC328" s="22" t="str">
        <f>IF(ABS(AB328-F328)&lt;1,"ok","err")</f>
        <v>ok</v>
      </c>
    </row>
    <row r="329" spans="1:29" x14ac:dyDescent="0.25">
      <c r="AC329" s="22"/>
    </row>
    <row r="330" spans="1:29" x14ac:dyDescent="0.25">
      <c r="A330" s="13" t="s">
        <v>389</v>
      </c>
      <c r="F330" s="120">
        <f>F285+F328</f>
        <v>94880089.230000004</v>
      </c>
      <c r="G330" s="61"/>
      <c r="H330" s="61">
        <f>H285+H328</f>
        <v>15694350.815808589</v>
      </c>
      <c r="I330" s="61">
        <f>I285+I328</f>
        <v>64933156.164191425</v>
      </c>
      <c r="J330" s="61"/>
      <c r="K330" s="61">
        <f>K285+K328</f>
        <v>0</v>
      </c>
      <c r="L330" s="61"/>
      <c r="M330" s="61">
        <f>M285+M328</f>
        <v>0</v>
      </c>
      <c r="N330" s="61"/>
      <c r="O330" s="61">
        <f t="shared" ref="O330:AA330" si="189">O285+O328</f>
        <v>7868972.6946973139</v>
      </c>
      <c r="P330" s="61">
        <f t="shared" si="189"/>
        <v>2786840.5693024648</v>
      </c>
      <c r="Q330" s="61">
        <f t="shared" si="189"/>
        <v>0</v>
      </c>
      <c r="R330" s="61">
        <f t="shared" si="189"/>
        <v>0</v>
      </c>
      <c r="S330" s="61">
        <f t="shared" si="189"/>
        <v>545155.26040463103</v>
      </c>
      <c r="T330" s="61">
        <f t="shared" si="189"/>
        <v>0</v>
      </c>
      <c r="U330" s="61">
        <f t="shared" si="189"/>
        <v>904105.08676522085</v>
      </c>
      <c r="V330" s="61">
        <f t="shared" si="189"/>
        <v>0</v>
      </c>
      <c r="W330" s="61">
        <f t="shared" si="189"/>
        <v>198825.4099419268</v>
      </c>
      <c r="X330" s="61">
        <f t="shared" si="189"/>
        <v>0</v>
      </c>
      <c r="Y330" s="61">
        <f t="shared" si="189"/>
        <v>1851368.9428427918</v>
      </c>
      <c r="Z330" s="61">
        <f t="shared" si="189"/>
        <v>0</v>
      </c>
      <c r="AA330" s="61">
        <f t="shared" si="189"/>
        <v>97314.286045649031</v>
      </c>
      <c r="AB330" s="27">
        <f>SUM(H330:AA330)</f>
        <v>94880089.230000034</v>
      </c>
      <c r="AC330" s="22" t="str">
        <f>IF(ABS(AB330-F330)&lt;1,"ok","err")</f>
        <v>ok</v>
      </c>
    </row>
    <row r="331" spans="1:29" x14ac:dyDescent="0.25">
      <c r="F331" s="120"/>
      <c r="G331" s="61"/>
      <c r="AC331" s="22"/>
    </row>
    <row r="332" spans="1:29" x14ac:dyDescent="0.25">
      <c r="F332" s="120"/>
      <c r="AC332" s="22"/>
    </row>
    <row r="333" spans="1:29" x14ac:dyDescent="0.25">
      <c r="F333" s="120"/>
      <c r="AC333" s="22"/>
    </row>
    <row r="334" spans="1:29" x14ac:dyDescent="0.25">
      <c r="A334" s="20" t="s">
        <v>1019</v>
      </c>
      <c r="F334" s="120"/>
      <c r="Q334" s="14"/>
      <c r="AC334" s="22"/>
    </row>
    <row r="335" spans="1:29" x14ac:dyDescent="0.25">
      <c r="A335" s="20"/>
      <c r="Q335" s="14"/>
      <c r="AC335" s="22"/>
    </row>
    <row r="336" spans="1:29" x14ac:dyDescent="0.25">
      <c r="A336" s="13" t="s">
        <v>785</v>
      </c>
      <c r="Q336" s="14"/>
      <c r="AC336" s="22"/>
    </row>
    <row r="337" spans="1:36" x14ac:dyDescent="0.25">
      <c r="A337" s="14">
        <v>500</v>
      </c>
      <c r="B337" s="14" t="s">
        <v>790</v>
      </c>
      <c r="C337" s="14" t="s">
        <v>837</v>
      </c>
      <c r="D337" s="14" t="s">
        <v>779</v>
      </c>
      <c r="F337" s="119">
        <v>0</v>
      </c>
      <c r="G337" s="40"/>
      <c r="H337" s="27">
        <f t="shared" ref="H337:H345" si="190">IF(VLOOKUP($D337,$C$5:$AA$496,6,)=0,0,((VLOOKUP($D337,$C$5:$AA$496,6,)/VLOOKUP($D337,$C$5:$AA$496,4,))*$F337))</f>
        <v>0</v>
      </c>
      <c r="I337" s="27">
        <f t="shared" ref="I337:I345" si="191">IF(VLOOKUP($D337,$C$5:$AA$496,7,)=0,0,((VLOOKUP($D337,$C$5:$AA$496,7,)/VLOOKUP($D337,$C$5:$AA$496,4,))*$F337))</f>
        <v>0</v>
      </c>
      <c r="J337" s="27"/>
      <c r="K337" s="27">
        <f t="shared" ref="K337:K345" si="192">IF(VLOOKUP($D337,$C$5:$AA$496,9,)=0,0,((VLOOKUP($D337,$C$5:$AA$496,9,)/VLOOKUP($D337,$C$5:$AA$496,4,))*$F337))</f>
        <v>0</v>
      </c>
      <c r="L337" s="27"/>
      <c r="M337" s="27">
        <f t="shared" ref="M337:M345" si="193">IF(VLOOKUP($D337,$C$5:$AA$496,11,)=0,0,((VLOOKUP($D337,$C$5:$AA$496,11,)/VLOOKUP($D337,$C$5:$AA$496,4,))*$F337))</f>
        <v>0</v>
      </c>
      <c r="N337" s="27"/>
      <c r="O337" s="27">
        <f t="shared" ref="O337:O345" si="194">IF(VLOOKUP($D337,$C$5:$AA$496,13,)=0,0,((VLOOKUP($D337,$C$5:$AA$496,13,)/VLOOKUP($D337,$C$5:$AA$496,4,))*$F337))</f>
        <v>0</v>
      </c>
      <c r="P337" s="27">
        <f t="shared" ref="P337:P345" si="195">IF(VLOOKUP($D337,$C$5:$AA$496,14,)=0,0,((VLOOKUP($D337,$C$5:$AA$496,14,)/VLOOKUP($D337,$C$5:$AA$496,4,))*$F337))</f>
        <v>0</v>
      </c>
      <c r="Q337" s="27"/>
      <c r="R337" s="27">
        <f t="shared" ref="R337:R345" si="196">IF(VLOOKUP($D337,$C$5:$AA$496,16,)=0,0,((VLOOKUP($D337,$C$5:$AA$496,16,)/VLOOKUP($D337,$C$5:$AA$496,4,))*$F337))</f>
        <v>0</v>
      </c>
      <c r="S337" s="27">
        <f t="shared" ref="S337:S345" si="197">IF(VLOOKUP($D337,$C$5:$AA$496,17,)=0,0,((VLOOKUP($D337,$C$5:$AA$496,17,)/VLOOKUP($D337,$C$5:$AA$496,4,))*$F337))</f>
        <v>0</v>
      </c>
      <c r="T337" s="27"/>
      <c r="U337" s="27">
        <f t="shared" ref="U337:U345" si="198">IF(VLOOKUP($D337,$C$5:$AA$496,19,)=0,0,((VLOOKUP($D337,$C$5:$AA$496,19,)/VLOOKUP($D337,$C$5:$AA$496,4,))*$F337))</f>
        <v>0</v>
      </c>
      <c r="V337" s="27"/>
      <c r="W337" s="27">
        <f t="shared" ref="W337:W345" si="199">IF(VLOOKUP($D337,$C$5:$AA$496,21,)=0,0,((VLOOKUP($D337,$C$5:$AA$496,21,)/VLOOKUP($D337,$C$5:$AA$496,4,))*$F337))</f>
        <v>0</v>
      </c>
      <c r="X337" s="27"/>
      <c r="Y337" s="27">
        <f t="shared" ref="Y337:Y345" si="200">IF(VLOOKUP($D337,$C$5:$AA$496,23,)=0,0,((VLOOKUP($D337,$C$5:$AA$496,23,)/VLOOKUP($D337,$C$5:$AA$496,4,))*$F337))</f>
        <v>0</v>
      </c>
      <c r="Z337" s="27"/>
      <c r="AA337" s="27">
        <f t="shared" ref="AA337:AA345" si="201">IF(VLOOKUP($D337,$C$5:$AA$496,25,)=0,0,((VLOOKUP($D337,$C$5:$AA$496,25,)/VLOOKUP($D337,$C$5:$AA$496,4,))*$F337))</f>
        <v>0</v>
      </c>
      <c r="AB337" s="27">
        <f t="shared" ref="AB337:AB345" si="202">SUM(H337:AA337)</f>
        <v>0</v>
      </c>
      <c r="AC337" s="22" t="str">
        <f t="shared" ref="AC337:AC345" si="203">IF(ABS(AB337-F337)&lt;1,"ok","err")</f>
        <v>ok</v>
      </c>
    </row>
    <row r="338" spans="1:36" x14ac:dyDescent="0.25">
      <c r="A338" s="14">
        <v>501</v>
      </c>
      <c r="B338" s="14" t="s">
        <v>791</v>
      </c>
      <c r="C338" s="14" t="s">
        <v>838</v>
      </c>
      <c r="D338" s="14" t="s">
        <v>783</v>
      </c>
      <c r="F338" s="110">
        <v>0</v>
      </c>
      <c r="G338" s="27"/>
      <c r="H338" s="27">
        <f t="shared" si="190"/>
        <v>0</v>
      </c>
      <c r="I338" s="27">
        <f t="shared" si="191"/>
        <v>0</v>
      </c>
      <c r="J338" s="27"/>
      <c r="K338" s="27">
        <f t="shared" si="192"/>
        <v>0</v>
      </c>
      <c r="L338" s="27"/>
      <c r="M338" s="27">
        <f t="shared" si="193"/>
        <v>0</v>
      </c>
      <c r="N338" s="27"/>
      <c r="O338" s="27">
        <f t="shared" si="194"/>
        <v>0</v>
      </c>
      <c r="P338" s="27">
        <f t="shared" si="195"/>
        <v>0</v>
      </c>
      <c r="Q338" s="27"/>
      <c r="R338" s="27">
        <f t="shared" si="196"/>
        <v>0</v>
      </c>
      <c r="S338" s="27">
        <f t="shared" si="197"/>
        <v>0</v>
      </c>
      <c r="T338" s="27"/>
      <c r="U338" s="27">
        <f t="shared" si="198"/>
        <v>0</v>
      </c>
      <c r="V338" s="27"/>
      <c r="W338" s="27">
        <f t="shared" si="199"/>
        <v>0</v>
      </c>
      <c r="X338" s="27"/>
      <c r="Y338" s="27">
        <f t="shared" si="200"/>
        <v>0</v>
      </c>
      <c r="Z338" s="27"/>
      <c r="AA338" s="27">
        <f t="shared" si="201"/>
        <v>0</v>
      </c>
      <c r="AB338" s="27">
        <f t="shared" si="202"/>
        <v>0</v>
      </c>
      <c r="AC338" s="22" t="str">
        <f t="shared" si="203"/>
        <v>ok</v>
      </c>
    </row>
    <row r="339" spans="1:36" x14ac:dyDescent="0.25">
      <c r="A339" s="14">
        <v>502</v>
      </c>
      <c r="B339" s="14" t="s">
        <v>792</v>
      </c>
      <c r="C339" s="14" t="s">
        <v>839</v>
      </c>
      <c r="D339" s="14" t="s">
        <v>552</v>
      </c>
      <c r="F339" s="110">
        <v>0</v>
      </c>
      <c r="G339" s="27"/>
      <c r="H339" s="27">
        <f t="shared" si="190"/>
        <v>0</v>
      </c>
      <c r="I339" s="27">
        <f t="shared" si="191"/>
        <v>0</v>
      </c>
      <c r="J339" s="27"/>
      <c r="K339" s="27">
        <f t="shared" si="192"/>
        <v>0</v>
      </c>
      <c r="L339" s="27"/>
      <c r="M339" s="27">
        <f t="shared" si="193"/>
        <v>0</v>
      </c>
      <c r="N339" s="27"/>
      <c r="O339" s="27">
        <f t="shared" si="194"/>
        <v>0</v>
      </c>
      <c r="P339" s="27">
        <f t="shared" si="195"/>
        <v>0</v>
      </c>
      <c r="Q339" s="27"/>
      <c r="R339" s="27">
        <f t="shared" si="196"/>
        <v>0</v>
      </c>
      <c r="S339" s="27">
        <f t="shared" si="197"/>
        <v>0</v>
      </c>
      <c r="T339" s="27"/>
      <c r="U339" s="27">
        <f t="shared" si="198"/>
        <v>0</v>
      </c>
      <c r="V339" s="27"/>
      <c r="W339" s="27">
        <f t="shared" si="199"/>
        <v>0</v>
      </c>
      <c r="X339" s="27"/>
      <c r="Y339" s="27">
        <f t="shared" si="200"/>
        <v>0</v>
      </c>
      <c r="Z339" s="27"/>
      <c r="AA339" s="27">
        <f t="shared" si="201"/>
        <v>0</v>
      </c>
      <c r="AB339" s="27">
        <f t="shared" si="202"/>
        <v>0</v>
      </c>
      <c r="AC339" s="22" t="str">
        <f t="shared" si="203"/>
        <v>ok</v>
      </c>
    </row>
    <row r="340" spans="1:36" x14ac:dyDescent="0.25">
      <c r="A340" s="14">
        <v>503</v>
      </c>
      <c r="B340" s="14" t="s">
        <v>793</v>
      </c>
      <c r="C340" s="14" t="s">
        <v>840</v>
      </c>
      <c r="D340" s="14" t="s">
        <v>552</v>
      </c>
      <c r="F340" s="110">
        <v>0</v>
      </c>
      <c r="G340" s="27"/>
      <c r="H340" s="27">
        <f t="shared" si="190"/>
        <v>0</v>
      </c>
      <c r="I340" s="27">
        <f t="shared" si="191"/>
        <v>0</v>
      </c>
      <c r="J340" s="27"/>
      <c r="K340" s="27">
        <f t="shared" si="192"/>
        <v>0</v>
      </c>
      <c r="L340" s="27"/>
      <c r="M340" s="27">
        <f t="shared" si="193"/>
        <v>0</v>
      </c>
      <c r="N340" s="27"/>
      <c r="O340" s="27">
        <f t="shared" si="194"/>
        <v>0</v>
      </c>
      <c r="P340" s="27">
        <f t="shared" si="195"/>
        <v>0</v>
      </c>
      <c r="Q340" s="27"/>
      <c r="R340" s="27">
        <f t="shared" si="196"/>
        <v>0</v>
      </c>
      <c r="S340" s="27">
        <f t="shared" si="197"/>
        <v>0</v>
      </c>
      <c r="T340" s="27"/>
      <c r="U340" s="27">
        <f t="shared" si="198"/>
        <v>0</v>
      </c>
      <c r="V340" s="27"/>
      <c r="W340" s="27">
        <f t="shared" si="199"/>
        <v>0</v>
      </c>
      <c r="X340" s="27"/>
      <c r="Y340" s="27">
        <f t="shared" si="200"/>
        <v>0</v>
      </c>
      <c r="Z340" s="27"/>
      <c r="AA340" s="27">
        <f t="shared" si="201"/>
        <v>0</v>
      </c>
      <c r="AB340" s="27">
        <f t="shared" si="202"/>
        <v>0</v>
      </c>
      <c r="AC340" s="22" t="str">
        <f t="shared" si="203"/>
        <v>ok</v>
      </c>
    </row>
    <row r="341" spans="1:36" x14ac:dyDescent="0.25">
      <c r="A341" s="14">
        <v>504</v>
      </c>
      <c r="B341" s="14" t="s">
        <v>794</v>
      </c>
      <c r="C341" s="14" t="s">
        <v>841</v>
      </c>
      <c r="D341" s="14" t="s">
        <v>552</v>
      </c>
      <c r="F341" s="110">
        <v>0</v>
      </c>
      <c r="G341" s="27"/>
      <c r="H341" s="27">
        <f t="shared" si="190"/>
        <v>0</v>
      </c>
      <c r="I341" s="27">
        <f t="shared" si="191"/>
        <v>0</v>
      </c>
      <c r="J341" s="27"/>
      <c r="K341" s="27">
        <f t="shared" si="192"/>
        <v>0</v>
      </c>
      <c r="L341" s="27"/>
      <c r="M341" s="27">
        <f t="shared" si="193"/>
        <v>0</v>
      </c>
      <c r="N341" s="27"/>
      <c r="O341" s="27">
        <f t="shared" si="194"/>
        <v>0</v>
      </c>
      <c r="P341" s="27">
        <f t="shared" si="195"/>
        <v>0</v>
      </c>
      <c r="Q341" s="27"/>
      <c r="R341" s="27">
        <f t="shared" si="196"/>
        <v>0</v>
      </c>
      <c r="S341" s="27">
        <f t="shared" si="197"/>
        <v>0</v>
      </c>
      <c r="T341" s="27"/>
      <c r="U341" s="27">
        <f t="shared" si="198"/>
        <v>0</v>
      </c>
      <c r="V341" s="27"/>
      <c r="W341" s="27">
        <f t="shared" si="199"/>
        <v>0</v>
      </c>
      <c r="X341" s="27"/>
      <c r="Y341" s="27">
        <f t="shared" si="200"/>
        <v>0</v>
      </c>
      <c r="Z341" s="27"/>
      <c r="AA341" s="27">
        <f t="shared" si="201"/>
        <v>0</v>
      </c>
      <c r="AB341" s="27">
        <f t="shared" si="202"/>
        <v>0</v>
      </c>
      <c r="AC341" s="22" t="str">
        <f t="shared" si="203"/>
        <v>ok</v>
      </c>
      <c r="AJ341" s="101"/>
    </row>
    <row r="342" spans="1:36" x14ac:dyDescent="0.25">
      <c r="A342" s="14">
        <v>505</v>
      </c>
      <c r="B342" s="14" t="s">
        <v>795</v>
      </c>
      <c r="C342" s="14" t="s">
        <v>842</v>
      </c>
      <c r="D342" s="14" t="s">
        <v>552</v>
      </c>
      <c r="F342" s="110">
        <v>0</v>
      </c>
      <c r="G342" s="27"/>
      <c r="H342" s="27">
        <f t="shared" si="190"/>
        <v>0</v>
      </c>
      <c r="I342" s="27">
        <f t="shared" si="191"/>
        <v>0</v>
      </c>
      <c r="J342" s="27"/>
      <c r="K342" s="27">
        <f t="shared" si="192"/>
        <v>0</v>
      </c>
      <c r="L342" s="27"/>
      <c r="M342" s="27">
        <f t="shared" si="193"/>
        <v>0</v>
      </c>
      <c r="N342" s="27"/>
      <c r="O342" s="27">
        <f t="shared" si="194"/>
        <v>0</v>
      </c>
      <c r="P342" s="27">
        <f t="shared" si="195"/>
        <v>0</v>
      </c>
      <c r="Q342" s="27"/>
      <c r="R342" s="27">
        <f t="shared" si="196"/>
        <v>0</v>
      </c>
      <c r="S342" s="27">
        <f t="shared" si="197"/>
        <v>0</v>
      </c>
      <c r="T342" s="27"/>
      <c r="U342" s="27">
        <f t="shared" si="198"/>
        <v>0</v>
      </c>
      <c r="V342" s="27"/>
      <c r="W342" s="27">
        <f t="shared" si="199"/>
        <v>0</v>
      </c>
      <c r="X342" s="27"/>
      <c r="Y342" s="27">
        <f t="shared" si="200"/>
        <v>0</v>
      </c>
      <c r="Z342" s="27"/>
      <c r="AA342" s="27">
        <f t="shared" si="201"/>
        <v>0</v>
      </c>
      <c r="AB342" s="27">
        <f t="shared" si="202"/>
        <v>0</v>
      </c>
      <c r="AC342" s="22" t="str">
        <f t="shared" si="203"/>
        <v>ok</v>
      </c>
      <c r="AJ342" s="101"/>
    </row>
    <row r="343" spans="1:36" x14ac:dyDescent="0.25">
      <c r="A343" s="14">
        <v>6</v>
      </c>
      <c r="B343" s="14" t="s">
        <v>796</v>
      </c>
      <c r="C343" s="14" t="s">
        <v>843</v>
      </c>
      <c r="D343" s="14" t="s">
        <v>552</v>
      </c>
      <c r="F343" s="110">
        <v>0</v>
      </c>
      <c r="G343" s="27"/>
      <c r="H343" s="27">
        <f t="shared" si="190"/>
        <v>0</v>
      </c>
      <c r="I343" s="27">
        <f t="shared" si="191"/>
        <v>0</v>
      </c>
      <c r="J343" s="27"/>
      <c r="K343" s="27">
        <f t="shared" si="192"/>
        <v>0</v>
      </c>
      <c r="L343" s="27"/>
      <c r="M343" s="27">
        <f t="shared" si="193"/>
        <v>0</v>
      </c>
      <c r="N343" s="27"/>
      <c r="O343" s="27">
        <f t="shared" si="194"/>
        <v>0</v>
      </c>
      <c r="P343" s="27">
        <f t="shared" si="195"/>
        <v>0</v>
      </c>
      <c r="Q343" s="27"/>
      <c r="R343" s="27">
        <f t="shared" si="196"/>
        <v>0</v>
      </c>
      <c r="S343" s="27">
        <f t="shared" si="197"/>
        <v>0</v>
      </c>
      <c r="T343" s="27"/>
      <c r="U343" s="27">
        <f t="shared" si="198"/>
        <v>0</v>
      </c>
      <c r="V343" s="27"/>
      <c r="W343" s="27">
        <f t="shared" si="199"/>
        <v>0</v>
      </c>
      <c r="X343" s="27"/>
      <c r="Y343" s="27">
        <f t="shared" si="200"/>
        <v>0</v>
      </c>
      <c r="Z343" s="27"/>
      <c r="AA343" s="27">
        <f t="shared" si="201"/>
        <v>0</v>
      </c>
      <c r="AB343" s="27">
        <f t="shared" si="202"/>
        <v>0</v>
      </c>
      <c r="AC343" s="22" t="str">
        <f t="shared" si="203"/>
        <v>ok</v>
      </c>
      <c r="AJ343" s="101"/>
    </row>
    <row r="344" spans="1:36" x14ac:dyDescent="0.25">
      <c r="A344" s="14">
        <v>16</v>
      </c>
      <c r="B344" s="14" t="s">
        <v>1110</v>
      </c>
      <c r="C344" s="14" t="s">
        <v>844</v>
      </c>
      <c r="D344" s="14" t="s">
        <v>552</v>
      </c>
      <c r="E344" s="113"/>
      <c r="F344" s="110">
        <v>0</v>
      </c>
      <c r="G344" s="100"/>
      <c r="H344" s="27">
        <f t="shared" si="190"/>
        <v>0</v>
      </c>
      <c r="I344" s="27">
        <f t="shared" si="191"/>
        <v>0</v>
      </c>
      <c r="J344" s="100"/>
      <c r="K344" s="27">
        <f t="shared" si="192"/>
        <v>0</v>
      </c>
      <c r="L344" s="27"/>
      <c r="M344" s="27">
        <f t="shared" si="193"/>
        <v>0</v>
      </c>
      <c r="N344" s="27"/>
      <c r="O344" s="27">
        <f t="shared" si="194"/>
        <v>0</v>
      </c>
      <c r="P344" s="27">
        <f t="shared" si="195"/>
        <v>0</v>
      </c>
      <c r="Q344" s="27"/>
      <c r="R344" s="27">
        <f t="shared" si="196"/>
        <v>0</v>
      </c>
      <c r="S344" s="27">
        <f t="shared" si="197"/>
        <v>0</v>
      </c>
      <c r="T344" s="27"/>
      <c r="U344" s="27">
        <f t="shared" si="198"/>
        <v>0</v>
      </c>
      <c r="V344" s="27"/>
      <c r="W344" s="27">
        <f t="shared" si="199"/>
        <v>0</v>
      </c>
      <c r="X344" s="27"/>
      <c r="Y344" s="27">
        <f t="shared" si="200"/>
        <v>0</v>
      </c>
      <c r="Z344" s="27"/>
      <c r="AA344" s="27">
        <f t="shared" si="201"/>
        <v>0</v>
      </c>
      <c r="AB344" s="27">
        <f t="shared" si="202"/>
        <v>0</v>
      </c>
      <c r="AC344" s="22" t="str">
        <f t="shared" si="203"/>
        <v>ok</v>
      </c>
    </row>
    <row r="345" spans="1:36" x14ac:dyDescent="0.25">
      <c r="A345" s="14">
        <v>509</v>
      </c>
      <c r="B345" s="14" t="s">
        <v>797</v>
      </c>
      <c r="C345" s="14" t="s">
        <v>845</v>
      </c>
      <c r="D345" s="14" t="s">
        <v>783</v>
      </c>
      <c r="F345" s="110">
        <v>0</v>
      </c>
      <c r="G345" s="27"/>
      <c r="H345" s="27">
        <f t="shared" si="190"/>
        <v>0</v>
      </c>
      <c r="I345" s="27">
        <f t="shared" si="191"/>
        <v>0</v>
      </c>
      <c r="J345" s="27"/>
      <c r="K345" s="27">
        <f t="shared" si="192"/>
        <v>0</v>
      </c>
      <c r="L345" s="27"/>
      <c r="M345" s="27">
        <f t="shared" si="193"/>
        <v>0</v>
      </c>
      <c r="N345" s="27"/>
      <c r="O345" s="27">
        <f t="shared" si="194"/>
        <v>0</v>
      </c>
      <c r="P345" s="27">
        <f t="shared" si="195"/>
        <v>0</v>
      </c>
      <c r="Q345" s="27"/>
      <c r="R345" s="27">
        <f t="shared" si="196"/>
        <v>0</v>
      </c>
      <c r="S345" s="27">
        <f t="shared" si="197"/>
        <v>0</v>
      </c>
      <c r="T345" s="27"/>
      <c r="U345" s="27">
        <f t="shared" si="198"/>
        <v>0</v>
      </c>
      <c r="V345" s="27"/>
      <c r="W345" s="27">
        <f t="shared" si="199"/>
        <v>0</v>
      </c>
      <c r="X345" s="27"/>
      <c r="Y345" s="27">
        <f t="shared" si="200"/>
        <v>0</v>
      </c>
      <c r="Z345" s="27"/>
      <c r="AA345" s="27">
        <f t="shared" si="201"/>
        <v>0</v>
      </c>
      <c r="AB345" s="27">
        <f t="shared" si="202"/>
        <v>0</v>
      </c>
      <c r="AC345" s="22" t="str">
        <f t="shared" si="203"/>
        <v>ok</v>
      </c>
    </row>
    <row r="346" spans="1:36" x14ac:dyDescent="0.25"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C346" s="22"/>
    </row>
    <row r="347" spans="1:36" x14ac:dyDescent="0.25">
      <c r="A347" s="14" t="s">
        <v>789</v>
      </c>
      <c r="C347" s="14" t="s">
        <v>846</v>
      </c>
      <c r="F347" s="119">
        <f>SUM(F337:F346)</f>
        <v>0</v>
      </c>
      <c r="G347" s="40"/>
      <c r="H347" s="40">
        <f>SUM(H337:H346)</f>
        <v>0</v>
      </c>
      <c r="I347" s="40">
        <f>SUM(I337:I346)</f>
        <v>0</v>
      </c>
      <c r="J347" s="40"/>
      <c r="K347" s="40">
        <f>SUM(K337:K346)</f>
        <v>0</v>
      </c>
      <c r="L347" s="40"/>
      <c r="M347" s="40">
        <f>SUM(M337:M346)</f>
        <v>0</v>
      </c>
      <c r="N347" s="40"/>
      <c r="O347" s="40">
        <f>SUM(O337:O346)</f>
        <v>0</v>
      </c>
      <c r="P347" s="40">
        <f>SUM(P337:P346)</f>
        <v>0</v>
      </c>
      <c r="Q347" s="40"/>
      <c r="R347" s="40">
        <f>SUM(R337:R346)</f>
        <v>0</v>
      </c>
      <c r="S347" s="40">
        <f>SUM(S337:S346)</f>
        <v>0</v>
      </c>
      <c r="T347" s="40"/>
      <c r="U347" s="40">
        <f>SUM(U337:U346)</f>
        <v>0</v>
      </c>
      <c r="V347" s="40"/>
      <c r="W347" s="40">
        <f>SUM(W337:W346)</f>
        <v>0</v>
      </c>
      <c r="X347" s="40"/>
      <c r="Y347" s="40">
        <f>SUM(Y337:Y346)</f>
        <v>0</v>
      </c>
      <c r="Z347" s="40"/>
      <c r="AA347" s="40">
        <f>SUM(AA337:AA346)</f>
        <v>0</v>
      </c>
      <c r="AB347" s="27">
        <f>SUM(H347:AA347)</f>
        <v>0</v>
      </c>
      <c r="AC347" s="22" t="str">
        <f>IF(ABS(AB347-F347)&lt;1,"ok","err")</f>
        <v>ok</v>
      </c>
    </row>
    <row r="348" spans="1:36" x14ac:dyDescent="0.25">
      <c r="A348" s="13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C348" s="22"/>
    </row>
    <row r="349" spans="1:36" x14ac:dyDescent="0.25">
      <c r="A349" s="13" t="s">
        <v>786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C349" s="22"/>
    </row>
    <row r="350" spans="1:36" x14ac:dyDescent="0.25">
      <c r="A350" s="14">
        <v>510</v>
      </c>
      <c r="B350" s="14" t="s">
        <v>798</v>
      </c>
      <c r="C350" s="14" t="s">
        <v>847</v>
      </c>
      <c r="D350" s="14" t="s">
        <v>783</v>
      </c>
      <c r="F350" s="119">
        <v>0</v>
      </c>
      <c r="G350" s="40"/>
      <c r="H350" s="27">
        <f>IF(VLOOKUP($D350,$C$5:$AA$496,6,)=0,0,((VLOOKUP($D350,$C$5:$AA$496,6,)/VLOOKUP($D350,$C$5:$AA$496,4,))*$F350))</f>
        <v>0</v>
      </c>
      <c r="I350" s="27">
        <f>IF(VLOOKUP($D350,$C$5:$AA$496,7,)=0,0,((VLOOKUP($D350,$C$5:$AA$496,7,)/VLOOKUP($D350,$C$5:$AA$496,4,))*$F350))</f>
        <v>0</v>
      </c>
      <c r="J350" s="27"/>
      <c r="K350" s="27">
        <f>IF(VLOOKUP($D350,$C$5:$AA$496,9,)=0,0,((VLOOKUP($D350,$C$5:$AA$496,9,)/VLOOKUP($D350,$C$5:$AA$496,4,))*$F350))</f>
        <v>0</v>
      </c>
      <c r="L350" s="27"/>
      <c r="M350" s="27">
        <f>IF(VLOOKUP($D350,$C$5:$AA$496,11,)=0,0,((VLOOKUP($D350,$C$5:$AA$496,11,)/VLOOKUP($D350,$C$5:$AA$496,4,))*$F350))</f>
        <v>0</v>
      </c>
      <c r="N350" s="27"/>
      <c r="O350" s="27">
        <f>IF(VLOOKUP($D350,$C$5:$AA$496,13,)=0,0,((VLOOKUP($D350,$C$5:$AA$496,13,)/VLOOKUP($D350,$C$5:$AA$496,4,))*$F350))</f>
        <v>0</v>
      </c>
      <c r="P350" s="27">
        <f>IF(VLOOKUP($D350,$C$5:$AA$496,14,)=0,0,((VLOOKUP($D350,$C$5:$AA$496,14,)/VLOOKUP($D350,$C$5:$AA$496,4,))*$F350))</f>
        <v>0</v>
      </c>
      <c r="Q350" s="27"/>
      <c r="R350" s="27">
        <f>IF(VLOOKUP($D350,$C$5:$AA$496,16,)=0,0,((VLOOKUP($D350,$C$5:$AA$496,16,)/VLOOKUP($D350,$C$5:$AA$496,4,))*$F350))</f>
        <v>0</v>
      </c>
      <c r="S350" s="27">
        <f>IF(VLOOKUP($D350,$C$5:$AA$496,17,)=0,0,((VLOOKUP($D350,$C$5:$AA$496,17,)/VLOOKUP($D350,$C$5:$AA$496,4,))*$F350))</f>
        <v>0</v>
      </c>
      <c r="T350" s="27"/>
      <c r="U350" s="27">
        <f>IF(VLOOKUP($D350,$C$5:$AA$496,19,)=0,0,((VLOOKUP($D350,$C$5:$AA$496,19,)/VLOOKUP($D350,$C$5:$AA$496,4,))*$F350))</f>
        <v>0</v>
      </c>
      <c r="V350" s="27"/>
      <c r="W350" s="27">
        <f>IF(VLOOKUP($D350,$C$5:$AA$496,21,)=0,0,((VLOOKUP($D350,$C$5:$AA$496,21,)/VLOOKUP($D350,$C$5:$AA$496,4,))*$F350))</f>
        <v>0</v>
      </c>
      <c r="X350" s="27"/>
      <c r="Y350" s="27">
        <f>IF(VLOOKUP($D350,$C$5:$AA$496,23,)=0,0,((VLOOKUP($D350,$C$5:$AA$496,23,)/VLOOKUP($D350,$C$5:$AA$496,4,))*$F350))</f>
        <v>0</v>
      </c>
      <c r="Z350" s="27"/>
      <c r="AA350" s="27">
        <f>IF(VLOOKUP($D350,$C$5:$AA$496,25,)=0,0,((VLOOKUP($D350,$C$5:$AA$496,25,)/VLOOKUP($D350,$C$5:$AA$496,4,))*$F350))</f>
        <v>0</v>
      </c>
      <c r="AB350" s="27">
        <f>SUM(H350:AA350)</f>
        <v>0</v>
      </c>
      <c r="AC350" s="22" t="str">
        <f>IF(ABS(AB350-F350)&lt;1,"ok","err")</f>
        <v>ok</v>
      </c>
    </row>
    <row r="351" spans="1:36" x14ac:dyDescent="0.25">
      <c r="A351" s="14">
        <v>511</v>
      </c>
      <c r="B351" s="14" t="s">
        <v>799</v>
      </c>
      <c r="C351" s="14" t="s">
        <v>848</v>
      </c>
      <c r="D351" s="14" t="s">
        <v>552</v>
      </c>
      <c r="F351" s="110">
        <v>0</v>
      </c>
      <c r="G351" s="27"/>
      <c r="H351" s="27">
        <f>IF(VLOOKUP($D351,$C$5:$AA$496,6,)=0,0,((VLOOKUP($D351,$C$5:$AA$496,6,)/VLOOKUP($D351,$C$5:$AA$496,4,))*$F351))</f>
        <v>0</v>
      </c>
      <c r="I351" s="27">
        <f>IF(VLOOKUP($D351,$C$5:$AA$496,7,)=0,0,((VLOOKUP($D351,$C$5:$AA$496,7,)/VLOOKUP($D351,$C$5:$AA$496,4,))*$F351))</f>
        <v>0</v>
      </c>
      <c r="J351" s="27"/>
      <c r="K351" s="27">
        <f>IF(VLOOKUP($D351,$C$5:$AA$496,9,)=0,0,((VLOOKUP($D351,$C$5:$AA$496,9,)/VLOOKUP($D351,$C$5:$AA$496,4,))*$F351))</f>
        <v>0</v>
      </c>
      <c r="L351" s="27"/>
      <c r="M351" s="27">
        <f>IF(VLOOKUP($D351,$C$5:$AA$496,11,)=0,0,((VLOOKUP($D351,$C$5:$AA$496,11,)/VLOOKUP($D351,$C$5:$AA$496,4,))*$F351))</f>
        <v>0</v>
      </c>
      <c r="N351" s="27"/>
      <c r="O351" s="27">
        <f>IF(VLOOKUP($D351,$C$5:$AA$496,13,)=0,0,((VLOOKUP($D351,$C$5:$AA$496,13,)/VLOOKUP($D351,$C$5:$AA$496,4,))*$F351))</f>
        <v>0</v>
      </c>
      <c r="P351" s="27">
        <f>IF(VLOOKUP($D351,$C$5:$AA$496,14,)=0,0,((VLOOKUP($D351,$C$5:$AA$496,14,)/VLOOKUP($D351,$C$5:$AA$496,4,))*$F351))</f>
        <v>0</v>
      </c>
      <c r="Q351" s="27"/>
      <c r="R351" s="27">
        <f>IF(VLOOKUP($D351,$C$5:$AA$496,16,)=0,0,((VLOOKUP($D351,$C$5:$AA$496,16,)/VLOOKUP($D351,$C$5:$AA$496,4,))*$F351))</f>
        <v>0</v>
      </c>
      <c r="S351" s="27">
        <f>IF(VLOOKUP($D351,$C$5:$AA$496,17,)=0,0,((VLOOKUP($D351,$C$5:$AA$496,17,)/VLOOKUP($D351,$C$5:$AA$496,4,))*$F351))</f>
        <v>0</v>
      </c>
      <c r="T351" s="27"/>
      <c r="U351" s="27">
        <f>IF(VLOOKUP($D351,$C$5:$AA$496,19,)=0,0,((VLOOKUP($D351,$C$5:$AA$496,19,)/VLOOKUP($D351,$C$5:$AA$496,4,))*$F351))</f>
        <v>0</v>
      </c>
      <c r="V351" s="27"/>
      <c r="W351" s="27">
        <f>IF(VLOOKUP($D351,$C$5:$AA$496,21,)=0,0,((VLOOKUP($D351,$C$5:$AA$496,21,)/VLOOKUP($D351,$C$5:$AA$496,4,))*$F351))</f>
        <v>0</v>
      </c>
      <c r="X351" s="27"/>
      <c r="Y351" s="27">
        <f>IF(VLOOKUP($D351,$C$5:$AA$496,23,)=0,0,((VLOOKUP($D351,$C$5:$AA$496,23,)/VLOOKUP($D351,$C$5:$AA$496,4,))*$F351))</f>
        <v>0</v>
      </c>
      <c r="Z351" s="27"/>
      <c r="AA351" s="27">
        <f>IF(VLOOKUP($D351,$C$5:$AA$496,25,)=0,0,((VLOOKUP($D351,$C$5:$AA$496,25,)/VLOOKUP($D351,$C$5:$AA$496,4,))*$F351))</f>
        <v>0</v>
      </c>
      <c r="AB351" s="27">
        <f>SUM(H351:AA351)</f>
        <v>0</v>
      </c>
      <c r="AC351" s="22" t="str">
        <f>IF(ABS(AB351-F351)&lt;1,"ok","err")</f>
        <v>ok</v>
      </c>
    </row>
    <row r="352" spans="1:36" x14ac:dyDescent="0.25">
      <c r="A352" s="14">
        <v>512</v>
      </c>
      <c r="B352" s="14" t="s">
        <v>800</v>
      </c>
      <c r="C352" s="14" t="s">
        <v>849</v>
      </c>
      <c r="D352" s="14" t="s">
        <v>783</v>
      </c>
      <c r="F352" s="110">
        <v>0</v>
      </c>
      <c r="G352" s="27"/>
      <c r="H352" s="27">
        <f>IF(VLOOKUP($D352,$C$5:$AA$496,6,)=0,0,((VLOOKUP($D352,$C$5:$AA$496,6,)/VLOOKUP($D352,$C$5:$AA$496,4,))*$F352))</f>
        <v>0</v>
      </c>
      <c r="I352" s="27">
        <f>IF(VLOOKUP($D352,$C$5:$AA$496,7,)=0,0,((VLOOKUP($D352,$C$5:$AA$496,7,)/VLOOKUP($D352,$C$5:$AA$496,4,))*$F352))</f>
        <v>0</v>
      </c>
      <c r="J352" s="27"/>
      <c r="K352" s="27">
        <f>IF(VLOOKUP($D352,$C$5:$AA$496,9,)=0,0,((VLOOKUP($D352,$C$5:$AA$496,9,)/VLOOKUP($D352,$C$5:$AA$496,4,))*$F352))</f>
        <v>0</v>
      </c>
      <c r="L352" s="27"/>
      <c r="M352" s="27">
        <f>IF(VLOOKUP($D352,$C$5:$AA$496,11,)=0,0,((VLOOKUP($D352,$C$5:$AA$496,11,)/VLOOKUP($D352,$C$5:$AA$496,4,))*$F352))</f>
        <v>0</v>
      </c>
      <c r="N352" s="27"/>
      <c r="O352" s="27">
        <f>IF(VLOOKUP($D352,$C$5:$AA$496,13,)=0,0,((VLOOKUP($D352,$C$5:$AA$496,13,)/VLOOKUP($D352,$C$5:$AA$496,4,))*$F352))</f>
        <v>0</v>
      </c>
      <c r="P352" s="27">
        <f>IF(VLOOKUP($D352,$C$5:$AA$496,14,)=0,0,((VLOOKUP($D352,$C$5:$AA$496,14,)/VLOOKUP($D352,$C$5:$AA$496,4,))*$F352))</f>
        <v>0</v>
      </c>
      <c r="Q352" s="27"/>
      <c r="R352" s="27">
        <f>IF(VLOOKUP($D352,$C$5:$AA$496,16,)=0,0,((VLOOKUP($D352,$C$5:$AA$496,16,)/VLOOKUP($D352,$C$5:$AA$496,4,))*$F352))</f>
        <v>0</v>
      </c>
      <c r="S352" s="27">
        <f>IF(VLOOKUP($D352,$C$5:$AA$496,17,)=0,0,((VLOOKUP($D352,$C$5:$AA$496,17,)/VLOOKUP($D352,$C$5:$AA$496,4,))*$F352))</f>
        <v>0</v>
      </c>
      <c r="T352" s="27"/>
      <c r="U352" s="27">
        <f>IF(VLOOKUP($D352,$C$5:$AA$496,19,)=0,0,((VLOOKUP($D352,$C$5:$AA$496,19,)/VLOOKUP($D352,$C$5:$AA$496,4,))*$F352))</f>
        <v>0</v>
      </c>
      <c r="V352" s="27"/>
      <c r="W352" s="27">
        <f>IF(VLOOKUP($D352,$C$5:$AA$496,21,)=0,0,((VLOOKUP($D352,$C$5:$AA$496,21,)/VLOOKUP($D352,$C$5:$AA$496,4,))*$F352))</f>
        <v>0</v>
      </c>
      <c r="X352" s="27"/>
      <c r="Y352" s="27">
        <f>IF(VLOOKUP($D352,$C$5:$AA$496,23,)=0,0,((VLOOKUP($D352,$C$5:$AA$496,23,)/VLOOKUP($D352,$C$5:$AA$496,4,))*$F352))</f>
        <v>0</v>
      </c>
      <c r="Z352" s="27"/>
      <c r="AA352" s="27">
        <f>IF(VLOOKUP($D352,$C$5:$AA$496,25,)=0,0,((VLOOKUP($D352,$C$5:$AA$496,25,)/VLOOKUP($D352,$C$5:$AA$496,4,))*$F352))</f>
        <v>0</v>
      </c>
      <c r="AB352" s="27">
        <f>SUM(H352:AA352)</f>
        <v>0</v>
      </c>
      <c r="AC352" s="22" t="str">
        <f>IF(ABS(AB352-F352)&lt;1,"ok","err")</f>
        <v>ok</v>
      </c>
    </row>
    <row r="353" spans="1:29" x14ac:dyDescent="0.25">
      <c r="A353" s="14">
        <v>513</v>
      </c>
      <c r="B353" s="14" t="s">
        <v>801</v>
      </c>
      <c r="C353" s="14" t="s">
        <v>850</v>
      </c>
      <c r="D353" s="14" t="s">
        <v>783</v>
      </c>
      <c r="F353" s="110">
        <v>0</v>
      </c>
      <c r="G353" s="27"/>
      <c r="H353" s="27">
        <f>IF(VLOOKUP($D353,$C$5:$AA$496,6,)=0,0,((VLOOKUP($D353,$C$5:$AA$496,6,)/VLOOKUP($D353,$C$5:$AA$496,4,))*$F353))</f>
        <v>0</v>
      </c>
      <c r="I353" s="27">
        <f>IF(VLOOKUP($D353,$C$5:$AA$496,7,)=0,0,((VLOOKUP($D353,$C$5:$AA$496,7,)/VLOOKUP($D353,$C$5:$AA$496,4,))*$F353))</f>
        <v>0</v>
      </c>
      <c r="J353" s="27"/>
      <c r="K353" s="27">
        <f>IF(VLOOKUP($D353,$C$5:$AA$496,9,)=0,0,((VLOOKUP($D353,$C$5:$AA$496,9,)/VLOOKUP($D353,$C$5:$AA$496,4,))*$F353))</f>
        <v>0</v>
      </c>
      <c r="L353" s="27"/>
      <c r="M353" s="27">
        <f>IF(VLOOKUP($D353,$C$5:$AA$496,11,)=0,0,((VLOOKUP($D353,$C$5:$AA$496,11,)/VLOOKUP($D353,$C$5:$AA$496,4,))*$F353))</f>
        <v>0</v>
      </c>
      <c r="N353" s="27"/>
      <c r="O353" s="27">
        <f>IF(VLOOKUP($D353,$C$5:$AA$496,13,)=0,0,((VLOOKUP($D353,$C$5:$AA$496,13,)/VLOOKUP($D353,$C$5:$AA$496,4,))*$F353))</f>
        <v>0</v>
      </c>
      <c r="P353" s="27">
        <f>IF(VLOOKUP($D353,$C$5:$AA$496,14,)=0,0,((VLOOKUP($D353,$C$5:$AA$496,14,)/VLOOKUP($D353,$C$5:$AA$496,4,))*$F353))</f>
        <v>0</v>
      </c>
      <c r="Q353" s="27"/>
      <c r="R353" s="27">
        <f>IF(VLOOKUP($D353,$C$5:$AA$496,16,)=0,0,((VLOOKUP($D353,$C$5:$AA$496,16,)/VLOOKUP($D353,$C$5:$AA$496,4,))*$F353))</f>
        <v>0</v>
      </c>
      <c r="S353" s="27">
        <f>IF(VLOOKUP($D353,$C$5:$AA$496,17,)=0,0,((VLOOKUP($D353,$C$5:$AA$496,17,)/VLOOKUP($D353,$C$5:$AA$496,4,))*$F353))</f>
        <v>0</v>
      </c>
      <c r="T353" s="27"/>
      <c r="U353" s="27">
        <f>IF(VLOOKUP($D353,$C$5:$AA$496,19,)=0,0,((VLOOKUP($D353,$C$5:$AA$496,19,)/VLOOKUP($D353,$C$5:$AA$496,4,))*$F353))</f>
        <v>0</v>
      </c>
      <c r="V353" s="27"/>
      <c r="W353" s="27">
        <f>IF(VLOOKUP($D353,$C$5:$AA$496,21,)=0,0,((VLOOKUP($D353,$C$5:$AA$496,21,)/VLOOKUP($D353,$C$5:$AA$496,4,))*$F353))</f>
        <v>0</v>
      </c>
      <c r="X353" s="27"/>
      <c r="Y353" s="27">
        <f>IF(VLOOKUP($D353,$C$5:$AA$496,23,)=0,0,((VLOOKUP($D353,$C$5:$AA$496,23,)/VLOOKUP($D353,$C$5:$AA$496,4,))*$F353))</f>
        <v>0</v>
      </c>
      <c r="Z353" s="27"/>
      <c r="AA353" s="27">
        <f>IF(VLOOKUP($D353,$C$5:$AA$496,25,)=0,0,((VLOOKUP($D353,$C$5:$AA$496,25,)/VLOOKUP($D353,$C$5:$AA$496,4,))*$F353))</f>
        <v>0</v>
      </c>
      <c r="AB353" s="27">
        <f>SUM(H353:AA353)</f>
        <v>0</v>
      </c>
      <c r="AC353" s="22" t="str">
        <f>IF(ABS(AB353-F353)&lt;1,"ok","err")</f>
        <v>ok</v>
      </c>
    </row>
    <row r="354" spans="1:29" x14ac:dyDescent="0.25">
      <c r="A354" s="14">
        <v>514</v>
      </c>
      <c r="B354" s="14" t="s">
        <v>802</v>
      </c>
      <c r="C354" s="14" t="s">
        <v>851</v>
      </c>
      <c r="D354" s="14" t="s">
        <v>552</v>
      </c>
      <c r="F354" s="110">
        <v>0</v>
      </c>
      <c r="G354" s="27"/>
      <c r="H354" s="27">
        <f>IF(VLOOKUP($D354,$C$5:$AA$496,6,)=0,0,((VLOOKUP($D354,$C$5:$AA$496,6,)/VLOOKUP($D354,$C$5:$AA$496,4,))*$F354))</f>
        <v>0</v>
      </c>
      <c r="I354" s="27">
        <f>IF(VLOOKUP($D354,$C$5:$AA$496,7,)=0,0,((VLOOKUP($D354,$C$5:$AA$496,7,)/VLOOKUP($D354,$C$5:$AA$496,4,))*$F354))</f>
        <v>0</v>
      </c>
      <c r="J354" s="27"/>
      <c r="K354" s="27">
        <f>IF(VLOOKUP($D354,$C$5:$AA$496,9,)=0,0,((VLOOKUP($D354,$C$5:$AA$496,9,)/VLOOKUP($D354,$C$5:$AA$496,4,))*$F354))</f>
        <v>0</v>
      </c>
      <c r="L354" s="27"/>
      <c r="M354" s="27">
        <f>IF(VLOOKUP($D354,$C$5:$AA$496,11,)=0,0,((VLOOKUP($D354,$C$5:$AA$496,11,)/VLOOKUP($D354,$C$5:$AA$496,4,))*$F354))</f>
        <v>0</v>
      </c>
      <c r="N354" s="27"/>
      <c r="O354" s="27">
        <f>IF(VLOOKUP($D354,$C$5:$AA$496,13,)=0,0,((VLOOKUP($D354,$C$5:$AA$496,13,)/VLOOKUP($D354,$C$5:$AA$496,4,))*$F354))</f>
        <v>0</v>
      </c>
      <c r="P354" s="27">
        <f>IF(VLOOKUP($D354,$C$5:$AA$496,14,)=0,0,((VLOOKUP($D354,$C$5:$AA$496,14,)/VLOOKUP($D354,$C$5:$AA$496,4,))*$F354))</f>
        <v>0</v>
      </c>
      <c r="Q354" s="27"/>
      <c r="R354" s="27">
        <f>IF(VLOOKUP($D354,$C$5:$AA$496,16,)=0,0,((VLOOKUP($D354,$C$5:$AA$496,16,)/VLOOKUP($D354,$C$5:$AA$496,4,))*$F354))</f>
        <v>0</v>
      </c>
      <c r="S354" s="27">
        <f>IF(VLOOKUP($D354,$C$5:$AA$496,17,)=0,0,((VLOOKUP($D354,$C$5:$AA$496,17,)/VLOOKUP($D354,$C$5:$AA$496,4,))*$F354))</f>
        <v>0</v>
      </c>
      <c r="T354" s="27"/>
      <c r="U354" s="27">
        <f>IF(VLOOKUP($D354,$C$5:$AA$496,19,)=0,0,((VLOOKUP($D354,$C$5:$AA$496,19,)/VLOOKUP($D354,$C$5:$AA$496,4,))*$F354))</f>
        <v>0</v>
      </c>
      <c r="V354" s="27"/>
      <c r="W354" s="27">
        <f>IF(VLOOKUP($D354,$C$5:$AA$496,21,)=0,0,((VLOOKUP($D354,$C$5:$AA$496,21,)/VLOOKUP($D354,$C$5:$AA$496,4,))*$F354))</f>
        <v>0</v>
      </c>
      <c r="X354" s="27"/>
      <c r="Y354" s="27">
        <f>IF(VLOOKUP($D354,$C$5:$AA$496,23,)=0,0,((VLOOKUP($D354,$C$5:$AA$496,23,)/VLOOKUP($D354,$C$5:$AA$496,4,))*$F354))</f>
        <v>0</v>
      </c>
      <c r="Z354" s="27"/>
      <c r="AA354" s="27">
        <f>IF(VLOOKUP($D354,$C$5:$AA$496,25,)=0,0,((VLOOKUP($D354,$C$5:$AA$496,25,)/VLOOKUP($D354,$C$5:$AA$496,4,))*$F354))</f>
        <v>0</v>
      </c>
      <c r="AB354" s="27">
        <f>SUM(H354:AA354)</f>
        <v>0</v>
      </c>
      <c r="AC354" s="22" t="str">
        <f>IF(ABS(AB354-F354)&lt;1,"ok","err")</f>
        <v>ok</v>
      </c>
    </row>
    <row r="355" spans="1:29" x14ac:dyDescent="0.25"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2"/>
    </row>
    <row r="356" spans="1:29" x14ac:dyDescent="0.25">
      <c r="A356" s="14" t="s">
        <v>787</v>
      </c>
      <c r="C356" s="14" t="s">
        <v>852</v>
      </c>
      <c r="F356" s="119">
        <f>SUM(F350:F355)</f>
        <v>0</v>
      </c>
      <c r="G356" s="40"/>
      <c r="H356" s="40">
        <f>SUM(H350:H355)</f>
        <v>0</v>
      </c>
      <c r="I356" s="40">
        <f>SUM(I350:I355)</f>
        <v>0</v>
      </c>
      <c r="J356" s="40"/>
      <c r="K356" s="40">
        <f>SUM(K350:K355)</f>
        <v>0</v>
      </c>
      <c r="L356" s="40"/>
      <c r="M356" s="40">
        <f>SUM(M350:M355)</f>
        <v>0</v>
      </c>
      <c r="N356" s="40"/>
      <c r="O356" s="40">
        <f>SUM(O350:O355)</f>
        <v>0</v>
      </c>
      <c r="P356" s="40">
        <f>SUM(P350:P355)</f>
        <v>0</v>
      </c>
      <c r="Q356" s="40"/>
      <c r="R356" s="40">
        <f>SUM(R350:R355)</f>
        <v>0</v>
      </c>
      <c r="S356" s="40">
        <f>SUM(S350:S355)</f>
        <v>0</v>
      </c>
      <c r="T356" s="40"/>
      <c r="U356" s="40">
        <f>SUM(U350:U355)</f>
        <v>0</v>
      </c>
      <c r="V356" s="40"/>
      <c r="W356" s="40">
        <f>SUM(W350:W355)</f>
        <v>0</v>
      </c>
      <c r="X356" s="40"/>
      <c r="Y356" s="40">
        <f>SUM(Y350:Y355)</f>
        <v>0</v>
      </c>
      <c r="Z356" s="40"/>
      <c r="AA356" s="40">
        <f>SUM(AA350:AA355)</f>
        <v>0</v>
      </c>
      <c r="AB356" s="27">
        <f>SUM(H356:AA356)</f>
        <v>0</v>
      </c>
      <c r="AC356" s="22" t="str">
        <f>IF(ABS(AB356-F356)&lt;1,"ok","err")</f>
        <v>ok</v>
      </c>
    </row>
    <row r="357" spans="1:29" x14ac:dyDescent="0.25">
      <c r="F357" s="110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C357" s="22"/>
    </row>
    <row r="358" spans="1:29" x14ac:dyDescent="0.25">
      <c r="A358" s="14" t="s">
        <v>788</v>
      </c>
      <c r="C358" s="14" t="s">
        <v>853</v>
      </c>
      <c r="F358" s="110">
        <f>F347+F356</f>
        <v>0</v>
      </c>
      <c r="G358" s="27"/>
      <c r="H358" s="27">
        <f>H347+H356</f>
        <v>0</v>
      </c>
      <c r="I358" s="27">
        <f>I347+I356</f>
        <v>0</v>
      </c>
      <c r="J358" s="27"/>
      <c r="K358" s="27">
        <f>K347+K356</f>
        <v>0</v>
      </c>
      <c r="L358" s="27"/>
      <c r="M358" s="27">
        <f>M347+M356</f>
        <v>0</v>
      </c>
      <c r="N358" s="27"/>
      <c r="O358" s="27">
        <f>O347+O356</f>
        <v>0</v>
      </c>
      <c r="P358" s="27">
        <f>P347+P356</f>
        <v>0</v>
      </c>
      <c r="Q358" s="27"/>
      <c r="R358" s="27">
        <f>R347+R356</f>
        <v>0</v>
      </c>
      <c r="S358" s="27">
        <f>S347+S356</f>
        <v>0</v>
      </c>
      <c r="T358" s="27"/>
      <c r="U358" s="27">
        <f>U347+U356</f>
        <v>0</v>
      </c>
      <c r="V358" s="27"/>
      <c r="W358" s="27">
        <f>W347+W356</f>
        <v>0</v>
      </c>
      <c r="X358" s="27"/>
      <c r="Y358" s="27">
        <f>Y347+Y356</f>
        <v>0</v>
      </c>
      <c r="Z358" s="27"/>
      <c r="AA358" s="27">
        <f>AA347+AA356</f>
        <v>0</v>
      </c>
      <c r="AB358" s="27">
        <f>SUM(H358:AA358)</f>
        <v>0</v>
      </c>
      <c r="AC358" s="22" t="str">
        <f>IF(ABS(AB358-F358)&lt;1,"ok","err")</f>
        <v>ok</v>
      </c>
    </row>
    <row r="359" spans="1:29" x14ac:dyDescent="0.25">
      <c r="A359" s="20"/>
      <c r="Q359" s="14"/>
      <c r="AC359" s="22"/>
    </row>
    <row r="360" spans="1:29" x14ac:dyDescent="0.25">
      <c r="A360" s="20"/>
      <c r="Q360" s="14"/>
      <c r="AC360" s="22"/>
    </row>
    <row r="361" spans="1:29" x14ac:dyDescent="0.25">
      <c r="A361" s="20" t="s">
        <v>473</v>
      </c>
      <c r="Q361" s="14"/>
      <c r="AC361" s="22"/>
    </row>
    <row r="362" spans="1:29" x14ac:dyDescent="0.25">
      <c r="A362" s="20"/>
      <c r="Q362" s="14"/>
      <c r="AC362" s="22"/>
    </row>
    <row r="363" spans="1:29" x14ac:dyDescent="0.25">
      <c r="A363" s="13" t="s">
        <v>96</v>
      </c>
      <c r="Q363" s="14"/>
      <c r="AC363" s="22"/>
    </row>
    <row r="364" spans="1:29" x14ac:dyDescent="0.25">
      <c r="A364" s="14">
        <v>555</v>
      </c>
      <c r="B364" s="14" t="s">
        <v>379</v>
      </c>
      <c r="C364" s="14" t="s">
        <v>530</v>
      </c>
      <c r="D364" s="14" t="s">
        <v>97</v>
      </c>
      <c r="F364" s="119">
        <v>0</v>
      </c>
      <c r="G364" s="40"/>
      <c r="H364" s="27">
        <f>IF(VLOOKUP($D364,$C$5:$AA$496,6,)=0,0,((VLOOKUP($D364,$C$5:$AA$496,6,)/VLOOKUP($D364,$C$5:$AA$496,4,))*$F364))</f>
        <v>0</v>
      </c>
      <c r="I364" s="27">
        <f>IF(VLOOKUP($D364,$C$5:$AA$496,7,)=0,0,((VLOOKUP($D364,$C$5:$AA$496,7,)/VLOOKUP($D364,$C$5:$AA$496,4,))*$F364))</f>
        <v>0</v>
      </c>
      <c r="J364" s="27"/>
      <c r="K364" s="27">
        <f>IF(VLOOKUP($D364,$C$5:$AA$496,9,)=0,0,((VLOOKUP($D364,$C$5:$AA$496,9,)/VLOOKUP($D364,$C$5:$AA$496,4,))*$F364))</f>
        <v>0</v>
      </c>
      <c r="L364" s="27"/>
      <c r="M364" s="27">
        <f>IF(VLOOKUP($D364,$C$5:$AA$496,11,)=0,0,((VLOOKUP($D364,$C$5:$AA$496,11,)/VLOOKUP($D364,$C$5:$AA$496,4,))*$F364))</f>
        <v>0</v>
      </c>
      <c r="N364" s="27"/>
      <c r="O364" s="27">
        <f>IF(VLOOKUP($D364,$C$5:$AA$496,13,)=0,0,((VLOOKUP($D364,$C$5:$AA$496,13,)/VLOOKUP($D364,$C$5:$AA$496,4,))*$F364))</f>
        <v>0</v>
      </c>
      <c r="P364" s="27">
        <f>IF(VLOOKUP($D364,$C$5:$AA$496,14,)=0,0,((VLOOKUP($D364,$C$5:$AA$496,14,)/VLOOKUP($D364,$C$5:$AA$496,4,))*$F364))</f>
        <v>0</v>
      </c>
      <c r="Q364" s="27"/>
      <c r="R364" s="27">
        <f>IF(VLOOKUP($D364,$C$5:$AA$496,16,)=0,0,((VLOOKUP($D364,$C$5:$AA$496,16,)/VLOOKUP($D364,$C$5:$AA$496,4,))*$F364))</f>
        <v>0</v>
      </c>
      <c r="S364" s="27">
        <f>IF(VLOOKUP($D364,$C$5:$AA$496,17,)=0,0,((VLOOKUP($D364,$C$5:$AA$496,17,)/VLOOKUP($D364,$C$5:$AA$496,4,))*$F364))</f>
        <v>0</v>
      </c>
      <c r="T364" s="27"/>
      <c r="U364" s="27">
        <f>IF(VLOOKUP($D364,$C$5:$AA$496,19,)=0,0,((VLOOKUP($D364,$C$5:$AA$496,19,)/VLOOKUP($D364,$C$5:$AA$496,4,))*$F364))</f>
        <v>0</v>
      </c>
      <c r="V364" s="27"/>
      <c r="W364" s="27">
        <f>IF(VLOOKUP($D364,$C$5:$AA$496,21,)=0,0,((VLOOKUP($D364,$C$5:$AA$496,21,)/VLOOKUP($D364,$C$5:$AA$496,4,))*$F364))</f>
        <v>0</v>
      </c>
      <c r="X364" s="27"/>
      <c r="Y364" s="27">
        <f>IF(VLOOKUP($D364,$C$5:$AA$496,23,)=0,0,((VLOOKUP($D364,$C$5:$AA$496,23,)/VLOOKUP($D364,$C$5:$AA$496,4,))*$F364))</f>
        <v>0</v>
      </c>
      <c r="Z364" s="27"/>
      <c r="AA364" s="27">
        <f>IF(VLOOKUP($D364,$C$5:$AA$496,25,)=0,0,((VLOOKUP($D364,$C$5:$AA$496,25,)/VLOOKUP($D364,$C$5:$AA$496,4,))*$F364))</f>
        <v>0</v>
      </c>
      <c r="AB364" s="27">
        <f>SUM(H364:AA364)</f>
        <v>0</v>
      </c>
      <c r="AC364" s="22" t="str">
        <f>IF(ABS(AB364-F364)&lt;1,"ok","err")</f>
        <v>ok</v>
      </c>
    </row>
    <row r="365" spans="1:29" x14ac:dyDescent="0.25">
      <c r="A365" s="14">
        <v>557</v>
      </c>
      <c r="B365" s="14" t="s">
        <v>398</v>
      </c>
      <c r="C365" s="14" t="s">
        <v>475</v>
      </c>
      <c r="D365" s="14" t="s">
        <v>97</v>
      </c>
      <c r="F365" s="110"/>
      <c r="G365" s="27"/>
      <c r="H365" s="27">
        <f>IF(VLOOKUP($D365,$C$5:$AA$496,6,)=0,0,((VLOOKUP($D365,$C$5:$AA$496,6,)/VLOOKUP($D365,$C$5:$AA$496,4,))*$F365))</f>
        <v>0</v>
      </c>
      <c r="I365" s="27">
        <f>IF(VLOOKUP($D365,$C$5:$AA$496,7,)=0,0,((VLOOKUP($D365,$C$5:$AA$496,7,)/VLOOKUP($D365,$C$5:$AA$496,4,))*$F365))</f>
        <v>0</v>
      </c>
      <c r="J365" s="27"/>
      <c r="K365" s="27">
        <f>IF(VLOOKUP($D365,$C$5:$AA$496,9,)=0,0,((VLOOKUP($D365,$C$5:$AA$496,9,)/VLOOKUP($D365,$C$5:$AA$496,4,))*$F365))</f>
        <v>0</v>
      </c>
      <c r="L365" s="27"/>
      <c r="M365" s="27">
        <f>IF(VLOOKUP($D365,$C$5:$AA$496,11,)=0,0,((VLOOKUP($D365,$C$5:$AA$496,11,)/VLOOKUP($D365,$C$5:$AA$496,4,))*$F365))</f>
        <v>0</v>
      </c>
      <c r="N365" s="27"/>
      <c r="O365" s="27">
        <f>IF(VLOOKUP($D365,$C$5:$AA$496,13,)=0,0,((VLOOKUP($D365,$C$5:$AA$496,13,)/VLOOKUP($D365,$C$5:$AA$496,4,))*$F365))</f>
        <v>0</v>
      </c>
      <c r="P365" s="27">
        <f>IF(VLOOKUP($D365,$C$5:$AA$496,14,)=0,0,((VLOOKUP($D365,$C$5:$AA$496,14,)/VLOOKUP($D365,$C$5:$AA$496,4,))*$F365))</f>
        <v>0</v>
      </c>
      <c r="Q365" s="27"/>
      <c r="R365" s="27">
        <f>IF(VLOOKUP($D365,$C$5:$AA$496,16,)=0,0,((VLOOKUP($D365,$C$5:$AA$496,16,)/VLOOKUP($D365,$C$5:$AA$496,4,))*$F365))</f>
        <v>0</v>
      </c>
      <c r="S365" s="27">
        <f>IF(VLOOKUP($D365,$C$5:$AA$496,17,)=0,0,((VLOOKUP($D365,$C$5:$AA$496,17,)/VLOOKUP($D365,$C$5:$AA$496,4,))*$F365))</f>
        <v>0</v>
      </c>
      <c r="T365" s="27"/>
      <c r="U365" s="27">
        <f>IF(VLOOKUP($D365,$C$5:$AA$496,19,)=0,0,((VLOOKUP($D365,$C$5:$AA$496,19,)/VLOOKUP($D365,$C$5:$AA$496,4,))*$F365))</f>
        <v>0</v>
      </c>
      <c r="V365" s="27"/>
      <c r="W365" s="27">
        <f>IF(VLOOKUP($D365,$C$5:$AA$496,21,)=0,0,((VLOOKUP($D365,$C$5:$AA$496,21,)/VLOOKUP($D365,$C$5:$AA$496,4,))*$F365))</f>
        <v>0</v>
      </c>
      <c r="X365" s="27"/>
      <c r="Y365" s="27">
        <f>IF(VLOOKUP($D365,$C$5:$AA$496,23,)=0,0,((VLOOKUP($D365,$C$5:$AA$496,23,)/VLOOKUP($D365,$C$5:$AA$496,4,))*$F365))</f>
        <v>0</v>
      </c>
      <c r="Z365" s="27"/>
      <c r="AA365" s="27">
        <f>IF(VLOOKUP($D365,$C$5:$AA$496,25,)=0,0,((VLOOKUP($D365,$C$5:$AA$496,25,)/VLOOKUP($D365,$C$5:$AA$496,4,))*$F365))</f>
        <v>0</v>
      </c>
      <c r="AB365" s="27">
        <f>SUM(H365:AA365)</f>
        <v>0</v>
      </c>
      <c r="AC365" s="22" t="str">
        <f>IF(ABS(AB365-F365)&lt;1,"ok","err")</f>
        <v>ok</v>
      </c>
    </row>
    <row r="366" spans="1:29" x14ac:dyDescent="0.25">
      <c r="F366" s="110"/>
      <c r="G366" s="27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27"/>
      <c r="AC366" s="22"/>
    </row>
    <row r="367" spans="1:29" x14ac:dyDescent="0.25">
      <c r="B367" s="14" t="s">
        <v>532</v>
      </c>
      <c r="C367" s="14" t="s">
        <v>474</v>
      </c>
      <c r="F367" s="119">
        <f>SUM(F364:F366)</f>
        <v>0</v>
      </c>
      <c r="G367" s="40"/>
      <c r="H367" s="40">
        <f>SUM(H364:H366)</f>
        <v>0</v>
      </c>
      <c r="I367" s="40">
        <f>SUM(I364:I366)</f>
        <v>0</v>
      </c>
      <c r="J367" s="40"/>
      <c r="K367" s="40">
        <f>SUM(K364:K366)</f>
        <v>0</v>
      </c>
      <c r="L367" s="40"/>
      <c r="M367" s="40">
        <f>SUM(M364:M366)</f>
        <v>0</v>
      </c>
      <c r="N367" s="40"/>
      <c r="O367" s="40">
        <f>SUM(O364:O366)</f>
        <v>0</v>
      </c>
      <c r="P367" s="40">
        <f>SUM(P364:P366)</f>
        <v>0</v>
      </c>
      <c r="Q367" s="40"/>
      <c r="R367" s="40">
        <f>SUM(R364:R366)</f>
        <v>0</v>
      </c>
      <c r="S367" s="40">
        <f>SUM(S364:S366)</f>
        <v>0</v>
      </c>
      <c r="T367" s="40"/>
      <c r="U367" s="40">
        <f>SUM(U364:U366)</f>
        <v>0</v>
      </c>
      <c r="V367" s="40"/>
      <c r="W367" s="40">
        <f>SUM(W364:W366)</f>
        <v>0</v>
      </c>
      <c r="X367" s="40"/>
      <c r="Y367" s="40">
        <f>SUM(Y364:Y366)</f>
        <v>0</v>
      </c>
      <c r="Z367" s="40"/>
      <c r="AA367" s="40">
        <f>SUM(AA364:AA366)</f>
        <v>0</v>
      </c>
      <c r="AB367" s="27">
        <f>SUM(H367:AA367)</f>
        <v>0</v>
      </c>
      <c r="AC367" s="22" t="str">
        <f>IF(ABS(AB367-F367)&lt;1,"ok","err")</f>
        <v>ok</v>
      </c>
    </row>
    <row r="368" spans="1:29" x14ac:dyDescent="0.25">
      <c r="D368" s="14" t="s">
        <v>297</v>
      </c>
      <c r="F368" s="119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27"/>
      <c r="AC368" s="22"/>
    </row>
    <row r="369" spans="1:29" x14ac:dyDescent="0.25">
      <c r="A369" s="13" t="s">
        <v>534</v>
      </c>
      <c r="D369" s="14" t="s">
        <v>605</v>
      </c>
      <c r="F369" s="119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27"/>
      <c r="AC369" s="22"/>
    </row>
    <row r="370" spans="1:29" x14ac:dyDescent="0.25">
      <c r="A370" s="14">
        <v>560</v>
      </c>
      <c r="B370" s="14" t="s">
        <v>374</v>
      </c>
      <c r="C370" s="14" t="s">
        <v>531</v>
      </c>
      <c r="D370" s="14" t="s">
        <v>390</v>
      </c>
      <c r="F370" s="119">
        <v>0</v>
      </c>
      <c r="G370" s="40"/>
      <c r="H370" s="27">
        <f t="shared" ref="H370:H377" si="204">IF((VLOOKUP($D370,$C$5:$AA$496,6,)=0),0,((VLOOKUP($D370,$C$5:$AA$496,6,)/VLOOKUP($D370,$C$5:$AA$496,4,))*$F370))</f>
        <v>0</v>
      </c>
      <c r="I370" s="27">
        <f t="shared" ref="I370:I377" si="205">IF((VLOOKUP($D370,$C$5:$AA$496,7,)=0),0,((VLOOKUP($D370,$C$5:$AA$496,7,)/VLOOKUP($D370,$C$5:$AA$496,4,))*$F370))</f>
        <v>0</v>
      </c>
      <c r="J370" s="27"/>
      <c r="K370" s="27">
        <f t="shared" ref="K370:K377" si="206">IF((VLOOKUP($D370,$C$5:$AA$496,9,)=0),0,((VLOOKUP($D370,$C$5:$AA$496,9,)/VLOOKUP($D370,$C$5:$AA$496,4,))*$F370))</f>
        <v>0</v>
      </c>
      <c r="L370" s="27"/>
      <c r="M370" s="27">
        <f t="shared" ref="M370:M377" si="207">IF((VLOOKUP($D370,$C$5:$AA$496,11,)=0),0,((VLOOKUP($D370,$C$5:$AA$496,11,)/VLOOKUP($D370,$C$5:$AA$496,4,))*$F370))</f>
        <v>0</v>
      </c>
      <c r="N370" s="27"/>
      <c r="O370" s="27">
        <f t="shared" ref="O370:O377" si="208">IF((VLOOKUP($D370,$C$5:$AA$496,13,)=0),0,((VLOOKUP($D370,$C$5:$AA$496,13,)/VLOOKUP($D370,$C$5:$AA$496,4,))*$F370))</f>
        <v>0</v>
      </c>
      <c r="P370" s="27">
        <f t="shared" ref="P370:P377" si="209">IF((VLOOKUP($D370,$C$5:$AA$496,14,)=0),0,((VLOOKUP($D370,$C$5:$AA$496,14,)/VLOOKUP($D370,$C$5:$AA$496,4,))*$F370))</f>
        <v>0</v>
      </c>
      <c r="Q370" s="27"/>
      <c r="R370" s="27">
        <f t="shared" ref="R370:R377" si="210">IF((VLOOKUP($D370,$C$5:$AA$496,16,)=0),0,((VLOOKUP($D370,$C$5:$AA$496,16,)/VLOOKUP($D370,$C$5:$AA$496,4,))*$F370))</f>
        <v>0</v>
      </c>
      <c r="S370" s="27">
        <f t="shared" ref="S370:S377" si="211">IF((VLOOKUP($D370,$C$5:$AA$496,17,)=0),0,((VLOOKUP($D370,$C$5:$AA$496,17,)/VLOOKUP($D370,$C$5:$AA$496,4,))*$F370))</f>
        <v>0</v>
      </c>
      <c r="T370" s="27"/>
      <c r="U370" s="27">
        <f t="shared" ref="U370:U377" si="212">IF((VLOOKUP($D370,$C$5:$AA$496,19,)=0),0,((VLOOKUP($D370,$C$5:$AA$496,19,)/VLOOKUP($D370,$C$5:$AA$496,4,))*$F370))</f>
        <v>0</v>
      </c>
      <c r="V370" s="27"/>
      <c r="W370" s="27">
        <f t="shared" ref="W370:W377" si="213">IF((VLOOKUP($D370,$C$5:$AA$496,21,)=0),0,((VLOOKUP($D370,$C$5:$AA$496,21,)/VLOOKUP($D370,$C$5:$AA$496,4,))*$F370))</f>
        <v>0</v>
      </c>
      <c r="X370" s="27"/>
      <c r="Y370" s="27">
        <f t="shared" ref="Y370:Y377" si="214">IF((VLOOKUP($D370,$C$5:$AA$496,23,)=0),0,((VLOOKUP($D370,$C$5:$AA$496,23,)/VLOOKUP($D370,$C$5:$AA$496,4,))*$F370))</f>
        <v>0</v>
      </c>
      <c r="Z370" s="27"/>
      <c r="AA370" s="27">
        <f t="shared" ref="AA370:AA377" si="215">IF((VLOOKUP($D370,$C$5:$AA$496,25,)=0),0,((VLOOKUP($D370,$C$5:$AA$496,25,)/VLOOKUP($D370,$C$5:$AA$496,4,))*$F370))</f>
        <v>0</v>
      </c>
      <c r="AB370" s="27">
        <f t="shared" ref="AB370:AB377" si="216">SUM(H370:AA370)</f>
        <v>0</v>
      </c>
      <c r="AC370" s="22" t="str">
        <f t="shared" ref="AC370:AC377" si="217">IF(ABS(AB370-F370)&lt;1,"ok","err")</f>
        <v>ok</v>
      </c>
    </row>
    <row r="371" spans="1:29" x14ac:dyDescent="0.25">
      <c r="A371" s="14">
        <v>561</v>
      </c>
      <c r="B371" s="14" t="s">
        <v>101</v>
      </c>
      <c r="C371" s="14" t="s">
        <v>476</v>
      </c>
      <c r="D371" s="14" t="s">
        <v>390</v>
      </c>
      <c r="F371" s="110">
        <v>0</v>
      </c>
      <c r="G371" s="27"/>
      <c r="H371" s="27">
        <f t="shared" si="204"/>
        <v>0</v>
      </c>
      <c r="I371" s="27">
        <f t="shared" si="205"/>
        <v>0</v>
      </c>
      <c r="J371" s="27"/>
      <c r="K371" s="27">
        <f t="shared" si="206"/>
        <v>0</v>
      </c>
      <c r="L371" s="27"/>
      <c r="M371" s="27">
        <f t="shared" si="207"/>
        <v>0</v>
      </c>
      <c r="N371" s="27"/>
      <c r="O371" s="27">
        <f t="shared" si="208"/>
        <v>0</v>
      </c>
      <c r="P371" s="27">
        <f t="shared" si="209"/>
        <v>0</v>
      </c>
      <c r="Q371" s="27"/>
      <c r="R371" s="27">
        <f t="shared" si="210"/>
        <v>0</v>
      </c>
      <c r="S371" s="27">
        <f t="shared" si="211"/>
        <v>0</v>
      </c>
      <c r="T371" s="27"/>
      <c r="U371" s="27">
        <f t="shared" si="212"/>
        <v>0</v>
      </c>
      <c r="V371" s="27"/>
      <c r="W371" s="27">
        <f t="shared" si="213"/>
        <v>0</v>
      </c>
      <c r="X371" s="27"/>
      <c r="Y371" s="27">
        <f t="shared" si="214"/>
        <v>0</v>
      </c>
      <c r="Z371" s="27"/>
      <c r="AA371" s="27">
        <f t="shared" si="215"/>
        <v>0</v>
      </c>
      <c r="AB371" s="27">
        <f t="shared" si="216"/>
        <v>0</v>
      </c>
      <c r="AC371" s="22" t="str">
        <f t="shared" si="217"/>
        <v>ok</v>
      </c>
    </row>
    <row r="372" spans="1:29" x14ac:dyDescent="0.25">
      <c r="A372" s="14">
        <v>562</v>
      </c>
      <c r="B372" s="14" t="s">
        <v>372</v>
      </c>
      <c r="C372" s="14" t="s">
        <v>477</v>
      </c>
      <c r="D372" s="14" t="s">
        <v>390</v>
      </c>
      <c r="F372" s="110">
        <v>0</v>
      </c>
      <c r="G372" s="27"/>
      <c r="H372" s="27">
        <f t="shared" si="204"/>
        <v>0</v>
      </c>
      <c r="I372" s="27">
        <f t="shared" si="205"/>
        <v>0</v>
      </c>
      <c r="J372" s="27"/>
      <c r="K372" s="27">
        <f t="shared" si="206"/>
        <v>0</v>
      </c>
      <c r="L372" s="27"/>
      <c r="M372" s="27">
        <f t="shared" si="207"/>
        <v>0</v>
      </c>
      <c r="N372" s="27"/>
      <c r="O372" s="27">
        <f t="shared" si="208"/>
        <v>0</v>
      </c>
      <c r="P372" s="27">
        <f t="shared" si="209"/>
        <v>0</v>
      </c>
      <c r="Q372" s="27"/>
      <c r="R372" s="27">
        <f t="shared" si="210"/>
        <v>0</v>
      </c>
      <c r="S372" s="27">
        <f t="shared" si="211"/>
        <v>0</v>
      </c>
      <c r="T372" s="27"/>
      <c r="U372" s="27">
        <f t="shared" si="212"/>
        <v>0</v>
      </c>
      <c r="V372" s="27"/>
      <c r="W372" s="27">
        <f t="shared" si="213"/>
        <v>0</v>
      </c>
      <c r="X372" s="27"/>
      <c r="Y372" s="27">
        <f t="shared" si="214"/>
        <v>0</v>
      </c>
      <c r="Z372" s="27"/>
      <c r="AA372" s="27">
        <f t="shared" si="215"/>
        <v>0</v>
      </c>
      <c r="AB372" s="27">
        <f t="shared" si="216"/>
        <v>0</v>
      </c>
      <c r="AC372" s="22" t="str">
        <f t="shared" si="217"/>
        <v>ok</v>
      </c>
    </row>
    <row r="373" spans="1:29" x14ac:dyDescent="0.25">
      <c r="A373" s="14">
        <v>563</v>
      </c>
      <c r="B373" s="14" t="s">
        <v>103</v>
      </c>
      <c r="C373" s="14" t="s">
        <v>478</v>
      </c>
      <c r="D373" s="14" t="s">
        <v>390</v>
      </c>
      <c r="F373" s="110">
        <v>0</v>
      </c>
      <c r="G373" s="27"/>
      <c r="H373" s="27">
        <f t="shared" si="204"/>
        <v>0</v>
      </c>
      <c r="I373" s="27">
        <f t="shared" si="205"/>
        <v>0</v>
      </c>
      <c r="J373" s="27"/>
      <c r="K373" s="27">
        <f t="shared" si="206"/>
        <v>0</v>
      </c>
      <c r="L373" s="27"/>
      <c r="M373" s="27">
        <f t="shared" si="207"/>
        <v>0</v>
      </c>
      <c r="N373" s="27"/>
      <c r="O373" s="27">
        <f t="shared" si="208"/>
        <v>0</v>
      </c>
      <c r="P373" s="27">
        <f t="shared" si="209"/>
        <v>0</v>
      </c>
      <c r="Q373" s="27"/>
      <c r="R373" s="27">
        <f t="shared" si="210"/>
        <v>0</v>
      </c>
      <c r="S373" s="27">
        <f t="shared" si="211"/>
        <v>0</v>
      </c>
      <c r="T373" s="27"/>
      <c r="U373" s="27">
        <f t="shared" si="212"/>
        <v>0</v>
      </c>
      <c r="V373" s="27"/>
      <c r="W373" s="27">
        <f t="shared" si="213"/>
        <v>0</v>
      </c>
      <c r="X373" s="27"/>
      <c r="Y373" s="27">
        <f t="shared" si="214"/>
        <v>0</v>
      </c>
      <c r="Z373" s="27"/>
      <c r="AA373" s="27">
        <f t="shared" si="215"/>
        <v>0</v>
      </c>
      <c r="AB373" s="27">
        <f t="shared" si="216"/>
        <v>0</v>
      </c>
      <c r="AC373" s="22" t="str">
        <f t="shared" si="217"/>
        <v>ok</v>
      </c>
    </row>
    <row r="374" spans="1:29" x14ac:dyDescent="0.25">
      <c r="A374" s="14">
        <v>566</v>
      </c>
      <c r="B374" s="14" t="s">
        <v>585</v>
      </c>
      <c r="C374" s="14" t="s">
        <v>589</v>
      </c>
      <c r="D374" s="14" t="s">
        <v>390</v>
      </c>
      <c r="F374" s="110">
        <v>0</v>
      </c>
      <c r="G374" s="27"/>
      <c r="H374" s="27">
        <f t="shared" si="204"/>
        <v>0</v>
      </c>
      <c r="I374" s="27">
        <f t="shared" si="205"/>
        <v>0</v>
      </c>
      <c r="J374" s="27"/>
      <c r="K374" s="27">
        <f t="shared" si="206"/>
        <v>0</v>
      </c>
      <c r="L374" s="27"/>
      <c r="M374" s="27">
        <f t="shared" si="207"/>
        <v>0</v>
      </c>
      <c r="N374" s="27"/>
      <c r="O374" s="27">
        <f t="shared" si="208"/>
        <v>0</v>
      </c>
      <c r="P374" s="27">
        <f t="shared" si="209"/>
        <v>0</v>
      </c>
      <c r="Q374" s="27"/>
      <c r="R374" s="27">
        <f t="shared" si="210"/>
        <v>0</v>
      </c>
      <c r="S374" s="27">
        <f t="shared" si="211"/>
        <v>0</v>
      </c>
      <c r="T374" s="27"/>
      <c r="U374" s="27">
        <f t="shared" si="212"/>
        <v>0</v>
      </c>
      <c r="V374" s="27"/>
      <c r="W374" s="27">
        <f t="shared" si="213"/>
        <v>0</v>
      </c>
      <c r="X374" s="27"/>
      <c r="Y374" s="27">
        <f t="shared" si="214"/>
        <v>0</v>
      </c>
      <c r="Z374" s="27"/>
      <c r="AA374" s="27">
        <f t="shared" si="215"/>
        <v>0</v>
      </c>
      <c r="AB374" s="27">
        <f>SUM(H374:AA374)</f>
        <v>0</v>
      </c>
      <c r="AC374" s="22" t="str">
        <f>IF(ABS(AB374-F374)&lt;1,"ok","err")</f>
        <v>ok</v>
      </c>
    </row>
    <row r="375" spans="1:29" x14ac:dyDescent="0.25">
      <c r="A375" s="14">
        <v>568</v>
      </c>
      <c r="B375" s="14" t="s">
        <v>373</v>
      </c>
      <c r="C375" s="14" t="s">
        <v>479</v>
      </c>
      <c r="D375" s="14" t="s">
        <v>390</v>
      </c>
      <c r="F375" s="110">
        <v>0</v>
      </c>
      <c r="G375" s="27"/>
      <c r="H375" s="27">
        <f t="shared" si="204"/>
        <v>0</v>
      </c>
      <c r="I375" s="27">
        <f t="shared" si="205"/>
        <v>0</v>
      </c>
      <c r="J375" s="27"/>
      <c r="K375" s="27">
        <f t="shared" si="206"/>
        <v>0</v>
      </c>
      <c r="L375" s="27"/>
      <c r="M375" s="27">
        <f t="shared" si="207"/>
        <v>0</v>
      </c>
      <c r="N375" s="27"/>
      <c r="O375" s="27">
        <f t="shared" si="208"/>
        <v>0</v>
      </c>
      <c r="P375" s="27">
        <f t="shared" si="209"/>
        <v>0</v>
      </c>
      <c r="Q375" s="27"/>
      <c r="R375" s="27">
        <f t="shared" si="210"/>
        <v>0</v>
      </c>
      <c r="S375" s="27">
        <f t="shared" si="211"/>
        <v>0</v>
      </c>
      <c r="T375" s="27"/>
      <c r="U375" s="27">
        <f t="shared" si="212"/>
        <v>0</v>
      </c>
      <c r="V375" s="27"/>
      <c r="W375" s="27">
        <f t="shared" si="213"/>
        <v>0</v>
      </c>
      <c r="X375" s="27"/>
      <c r="Y375" s="27">
        <f t="shared" si="214"/>
        <v>0</v>
      </c>
      <c r="Z375" s="27"/>
      <c r="AA375" s="27">
        <f t="shared" si="215"/>
        <v>0</v>
      </c>
      <c r="AB375" s="27">
        <f t="shared" si="216"/>
        <v>0</v>
      </c>
      <c r="AC375" s="22" t="str">
        <f t="shared" si="217"/>
        <v>ok</v>
      </c>
    </row>
    <row r="376" spans="1:29" x14ac:dyDescent="0.25">
      <c r="A376" s="14">
        <v>570</v>
      </c>
      <c r="B376" s="14" t="s">
        <v>375</v>
      </c>
      <c r="C376" s="14" t="s">
        <v>480</v>
      </c>
      <c r="D376" s="14" t="s">
        <v>390</v>
      </c>
      <c r="F376" s="110">
        <v>0</v>
      </c>
      <c r="G376" s="27"/>
      <c r="H376" s="27">
        <f t="shared" si="204"/>
        <v>0</v>
      </c>
      <c r="I376" s="27">
        <f t="shared" si="205"/>
        <v>0</v>
      </c>
      <c r="J376" s="27"/>
      <c r="K376" s="27">
        <f t="shared" si="206"/>
        <v>0</v>
      </c>
      <c r="L376" s="27"/>
      <c r="M376" s="27">
        <f t="shared" si="207"/>
        <v>0</v>
      </c>
      <c r="N376" s="27"/>
      <c r="O376" s="27">
        <f t="shared" si="208"/>
        <v>0</v>
      </c>
      <c r="P376" s="27">
        <f t="shared" si="209"/>
        <v>0</v>
      </c>
      <c r="Q376" s="27"/>
      <c r="R376" s="27">
        <f t="shared" si="210"/>
        <v>0</v>
      </c>
      <c r="S376" s="27">
        <f t="shared" si="211"/>
        <v>0</v>
      </c>
      <c r="T376" s="27"/>
      <c r="U376" s="27">
        <f t="shared" si="212"/>
        <v>0</v>
      </c>
      <c r="V376" s="27"/>
      <c r="W376" s="27">
        <f t="shared" si="213"/>
        <v>0</v>
      </c>
      <c r="X376" s="27"/>
      <c r="Y376" s="27">
        <f t="shared" si="214"/>
        <v>0</v>
      </c>
      <c r="Z376" s="27"/>
      <c r="AA376" s="27">
        <f t="shared" si="215"/>
        <v>0</v>
      </c>
      <c r="AB376" s="27">
        <f t="shared" si="216"/>
        <v>0</v>
      </c>
      <c r="AC376" s="22" t="str">
        <f t="shared" si="217"/>
        <v>ok</v>
      </c>
    </row>
    <row r="377" spans="1:29" x14ac:dyDescent="0.25">
      <c r="A377" s="14">
        <v>571</v>
      </c>
      <c r="B377" s="14" t="s">
        <v>376</v>
      </c>
      <c r="C377" s="14" t="s">
        <v>481</v>
      </c>
      <c r="D377" s="14" t="s">
        <v>390</v>
      </c>
      <c r="F377" s="110">
        <v>0</v>
      </c>
      <c r="G377" s="27"/>
      <c r="H377" s="27">
        <f t="shared" si="204"/>
        <v>0</v>
      </c>
      <c r="I377" s="27">
        <f t="shared" si="205"/>
        <v>0</v>
      </c>
      <c r="J377" s="27"/>
      <c r="K377" s="27">
        <f t="shared" si="206"/>
        <v>0</v>
      </c>
      <c r="L377" s="27"/>
      <c r="M377" s="27">
        <f t="shared" si="207"/>
        <v>0</v>
      </c>
      <c r="N377" s="27"/>
      <c r="O377" s="27">
        <f t="shared" si="208"/>
        <v>0</v>
      </c>
      <c r="P377" s="27">
        <f t="shared" si="209"/>
        <v>0</v>
      </c>
      <c r="Q377" s="27"/>
      <c r="R377" s="27">
        <f t="shared" si="210"/>
        <v>0</v>
      </c>
      <c r="S377" s="27">
        <f t="shared" si="211"/>
        <v>0</v>
      </c>
      <c r="T377" s="27"/>
      <c r="U377" s="27">
        <f t="shared" si="212"/>
        <v>0</v>
      </c>
      <c r="V377" s="27"/>
      <c r="W377" s="27">
        <f t="shared" si="213"/>
        <v>0</v>
      </c>
      <c r="X377" s="27"/>
      <c r="Y377" s="27">
        <f t="shared" si="214"/>
        <v>0</v>
      </c>
      <c r="Z377" s="27"/>
      <c r="AA377" s="27">
        <f t="shared" si="215"/>
        <v>0</v>
      </c>
      <c r="AB377" s="27">
        <f t="shared" si="216"/>
        <v>0</v>
      </c>
      <c r="AC377" s="22" t="str">
        <f t="shared" si="217"/>
        <v>ok</v>
      </c>
    </row>
    <row r="378" spans="1:29" x14ac:dyDescent="0.25">
      <c r="F378" s="119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27"/>
      <c r="AC378" s="22"/>
    </row>
    <row r="379" spans="1:29" x14ac:dyDescent="0.25">
      <c r="A379" s="14" t="s">
        <v>533</v>
      </c>
      <c r="F379" s="120">
        <f>SUM(F370:F377)</f>
        <v>0</v>
      </c>
      <c r="G379" s="61"/>
      <c r="H379" s="61">
        <f>SUM(H370:H377)</f>
        <v>0</v>
      </c>
      <c r="I379" s="61">
        <f>SUM(I370:I377)</f>
        <v>0</v>
      </c>
      <c r="J379" s="61"/>
      <c r="K379" s="61">
        <f>SUM(K370:K377)</f>
        <v>0</v>
      </c>
      <c r="L379" s="61"/>
      <c r="M379" s="61">
        <f>SUM(M370:M377)</f>
        <v>0</v>
      </c>
      <c r="N379" s="61"/>
      <c r="O379" s="61">
        <f>SUM(O370:O377)</f>
        <v>0</v>
      </c>
      <c r="P379" s="61">
        <f>SUM(P370:P377)</f>
        <v>0</v>
      </c>
      <c r="Q379" s="61"/>
      <c r="R379" s="61">
        <f>SUM(R370:R377)</f>
        <v>0</v>
      </c>
      <c r="S379" s="61">
        <f>SUM(S370:S377)</f>
        <v>0</v>
      </c>
      <c r="T379" s="61"/>
      <c r="U379" s="61">
        <f>SUM(U370:U377)</f>
        <v>0</v>
      </c>
      <c r="V379" s="61"/>
      <c r="W379" s="61">
        <f>SUM(W370:W377)</f>
        <v>0</v>
      </c>
      <c r="X379" s="61"/>
      <c r="Y379" s="61">
        <f>SUM(Y370:Y377)</f>
        <v>0</v>
      </c>
      <c r="Z379" s="61"/>
      <c r="AA379" s="61">
        <f>SUM(AA370:AA377)</f>
        <v>0</v>
      </c>
      <c r="AB379" s="40">
        <f>SUM(H379:AA379)</f>
        <v>0</v>
      </c>
      <c r="AC379" s="22" t="str">
        <f>IF(ABS(AB379-F379)&lt;1,"ok","err")</f>
        <v>ok</v>
      </c>
    </row>
    <row r="380" spans="1:29" x14ac:dyDescent="0.25">
      <c r="Q380" s="14"/>
      <c r="AC380" s="22"/>
    </row>
    <row r="381" spans="1:29" x14ac:dyDescent="0.25">
      <c r="A381" s="13" t="s">
        <v>535</v>
      </c>
      <c r="Q381" s="14"/>
      <c r="AC381" s="22"/>
    </row>
    <row r="382" spans="1:29" x14ac:dyDescent="0.25">
      <c r="A382" s="14">
        <v>580</v>
      </c>
      <c r="B382" s="14" t="s">
        <v>99</v>
      </c>
      <c r="C382" s="14" t="s">
        <v>482</v>
      </c>
      <c r="D382" s="14" t="s">
        <v>16</v>
      </c>
      <c r="F382" s="119">
        <v>47765.36</v>
      </c>
      <c r="G382" s="40"/>
      <c r="H382" s="27">
        <f t="shared" ref="H382:H392" si="218">IF(VLOOKUP($D382,$C$5:$AA$496,6,)=0,0,((VLOOKUP($D382,$C$5:$AA$496,6,)/VLOOKUP($D382,$C$5:$AA$496,4,))*$F382))</f>
        <v>0</v>
      </c>
      <c r="I382" s="27">
        <f t="shared" ref="I382:I392" si="219">IF(VLOOKUP($D382,$C$5:$AA$496,7,)=0,0,((VLOOKUP($D382,$C$5:$AA$496,7,)/VLOOKUP($D382,$C$5:$AA$496,4,))*$F382))</f>
        <v>0</v>
      </c>
      <c r="J382" s="27"/>
      <c r="K382" s="27">
        <f t="shared" ref="K382:K392" si="220">IF(VLOOKUP($D382,$C$5:$AA$496,9,)=0,0,((VLOOKUP($D382,$C$5:$AA$496,9,)/VLOOKUP($D382,$C$5:$AA$496,4,))*$F382))</f>
        <v>0</v>
      </c>
      <c r="L382" s="27"/>
      <c r="M382" s="27">
        <f t="shared" ref="M382:M392" si="221">IF(VLOOKUP($D382,$C$5:$AA$496,11,)=0,0,((VLOOKUP($D382,$C$5:$AA$496,11,)/VLOOKUP($D382,$C$5:$AA$496,4,))*$F382))</f>
        <v>0</v>
      </c>
      <c r="N382" s="27"/>
      <c r="O382" s="27">
        <f t="shared" ref="O382:O392" si="222">IF(VLOOKUP($D382,$C$5:$AA$496,13,)=0,0,((VLOOKUP($D382,$C$5:$AA$496,13,)/VLOOKUP($D382,$C$5:$AA$496,4,))*$F382))</f>
        <v>28474.467270481146</v>
      </c>
      <c r="P382" s="27">
        <f t="shared" ref="P382:P392" si="223">IF(VLOOKUP($D382,$C$5:$AA$496,14,)=0,0,((VLOOKUP($D382,$C$5:$AA$496,14,)/VLOOKUP($D382,$C$5:$AA$496,4,))*$F382))</f>
        <v>11422.456224538781</v>
      </c>
      <c r="Q382" s="27"/>
      <c r="R382" s="27">
        <f t="shared" ref="R382:R392" si="224">IF(VLOOKUP($D382,$C$5:$AA$496,16,)=0,0,((VLOOKUP($D382,$C$5:$AA$496,16,)/VLOOKUP($D382,$C$5:$AA$496,4,))*$F382))</f>
        <v>0</v>
      </c>
      <c r="S382" s="27">
        <f t="shared" ref="S382:S392" si="225">IF(VLOOKUP($D382,$C$5:$AA$496,17,)=0,0,((VLOOKUP($D382,$C$5:$AA$496,17,)/VLOOKUP($D382,$C$5:$AA$496,4,))*$F382))</f>
        <v>3523.2899779691356</v>
      </c>
      <c r="T382" s="27"/>
      <c r="U382" s="27">
        <f t="shared" ref="U382:U392" si="226">IF(VLOOKUP($D382,$C$5:$AA$496,19,)=0,0,((VLOOKUP($D382,$C$5:$AA$496,19,)/VLOOKUP($D382,$C$5:$AA$496,4,))*$F382))</f>
        <v>2762.6492975659635</v>
      </c>
      <c r="V382" s="27"/>
      <c r="W382" s="27">
        <f t="shared" ref="W382:W392" si="227">IF(VLOOKUP($D382,$C$5:$AA$496,21,)=0,0,((VLOOKUP($D382,$C$5:$AA$496,21,)/VLOOKUP($D382,$C$5:$AA$496,4,))*$F382))</f>
        <v>1582.4972294449667</v>
      </c>
      <c r="X382" s="27"/>
      <c r="Y382" s="27">
        <f t="shared" ref="Y382:Y392" si="228">IF(VLOOKUP($D382,$C$5:$AA$496,23,)=0,0,((VLOOKUP($D382,$C$5:$AA$496,23,)/VLOOKUP($D382,$C$5:$AA$496,4,))*$F382))</f>
        <v>0</v>
      </c>
      <c r="Z382" s="27"/>
      <c r="AA382" s="27">
        <f t="shared" ref="AA382:AA392" si="229">IF(VLOOKUP($D382,$C$5:$AA$496,25,)=0,0,((VLOOKUP($D382,$C$5:$AA$496,25,)/VLOOKUP($D382,$C$5:$AA$496,4,))*$F382))</f>
        <v>0</v>
      </c>
      <c r="AB382" s="27">
        <f t="shared" ref="AB382:AB392" si="230">SUM(H382:AA382)</f>
        <v>47765.359999999993</v>
      </c>
      <c r="AC382" s="22" t="str">
        <f t="shared" ref="AC382:AC392" si="231">IF(ABS(AB382-F382)&lt;1,"ok","err")</f>
        <v>ok</v>
      </c>
    </row>
    <row r="383" spans="1:29" x14ac:dyDescent="0.25">
      <c r="A383" s="14">
        <v>581</v>
      </c>
      <c r="B383" s="14" t="s">
        <v>101</v>
      </c>
      <c r="C383" s="14" t="s">
        <v>483</v>
      </c>
      <c r="D383" s="14" t="s">
        <v>23</v>
      </c>
      <c r="F383" s="110">
        <v>0</v>
      </c>
      <c r="G383" s="27"/>
      <c r="H383" s="27">
        <f t="shared" si="218"/>
        <v>0</v>
      </c>
      <c r="I383" s="27">
        <f t="shared" si="219"/>
        <v>0</v>
      </c>
      <c r="J383" s="27"/>
      <c r="K383" s="27">
        <f t="shared" si="220"/>
        <v>0</v>
      </c>
      <c r="L383" s="27"/>
      <c r="M383" s="27">
        <f t="shared" si="221"/>
        <v>0</v>
      </c>
      <c r="N383" s="27"/>
      <c r="O383" s="27">
        <f t="shared" si="222"/>
        <v>0</v>
      </c>
      <c r="P383" s="27">
        <f t="shared" si="223"/>
        <v>0</v>
      </c>
      <c r="Q383" s="27"/>
      <c r="R383" s="27">
        <f t="shared" si="224"/>
        <v>0</v>
      </c>
      <c r="S383" s="27">
        <f t="shared" si="225"/>
        <v>0</v>
      </c>
      <c r="T383" s="27"/>
      <c r="U383" s="27">
        <f t="shared" si="226"/>
        <v>0</v>
      </c>
      <c r="V383" s="27"/>
      <c r="W383" s="27">
        <f t="shared" si="227"/>
        <v>0</v>
      </c>
      <c r="X383" s="27"/>
      <c r="Y383" s="27">
        <f t="shared" si="228"/>
        <v>0</v>
      </c>
      <c r="Z383" s="27"/>
      <c r="AA383" s="27">
        <f t="shared" si="229"/>
        <v>0</v>
      </c>
      <c r="AB383" s="27">
        <f t="shared" si="230"/>
        <v>0</v>
      </c>
      <c r="AC383" s="22" t="str">
        <f t="shared" si="231"/>
        <v>ok</v>
      </c>
    </row>
    <row r="384" spans="1:29" x14ac:dyDescent="0.25">
      <c r="A384" s="14">
        <v>582</v>
      </c>
      <c r="B384" s="14" t="s">
        <v>372</v>
      </c>
      <c r="C384" s="14" t="s">
        <v>484</v>
      </c>
      <c r="D384" s="14" t="s">
        <v>23</v>
      </c>
      <c r="F384" s="110">
        <v>0</v>
      </c>
      <c r="G384" s="27"/>
      <c r="H384" s="27">
        <f t="shared" si="218"/>
        <v>0</v>
      </c>
      <c r="I384" s="27">
        <f t="shared" si="219"/>
        <v>0</v>
      </c>
      <c r="J384" s="27"/>
      <c r="K384" s="27">
        <f t="shared" si="220"/>
        <v>0</v>
      </c>
      <c r="L384" s="27"/>
      <c r="M384" s="27">
        <f t="shared" si="221"/>
        <v>0</v>
      </c>
      <c r="N384" s="27"/>
      <c r="O384" s="27">
        <f t="shared" si="222"/>
        <v>0</v>
      </c>
      <c r="P384" s="27">
        <f t="shared" si="223"/>
        <v>0</v>
      </c>
      <c r="Q384" s="27"/>
      <c r="R384" s="27">
        <f t="shared" si="224"/>
        <v>0</v>
      </c>
      <c r="S384" s="27">
        <f t="shared" si="225"/>
        <v>0</v>
      </c>
      <c r="T384" s="27"/>
      <c r="U384" s="27">
        <f t="shared" si="226"/>
        <v>0</v>
      </c>
      <c r="V384" s="27"/>
      <c r="W384" s="27">
        <f t="shared" si="227"/>
        <v>0</v>
      </c>
      <c r="X384" s="27"/>
      <c r="Y384" s="27">
        <f t="shared" si="228"/>
        <v>0</v>
      </c>
      <c r="Z384" s="27"/>
      <c r="AA384" s="27">
        <f t="shared" si="229"/>
        <v>0</v>
      </c>
      <c r="AB384" s="27">
        <f t="shared" si="230"/>
        <v>0</v>
      </c>
      <c r="AC384" s="22" t="str">
        <f t="shared" si="231"/>
        <v>ok</v>
      </c>
    </row>
    <row r="385" spans="1:29" x14ac:dyDescent="0.25">
      <c r="A385" s="14">
        <v>583</v>
      </c>
      <c r="B385" s="14" t="s">
        <v>103</v>
      </c>
      <c r="C385" s="14" t="s">
        <v>485</v>
      </c>
      <c r="D385" s="14" t="s">
        <v>29</v>
      </c>
      <c r="F385" s="110">
        <v>237433</v>
      </c>
      <c r="G385" s="27"/>
      <c r="H385" s="27">
        <f t="shared" si="218"/>
        <v>0</v>
      </c>
      <c r="I385" s="27">
        <f t="shared" si="219"/>
        <v>0</v>
      </c>
      <c r="J385" s="27"/>
      <c r="K385" s="27">
        <f t="shared" si="220"/>
        <v>0</v>
      </c>
      <c r="L385" s="27"/>
      <c r="M385" s="27">
        <f t="shared" si="221"/>
        <v>0</v>
      </c>
      <c r="N385" s="27"/>
      <c r="O385" s="27">
        <f t="shared" si="222"/>
        <v>193092.06359396243</v>
      </c>
      <c r="P385" s="27">
        <f t="shared" si="223"/>
        <v>44340.936406037552</v>
      </c>
      <c r="Q385" s="27"/>
      <c r="R385" s="27">
        <f t="shared" si="224"/>
        <v>0</v>
      </c>
      <c r="S385" s="27">
        <f t="shared" si="225"/>
        <v>0</v>
      </c>
      <c r="T385" s="27"/>
      <c r="U385" s="27">
        <f t="shared" si="226"/>
        <v>0</v>
      </c>
      <c r="V385" s="27"/>
      <c r="W385" s="27">
        <f t="shared" si="227"/>
        <v>0</v>
      </c>
      <c r="X385" s="27"/>
      <c r="Y385" s="27">
        <f t="shared" si="228"/>
        <v>0</v>
      </c>
      <c r="Z385" s="27"/>
      <c r="AA385" s="27">
        <f t="shared" si="229"/>
        <v>0</v>
      </c>
      <c r="AB385" s="27">
        <f t="shared" si="230"/>
        <v>237433</v>
      </c>
      <c r="AC385" s="22" t="str">
        <f t="shared" si="231"/>
        <v>ok</v>
      </c>
    </row>
    <row r="386" spans="1:29" x14ac:dyDescent="0.25">
      <c r="A386" s="14">
        <v>584</v>
      </c>
      <c r="B386" s="14" t="s">
        <v>105</v>
      </c>
      <c r="C386" s="14" t="s">
        <v>486</v>
      </c>
      <c r="D386" s="14" t="s">
        <v>35</v>
      </c>
      <c r="F386" s="110">
        <v>0</v>
      </c>
      <c r="G386" s="27"/>
      <c r="H386" s="27">
        <f t="shared" si="218"/>
        <v>0</v>
      </c>
      <c r="I386" s="27">
        <f t="shared" si="219"/>
        <v>0</v>
      </c>
      <c r="J386" s="27"/>
      <c r="K386" s="27">
        <f t="shared" si="220"/>
        <v>0</v>
      </c>
      <c r="L386" s="27"/>
      <c r="M386" s="27">
        <f t="shared" si="221"/>
        <v>0</v>
      </c>
      <c r="N386" s="27"/>
      <c r="O386" s="27">
        <f t="shared" si="222"/>
        <v>0</v>
      </c>
      <c r="P386" s="27">
        <f t="shared" si="223"/>
        <v>0</v>
      </c>
      <c r="Q386" s="27"/>
      <c r="R386" s="27">
        <f t="shared" si="224"/>
        <v>0</v>
      </c>
      <c r="S386" s="27">
        <f t="shared" si="225"/>
        <v>0</v>
      </c>
      <c r="T386" s="27"/>
      <c r="U386" s="27">
        <f t="shared" si="226"/>
        <v>0</v>
      </c>
      <c r="V386" s="27"/>
      <c r="W386" s="27">
        <f t="shared" si="227"/>
        <v>0</v>
      </c>
      <c r="X386" s="27"/>
      <c r="Y386" s="27">
        <f t="shared" si="228"/>
        <v>0</v>
      </c>
      <c r="Z386" s="27"/>
      <c r="AA386" s="27">
        <f t="shared" si="229"/>
        <v>0</v>
      </c>
      <c r="AB386" s="27">
        <f t="shared" si="230"/>
        <v>0</v>
      </c>
      <c r="AC386" s="22" t="str">
        <f t="shared" si="231"/>
        <v>ok</v>
      </c>
    </row>
    <row r="387" spans="1:29" x14ac:dyDescent="0.25">
      <c r="A387" s="14">
        <v>585</v>
      </c>
      <c r="B387" s="14" t="s">
        <v>107</v>
      </c>
      <c r="C387" s="14" t="s">
        <v>487</v>
      </c>
      <c r="D387" s="14" t="s">
        <v>46</v>
      </c>
      <c r="F387" s="110">
        <v>0</v>
      </c>
      <c r="G387" s="27"/>
      <c r="H387" s="27">
        <f t="shared" si="218"/>
        <v>0</v>
      </c>
      <c r="I387" s="27">
        <f t="shared" si="219"/>
        <v>0</v>
      </c>
      <c r="J387" s="27"/>
      <c r="K387" s="27">
        <f t="shared" si="220"/>
        <v>0</v>
      </c>
      <c r="L387" s="27"/>
      <c r="M387" s="27">
        <f t="shared" si="221"/>
        <v>0</v>
      </c>
      <c r="N387" s="27"/>
      <c r="O387" s="27">
        <f t="shared" si="222"/>
        <v>0</v>
      </c>
      <c r="P387" s="27">
        <f t="shared" si="223"/>
        <v>0</v>
      </c>
      <c r="Q387" s="27"/>
      <c r="R387" s="27">
        <f t="shared" si="224"/>
        <v>0</v>
      </c>
      <c r="S387" s="27">
        <f t="shared" si="225"/>
        <v>0</v>
      </c>
      <c r="T387" s="27"/>
      <c r="U387" s="27">
        <f t="shared" si="226"/>
        <v>0</v>
      </c>
      <c r="V387" s="27"/>
      <c r="W387" s="27">
        <f t="shared" si="227"/>
        <v>0</v>
      </c>
      <c r="X387" s="27"/>
      <c r="Y387" s="27">
        <f t="shared" si="228"/>
        <v>0</v>
      </c>
      <c r="Z387" s="27"/>
      <c r="AA387" s="27">
        <f t="shared" si="229"/>
        <v>0</v>
      </c>
      <c r="AB387" s="27">
        <f t="shared" si="230"/>
        <v>0</v>
      </c>
      <c r="AC387" s="22" t="str">
        <f t="shared" si="231"/>
        <v>ok</v>
      </c>
    </row>
    <row r="388" spans="1:29" x14ac:dyDescent="0.25">
      <c r="A388" s="14">
        <v>586</v>
      </c>
      <c r="B388" s="14" t="s">
        <v>109</v>
      </c>
      <c r="C388" s="14" t="s">
        <v>488</v>
      </c>
      <c r="D388" s="14" t="s">
        <v>43</v>
      </c>
      <c r="F388" s="110">
        <v>255694</v>
      </c>
      <c r="G388" s="27"/>
      <c r="H388" s="27">
        <f t="shared" si="218"/>
        <v>0</v>
      </c>
      <c r="I388" s="27">
        <f t="shared" si="219"/>
        <v>0</v>
      </c>
      <c r="J388" s="27"/>
      <c r="K388" s="27">
        <f t="shared" si="220"/>
        <v>0</v>
      </c>
      <c r="L388" s="27"/>
      <c r="M388" s="27">
        <f t="shared" si="221"/>
        <v>0</v>
      </c>
      <c r="N388" s="27"/>
      <c r="O388" s="27">
        <f t="shared" si="222"/>
        <v>0</v>
      </c>
      <c r="P388" s="27">
        <f t="shared" si="223"/>
        <v>0</v>
      </c>
      <c r="Q388" s="27"/>
      <c r="R388" s="27">
        <f t="shared" si="224"/>
        <v>0</v>
      </c>
      <c r="S388" s="27">
        <f t="shared" si="225"/>
        <v>0</v>
      </c>
      <c r="T388" s="27"/>
      <c r="U388" s="27">
        <f t="shared" si="226"/>
        <v>255694</v>
      </c>
      <c r="V388" s="27"/>
      <c r="W388" s="27">
        <f t="shared" si="227"/>
        <v>0</v>
      </c>
      <c r="X388" s="27"/>
      <c r="Y388" s="27">
        <f t="shared" si="228"/>
        <v>0</v>
      </c>
      <c r="Z388" s="27"/>
      <c r="AA388" s="27">
        <f t="shared" si="229"/>
        <v>0</v>
      </c>
      <c r="AB388" s="27">
        <f t="shared" si="230"/>
        <v>255694</v>
      </c>
      <c r="AC388" s="22" t="str">
        <f t="shared" si="231"/>
        <v>ok</v>
      </c>
    </row>
    <row r="389" spans="1:29" x14ac:dyDescent="0.25">
      <c r="A389" s="14">
        <v>586</v>
      </c>
      <c r="B389" s="14" t="s">
        <v>450</v>
      </c>
      <c r="C389" s="14" t="s">
        <v>489</v>
      </c>
      <c r="D389" s="14" t="s">
        <v>471</v>
      </c>
      <c r="F389" s="110">
        <v>0</v>
      </c>
      <c r="G389" s="27"/>
      <c r="H389" s="27">
        <f t="shared" si="218"/>
        <v>0</v>
      </c>
      <c r="I389" s="27">
        <f t="shared" si="219"/>
        <v>0</v>
      </c>
      <c r="J389" s="27"/>
      <c r="K389" s="27">
        <f t="shared" si="220"/>
        <v>0</v>
      </c>
      <c r="L389" s="27"/>
      <c r="M389" s="27">
        <f t="shared" si="221"/>
        <v>0</v>
      </c>
      <c r="N389" s="27"/>
      <c r="O389" s="27">
        <f t="shared" si="222"/>
        <v>0</v>
      </c>
      <c r="P389" s="27">
        <f t="shared" si="223"/>
        <v>0</v>
      </c>
      <c r="Q389" s="27"/>
      <c r="R389" s="27">
        <f t="shared" si="224"/>
        <v>0</v>
      </c>
      <c r="S389" s="27">
        <f t="shared" si="225"/>
        <v>0</v>
      </c>
      <c r="T389" s="27"/>
      <c r="U389" s="27">
        <f t="shared" si="226"/>
        <v>0</v>
      </c>
      <c r="V389" s="27"/>
      <c r="W389" s="27">
        <f t="shared" si="227"/>
        <v>0</v>
      </c>
      <c r="X389" s="27"/>
      <c r="Y389" s="27">
        <f t="shared" si="228"/>
        <v>0</v>
      </c>
      <c r="Z389" s="27"/>
      <c r="AA389" s="27">
        <f t="shared" si="229"/>
        <v>0</v>
      </c>
      <c r="AB389" s="27">
        <f t="shared" si="230"/>
        <v>0</v>
      </c>
      <c r="AC389" s="22" t="str">
        <f t="shared" si="231"/>
        <v>ok</v>
      </c>
    </row>
    <row r="390" spans="1:29" x14ac:dyDescent="0.25">
      <c r="A390" s="14">
        <v>587</v>
      </c>
      <c r="B390" s="14" t="s">
        <v>111</v>
      </c>
      <c r="C390" s="14" t="s">
        <v>490</v>
      </c>
      <c r="D390" s="14" t="s">
        <v>40</v>
      </c>
      <c r="F390" s="110">
        <v>18353.68</v>
      </c>
      <c r="G390" s="27"/>
      <c r="H390" s="27">
        <f t="shared" si="218"/>
        <v>0</v>
      </c>
      <c r="I390" s="27">
        <f t="shared" si="219"/>
        <v>0</v>
      </c>
      <c r="J390" s="27"/>
      <c r="K390" s="27">
        <f t="shared" si="220"/>
        <v>0</v>
      </c>
      <c r="L390" s="27"/>
      <c r="M390" s="27">
        <f t="shared" si="221"/>
        <v>0</v>
      </c>
      <c r="N390" s="27"/>
      <c r="O390" s="27">
        <f t="shared" si="222"/>
        <v>0</v>
      </c>
      <c r="P390" s="27">
        <f t="shared" si="223"/>
        <v>0</v>
      </c>
      <c r="Q390" s="27"/>
      <c r="R390" s="27">
        <f t="shared" si="224"/>
        <v>0</v>
      </c>
      <c r="S390" s="27">
        <f t="shared" si="225"/>
        <v>18353.68</v>
      </c>
      <c r="T390" s="27"/>
      <c r="U390" s="27">
        <f t="shared" si="226"/>
        <v>0</v>
      </c>
      <c r="V390" s="27"/>
      <c r="W390" s="27">
        <f t="shared" si="227"/>
        <v>0</v>
      </c>
      <c r="X390" s="27"/>
      <c r="Y390" s="27">
        <f t="shared" si="228"/>
        <v>0</v>
      </c>
      <c r="Z390" s="27"/>
      <c r="AA390" s="27">
        <f t="shared" si="229"/>
        <v>0</v>
      </c>
      <c r="AB390" s="27">
        <f t="shared" si="230"/>
        <v>18353.68</v>
      </c>
      <c r="AC390" s="22" t="str">
        <f t="shared" si="231"/>
        <v>ok</v>
      </c>
    </row>
    <row r="391" spans="1:29" x14ac:dyDescent="0.25">
      <c r="A391" s="14">
        <v>588</v>
      </c>
      <c r="B391" s="14" t="s">
        <v>113</v>
      </c>
      <c r="C391" s="14" t="s">
        <v>491</v>
      </c>
      <c r="D391" s="14" t="s">
        <v>16</v>
      </c>
      <c r="F391" s="110">
        <v>38772.69</v>
      </c>
      <c r="G391" s="27"/>
      <c r="H391" s="27">
        <f t="shared" si="218"/>
        <v>0</v>
      </c>
      <c r="I391" s="27">
        <f t="shared" si="219"/>
        <v>0</v>
      </c>
      <c r="J391" s="27"/>
      <c r="K391" s="27">
        <f t="shared" si="220"/>
        <v>0</v>
      </c>
      <c r="L391" s="27"/>
      <c r="M391" s="27">
        <f t="shared" si="221"/>
        <v>0</v>
      </c>
      <c r="N391" s="27"/>
      <c r="O391" s="27">
        <f t="shared" si="222"/>
        <v>23113.647471588443</v>
      </c>
      <c r="P391" s="27">
        <f t="shared" si="223"/>
        <v>9271.9777309877391</v>
      </c>
      <c r="Q391" s="27"/>
      <c r="R391" s="27">
        <f t="shared" si="224"/>
        <v>0</v>
      </c>
      <c r="S391" s="27">
        <f t="shared" si="225"/>
        <v>2859.9686068712585</v>
      </c>
      <c r="T391" s="27"/>
      <c r="U391" s="27">
        <f t="shared" si="226"/>
        <v>2242.5319267612108</v>
      </c>
      <c r="V391" s="27"/>
      <c r="W391" s="27">
        <f t="shared" si="227"/>
        <v>1284.5642637913452</v>
      </c>
      <c r="X391" s="27"/>
      <c r="Y391" s="27">
        <f t="shared" si="228"/>
        <v>0</v>
      </c>
      <c r="Z391" s="27"/>
      <c r="AA391" s="27">
        <f t="shared" si="229"/>
        <v>0</v>
      </c>
      <c r="AB391" s="27">
        <f t="shared" si="230"/>
        <v>38772.69</v>
      </c>
      <c r="AC391" s="22" t="str">
        <f t="shared" si="231"/>
        <v>ok</v>
      </c>
    </row>
    <row r="392" spans="1:29" x14ac:dyDescent="0.25">
      <c r="A392" s="14">
        <v>589</v>
      </c>
      <c r="B392" s="14" t="s">
        <v>115</v>
      </c>
      <c r="C392" s="14" t="s">
        <v>492</v>
      </c>
      <c r="D392" s="14" t="s">
        <v>16</v>
      </c>
      <c r="F392" s="110">
        <v>0</v>
      </c>
      <c r="G392" s="27"/>
      <c r="H392" s="27">
        <f t="shared" si="218"/>
        <v>0</v>
      </c>
      <c r="I392" s="27">
        <f t="shared" si="219"/>
        <v>0</v>
      </c>
      <c r="J392" s="27"/>
      <c r="K392" s="27">
        <f t="shared" si="220"/>
        <v>0</v>
      </c>
      <c r="L392" s="27"/>
      <c r="M392" s="27">
        <f t="shared" si="221"/>
        <v>0</v>
      </c>
      <c r="N392" s="27"/>
      <c r="O392" s="27">
        <f t="shared" si="222"/>
        <v>0</v>
      </c>
      <c r="P392" s="27">
        <f t="shared" si="223"/>
        <v>0</v>
      </c>
      <c r="Q392" s="27"/>
      <c r="R392" s="27">
        <f t="shared" si="224"/>
        <v>0</v>
      </c>
      <c r="S392" s="27">
        <f t="shared" si="225"/>
        <v>0</v>
      </c>
      <c r="T392" s="27"/>
      <c r="U392" s="27">
        <f t="shared" si="226"/>
        <v>0</v>
      </c>
      <c r="V392" s="27"/>
      <c r="W392" s="27">
        <f t="shared" si="227"/>
        <v>0</v>
      </c>
      <c r="X392" s="27"/>
      <c r="Y392" s="27">
        <f t="shared" si="228"/>
        <v>0</v>
      </c>
      <c r="Z392" s="27"/>
      <c r="AA392" s="27">
        <f t="shared" si="229"/>
        <v>0</v>
      </c>
      <c r="AB392" s="27">
        <f t="shared" si="230"/>
        <v>0</v>
      </c>
      <c r="AC392" s="22" t="str">
        <f t="shared" si="231"/>
        <v>ok</v>
      </c>
    </row>
    <row r="393" spans="1:29" x14ac:dyDescent="0.25">
      <c r="F393" s="110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C393" s="22"/>
    </row>
    <row r="394" spans="1:29" x14ac:dyDescent="0.25">
      <c r="A394" s="14" t="s">
        <v>536</v>
      </c>
      <c r="C394" s="14" t="s">
        <v>493</v>
      </c>
      <c r="F394" s="119">
        <f>SUM(F382:F393)</f>
        <v>598018.73</v>
      </c>
      <c r="G394" s="40"/>
      <c r="H394" s="40">
        <f>SUM(H382:H393)</f>
        <v>0</v>
      </c>
      <c r="I394" s="40">
        <f>SUM(I382:I393)</f>
        <v>0</v>
      </c>
      <c r="J394" s="40"/>
      <c r="K394" s="40">
        <f>SUM(K382:K393)</f>
        <v>0</v>
      </c>
      <c r="L394" s="40"/>
      <c r="M394" s="40">
        <f>SUM(M382:M393)</f>
        <v>0</v>
      </c>
      <c r="N394" s="40"/>
      <c r="O394" s="40">
        <f>SUM(O382:O393)</f>
        <v>244680.17833603203</v>
      </c>
      <c r="P394" s="40">
        <f>SUM(P382:P393)</f>
        <v>65035.37036156407</v>
      </c>
      <c r="Q394" s="40"/>
      <c r="R394" s="40">
        <f>SUM(R382:R393)</f>
        <v>0</v>
      </c>
      <c r="S394" s="40">
        <f>SUM(S382:S393)</f>
        <v>24736.938584840394</v>
      </c>
      <c r="T394" s="40"/>
      <c r="U394" s="40">
        <f>SUM(U382:U393)</f>
        <v>260699.18122432716</v>
      </c>
      <c r="V394" s="40"/>
      <c r="W394" s="40">
        <f>SUM(W382:W393)</f>
        <v>2867.0614932363119</v>
      </c>
      <c r="X394" s="40"/>
      <c r="Y394" s="40">
        <f>SUM(Y382:Y393)</f>
        <v>0</v>
      </c>
      <c r="Z394" s="40"/>
      <c r="AA394" s="40">
        <f>SUM(AA382:AA393)</f>
        <v>0</v>
      </c>
      <c r="AB394" s="27">
        <f>SUM(H394:AA394)</f>
        <v>598018.73</v>
      </c>
      <c r="AC394" s="22" t="str">
        <f>IF(ABS(AB394-F394)&lt;1,"ok","err")</f>
        <v>ok</v>
      </c>
    </row>
    <row r="395" spans="1:29" x14ac:dyDescent="0.25">
      <c r="F395" s="119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27"/>
      <c r="AC395" s="22"/>
    </row>
    <row r="396" spans="1:29" x14ac:dyDescent="0.25">
      <c r="F396" s="119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27"/>
      <c r="AC396" s="22"/>
    </row>
    <row r="397" spans="1:29" x14ac:dyDescent="0.25">
      <c r="A397" s="13"/>
      <c r="F397" s="110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C397" s="22"/>
    </row>
    <row r="398" spans="1:29" x14ac:dyDescent="0.25">
      <c r="A398" s="20" t="s">
        <v>473</v>
      </c>
      <c r="F398" s="110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C398" s="22"/>
    </row>
    <row r="399" spans="1:29" x14ac:dyDescent="0.25">
      <c r="F399" s="110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C399" s="22"/>
    </row>
    <row r="400" spans="1:29" x14ac:dyDescent="0.25">
      <c r="A400" s="13" t="s">
        <v>537</v>
      </c>
      <c r="F400" s="110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C400" s="22"/>
    </row>
    <row r="401" spans="1:29" x14ac:dyDescent="0.25">
      <c r="A401" s="14">
        <v>590</v>
      </c>
      <c r="B401" s="14" t="s">
        <v>120</v>
      </c>
      <c r="C401" s="14" t="s">
        <v>494</v>
      </c>
      <c r="D401" s="14" t="s">
        <v>16</v>
      </c>
      <c r="F401" s="119">
        <v>22313.73</v>
      </c>
      <c r="G401" s="40"/>
      <c r="H401" s="27">
        <f t="shared" ref="H401:H408" si="232">IF(VLOOKUP($D401,$C$5:$AA$496,6,)=0,0,((VLOOKUP($D401,$C$5:$AA$496,6,)/VLOOKUP($D401,$C$5:$AA$496,4,))*$F401))</f>
        <v>0</v>
      </c>
      <c r="I401" s="27">
        <f t="shared" ref="I401:I408" si="233">IF(VLOOKUP($D401,$C$5:$AA$496,7,)=0,0,((VLOOKUP($D401,$C$5:$AA$496,7,)/VLOOKUP($D401,$C$5:$AA$496,4,))*$F401))</f>
        <v>0</v>
      </c>
      <c r="J401" s="27"/>
      <c r="K401" s="27">
        <f t="shared" ref="K401:K408" si="234">IF(VLOOKUP($D401,$C$5:$AA$496,9,)=0,0,((VLOOKUP($D401,$C$5:$AA$496,9,)/VLOOKUP($D401,$C$5:$AA$496,4,))*$F401))</f>
        <v>0</v>
      </c>
      <c r="L401" s="27"/>
      <c r="M401" s="27">
        <f t="shared" ref="M401:M408" si="235">IF(VLOOKUP($D401,$C$5:$AA$496,11,)=0,0,((VLOOKUP($D401,$C$5:$AA$496,11,)/VLOOKUP($D401,$C$5:$AA$496,4,))*$F401))</f>
        <v>0</v>
      </c>
      <c r="N401" s="27"/>
      <c r="O401" s="27">
        <f t="shared" ref="O401:O408" si="236">IF(VLOOKUP($D401,$C$5:$AA$496,13,)=0,0,((VLOOKUP($D401,$C$5:$AA$496,13,)/VLOOKUP($D401,$C$5:$AA$496,4,))*$F401))</f>
        <v>13301.932081478151</v>
      </c>
      <c r="P401" s="27">
        <f t="shared" ref="P401:P408" si="237">IF(VLOOKUP($D401,$C$5:$AA$496,14,)=0,0,((VLOOKUP($D401,$C$5:$AA$496,14,)/VLOOKUP($D401,$C$5:$AA$496,4,))*$F401))</f>
        <v>5336.0344008959146</v>
      </c>
      <c r="Q401" s="27"/>
      <c r="R401" s="27">
        <f t="shared" ref="R401:R408" si="238">IF(VLOOKUP($D401,$C$5:$AA$496,16,)=0,0,((VLOOKUP($D401,$C$5:$AA$496,16,)/VLOOKUP($D401,$C$5:$AA$496,4,))*$F401))</f>
        <v>0</v>
      </c>
      <c r="S401" s="27">
        <f t="shared" ref="S401:S408" si="239">IF(VLOOKUP($D401,$C$5:$AA$496,17,)=0,0,((VLOOKUP($D401,$C$5:$AA$496,17,)/VLOOKUP($D401,$C$5:$AA$496,4,))*$F401))</f>
        <v>1645.9153930821255</v>
      </c>
      <c r="T401" s="27"/>
      <c r="U401" s="27">
        <f t="shared" ref="U401:U408" si="240">IF(VLOOKUP($D401,$C$5:$AA$496,19,)=0,0,((VLOOKUP($D401,$C$5:$AA$496,19,)/VLOOKUP($D401,$C$5:$AA$496,4,))*$F401))</f>
        <v>1290.5798367389373</v>
      </c>
      <c r="V401" s="27"/>
      <c r="W401" s="27">
        <f t="shared" ref="W401:W408" si="241">IF(VLOOKUP($D401,$C$5:$AA$496,21,)=0,0,((VLOOKUP($D401,$C$5:$AA$496,21,)/VLOOKUP($D401,$C$5:$AA$496,4,))*$F401))</f>
        <v>739.26828780486608</v>
      </c>
      <c r="X401" s="27"/>
      <c r="Y401" s="27">
        <f t="shared" ref="Y401:Y408" si="242">IF(VLOOKUP($D401,$C$5:$AA$496,23,)=0,0,((VLOOKUP($D401,$C$5:$AA$496,23,)/VLOOKUP($D401,$C$5:$AA$496,4,))*$F401))</f>
        <v>0</v>
      </c>
      <c r="Z401" s="27"/>
      <c r="AA401" s="27">
        <f t="shared" ref="AA401:AA408" si="243">IF(VLOOKUP($D401,$C$5:$AA$496,25,)=0,0,((VLOOKUP($D401,$C$5:$AA$496,25,)/VLOOKUP($D401,$C$5:$AA$496,4,))*$F401))</f>
        <v>0</v>
      </c>
      <c r="AB401" s="27">
        <f t="shared" ref="AB401:AB408" si="244">SUM(H401:AA401)</f>
        <v>22313.729999999996</v>
      </c>
      <c r="AC401" s="22" t="str">
        <f t="shared" ref="AC401:AC408" si="245">IF(ABS(AB401-F401)&lt;1,"ok","err")</f>
        <v>ok</v>
      </c>
    </row>
    <row r="402" spans="1:29" x14ac:dyDescent="0.25">
      <c r="A402" s="14">
        <v>592</v>
      </c>
      <c r="B402" s="14" t="s">
        <v>122</v>
      </c>
      <c r="C402" s="14" t="s">
        <v>495</v>
      </c>
      <c r="D402" s="14" t="s">
        <v>23</v>
      </c>
      <c r="F402" s="110">
        <v>0</v>
      </c>
      <c r="G402" s="27"/>
      <c r="H402" s="27">
        <f t="shared" si="232"/>
        <v>0</v>
      </c>
      <c r="I402" s="27">
        <f t="shared" si="233"/>
        <v>0</v>
      </c>
      <c r="J402" s="27"/>
      <c r="K402" s="27">
        <f t="shared" si="234"/>
        <v>0</v>
      </c>
      <c r="L402" s="27"/>
      <c r="M402" s="27">
        <f t="shared" si="235"/>
        <v>0</v>
      </c>
      <c r="N402" s="27"/>
      <c r="O402" s="27">
        <f t="shared" si="236"/>
        <v>0</v>
      </c>
      <c r="P402" s="27">
        <f t="shared" si="237"/>
        <v>0</v>
      </c>
      <c r="Q402" s="27"/>
      <c r="R402" s="27">
        <f t="shared" si="238"/>
        <v>0</v>
      </c>
      <c r="S402" s="27">
        <f t="shared" si="239"/>
        <v>0</v>
      </c>
      <c r="T402" s="27"/>
      <c r="U402" s="27">
        <f t="shared" si="240"/>
        <v>0</v>
      </c>
      <c r="V402" s="27"/>
      <c r="W402" s="27">
        <f t="shared" si="241"/>
        <v>0</v>
      </c>
      <c r="X402" s="27"/>
      <c r="Y402" s="27">
        <f t="shared" si="242"/>
        <v>0</v>
      </c>
      <c r="Z402" s="27"/>
      <c r="AA402" s="27">
        <f t="shared" si="243"/>
        <v>0</v>
      </c>
      <c r="AB402" s="27">
        <f t="shared" si="244"/>
        <v>0</v>
      </c>
      <c r="AC402" s="22" t="str">
        <f t="shared" si="245"/>
        <v>ok</v>
      </c>
    </row>
    <row r="403" spans="1:29" x14ac:dyDescent="0.25">
      <c r="A403" s="14">
        <v>593</v>
      </c>
      <c r="B403" s="14" t="s">
        <v>124</v>
      </c>
      <c r="C403" s="14" t="s">
        <v>496</v>
      </c>
      <c r="D403" s="14" t="s">
        <v>29</v>
      </c>
      <c r="F403" s="110">
        <v>602237.6</v>
      </c>
      <c r="G403" s="27"/>
      <c r="H403" s="27">
        <f t="shared" si="232"/>
        <v>0</v>
      </c>
      <c r="I403" s="27">
        <f t="shared" si="233"/>
        <v>0</v>
      </c>
      <c r="J403" s="27"/>
      <c r="K403" s="27">
        <f t="shared" si="234"/>
        <v>0</v>
      </c>
      <c r="L403" s="27"/>
      <c r="M403" s="27">
        <f t="shared" si="235"/>
        <v>0</v>
      </c>
      <c r="N403" s="27"/>
      <c r="O403" s="27">
        <f t="shared" si="236"/>
        <v>489768.90726173407</v>
      </c>
      <c r="P403" s="27">
        <f t="shared" si="237"/>
        <v>112468.69273826586</v>
      </c>
      <c r="Q403" s="27"/>
      <c r="R403" s="27">
        <f t="shared" si="238"/>
        <v>0</v>
      </c>
      <c r="S403" s="27">
        <f t="shared" si="239"/>
        <v>0</v>
      </c>
      <c r="T403" s="27"/>
      <c r="U403" s="27">
        <f t="shared" si="240"/>
        <v>0</v>
      </c>
      <c r="V403" s="27"/>
      <c r="W403" s="27">
        <f t="shared" si="241"/>
        <v>0</v>
      </c>
      <c r="X403" s="27"/>
      <c r="Y403" s="27">
        <f t="shared" si="242"/>
        <v>0</v>
      </c>
      <c r="Z403" s="27"/>
      <c r="AA403" s="27">
        <f t="shared" si="243"/>
        <v>0</v>
      </c>
      <c r="AB403" s="27">
        <f t="shared" si="244"/>
        <v>602237.6</v>
      </c>
      <c r="AC403" s="22" t="str">
        <f t="shared" si="245"/>
        <v>ok</v>
      </c>
    </row>
    <row r="404" spans="1:29" x14ac:dyDescent="0.25">
      <c r="A404" s="14">
        <v>594</v>
      </c>
      <c r="B404" s="14" t="s">
        <v>126</v>
      </c>
      <c r="C404" s="14" t="s">
        <v>497</v>
      </c>
      <c r="D404" s="14" t="s">
        <v>35</v>
      </c>
      <c r="F404" s="110">
        <v>1244.06</v>
      </c>
      <c r="G404" s="27"/>
      <c r="H404" s="27">
        <f t="shared" si="232"/>
        <v>0</v>
      </c>
      <c r="I404" s="27">
        <f t="shared" si="233"/>
        <v>0</v>
      </c>
      <c r="J404" s="27"/>
      <c r="K404" s="27">
        <f t="shared" si="234"/>
        <v>0</v>
      </c>
      <c r="L404" s="27"/>
      <c r="M404" s="27">
        <f t="shared" si="235"/>
        <v>0</v>
      </c>
      <c r="N404" s="27"/>
      <c r="O404" s="27">
        <f t="shared" si="236"/>
        <v>821.94167840807222</v>
      </c>
      <c r="P404" s="27">
        <f t="shared" si="237"/>
        <v>422.11832159192778</v>
      </c>
      <c r="Q404" s="27"/>
      <c r="R404" s="27">
        <f t="shared" si="238"/>
        <v>0</v>
      </c>
      <c r="S404" s="27">
        <f t="shared" si="239"/>
        <v>0</v>
      </c>
      <c r="T404" s="27"/>
      <c r="U404" s="27">
        <f t="shared" si="240"/>
        <v>0</v>
      </c>
      <c r="V404" s="27"/>
      <c r="W404" s="27">
        <f t="shared" si="241"/>
        <v>0</v>
      </c>
      <c r="X404" s="27"/>
      <c r="Y404" s="27">
        <f t="shared" si="242"/>
        <v>0</v>
      </c>
      <c r="Z404" s="27"/>
      <c r="AA404" s="27">
        <f t="shared" si="243"/>
        <v>0</v>
      </c>
      <c r="AB404" s="27">
        <f t="shared" si="244"/>
        <v>1244.06</v>
      </c>
      <c r="AC404" s="22" t="str">
        <f t="shared" si="245"/>
        <v>ok</v>
      </c>
    </row>
    <row r="405" spans="1:29" x14ac:dyDescent="0.25">
      <c r="A405" s="14">
        <v>595</v>
      </c>
      <c r="B405" s="14" t="s">
        <v>128</v>
      </c>
      <c r="C405" s="14" t="s">
        <v>498</v>
      </c>
      <c r="D405" s="14" t="s">
        <v>37</v>
      </c>
      <c r="F405" s="110">
        <v>121917.49</v>
      </c>
      <c r="G405" s="27"/>
      <c r="H405" s="27">
        <f t="shared" si="232"/>
        <v>0</v>
      </c>
      <c r="I405" s="27">
        <f t="shared" si="233"/>
        <v>0</v>
      </c>
      <c r="J405" s="27"/>
      <c r="K405" s="27">
        <f t="shared" si="234"/>
        <v>0</v>
      </c>
      <c r="L405" s="27"/>
      <c r="M405" s="27">
        <f t="shared" si="235"/>
        <v>0</v>
      </c>
      <c r="N405" s="27"/>
      <c r="O405" s="27">
        <f t="shared" si="236"/>
        <v>45087.209239092226</v>
      </c>
      <c r="P405" s="27">
        <f t="shared" si="237"/>
        <v>76830.280760907786</v>
      </c>
      <c r="Q405" s="27"/>
      <c r="R405" s="27">
        <f t="shared" si="238"/>
        <v>0</v>
      </c>
      <c r="S405" s="27">
        <f t="shared" si="239"/>
        <v>0</v>
      </c>
      <c r="T405" s="27"/>
      <c r="U405" s="27">
        <f t="shared" si="240"/>
        <v>0</v>
      </c>
      <c r="V405" s="27"/>
      <c r="W405" s="27">
        <f t="shared" si="241"/>
        <v>0</v>
      </c>
      <c r="X405" s="27"/>
      <c r="Y405" s="27">
        <f t="shared" si="242"/>
        <v>0</v>
      </c>
      <c r="Z405" s="27"/>
      <c r="AA405" s="27">
        <f t="shared" si="243"/>
        <v>0</v>
      </c>
      <c r="AB405" s="27">
        <f t="shared" si="244"/>
        <v>121917.49000000002</v>
      </c>
      <c r="AC405" s="22" t="str">
        <f t="shared" si="245"/>
        <v>ok</v>
      </c>
    </row>
    <row r="406" spans="1:29" x14ac:dyDescent="0.25">
      <c r="A406" s="14">
        <v>596</v>
      </c>
      <c r="B406" s="14" t="s">
        <v>380</v>
      </c>
      <c r="C406" s="14" t="s">
        <v>499</v>
      </c>
      <c r="D406" s="14" t="s">
        <v>48</v>
      </c>
      <c r="F406" s="110">
        <v>0</v>
      </c>
      <c r="G406" s="27"/>
      <c r="H406" s="27">
        <f t="shared" si="232"/>
        <v>0</v>
      </c>
      <c r="I406" s="27">
        <f t="shared" si="233"/>
        <v>0</v>
      </c>
      <c r="J406" s="27"/>
      <c r="K406" s="27">
        <f t="shared" si="234"/>
        <v>0</v>
      </c>
      <c r="L406" s="27"/>
      <c r="M406" s="27">
        <f t="shared" si="235"/>
        <v>0</v>
      </c>
      <c r="N406" s="27"/>
      <c r="O406" s="27">
        <f t="shared" si="236"/>
        <v>0</v>
      </c>
      <c r="P406" s="27">
        <f t="shared" si="237"/>
        <v>0</v>
      </c>
      <c r="Q406" s="27"/>
      <c r="R406" s="27">
        <f t="shared" si="238"/>
        <v>0</v>
      </c>
      <c r="S406" s="27">
        <f t="shared" si="239"/>
        <v>0</v>
      </c>
      <c r="T406" s="27"/>
      <c r="U406" s="27">
        <f t="shared" si="240"/>
        <v>0</v>
      </c>
      <c r="V406" s="27"/>
      <c r="W406" s="27">
        <f t="shared" si="241"/>
        <v>0</v>
      </c>
      <c r="X406" s="27"/>
      <c r="Y406" s="27">
        <f t="shared" si="242"/>
        <v>0</v>
      </c>
      <c r="Z406" s="27"/>
      <c r="AA406" s="27">
        <f t="shared" si="243"/>
        <v>0</v>
      </c>
      <c r="AB406" s="27">
        <f t="shared" si="244"/>
        <v>0</v>
      </c>
      <c r="AC406" s="22" t="str">
        <f t="shared" si="245"/>
        <v>ok</v>
      </c>
    </row>
    <row r="407" spans="1:29" x14ac:dyDescent="0.25">
      <c r="A407" s="14">
        <v>597</v>
      </c>
      <c r="B407" s="14" t="s">
        <v>130</v>
      </c>
      <c r="C407" s="14" t="s">
        <v>500</v>
      </c>
      <c r="D407" s="14" t="s">
        <v>43</v>
      </c>
      <c r="F407" s="110">
        <v>7461.84</v>
      </c>
      <c r="G407" s="27"/>
      <c r="H407" s="27">
        <f t="shared" si="232"/>
        <v>0</v>
      </c>
      <c r="I407" s="27">
        <f t="shared" si="233"/>
        <v>0</v>
      </c>
      <c r="J407" s="27"/>
      <c r="K407" s="27">
        <f t="shared" si="234"/>
        <v>0</v>
      </c>
      <c r="L407" s="27"/>
      <c r="M407" s="27">
        <f t="shared" si="235"/>
        <v>0</v>
      </c>
      <c r="N407" s="27"/>
      <c r="O407" s="27">
        <f t="shared" si="236"/>
        <v>0</v>
      </c>
      <c r="P407" s="27">
        <f t="shared" si="237"/>
        <v>0</v>
      </c>
      <c r="Q407" s="27"/>
      <c r="R407" s="27">
        <f t="shared" si="238"/>
        <v>0</v>
      </c>
      <c r="S407" s="27">
        <f t="shared" si="239"/>
        <v>0</v>
      </c>
      <c r="T407" s="27"/>
      <c r="U407" s="27">
        <f t="shared" si="240"/>
        <v>7461.84</v>
      </c>
      <c r="V407" s="27"/>
      <c r="W407" s="27">
        <f t="shared" si="241"/>
        <v>0</v>
      </c>
      <c r="X407" s="27"/>
      <c r="Y407" s="27">
        <f t="shared" si="242"/>
        <v>0</v>
      </c>
      <c r="Z407" s="27"/>
      <c r="AA407" s="27">
        <f t="shared" si="243"/>
        <v>0</v>
      </c>
      <c r="AB407" s="27">
        <f t="shared" si="244"/>
        <v>7461.84</v>
      </c>
      <c r="AC407" s="22" t="str">
        <f t="shared" si="245"/>
        <v>ok</v>
      </c>
    </row>
    <row r="408" spans="1:29" x14ac:dyDescent="0.25">
      <c r="A408" s="14">
        <v>598</v>
      </c>
      <c r="B408" s="14" t="s">
        <v>384</v>
      </c>
      <c r="C408" s="14" t="s">
        <v>501</v>
      </c>
      <c r="D408" s="14" t="s">
        <v>16</v>
      </c>
      <c r="F408" s="110">
        <v>24636.41</v>
      </c>
      <c r="G408" s="27"/>
      <c r="H408" s="27">
        <f t="shared" si="232"/>
        <v>0</v>
      </c>
      <c r="I408" s="27">
        <f t="shared" si="233"/>
        <v>0</v>
      </c>
      <c r="J408" s="27"/>
      <c r="K408" s="27">
        <f t="shared" si="234"/>
        <v>0</v>
      </c>
      <c r="L408" s="27"/>
      <c r="M408" s="27">
        <f t="shared" si="235"/>
        <v>0</v>
      </c>
      <c r="N408" s="27"/>
      <c r="O408" s="27">
        <f t="shared" si="236"/>
        <v>14686.556328836514</v>
      </c>
      <c r="P408" s="27">
        <f t="shared" si="237"/>
        <v>5891.4727064715817</v>
      </c>
      <c r="Q408" s="27"/>
      <c r="R408" s="27">
        <f t="shared" si="238"/>
        <v>0</v>
      </c>
      <c r="S408" s="27">
        <f t="shared" si="239"/>
        <v>1817.24196041103</v>
      </c>
      <c r="T408" s="27"/>
      <c r="U408" s="27">
        <f t="shared" si="240"/>
        <v>1424.9188278084175</v>
      </c>
      <c r="V408" s="27"/>
      <c r="W408" s="27">
        <f t="shared" si="241"/>
        <v>816.22017647245355</v>
      </c>
      <c r="X408" s="27"/>
      <c r="Y408" s="27">
        <f t="shared" si="242"/>
        <v>0</v>
      </c>
      <c r="Z408" s="27"/>
      <c r="AA408" s="27">
        <f t="shared" si="243"/>
        <v>0</v>
      </c>
      <c r="AB408" s="27">
        <f t="shared" si="244"/>
        <v>24636.409999999996</v>
      </c>
      <c r="AC408" s="22" t="str">
        <f t="shared" si="245"/>
        <v>ok</v>
      </c>
    </row>
    <row r="409" spans="1:29" x14ac:dyDescent="0.25">
      <c r="F409" s="110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2"/>
    </row>
    <row r="410" spans="1:29" x14ac:dyDescent="0.25">
      <c r="A410" s="14" t="s">
        <v>538</v>
      </c>
      <c r="C410" s="14" t="s">
        <v>502</v>
      </c>
      <c r="F410" s="119">
        <f>SUM(F401:F409)</f>
        <v>779811.13</v>
      </c>
      <c r="G410" s="40"/>
      <c r="H410" s="40">
        <f>SUM(H401:H409)</f>
        <v>0</v>
      </c>
      <c r="I410" s="40">
        <f>SUM(I401:I409)</f>
        <v>0</v>
      </c>
      <c r="J410" s="40"/>
      <c r="K410" s="40">
        <f>SUM(K401:K409)</f>
        <v>0</v>
      </c>
      <c r="L410" s="40"/>
      <c r="M410" s="40">
        <f>SUM(M401:M409)</f>
        <v>0</v>
      </c>
      <c r="N410" s="40"/>
      <c r="O410" s="40">
        <f>SUM(O401:O409)</f>
        <v>563666.54658954893</v>
      </c>
      <c r="P410" s="40">
        <f>SUM(P401:P409)</f>
        <v>200948.59892813308</v>
      </c>
      <c r="Q410" s="40"/>
      <c r="R410" s="40">
        <f>SUM(R401:R409)</f>
        <v>0</v>
      </c>
      <c r="S410" s="40">
        <f>SUM(S401:S409)</f>
        <v>3463.1573534931558</v>
      </c>
      <c r="T410" s="40"/>
      <c r="U410" s="40">
        <f>SUM(U401:U409)</f>
        <v>10177.338664547355</v>
      </c>
      <c r="V410" s="40"/>
      <c r="W410" s="40">
        <f>SUM(W401:W409)</f>
        <v>1555.4884642773195</v>
      </c>
      <c r="X410" s="40"/>
      <c r="Y410" s="40">
        <f>SUM(Y401:Y409)</f>
        <v>0</v>
      </c>
      <c r="Z410" s="40"/>
      <c r="AA410" s="40">
        <f>SUM(AA401:AA409)</f>
        <v>0</v>
      </c>
      <c r="AB410" s="27">
        <f>SUM(H410:AA410)</f>
        <v>779811.12999999977</v>
      </c>
      <c r="AC410" s="22" t="str">
        <f>IF(ABS(AB410-F410)&lt;1,"ok","err")</f>
        <v>ok</v>
      </c>
    </row>
    <row r="411" spans="1:29" x14ac:dyDescent="0.25">
      <c r="F411" s="110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C411" s="22"/>
    </row>
    <row r="412" spans="1:29" x14ac:dyDescent="0.25">
      <c r="A412" s="14" t="s">
        <v>539</v>
      </c>
      <c r="F412" s="110">
        <f>F394+F410</f>
        <v>1377829.8599999999</v>
      </c>
      <c r="G412" s="27"/>
      <c r="H412" s="27">
        <f>H394+H410</f>
        <v>0</v>
      </c>
      <c r="I412" s="27">
        <f>I394+I410</f>
        <v>0</v>
      </c>
      <c r="J412" s="27"/>
      <c r="K412" s="27">
        <f>K394+K410</f>
        <v>0</v>
      </c>
      <c r="L412" s="27"/>
      <c r="M412" s="27">
        <f>M394+M410</f>
        <v>0</v>
      </c>
      <c r="N412" s="27"/>
      <c r="O412" s="27">
        <f>O394+O410</f>
        <v>808346.7249255809</v>
      </c>
      <c r="P412" s="27">
        <f>P394+P410</f>
        <v>265983.96928969712</v>
      </c>
      <c r="Q412" s="27"/>
      <c r="R412" s="27">
        <f>R394+R410</f>
        <v>0</v>
      </c>
      <c r="S412" s="27">
        <f>S394+S410</f>
        <v>28200.09593833355</v>
      </c>
      <c r="T412" s="27"/>
      <c r="U412" s="27">
        <f>U394+U410</f>
        <v>270876.51988887449</v>
      </c>
      <c r="V412" s="27"/>
      <c r="W412" s="27">
        <f>W394+W410</f>
        <v>4422.5499575136309</v>
      </c>
      <c r="X412" s="27"/>
      <c r="Y412" s="27">
        <f>Y394+Y410</f>
        <v>0</v>
      </c>
      <c r="Z412" s="27"/>
      <c r="AA412" s="27">
        <f>AA394+AA410</f>
        <v>0</v>
      </c>
      <c r="AB412" s="27">
        <f>SUM(H412:AA412)</f>
        <v>1377829.8599999996</v>
      </c>
      <c r="AC412" s="22" t="str">
        <f>IF(ABS(AB412-F412)&lt;1,"ok","err")</f>
        <v>ok</v>
      </c>
    </row>
    <row r="413" spans="1:29" x14ac:dyDescent="0.25">
      <c r="F413" s="110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C413" s="22"/>
    </row>
    <row r="414" spans="1:29" x14ac:dyDescent="0.25">
      <c r="A414" s="14" t="s">
        <v>540</v>
      </c>
      <c r="F414" s="110">
        <f>F412+F379</f>
        <v>1377829.8599999999</v>
      </c>
      <c r="G414" s="27"/>
      <c r="H414" s="27">
        <f>H412+H379</f>
        <v>0</v>
      </c>
      <c r="I414" s="27">
        <f>I412+I379</f>
        <v>0</v>
      </c>
      <c r="J414" s="27"/>
      <c r="K414" s="27">
        <f>K412+K379</f>
        <v>0</v>
      </c>
      <c r="L414" s="27"/>
      <c r="M414" s="27">
        <f>M412+M379</f>
        <v>0</v>
      </c>
      <c r="N414" s="27"/>
      <c r="O414" s="27">
        <f>O412+O379</f>
        <v>808346.7249255809</v>
      </c>
      <c r="P414" s="27">
        <f>P412+P379</f>
        <v>265983.96928969712</v>
      </c>
      <c r="Q414" s="27"/>
      <c r="R414" s="27">
        <f>R412+R379</f>
        <v>0</v>
      </c>
      <c r="S414" s="27">
        <f>S412+S379</f>
        <v>28200.09593833355</v>
      </c>
      <c r="T414" s="27"/>
      <c r="U414" s="27">
        <f>U412+U379</f>
        <v>270876.51988887449</v>
      </c>
      <c r="V414" s="27"/>
      <c r="W414" s="27">
        <f>W412+W379</f>
        <v>4422.5499575136309</v>
      </c>
      <c r="X414" s="27"/>
      <c r="Y414" s="27">
        <f>Y412+Y379</f>
        <v>0</v>
      </c>
      <c r="Z414" s="27"/>
      <c r="AA414" s="27">
        <f>AA412+AA379</f>
        <v>0</v>
      </c>
      <c r="AB414" s="27">
        <f>SUM(H414:AA414)</f>
        <v>1377829.8599999996</v>
      </c>
      <c r="AC414" s="22" t="str">
        <f>IF(ABS(AB414-F414)&lt;1,"ok","err")</f>
        <v>ok</v>
      </c>
    </row>
    <row r="415" spans="1:29" x14ac:dyDescent="0.25">
      <c r="F415" s="110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C415" s="22"/>
    </row>
    <row r="416" spans="1:29" x14ac:dyDescent="0.25">
      <c r="A416" s="14" t="s">
        <v>541</v>
      </c>
      <c r="C416" s="14" t="s">
        <v>503</v>
      </c>
      <c r="F416" s="119">
        <f>F414+F367</f>
        <v>1377829.8599999999</v>
      </c>
      <c r="G416" s="40"/>
      <c r="H416" s="40">
        <f>H414+H367</f>
        <v>0</v>
      </c>
      <c r="I416" s="40">
        <f>I414+I367</f>
        <v>0</v>
      </c>
      <c r="J416" s="40"/>
      <c r="K416" s="40">
        <f>K414+K367</f>
        <v>0</v>
      </c>
      <c r="L416" s="40"/>
      <c r="M416" s="40">
        <f>M414+M367</f>
        <v>0</v>
      </c>
      <c r="N416" s="40"/>
      <c r="O416" s="40">
        <f>O414+O367</f>
        <v>808346.7249255809</v>
      </c>
      <c r="P416" s="40">
        <f>P414+P367</f>
        <v>265983.96928969712</v>
      </c>
      <c r="Q416" s="40"/>
      <c r="R416" s="40">
        <f>R414+R367</f>
        <v>0</v>
      </c>
      <c r="S416" s="40">
        <f>S414+S367</f>
        <v>28200.09593833355</v>
      </c>
      <c r="T416" s="40"/>
      <c r="U416" s="40">
        <f>U414+U367</f>
        <v>270876.51988887449</v>
      </c>
      <c r="V416" s="40"/>
      <c r="W416" s="40">
        <f>W414+W367</f>
        <v>4422.5499575136309</v>
      </c>
      <c r="X416" s="40"/>
      <c r="Y416" s="40">
        <f>Y414+Y367</f>
        <v>0</v>
      </c>
      <c r="Z416" s="40"/>
      <c r="AA416" s="40">
        <f>AA414+AA367</f>
        <v>0</v>
      </c>
      <c r="AB416" s="27">
        <f>SUM(H416:AA416)</f>
        <v>1377829.8599999996</v>
      </c>
      <c r="AC416" s="22" t="str">
        <f>IF(ABS(AB416-F416)&lt;1,"ok","err")</f>
        <v>ok</v>
      </c>
    </row>
    <row r="417" spans="1:29" x14ac:dyDescent="0.25">
      <c r="A417" s="13"/>
      <c r="F417" s="110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C417" s="22"/>
    </row>
    <row r="418" spans="1:29" x14ac:dyDescent="0.25">
      <c r="A418" s="13" t="s">
        <v>137</v>
      </c>
      <c r="F418" s="110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C418" s="22"/>
    </row>
    <row r="419" spans="1:29" x14ac:dyDescent="0.25">
      <c r="A419" s="14">
        <v>901</v>
      </c>
      <c r="B419" s="14" t="s">
        <v>138</v>
      </c>
      <c r="C419" s="14" t="s">
        <v>504</v>
      </c>
      <c r="D419" s="14" t="s">
        <v>140</v>
      </c>
      <c r="F419" s="119">
        <v>46158.05</v>
      </c>
      <c r="G419" s="40"/>
      <c r="H419" s="27">
        <f>IF(VLOOKUP($D419,$C$5:$AA$496,6,)=0,0,((VLOOKUP($D419,$C$5:$AA$496,6,)/VLOOKUP($D419,$C$5:$AA$496,4,))*$F419))</f>
        <v>0</v>
      </c>
      <c r="I419" s="27">
        <f>IF(VLOOKUP($D419,$C$5:$AA$496,7,)=0,0,((VLOOKUP($D419,$C$5:$AA$496,7,)/VLOOKUP($D419,$C$5:$AA$496,4,))*$F419))</f>
        <v>0</v>
      </c>
      <c r="J419" s="27"/>
      <c r="K419" s="27">
        <f>IF(VLOOKUP($D419,$C$5:$AA$496,9,)=0,0,((VLOOKUP($D419,$C$5:$AA$496,9,)/VLOOKUP($D419,$C$5:$AA$496,4,))*$F419))</f>
        <v>0</v>
      </c>
      <c r="L419" s="27"/>
      <c r="M419" s="27">
        <f>IF(VLOOKUP($D419,$C$5:$AA$496,11,)=0,0,((VLOOKUP($D419,$C$5:$AA$496,11,)/VLOOKUP($D419,$C$5:$AA$496,4,))*$F419))</f>
        <v>0</v>
      </c>
      <c r="N419" s="27"/>
      <c r="O419" s="27">
        <f>IF(VLOOKUP($D419,$C$5:$AA$496,13,)=0,0,((VLOOKUP($D419,$C$5:$AA$496,13,)/VLOOKUP($D419,$C$5:$AA$496,4,))*$F419))</f>
        <v>0</v>
      </c>
      <c r="P419" s="27">
        <f>IF(VLOOKUP($D419,$C$5:$AA$496,14,)=0,0,((VLOOKUP($D419,$C$5:$AA$496,14,)/VLOOKUP($D419,$C$5:$AA$496,4,))*$F419))</f>
        <v>0</v>
      </c>
      <c r="Q419" s="27"/>
      <c r="R419" s="27">
        <f>IF(VLOOKUP($D419,$C$5:$AA$496,16,)=0,0,((VLOOKUP($D419,$C$5:$AA$496,16,)/VLOOKUP($D419,$C$5:$AA$496,4,))*$F419))</f>
        <v>0</v>
      </c>
      <c r="S419" s="27">
        <f>IF(VLOOKUP($D419,$C$5:$AA$496,17,)=0,0,((VLOOKUP($D419,$C$5:$AA$496,17,)/VLOOKUP($D419,$C$5:$AA$496,4,))*$F419))</f>
        <v>0</v>
      </c>
      <c r="T419" s="27"/>
      <c r="U419" s="27">
        <f>IF(VLOOKUP($D419,$C$5:$AA$496,19,)=0,0,((VLOOKUP($D419,$C$5:$AA$496,19,)/VLOOKUP($D419,$C$5:$AA$496,4,))*$F419))</f>
        <v>0</v>
      </c>
      <c r="V419" s="27"/>
      <c r="W419" s="27">
        <f>IF(VLOOKUP($D419,$C$5:$AA$496,21,)=0,0,((VLOOKUP($D419,$C$5:$AA$496,21,)/VLOOKUP($D419,$C$5:$AA$496,4,))*$F419))</f>
        <v>0</v>
      </c>
      <c r="X419" s="27"/>
      <c r="Y419" s="27">
        <f>IF(VLOOKUP($D419,$C$5:$AA$496,23,)=0,0,((VLOOKUP($D419,$C$5:$AA$496,23,)/VLOOKUP($D419,$C$5:$AA$496,4,))*$F419))</f>
        <v>46158.05</v>
      </c>
      <c r="Z419" s="27"/>
      <c r="AA419" s="27">
        <f>IF(VLOOKUP($D419,$C$5:$AA$496,25,)=0,0,((VLOOKUP($D419,$C$5:$AA$496,25,)/VLOOKUP($D419,$C$5:$AA$496,4,))*$F419))</f>
        <v>0</v>
      </c>
      <c r="AB419" s="27">
        <f>SUM(H419:AA419)</f>
        <v>46158.05</v>
      </c>
      <c r="AC419" s="22" t="str">
        <f>IF(ABS(AB419-F419)&lt;1,"ok","err")</f>
        <v>ok</v>
      </c>
    </row>
    <row r="420" spans="1:29" x14ac:dyDescent="0.25">
      <c r="A420" s="14">
        <v>902</v>
      </c>
      <c r="B420" s="14" t="s">
        <v>141</v>
      </c>
      <c r="C420" s="14" t="s">
        <v>505</v>
      </c>
      <c r="D420" s="14" t="s">
        <v>140</v>
      </c>
      <c r="F420" s="110">
        <v>30501.49</v>
      </c>
      <c r="G420" s="27"/>
      <c r="H420" s="27">
        <f>IF(VLOOKUP($D420,$C$5:$AA$496,6,)=0,0,((VLOOKUP($D420,$C$5:$AA$496,6,)/VLOOKUP($D420,$C$5:$AA$496,4,))*$F420))</f>
        <v>0</v>
      </c>
      <c r="I420" s="27">
        <f>IF(VLOOKUP($D420,$C$5:$AA$496,7,)=0,0,((VLOOKUP($D420,$C$5:$AA$496,7,)/VLOOKUP($D420,$C$5:$AA$496,4,))*$F420))</f>
        <v>0</v>
      </c>
      <c r="J420" s="27"/>
      <c r="K420" s="27">
        <f>IF(VLOOKUP($D420,$C$5:$AA$496,9,)=0,0,((VLOOKUP($D420,$C$5:$AA$496,9,)/VLOOKUP($D420,$C$5:$AA$496,4,))*$F420))</f>
        <v>0</v>
      </c>
      <c r="L420" s="27"/>
      <c r="M420" s="27">
        <f>IF(VLOOKUP($D420,$C$5:$AA$496,11,)=0,0,((VLOOKUP($D420,$C$5:$AA$496,11,)/VLOOKUP($D420,$C$5:$AA$496,4,))*$F420))</f>
        <v>0</v>
      </c>
      <c r="N420" s="27"/>
      <c r="O420" s="27">
        <f>IF(VLOOKUP($D420,$C$5:$AA$496,13,)=0,0,((VLOOKUP($D420,$C$5:$AA$496,13,)/VLOOKUP($D420,$C$5:$AA$496,4,))*$F420))</f>
        <v>0</v>
      </c>
      <c r="P420" s="27">
        <f>IF(VLOOKUP($D420,$C$5:$AA$496,14,)=0,0,((VLOOKUP($D420,$C$5:$AA$496,14,)/VLOOKUP($D420,$C$5:$AA$496,4,))*$F420))</f>
        <v>0</v>
      </c>
      <c r="Q420" s="27"/>
      <c r="R420" s="27">
        <f>IF(VLOOKUP($D420,$C$5:$AA$496,16,)=0,0,((VLOOKUP($D420,$C$5:$AA$496,16,)/VLOOKUP($D420,$C$5:$AA$496,4,))*$F420))</f>
        <v>0</v>
      </c>
      <c r="S420" s="27">
        <f>IF(VLOOKUP($D420,$C$5:$AA$496,17,)=0,0,((VLOOKUP($D420,$C$5:$AA$496,17,)/VLOOKUP($D420,$C$5:$AA$496,4,))*$F420))</f>
        <v>0</v>
      </c>
      <c r="T420" s="27"/>
      <c r="U420" s="27">
        <f>IF(VLOOKUP($D420,$C$5:$AA$496,19,)=0,0,((VLOOKUP($D420,$C$5:$AA$496,19,)/VLOOKUP($D420,$C$5:$AA$496,4,))*$F420))</f>
        <v>0</v>
      </c>
      <c r="V420" s="27"/>
      <c r="W420" s="27">
        <f>IF(VLOOKUP($D420,$C$5:$AA$496,21,)=0,0,((VLOOKUP($D420,$C$5:$AA$496,21,)/VLOOKUP($D420,$C$5:$AA$496,4,))*$F420))</f>
        <v>0</v>
      </c>
      <c r="X420" s="27"/>
      <c r="Y420" s="27">
        <f>IF(VLOOKUP($D420,$C$5:$AA$496,23,)=0,0,((VLOOKUP($D420,$C$5:$AA$496,23,)/VLOOKUP($D420,$C$5:$AA$496,4,))*$F420))</f>
        <v>30501.49</v>
      </c>
      <c r="Z420" s="27"/>
      <c r="AA420" s="27">
        <f>IF(VLOOKUP($D420,$C$5:$AA$496,25,)=0,0,((VLOOKUP($D420,$C$5:$AA$496,25,)/VLOOKUP($D420,$C$5:$AA$496,4,))*$F420))</f>
        <v>0</v>
      </c>
      <c r="AB420" s="27">
        <f>SUM(H420:AA420)</f>
        <v>30501.49</v>
      </c>
      <c r="AC420" s="22" t="str">
        <f>IF(ABS(AB420-F420)&lt;1,"ok","err")</f>
        <v>ok</v>
      </c>
    </row>
    <row r="421" spans="1:29" x14ac:dyDescent="0.25">
      <c r="A421" s="14">
        <v>903</v>
      </c>
      <c r="B421" s="14" t="s">
        <v>452</v>
      </c>
      <c r="C421" s="14" t="s">
        <v>506</v>
      </c>
      <c r="D421" s="14" t="s">
        <v>140</v>
      </c>
      <c r="F421" s="110">
        <v>368224</v>
      </c>
      <c r="G421" s="27"/>
      <c r="H421" s="27">
        <f>IF(VLOOKUP($D421,$C$5:$AA$496,6,)=0,0,((VLOOKUP($D421,$C$5:$AA$496,6,)/VLOOKUP($D421,$C$5:$AA$496,4,))*$F421))</f>
        <v>0</v>
      </c>
      <c r="I421" s="27">
        <f>IF(VLOOKUP($D421,$C$5:$AA$496,7,)=0,0,((VLOOKUP($D421,$C$5:$AA$496,7,)/VLOOKUP($D421,$C$5:$AA$496,4,))*$F421))</f>
        <v>0</v>
      </c>
      <c r="J421" s="27"/>
      <c r="K421" s="27">
        <f>IF(VLOOKUP($D421,$C$5:$AA$496,9,)=0,0,((VLOOKUP($D421,$C$5:$AA$496,9,)/VLOOKUP($D421,$C$5:$AA$496,4,))*$F421))</f>
        <v>0</v>
      </c>
      <c r="L421" s="27"/>
      <c r="M421" s="27">
        <f>IF(VLOOKUP($D421,$C$5:$AA$496,11,)=0,0,((VLOOKUP($D421,$C$5:$AA$496,11,)/VLOOKUP($D421,$C$5:$AA$496,4,))*$F421))</f>
        <v>0</v>
      </c>
      <c r="N421" s="27"/>
      <c r="O421" s="27">
        <f>IF(VLOOKUP($D421,$C$5:$AA$496,13,)=0,0,((VLOOKUP($D421,$C$5:$AA$496,13,)/VLOOKUP($D421,$C$5:$AA$496,4,))*$F421))</f>
        <v>0</v>
      </c>
      <c r="P421" s="27">
        <f>IF(VLOOKUP($D421,$C$5:$AA$496,14,)=0,0,((VLOOKUP($D421,$C$5:$AA$496,14,)/VLOOKUP($D421,$C$5:$AA$496,4,))*$F421))</f>
        <v>0</v>
      </c>
      <c r="Q421" s="27"/>
      <c r="R421" s="27">
        <f>IF(VLOOKUP($D421,$C$5:$AA$496,16,)=0,0,((VLOOKUP($D421,$C$5:$AA$496,16,)/VLOOKUP($D421,$C$5:$AA$496,4,))*$F421))</f>
        <v>0</v>
      </c>
      <c r="S421" s="27">
        <f>IF(VLOOKUP($D421,$C$5:$AA$496,17,)=0,0,((VLOOKUP($D421,$C$5:$AA$496,17,)/VLOOKUP($D421,$C$5:$AA$496,4,))*$F421))</f>
        <v>0</v>
      </c>
      <c r="T421" s="27"/>
      <c r="U421" s="27">
        <f>IF(VLOOKUP($D421,$C$5:$AA$496,19,)=0,0,((VLOOKUP($D421,$C$5:$AA$496,19,)/VLOOKUP($D421,$C$5:$AA$496,4,))*$F421))</f>
        <v>0</v>
      </c>
      <c r="V421" s="27"/>
      <c r="W421" s="27">
        <f>IF(VLOOKUP($D421,$C$5:$AA$496,21,)=0,0,((VLOOKUP($D421,$C$5:$AA$496,21,)/VLOOKUP($D421,$C$5:$AA$496,4,))*$F421))</f>
        <v>0</v>
      </c>
      <c r="X421" s="27"/>
      <c r="Y421" s="27">
        <f>IF(VLOOKUP($D421,$C$5:$AA$496,23,)=0,0,((VLOOKUP($D421,$C$5:$AA$496,23,)/VLOOKUP($D421,$C$5:$AA$496,4,))*$F421))</f>
        <v>368224</v>
      </c>
      <c r="Z421" s="27"/>
      <c r="AA421" s="27">
        <f>IF(VLOOKUP($D421,$C$5:$AA$496,25,)=0,0,((VLOOKUP($D421,$C$5:$AA$496,25,)/VLOOKUP($D421,$C$5:$AA$496,4,))*$F421))</f>
        <v>0</v>
      </c>
      <c r="AB421" s="27">
        <f>SUM(H421:AA421)</f>
        <v>368224</v>
      </c>
      <c r="AC421" s="22" t="str">
        <f>IF(ABS(AB421-F421)&lt;1,"ok","err")</f>
        <v>ok</v>
      </c>
    </row>
    <row r="422" spans="1:29" x14ac:dyDescent="0.25">
      <c r="A422" s="14">
        <v>904</v>
      </c>
      <c r="B422" s="14" t="s">
        <v>144</v>
      </c>
      <c r="C422" s="14" t="s">
        <v>507</v>
      </c>
      <c r="D422" s="14" t="s">
        <v>140</v>
      </c>
      <c r="F422" s="110">
        <v>0</v>
      </c>
      <c r="G422" s="27"/>
      <c r="H422" s="27">
        <f>IF(VLOOKUP($D422,$C$5:$AA$496,6,)=0,0,((VLOOKUP($D422,$C$5:$AA$496,6,)/VLOOKUP($D422,$C$5:$AA$496,4,))*$F422))</f>
        <v>0</v>
      </c>
      <c r="I422" s="27">
        <f>IF(VLOOKUP($D422,$C$5:$AA$496,7,)=0,0,((VLOOKUP($D422,$C$5:$AA$496,7,)/VLOOKUP($D422,$C$5:$AA$496,4,))*$F422))</f>
        <v>0</v>
      </c>
      <c r="J422" s="27"/>
      <c r="K422" s="27">
        <f>IF(VLOOKUP($D422,$C$5:$AA$496,9,)=0,0,((VLOOKUP($D422,$C$5:$AA$496,9,)/VLOOKUP($D422,$C$5:$AA$496,4,))*$F422))</f>
        <v>0</v>
      </c>
      <c r="L422" s="27"/>
      <c r="M422" s="27">
        <f>IF(VLOOKUP($D422,$C$5:$AA$496,11,)=0,0,((VLOOKUP($D422,$C$5:$AA$496,11,)/VLOOKUP($D422,$C$5:$AA$496,4,))*$F422))</f>
        <v>0</v>
      </c>
      <c r="N422" s="27"/>
      <c r="O422" s="27">
        <f>IF(VLOOKUP($D422,$C$5:$AA$496,13,)=0,0,((VLOOKUP($D422,$C$5:$AA$496,13,)/VLOOKUP($D422,$C$5:$AA$496,4,))*$F422))</f>
        <v>0</v>
      </c>
      <c r="P422" s="27">
        <f>IF(VLOOKUP($D422,$C$5:$AA$496,14,)=0,0,((VLOOKUP($D422,$C$5:$AA$496,14,)/VLOOKUP($D422,$C$5:$AA$496,4,))*$F422))</f>
        <v>0</v>
      </c>
      <c r="Q422" s="27"/>
      <c r="R422" s="27">
        <f>IF(VLOOKUP($D422,$C$5:$AA$496,16,)=0,0,((VLOOKUP($D422,$C$5:$AA$496,16,)/VLOOKUP($D422,$C$5:$AA$496,4,))*$F422))</f>
        <v>0</v>
      </c>
      <c r="S422" s="27">
        <f>IF(VLOOKUP($D422,$C$5:$AA$496,17,)=0,0,((VLOOKUP($D422,$C$5:$AA$496,17,)/VLOOKUP($D422,$C$5:$AA$496,4,))*$F422))</f>
        <v>0</v>
      </c>
      <c r="T422" s="27"/>
      <c r="U422" s="27">
        <f>IF(VLOOKUP($D422,$C$5:$AA$496,19,)=0,0,((VLOOKUP($D422,$C$5:$AA$496,19,)/VLOOKUP($D422,$C$5:$AA$496,4,))*$F422))</f>
        <v>0</v>
      </c>
      <c r="V422" s="27"/>
      <c r="W422" s="27">
        <f>IF(VLOOKUP($D422,$C$5:$AA$496,21,)=0,0,((VLOOKUP($D422,$C$5:$AA$496,21,)/VLOOKUP($D422,$C$5:$AA$496,4,))*$F422))</f>
        <v>0</v>
      </c>
      <c r="X422" s="27"/>
      <c r="Y422" s="27">
        <f>IF(VLOOKUP($D422,$C$5:$AA$496,23,)=0,0,((VLOOKUP($D422,$C$5:$AA$496,23,)/VLOOKUP($D422,$C$5:$AA$496,4,))*$F422))</f>
        <v>0</v>
      </c>
      <c r="Z422" s="27"/>
      <c r="AA422" s="27">
        <f>IF(VLOOKUP($D422,$C$5:$AA$496,25,)=0,0,((VLOOKUP($D422,$C$5:$AA$496,25,)/VLOOKUP($D422,$C$5:$AA$496,4,))*$F422))</f>
        <v>0</v>
      </c>
      <c r="AB422" s="27">
        <f>SUM(H422:AA422)</f>
        <v>0</v>
      </c>
      <c r="AC422" s="22" t="str">
        <f>IF(ABS(AB422-F422)&lt;1,"ok","err")</f>
        <v>ok</v>
      </c>
    </row>
    <row r="423" spans="1:29" x14ac:dyDescent="0.25">
      <c r="A423" s="14">
        <v>905</v>
      </c>
      <c r="B423" s="14" t="s">
        <v>453</v>
      </c>
      <c r="C423" s="14" t="s">
        <v>506</v>
      </c>
      <c r="D423" s="14" t="s">
        <v>140</v>
      </c>
      <c r="F423" s="110">
        <v>0</v>
      </c>
      <c r="G423" s="27"/>
      <c r="H423" s="27">
        <f>IF(VLOOKUP($D423,$C$5:$AA$496,6,)=0,0,((VLOOKUP($D423,$C$5:$AA$496,6,)/VLOOKUP($D423,$C$5:$AA$496,4,))*$F423))</f>
        <v>0</v>
      </c>
      <c r="I423" s="27">
        <f>IF(VLOOKUP($D423,$C$5:$AA$496,7,)=0,0,((VLOOKUP($D423,$C$5:$AA$496,7,)/VLOOKUP($D423,$C$5:$AA$496,4,))*$F423))</f>
        <v>0</v>
      </c>
      <c r="J423" s="27"/>
      <c r="K423" s="27">
        <f>IF(VLOOKUP($D423,$C$5:$AA$496,9,)=0,0,((VLOOKUP($D423,$C$5:$AA$496,9,)/VLOOKUP($D423,$C$5:$AA$496,4,))*$F423))</f>
        <v>0</v>
      </c>
      <c r="L423" s="27"/>
      <c r="M423" s="27">
        <f>IF(VLOOKUP($D423,$C$5:$AA$496,11,)=0,0,((VLOOKUP($D423,$C$5:$AA$496,11,)/VLOOKUP($D423,$C$5:$AA$496,4,))*$F423))</f>
        <v>0</v>
      </c>
      <c r="N423" s="27"/>
      <c r="O423" s="27">
        <f>IF(VLOOKUP($D423,$C$5:$AA$496,13,)=0,0,((VLOOKUP($D423,$C$5:$AA$496,13,)/VLOOKUP($D423,$C$5:$AA$496,4,))*$F423))</f>
        <v>0</v>
      </c>
      <c r="P423" s="27">
        <f>IF(VLOOKUP($D423,$C$5:$AA$496,14,)=0,0,((VLOOKUP($D423,$C$5:$AA$496,14,)/VLOOKUP($D423,$C$5:$AA$496,4,))*$F423))</f>
        <v>0</v>
      </c>
      <c r="Q423" s="27"/>
      <c r="R423" s="27">
        <f>IF(VLOOKUP($D423,$C$5:$AA$496,16,)=0,0,((VLOOKUP($D423,$C$5:$AA$496,16,)/VLOOKUP($D423,$C$5:$AA$496,4,))*$F423))</f>
        <v>0</v>
      </c>
      <c r="S423" s="27">
        <f>IF(VLOOKUP($D423,$C$5:$AA$496,17,)=0,0,((VLOOKUP($D423,$C$5:$AA$496,17,)/VLOOKUP($D423,$C$5:$AA$496,4,))*$F423))</f>
        <v>0</v>
      </c>
      <c r="T423" s="27"/>
      <c r="U423" s="27">
        <f>IF(VLOOKUP($D423,$C$5:$AA$496,19,)=0,0,((VLOOKUP($D423,$C$5:$AA$496,19,)/VLOOKUP($D423,$C$5:$AA$496,4,))*$F423))</f>
        <v>0</v>
      </c>
      <c r="V423" s="27"/>
      <c r="W423" s="27">
        <f>IF(VLOOKUP($D423,$C$5:$AA$496,21,)=0,0,((VLOOKUP($D423,$C$5:$AA$496,21,)/VLOOKUP($D423,$C$5:$AA$496,4,))*$F423))</f>
        <v>0</v>
      </c>
      <c r="X423" s="27"/>
      <c r="Y423" s="27">
        <f>IF(VLOOKUP($D423,$C$5:$AA$496,23,)=0,0,((VLOOKUP($D423,$C$5:$AA$496,23,)/VLOOKUP($D423,$C$5:$AA$496,4,))*$F423))</f>
        <v>0</v>
      </c>
      <c r="Z423" s="27"/>
      <c r="AA423" s="27">
        <f>IF(VLOOKUP($D423,$C$5:$AA$496,25,)=0,0,((VLOOKUP($D423,$C$5:$AA$496,25,)/VLOOKUP($D423,$C$5:$AA$496,4,))*$F423))</f>
        <v>0</v>
      </c>
      <c r="AB423" s="27">
        <f>SUM(H423:AA423)</f>
        <v>0</v>
      </c>
      <c r="AC423" s="22" t="str">
        <f>IF(ABS(AB423-F423)&lt;1,"ok","err")</f>
        <v>ok</v>
      </c>
    </row>
    <row r="424" spans="1:29" x14ac:dyDescent="0.25">
      <c r="A424" s="13"/>
      <c r="F424" s="110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2"/>
    </row>
    <row r="425" spans="1:29" x14ac:dyDescent="0.25">
      <c r="A425" s="14" t="s">
        <v>542</v>
      </c>
      <c r="C425" s="14" t="s">
        <v>508</v>
      </c>
      <c r="F425" s="119">
        <f>SUM(F419:F424)</f>
        <v>444883.54000000004</v>
      </c>
      <c r="G425" s="40"/>
      <c r="H425" s="40">
        <f>SUM(H419:H424)</f>
        <v>0</v>
      </c>
      <c r="I425" s="40">
        <f>SUM(I419:I424)</f>
        <v>0</v>
      </c>
      <c r="J425" s="40"/>
      <c r="K425" s="40">
        <f>SUM(K419:K424)</f>
        <v>0</v>
      </c>
      <c r="L425" s="40"/>
      <c r="M425" s="40">
        <f>SUM(M419:M424)</f>
        <v>0</v>
      </c>
      <c r="N425" s="40"/>
      <c r="O425" s="40">
        <f>SUM(O419:O424)</f>
        <v>0</v>
      </c>
      <c r="P425" s="40">
        <f>SUM(P419:P424)</f>
        <v>0</v>
      </c>
      <c r="Q425" s="40"/>
      <c r="R425" s="40">
        <f>SUM(R419:R424)</f>
        <v>0</v>
      </c>
      <c r="S425" s="40">
        <f>SUM(S419:S424)</f>
        <v>0</v>
      </c>
      <c r="T425" s="40"/>
      <c r="U425" s="40">
        <f>SUM(U419:U424)</f>
        <v>0</v>
      </c>
      <c r="V425" s="40"/>
      <c r="W425" s="40">
        <f>SUM(W419:W424)</f>
        <v>0</v>
      </c>
      <c r="X425" s="40"/>
      <c r="Y425" s="40">
        <f>SUM(Y419:Y424)</f>
        <v>444883.54000000004</v>
      </c>
      <c r="Z425" s="40"/>
      <c r="AA425" s="40">
        <f>SUM(AA419:AA424)</f>
        <v>0</v>
      </c>
      <c r="AB425" s="27">
        <f>SUM(H425:AA425)</f>
        <v>444883.54000000004</v>
      </c>
      <c r="AC425" s="22" t="str">
        <f>IF(ABS(AB425-F425)&lt;1,"ok","err")</f>
        <v>ok</v>
      </c>
    </row>
    <row r="426" spans="1:29" x14ac:dyDescent="0.25">
      <c r="F426" s="110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C426" s="22"/>
    </row>
    <row r="427" spans="1:29" x14ac:dyDescent="0.25">
      <c r="A427" s="13" t="s">
        <v>148</v>
      </c>
      <c r="F427" s="110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C427" s="22"/>
    </row>
    <row r="428" spans="1:29" x14ac:dyDescent="0.25">
      <c r="A428" s="14">
        <v>907</v>
      </c>
      <c r="B428" s="14" t="s">
        <v>385</v>
      </c>
      <c r="C428" s="14" t="s">
        <v>509</v>
      </c>
      <c r="D428" s="14" t="s">
        <v>150</v>
      </c>
      <c r="F428" s="119">
        <v>31905.96</v>
      </c>
      <c r="G428" s="40"/>
      <c r="H428" s="27">
        <f t="shared" ref="H428:H438" si="246">IF(VLOOKUP($D428,$C$5:$AA$496,6,)=0,0,((VLOOKUP($D428,$C$5:$AA$496,6,)/VLOOKUP($D428,$C$5:$AA$496,4,))*$F428))</f>
        <v>0</v>
      </c>
      <c r="I428" s="27">
        <f t="shared" ref="I428:I438" si="247">IF(VLOOKUP($D428,$C$5:$AA$496,7,)=0,0,((VLOOKUP($D428,$C$5:$AA$496,7,)/VLOOKUP($D428,$C$5:$AA$496,4,))*$F428))</f>
        <v>0</v>
      </c>
      <c r="J428" s="27"/>
      <c r="K428" s="27">
        <f t="shared" ref="K428:K438" si="248">IF(VLOOKUP($D428,$C$5:$AA$496,9,)=0,0,((VLOOKUP($D428,$C$5:$AA$496,9,)/VLOOKUP($D428,$C$5:$AA$496,4,))*$F428))</f>
        <v>0</v>
      </c>
      <c r="L428" s="27"/>
      <c r="M428" s="27">
        <f t="shared" ref="M428:M438" si="249">IF(VLOOKUP($D428,$C$5:$AA$496,11,)=0,0,((VLOOKUP($D428,$C$5:$AA$496,11,)/VLOOKUP($D428,$C$5:$AA$496,4,))*$F428))</f>
        <v>0</v>
      </c>
      <c r="N428" s="27"/>
      <c r="O428" s="27">
        <f t="shared" ref="O428:O438" si="250">IF(VLOOKUP($D428,$C$5:$AA$496,13,)=0,0,((VLOOKUP($D428,$C$5:$AA$496,13,)/VLOOKUP($D428,$C$5:$AA$496,4,))*$F428))</f>
        <v>0</v>
      </c>
      <c r="P428" s="27">
        <f t="shared" ref="P428:P438" si="251">IF(VLOOKUP($D428,$C$5:$AA$496,14,)=0,0,((VLOOKUP($D428,$C$5:$AA$496,14,)/VLOOKUP($D428,$C$5:$AA$496,4,))*$F428))</f>
        <v>0</v>
      </c>
      <c r="Q428" s="27"/>
      <c r="R428" s="27">
        <f t="shared" ref="R428:R438" si="252">IF(VLOOKUP($D428,$C$5:$AA$496,16,)=0,0,((VLOOKUP($D428,$C$5:$AA$496,16,)/VLOOKUP($D428,$C$5:$AA$496,4,))*$F428))</f>
        <v>0</v>
      </c>
      <c r="S428" s="27">
        <f t="shared" ref="S428:S438" si="253">IF(VLOOKUP($D428,$C$5:$AA$496,17,)=0,0,((VLOOKUP($D428,$C$5:$AA$496,17,)/VLOOKUP($D428,$C$5:$AA$496,4,))*$F428))</f>
        <v>0</v>
      </c>
      <c r="T428" s="27"/>
      <c r="U428" s="27">
        <f t="shared" ref="U428:U438" si="254">IF(VLOOKUP($D428,$C$5:$AA$496,19,)=0,0,((VLOOKUP($D428,$C$5:$AA$496,19,)/VLOOKUP($D428,$C$5:$AA$496,4,))*$F428))</f>
        <v>0</v>
      </c>
      <c r="V428" s="27"/>
      <c r="W428" s="27">
        <f t="shared" ref="W428:W438" si="255">IF(VLOOKUP($D428,$C$5:$AA$496,21,)=0,0,((VLOOKUP($D428,$C$5:$AA$496,21,)/VLOOKUP($D428,$C$5:$AA$496,4,))*$F428))</f>
        <v>0</v>
      </c>
      <c r="X428" s="27"/>
      <c r="Y428" s="27">
        <f t="shared" ref="Y428:Y438" si="256">IF(VLOOKUP($D428,$C$5:$AA$496,23,)=0,0,((VLOOKUP($D428,$C$5:$AA$496,23,)/VLOOKUP($D428,$C$5:$AA$496,4,))*$F428))</f>
        <v>31905.96</v>
      </c>
      <c r="Z428" s="27"/>
      <c r="AA428" s="27">
        <f t="shared" ref="AA428:AA438" si="257">IF(VLOOKUP($D428,$C$5:$AA$496,25,)=0,0,((VLOOKUP($D428,$C$5:$AA$496,25,)/VLOOKUP($D428,$C$5:$AA$496,4,))*$F428))</f>
        <v>0</v>
      </c>
      <c r="AB428" s="27">
        <f t="shared" ref="AB428:AB438" si="258">SUM(H428:AA428)</f>
        <v>31905.96</v>
      </c>
      <c r="AC428" s="22" t="str">
        <f t="shared" ref="AC428:AC438" si="259">IF(ABS(AB428-F428)&lt;1,"ok","err")</f>
        <v>ok</v>
      </c>
    </row>
    <row r="429" spans="1:29" x14ac:dyDescent="0.25">
      <c r="A429" s="14">
        <v>908</v>
      </c>
      <c r="B429" s="14" t="s">
        <v>151</v>
      </c>
      <c r="C429" s="14" t="s">
        <v>510</v>
      </c>
      <c r="D429" s="14" t="s">
        <v>150</v>
      </c>
      <c r="F429" s="110">
        <v>11677.06</v>
      </c>
      <c r="G429" s="27"/>
      <c r="H429" s="27">
        <f t="shared" si="246"/>
        <v>0</v>
      </c>
      <c r="I429" s="27">
        <f t="shared" si="247"/>
        <v>0</v>
      </c>
      <c r="J429" s="27"/>
      <c r="K429" s="27">
        <f t="shared" si="248"/>
        <v>0</v>
      </c>
      <c r="L429" s="27"/>
      <c r="M429" s="27">
        <f t="shared" si="249"/>
        <v>0</v>
      </c>
      <c r="N429" s="27"/>
      <c r="O429" s="27">
        <f t="shared" si="250"/>
        <v>0</v>
      </c>
      <c r="P429" s="27">
        <f t="shared" si="251"/>
        <v>0</v>
      </c>
      <c r="Q429" s="27"/>
      <c r="R429" s="27">
        <f t="shared" si="252"/>
        <v>0</v>
      </c>
      <c r="S429" s="27">
        <f t="shared" si="253"/>
        <v>0</v>
      </c>
      <c r="T429" s="27"/>
      <c r="U429" s="27">
        <f t="shared" si="254"/>
        <v>0</v>
      </c>
      <c r="V429" s="27"/>
      <c r="W429" s="27">
        <f t="shared" si="255"/>
        <v>0</v>
      </c>
      <c r="X429" s="27"/>
      <c r="Y429" s="27">
        <f t="shared" si="256"/>
        <v>11677.06</v>
      </c>
      <c r="Z429" s="27"/>
      <c r="AA429" s="27">
        <f t="shared" si="257"/>
        <v>0</v>
      </c>
      <c r="AB429" s="27">
        <f t="shared" si="258"/>
        <v>11677.06</v>
      </c>
      <c r="AC429" s="22" t="str">
        <f t="shared" si="259"/>
        <v>ok</v>
      </c>
    </row>
    <row r="430" spans="1:29" x14ac:dyDescent="0.25">
      <c r="A430" s="14">
        <v>908</v>
      </c>
      <c r="B430" s="14" t="s">
        <v>454</v>
      </c>
      <c r="C430" s="14" t="s">
        <v>511</v>
      </c>
      <c r="D430" s="14" t="s">
        <v>471</v>
      </c>
      <c r="F430" s="110">
        <v>7330.3</v>
      </c>
      <c r="G430" s="27"/>
      <c r="H430" s="27">
        <f t="shared" si="246"/>
        <v>0</v>
      </c>
      <c r="I430" s="27">
        <f t="shared" si="247"/>
        <v>0</v>
      </c>
      <c r="J430" s="27"/>
      <c r="K430" s="27">
        <f t="shared" si="248"/>
        <v>0</v>
      </c>
      <c r="L430" s="27"/>
      <c r="M430" s="27">
        <f t="shared" si="249"/>
        <v>0</v>
      </c>
      <c r="N430" s="27"/>
      <c r="O430" s="27">
        <f t="shared" si="250"/>
        <v>0</v>
      </c>
      <c r="P430" s="27">
        <f t="shared" si="251"/>
        <v>0</v>
      </c>
      <c r="Q430" s="27"/>
      <c r="R430" s="27">
        <f t="shared" si="252"/>
        <v>0</v>
      </c>
      <c r="S430" s="27">
        <f t="shared" si="253"/>
        <v>0</v>
      </c>
      <c r="T430" s="27"/>
      <c r="U430" s="27">
        <f t="shared" si="254"/>
        <v>0</v>
      </c>
      <c r="V430" s="27"/>
      <c r="W430" s="27">
        <f t="shared" si="255"/>
        <v>0</v>
      </c>
      <c r="X430" s="27"/>
      <c r="Y430" s="27">
        <f t="shared" si="256"/>
        <v>0</v>
      </c>
      <c r="Z430" s="27"/>
      <c r="AA430" s="27">
        <f t="shared" si="257"/>
        <v>7330.3</v>
      </c>
      <c r="AB430" s="27">
        <f t="shared" si="258"/>
        <v>7330.3</v>
      </c>
      <c r="AC430" s="22" t="str">
        <f t="shared" si="259"/>
        <v>ok</v>
      </c>
    </row>
    <row r="431" spans="1:29" x14ac:dyDescent="0.25">
      <c r="A431" s="14">
        <v>909</v>
      </c>
      <c r="B431" s="14" t="s">
        <v>153</v>
      </c>
      <c r="C431" s="14" t="s">
        <v>512</v>
      </c>
      <c r="D431" s="14" t="s">
        <v>150</v>
      </c>
      <c r="F431" s="110">
        <v>0</v>
      </c>
      <c r="G431" s="27"/>
      <c r="H431" s="27">
        <f t="shared" si="246"/>
        <v>0</v>
      </c>
      <c r="I431" s="27">
        <f t="shared" si="247"/>
        <v>0</v>
      </c>
      <c r="J431" s="27"/>
      <c r="K431" s="27">
        <f t="shared" si="248"/>
        <v>0</v>
      </c>
      <c r="L431" s="27"/>
      <c r="M431" s="27">
        <f t="shared" si="249"/>
        <v>0</v>
      </c>
      <c r="N431" s="27"/>
      <c r="O431" s="27">
        <f t="shared" si="250"/>
        <v>0</v>
      </c>
      <c r="P431" s="27">
        <f t="shared" si="251"/>
        <v>0</v>
      </c>
      <c r="Q431" s="27"/>
      <c r="R431" s="27">
        <f t="shared" si="252"/>
        <v>0</v>
      </c>
      <c r="S431" s="27">
        <f t="shared" si="253"/>
        <v>0</v>
      </c>
      <c r="T431" s="27"/>
      <c r="U431" s="27">
        <f t="shared" si="254"/>
        <v>0</v>
      </c>
      <c r="V431" s="27"/>
      <c r="W431" s="27">
        <f t="shared" si="255"/>
        <v>0</v>
      </c>
      <c r="X431" s="27"/>
      <c r="Y431" s="27">
        <f t="shared" si="256"/>
        <v>0</v>
      </c>
      <c r="Z431" s="27"/>
      <c r="AA431" s="27">
        <f t="shared" si="257"/>
        <v>0</v>
      </c>
      <c r="AB431" s="27">
        <f t="shared" si="258"/>
        <v>0</v>
      </c>
      <c r="AC431" s="22" t="str">
        <f t="shared" si="259"/>
        <v>ok</v>
      </c>
    </row>
    <row r="432" spans="1:29" x14ac:dyDescent="0.25">
      <c r="A432" s="14">
        <v>909</v>
      </c>
      <c r="B432" s="14" t="s">
        <v>456</v>
      </c>
      <c r="C432" s="14" t="s">
        <v>513</v>
      </c>
      <c r="D432" s="14" t="s">
        <v>471</v>
      </c>
      <c r="F432" s="110">
        <v>0</v>
      </c>
      <c r="G432" s="27"/>
      <c r="H432" s="27">
        <f t="shared" si="246"/>
        <v>0</v>
      </c>
      <c r="I432" s="27">
        <f t="shared" si="247"/>
        <v>0</v>
      </c>
      <c r="J432" s="27"/>
      <c r="K432" s="27">
        <f t="shared" si="248"/>
        <v>0</v>
      </c>
      <c r="L432" s="27"/>
      <c r="M432" s="27">
        <f t="shared" si="249"/>
        <v>0</v>
      </c>
      <c r="N432" s="27"/>
      <c r="O432" s="27">
        <f t="shared" si="250"/>
        <v>0</v>
      </c>
      <c r="P432" s="27">
        <f t="shared" si="251"/>
        <v>0</v>
      </c>
      <c r="Q432" s="27"/>
      <c r="R432" s="27">
        <f t="shared" si="252"/>
        <v>0</v>
      </c>
      <c r="S432" s="27">
        <f t="shared" si="253"/>
        <v>0</v>
      </c>
      <c r="T432" s="27"/>
      <c r="U432" s="27">
        <f t="shared" si="254"/>
        <v>0</v>
      </c>
      <c r="V432" s="27"/>
      <c r="W432" s="27">
        <f t="shared" si="255"/>
        <v>0</v>
      </c>
      <c r="X432" s="27"/>
      <c r="Y432" s="27">
        <f t="shared" si="256"/>
        <v>0</v>
      </c>
      <c r="Z432" s="27"/>
      <c r="AA432" s="27">
        <f t="shared" si="257"/>
        <v>0</v>
      </c>
      <c r="AB432" s="27">
        <f t="shared" si="258"/>
        <v>0</v>
      </c>
      <c r="AC432" s="22" t="str">
        <f t="shared" si="259"/>
        <v>ok</v>
      </c>
    </row>
    <row r="433" spans="1:29" x14ac:dyDescent="0.25">
      <c r="A433" s="14">
        <v>910</v>
      </c>
      <c r="B433" s="14" t="s">
        <v>155</v>
      </c>
      <c r="C433" s="14" t="s">
        <v>514</v>
      </c>
      <c r="D433" s="14" t="s">
        <v>150</v>
      </c>
      <c r="F433" s="110">
        <v>0</v>
      </c>
      <c r="G433" s="27"/>
      <c r="H433" s="27">
        <f t="shared" si="246"/>
        <v>0</v>
      </c>
      <c r="I433" s="27">
        <f t="shared" si="247"/>
        <v>0</v>
      </c>
      <c r="J433" s="27"/>
      <c r="K433" s="27">
        <f t="shared" si="248"/>
        <v>0</v>
      </c>
      <c r="L433" s="27"/>
      <c r="M433" s="27">
        <f t="shared" si="249"/>
        <v>0</v>
      </c>
      <c r="N433" s="27"/>
      <c r="O433" s="27">
        <f t="shared" si="250"/>
        <v>0</v>
      </c>
      <c r="P433" s="27">
        <f t="shared" si="251"/>
        <v>0</v>
      </c>
      <c r="Q433" s="27"/>
      <c r="R433" s="27">
        <f t="shared" si="252"/>
        <v>0</v>
      </c>
      <c r="S433" s="27">
        <f t="shared" si="253"/>
        <v>0</v>
      </c>
      <c r="T433" s="27"/>
      <c r="U433" s="27">
        <f t="shared" si="254"/>
        <v>0</v>
      </c>
      <c r="V433" s="27"/>
      <c r="W433" s="27">
        <f t="shared" si="255"/>
        <v>0</v>
      </c>
      <c r="X433" s="27"/>
      <c r="Y433" s="27">
        <f t="shared" si="256"/>
        <v>0</v>
      </c>
      <c r="Z433" s="27"/>
      <c r="AA433" s="27">
        <f t="shared" si="257"/>
        <v>0</v>
      </c>
      <c r="AB433" s="27">
        <f t="shared" si="258"/>
        <v>0</v>
      </c>
      <c r="AC433" s="22" t="str">
        <f t="shared" si="259"/>
        <v>ok</v>
      </c>
    </row>
    <row r="434" spans="1:29" x14ac:dyDescent="0.25">
      <c r="A434" s="14">
        <v>911</v>
      </c>
      <c r="B434" s="14" t="s">
        <v>385</v>
      </c>
      <c r="C434" s="14" t="s">
        <v>709</v>
      </c>
      <c r="D434" s="14" t="s">
        <v>150</v>
      </c>
      <c r="F434" s="110">
        <v>0</v>
      </c>
      <c r="G434" s="27"/>
      <c r="H434" s="27">
        <f t="shared" si="246"/>
        <v>0</v>
      </c>
      <c r="I434" s="27">
        <f t="shared" si="247"/>
        <v>0</v>
      </c>
      <c r="J434" s="27"/>
      <c r="K434" s="27">
        <f t="shared" si="248"/>
        <v>0</v>
      </c>
      <c r="L434" s="27"/>
      <c r="M434" s="27">
        <f t="shared" si="249"/>
        <v>0</v>
      </c>
      <c r="N434" s="27"/>
      <c r="O434" s="27">
        <f t="shared" si="250"/>
        <v>0</v>
      </c>
      <c r="P434" s="27">
        <f t="shared" si="251"/>
        <v>0</v>
      </c>
      <c r="Q434" s="27"/>
      <c r="R434" s="27">
        <f t="shared" si="252"/>
        <v>0</v>
      </c>
      <c r="S434" s="27">
        <f t="shared" si="253"/>
        <v>0</v>
      </c>
      <c r="T434" s="27"/>
      <c r="U434" s="27">
        <f t="shared" si="254"/>
        <v>0</v>
      </c>
      <c r="V434" s="27"/>
      <c r="W434" s="27">
        <f t="shared" si="255"/>
        <v>0</v>
      </c>
      <c r="X434" s="27"/>
      <c r="Y434" s="27">
        <f t="shared" si="256"/>
        <v>0</v>
      </c>
      <c r="Z434" s="27"/>
      <c r="AA434" s="27">
        <f t="shared" si="257"/>
        <v>0</v>
      </c>
      <c r="AB434" s="27">
        <f>SUM(H434:AA434)</f>
        <v>0</v>
      </c>
      <c r="AC434" s="22" t="str">
        <f>IF(ABS(AB434-F434)&lt;1,"ok","err")</f>
        <v>ok</v>
      </c>
    </row>
    <row r="435" spans="1:29" x14ac:dyDescent="0.25">
      <c r="A435" s="14">
        <v>912</v>
      </c>
      <c r="B435" s="14" t="s">
        <v>587</v>
      </c>
      <c r="C435" s="14" t="s">
        <v>590</v>
      </c>
      <c r="D435" s="14" t="s">
        <v>471</v>
      </c>
      <c r="F435" s="110">
        <v>26164.89</v>
      </c>
      <c r="G435" s="27"/>
      <c r="H435" s="27">
        <f t="shared" si="246"/>
        <v>0</v>
      </c>
      <c r="I435" s="27">
        <f t="shared" si="247"/>
        <v>0</v>
      </c>
      <c r="J435" s="27"/>
      <c r="K435" s="27">
        <f t="shared" si="248"/>
        <v>0</v>
      </c>
      <c r="L435" s="27"/>
      <c r="M435" s="27">
        <f t="shared" si="249"/>
        <v>0</v>
      </c>
      <c r="N435" s="27"/>
      <c r="O435" s="27">
        <f t="shared" si="250"/>
        <v>0</v>
      </c>
      <c r="P435" s="27">
        <f t="shared" si="251"/>
        <v>0</v>
      </c>
      <c r="Q435" s="27"/>
      <c r="R435" s="27">
        <f t="shared" si="252"/>
        <v>0</v>
      </c>
      <c r="S435" s="27">
        <f t="shared" si="253"/>
        <v>0</v>
      </c>
      <c r="T435" s="27"/>
      <c r="U435" s="27">
        <f t="shared" si="254"/>
        <v>0</v>
      </c>
      <c r="V435" s="27"/>
      <c r="W435" s="27">
        <f t="shared" si="255"/>
        <v>0</v>
      </c>
      <c r="X435" s="27"/>
      <c r="Y435" s="27">
        <f t="shared" si="256"/>
        <v>0</v>
      </c>
      <c r="Z435" s="27"/>
      <c r="AA435" s="27">
        <f t="shared" si="257"/>
        <v>26164.89</v>
      </c>
      <c r="AB435" s="27">
        <f t="shared" si="258"/>
        <v>26164.89</v>
      </c>
      <c r="AC435" s="22" t="str">
        <f t="shared" si="259"/>
        <v>ok</v>
      </c>
    </row>
    <row r="436" spans="1:29" x14ac:dyDescent="0.25">
      <c r="A436" s="14">
        <v>913</v>
      </c>
      <c r="B436" s="14" t="s">
        <v>576</v>
      </c>
      <c r="C436" s="14" t="s">
        <v>591</v>
      </c>
      <c r="D436" s="14" t="s">
        <v>471</v>
      </c>
      <c r="F436" s="110">
        <v>0</v>
      </c>
      <c r="G436" s="27"/>
      <c r="H436" s="27">
        <f t="shared" si="246"/>
        <v>0</v>
      </c>
      <c r="I436" s="27">
        <f t="shared" si="247"/>
        <v>0</v>
      </c>
      <c r="J436" s="27"/>
      <c r="K436" s="27">
        <f t="shared" si="248"/>
        <v>0</v>
      </c>
      <c r="L436" s="27"/>
      <c r="M436" s="27">
        <f t="shared" si="249"/>
        <v>0</v>
      </c>
      <c r="N436" s="27"/>
      <c r="O436" s="27">
        <f t="shared" si="250"/>
        <v>0</v>
      </c>
      <c r="P436" s="27">
        <f t="shared" si="251"/>
        <v>0</v>
      </c>
      <c r="Q436" s="27"/>
      <c r="R436" s="27">
        <f t="shared" si="252"/>
        <v>0</v>
      </c>
      <c r="S436" s="27">
        <f t="shared" si="253"/>
        <v>0</v>
      </c>
      <c r="T436" s="27"/>
      <c r="U436" s="27">
        <f t="shared" si="254"/>
        <v>0</v>
      </c>
      <c r="V436" s="27"/>
      <c r="W436" s="27">
        <f t="shared" si="255"/>
        <v>0</v>
      </c>
      <c r="X436" s="27"/>
      <c r="Y436" s="27">
        <f t="shared" si="256"/>
        <v>0</v>
      </c>
      <c r="Z436" s="27"/>
      <c r="AA436" s="27">
        <f t="shared" si="257"/>
        <v>0</v>
      </c>
      <c r="AB436" s="27">
        <f t="shared" si="258"/>
        <v>0</v>
      </c>
      <c r="AC436" s="22" t="str">
        <f t="shared" si="259"/>
        <v>ok</v>
      </c>
    </row>
    <row r="437" spans="1:29" x14ac:dyDescent="0.25">
      <c r="A437" s="14">
        <v>915</v>
      </c>
      <c r="B437" s="14" t="s">
        <v>637</v>
      </c>
      <c r="C437" s="14" t="s">
        <v>640</v>
      </c>
      <c r="D437" s="14" t="s">
        <v>471</v>
      </c>
      <c r="F437" s="110">
        <v>0</v>
      </c>
      <c r="G437" s="27"/>
      <c r="H437" s="27">
        <f t="shared" si="246"/>
        <v>0</v>
      </c>
      <c r="I437" s="27">
        <f t="shared" si="247"/>
        <v>0</v>
      </c>
      <c r="J437" s="27"/>
      <c r="K437" s="27">
        <f t="shared" si="248"/>
        <v>0</v>
      </c>
      <c r="L437" s="27"/>
      <c r="M437" s="27">
        <f t="shared" si="249"/>
        <v>0</v>
      </c>
      <c r="N437" s="27"/>
      <c r="O437" s="27">
        <f t="shared" si="250"/>
        <v>0</v>
      </c>
      <c r="P437" s="27">
        <f t="shared" si="251"/>
        <v>0</v>
      </c>
      <c r="Q437" s="27"/>
      <c r="R437" s="27">
        <f t="shared" si="252"/>
        <v>0</v>
      </c>
      <c r="S437" s="27">
        <f t="shared" si="253"/>
        <v>0</v>
      </c>
      <c r="T437" s="27"/>
      <c r="U437" s="27">
        <f t="shared" si="254"/>
        <v>0</v>
      </c>
      <c r="V437" s="27"/>
      <c r="W437" s="27">
        <f t="shared" si="255"/>
        <v>0</v>
      </c>
      <c r="X437" s="27"/>
      <c r="Y437" s="27">
        <f t="shared" si="256"/>
        <v>0</v>
      </c>
      <c r="Z437" s="27"/>
      <c r="AA437" s="27">
        <f t="shared" si="257"/>
        <v>0</v>
      </c>
      <c r="AB437" s="27">
        <f t="shared" si="258"/>
        <v>0</v>
      </c>
      <c r="AC437" s="22" t="str">
        <f t="shared" si="259"/>
        <v>ok</v>
      </c>
    </row>
    <row r="438" spans="1:29" x14ac:dyDescent="0.25">
      <c r="A438" s="14">
        <v>916</v>
      </c>
      <c r="B438" s="14" t="s">
        <v>638</v>
      </c>
      <c r="C438" s="14" t="s">
        <v>641</v>
      </c>
      <c r="D438" s="14" t="s">
        <v>471</v>
      </c>
      <c r="F438" s="110">
        <v>0</v>
      </c>
      <c r="G438" s="27"/>
      <c r="H438" s="27">
        <f t="shared" si="246"/>
        <v>0</v>
      </c>
      <c r="I438" s="27">
        <f t="shared" si="247"/>
        <v>0</v>
      </c>
      <c r="J438" s="27"/>
      <c r="K438" s="27">
        <f t="shared" si="248"/>
        <v>0</v>
      </c>
      <c r="L438" s="27"/>
      <c r="M438" s="27">
        <f t="shared" si="249"/>
        <v>0</v>
      </c>
      <c r="N438" s="27"/>
      <c r="O438" s="27">
        <f t="shared" si="250"/>
        <v>0</v>
      </c>
      <c r="P438" s="27">
        <f t="shared" si="251"/>
        <v>0</v>
      </c>
      <c r="Q438" s="27"/>
      <c r="R438" s="27">
        <f t="shared" si="252"/>
        <v>0</v>
      </c>
      <c r="S438" s="27">
        <f t="shared" si="253"/>
        <v>0</v>
      </c>
      <c r="T438" s="27"/>
      <c r="U438" s="27">
        <f t="shared" si="254"/>
        <v>0</v>
      </c>
      <c r="V438" s="27"/>
      <c r="W438" s="27">
        <f t="shared" si="255"/>
        <v>0</v>
      </c>
      <c r="X438" s="27"/>
      <c r="Y438" s="27">
        <f t="shared" si="256"/>
        <v>0</v>
      </c>
      <c r="Z438" s="27"/>
      <c r="AA438" s="27">
        <f t="shared" si="257"/>
        <v>0</v>
      </c>
      <c r="AB438" s="27">
        <f t="shared" si="258"/>
        <v>0</v>
      </c>
      <c r="AC438" s="22" t="str">
        <f t="shared" si="259"/>
        <v>ok</v>
      </c>
    </row>
    <row r="439" spans="1:29" x14ac:dyDescent="0.25">
      <c r="F439" s="110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2"/>
    </row>
    <row r="440" spans="1:29" x14ac:dyDescent="0.25">
      <c r="A440" s="14" t="s">
        <v>543</v>
      </c>
      <c r="C440" s="14" t="s">
        <v>515</v>
      </c>
      <c r="F440" s="119">
        <f>SUM(F428:F439)</f>
        <v>77078.209999999992</v>
      </c>
      <c r="G440" s="40"/>
      <c r="H440" s="40">
        <f>SUM(H428:H439)</f>
        <v>0</v>
      </c>
      <c r="I440" s="40">
        <f>SUM(I428:I439)</f>
        <v>0</v>
      </c>
      <c r="J440" s="40"/>
      <c r="K440" s="40">
        <f>SUM(K428:K439)</f>
        <v>0</v>
      </c>
      <c r="L440" s="40"/>
      <c r="M440" s="40">
        <f>SUM(M428:M439)</f>
        <v>0</v>
      </c>
      <c r="N440" s="40"/>
      <c r="O440" s="40">
        <f>SUM(O428:O439)</f>
        <v>0</v>
      </c>
      <c r="P440" s="40">
        <f>SUM(P428:P439)</f>
        <v>0</v>
      </c>
      <c r="Q440" s="40"/>
      <c r="R440" s="40">
        <f>SUM(R428:R439)</f>
        <v>0</v>
      </c>
      <c r="S440" s="40">
        <f>SUM(S428:S439)</f>
        <v>0</v>
      </c>
      <c r="T440" s="40"/>
      <c r="U440" s="40">
        <f>SUM(U428:U439)</f>
        <v>0</v>
      </c>
      <c r="V440" s="40"/>
      <c r="W440" s="40">
        <f>SUM(W428:W439)</f>
        <v>0</v>
      </c>
      <c r="X440" s="40"/>
      <c r="Y440" s="40">
        <f>SUM(Y428:Y439)</f>
        <v>43583.02</v>
      </c>
      <c r="Z440" s="40"/>
      <c r="AA440" s="40">
        <f>SUM(AA428:AA439)</f>
        <v>33495.19</v>
      </c>
      <c r="AB440" s="27">
        <f>SUM(H440:AA440)</f>
        <v>77078.209999999992</v>
      </c>
      <c r="AC440" s="22" t="str">
        <f>IF(ABS(AB440-F440)&lt;1,"ok","err")</f>
        <v>ok</v>
      </c>
    </row>
    <row r="441" spans="1:29" x14ac:dyDescent="0.25">
      <c r="F441" s="110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C441" s="22"/>
    </row>
    <row r="442" spans="1:29" x14ac:dyDescent="0.25">
      <c r="A442" s="14" t="s">
        <v>544</v>
      </c>
      <c r="C442" s="14" t="s">
        <v>516</v>
      </c>
      <c r="F442" s="110">
        <f>F414+F425+F440</f>
        <v>1899791.6099999999</v>
      </c>
      <c r="G442" s="27"/>
      <c r="H442" s="27">
        <f>H414+H425+H440</f>
        <v>0</v>
      </c>
      <c r="I442" s="27">
        <f>I414+I425+I440</f>
        <v>0</v>
      </c>
      <c r="J442" s="27"/>
      <c r="K442" s="27">
        <f>K414+K425+K440</f>
        <v>0</v>
      </c>
      <c r="L442" s="27"/>
      <c r="M442" s="27">
        <f>M414+M425+M440</f>
        <v>0</v>
      </c>
      <c r="N442" s="27"/>
      <c r="O442" s="27">
        <f>O414+O425+O440</f>
        <v>808346.7249255809</v>
      </c>
      <c r="P442" s="27">
        <f>P414+P425+P440</f>
        <v>265983.96928969712</v>
      </c>
      <c r="Q442" s="27"/>
      <c r="R442" s="27">
        <f>R414+R425+R440</f>
        <v>0</v>
      </c>
      <c r="S442" s="27">
        <f>S414+S425+S440</f>
        <v>28200.09593833355</v>
      </c>
      <c r="T442" s="27"/>
      <c r="U442" s="27">
        <f>U414+U425+U440</f>
        <v>270876.51988887449</v>
      </c>
      <c r="V442" s="27"/>
      <c r="W442" s="27">
        <f>W414+W425+W440</f>
        <v>4422.5499575136309</v>
      </c>
      <c r="X442" s="27"/>
      <c r="Y442" s="27">
        <f>Y414+Y425+Y440</f>
        <v>488466.56000000006</v>
      </c>
      <c r="Z442" s="27"/>
      <c r="AA442" s="27">
        <f>AA414+AA425+AA440</f>
        <v>33495.19</v>
      </c>
      <c r="AB442" s="27">
        <f>SUM(H442:AA442)</f>
        <v>1899791.6099999996</v>
      </c>
      <c r="AC442" s="22" t="str">
        <f>IF(ABS(AB442-F442)&lt;1,"ok","err")</f>
        <v>ok</v>
      </c>
    </row>
    <row r="443" spans="1:29" x14ac:dyDescent="0.25">
      <c r="F443" s="110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C443" s="22"/>
    </row>
    <row r="444" spans="1:29" x14ac:dyDescent="0.25">
      <c r="F444" s="110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C444" s="22"/>
    </row>
    <row r="445" spans="1:29" x14ac:dyDescent="0.25">
      <c r="A445" s="20" t="s">
        <v>473</v>
      </c>
      <c r="F445" s="110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C445" s="22"/>
    </row>
    <row r="446" spans="1:29" x14ac:dyDescent="0.25">
      <c r="F446" s="110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C446" s="22"/>
    </row>
    <row r="447" spans="1:29" x14ac:dyDescent="0.25">
      <c r="A447" s="13" t="s">
        <v>159</v>
      </c>
      <c r="F447" s="110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C447" s="22"/>
    </row>
    <row r="448" spans="1:29" x14ac:dyDescent="0.25">
      <c r="A448" s="14">
        <v>920</v>
      </c>
      <c r="B448" s="14" t="s">
        <v>160</v>
      </c>
      <c r="C448" s="14" t="s">
        <v>517</v>
      </c>
      <c r="D448" s="14" t="s">
        <v>411</v>
      </c>
      <c r="F448" s="119">
        <v>460586</v>
      </c>
      <c r="G448" s="40"/>
      <c r="H448" s="27">
        <f t="shared" ref="H448:H459" si="260">IF(VLOOKUP($D448,$C$5:$AA$496,6,)=0,0,((VLOOKUP($D448,$C$5:$AA$496,6,)/VLOOKUP($D448,$C$5:$AA$496,4,))*$F448))</f>
        <v>0</v>
      </c>
      <c r="I448" s="27">
        <f t="shared" ref="I448:I459" si="261">IF(VLOOKUP($D448,$C$5:$AA$496,7,)=0,0,((VLOOKUP($D448,$C$5:$AA$496,7,)/VLOOKUP($D448,$C$5:$AA$496,4,))*$F448))</f>
        <v>0</v>
      </c>
      <c r="J448" s="27"/>
      <c r="K448" s="27">
        <f t="shared" ref="K448:K459" si="262">IF(VLOOKUP($D448,$C$5:$AA$496,9,)=0,0,((VLOOKUP($D448,$C$5:$AA$496,9,)/VLOOKUP($D448,$C$5:$AA$496,4,))*$F448))</f>
        <v>0</v>
      </c>
      <c r="L448" s="27"/>
      <c r="M448" s="27">
        <f t="shared" ref="M448:M459" si="263">IF(VLOOKUP($D448,$C$5:$AA$496,11,)=0,0,((VLOOKUP($D448,$C$5:$AA$496,11,)/VLOOKUP($D448,$C$5:$AA$496,4,))*$F448))</f>
        <v>0</v>
      </c>
      <c r="N448" s="27"/>
      <c r="O448" s="27">
        <f t="shared" ref="O448:O459" si="264">IF(VLOOKUP($D448,$C$5:$AA$496,13,)=0,0,((VLOOKUP($D448,$C$5:$AA$496,13,)/VLOOKUP($D448,$C$5:$AA$496,4,))*$F448))</f>
        <v>242398.06055944492</v>
      </c>
      <c r="P448" s="27">
        <f t="shared" ref="P448:P459" si="265">IF(VLOOKUP($D448,$C$5:$AA$496,14,)=0,0,((VLOOKUP($D448,$C$5:$AA$496,14,)/VLOOKUP($D448,$C$5:$AA$496,4,))*$F448))</f>
        <v>77447.444592707281</v>
      </c>
      <c r="Q448" s="27"/>
      <c r="R448" s="27">
        <f t="shared" ref="R448:R459" si="266">IF(VLOOKUP($D448,$C$5:$AA$496,16,)=0,0,((VLOOKUP($D448,$C$5:$AA$496,16,)/VLOOKUP($D448,$C$5:$AA$496,4,))*$F448))</f>
        <v>0</v>
      </c>
      <c r="S448" s="27">
        <f t="shared" ref="S448:S459" si="267">IF(VLOOKUP($D448,$C$5:$AA$496,17,)=0,0,((VLOOKUP($D448,$C$5:$AA$496,17,)/VLOOKUP($D448,$C$5:$AA$496,4,))*$F448))</f>
        <v>7086.5566165338423</v>
      </c>
      <c r="T448" s="27"/>
      <c r="U448" s="27">
        <f t="shared" ref="U448:U459" si="268">IF(VLOOKUP($D448,$C$5:$AA$496,19,)=0,0,((VLOOKUP($D448,$C$5:$AA$496,19,)/VLOOKUP($D448,$C$5:$AA$496,4,))*$F448))</f>
        <v>29980.559035659884</v>
      </c>
      <c r="V448" s="27"/>
      <c r="W448" s="27">
        <f t="shared" ref="W448:W459" si="269">IF(VLOOKUP($D448,$C$5:$AA$496,21,)=0,0,((VLOOKUP($D448,$C$5:$AA$496,21,)/VLOOKUP($D448,$C$5:$AA$496,4,))*$F448))</f>
        <v>725.51791536807218</v>
      </c>
      <c r="X448" s="27"/>
      <c r="Y448" s="27">
        <f t="shared" ref="Y448:Y459" si="270">IF(VLOOKUP($D448,$C$5:$AA$496,23,)=0,0,((VLOOKUP($D448,$C$5:$AA$496,23,)/VLOOKUP($D448,$C$5:$AA$496,4,))*$F448))</f>
        <v>97853.235988201064</v>
      </c>
      <c r="Z448" s="27"/>
      <c r="AA448" s="27">
        <f t="shared" ref="AA448:AA459" si="271">IF(VLOOKUP($D448,$C$5:$AA$496,25,)=0,0,((VLOOKUP($D448,$C$5:$AA$496,25,)/VLOOKUP($D448,$C$5:$AA$496,4,))*$F448))</f>
        <v>5094.625292084881</v>
      </c>
      <c r="AB448" s="27">
        <f t="shared" ref="AB448:AB459" si="272">SUM(H448:AA448)</f>
        <v>460585.99999999994</v>
      </c>
      <c r="AC448" s="22" t="str">
        <f t="shared" ref="AC448:AC459" si="273">IF(ABS(AB448-F448)&lt;1,"ok","err")</f>
        <v>ok</v>
      </c>
    </row>
    <row r="449" spans="1:29" x14ac:dyDescent="0.25">
      <c r="A449" s="14">
        <v>921</v>
      </c>
      <c r="B449" s="14" t="s">
        <v>162</v>
      </c>
      <c r="C449" s="14" t="s">
        <v>518</v>
      </c>
      <c r="D449" s="14" t="s">
        <v>516</v>
      </c>
      <c r="F449" s="110">
        <v>115505.39</v>
      </c>
      <c r="G449" s="27"/>
      <c r="H449" s="27">
        <f t="shared" si="260"/>
        <v>0</v>
      </c>
      <c r="I449" s="27">
        <f t="shared" si="261"/>
        <v>0</v>
      </c>
      <c r="J449" s="27"/>
      <c r="K449" s="27">
        <f t="shared" si="262"/>
        <v>0</v>
      </c>
      <c r="L449" s="27"/>
      <c r="M449" s="27">
        <f t="shared" si="263"/>
        <v>0</v>
      </c>
      <c r="N449" s="27"/>
      <c r="O449" s="27">
        <f t="shared" si="264"/>
        <v>49146.655468044701</v>
      </c>
      <c r="P449" s="27">
        <f t="shared" si="265"/>
        <v>16171.553735072286</v>
      </c>
      <c r="Q449" s="27"/>
      <c r="R449" s="27">
        <f t="shared" si="266"/>
        <v>0</v>
      </c>
      <c r="S449" s="27">
        <f t="shared" si="267"/>
        <v>1714.5370377725972</v>
      </c>
      <c r="T449" s="27"/>
      <c r="U449" s="27">
        <f t="shared" si="268"/>
        <v>16469.015815691073</v>
      </c>
      <c r="V449" s="27"/>
      <c r="W449" s="27">
        <f t="shared" si="269"/>
        <v>268.88652152595586</v>
      </c>
      <c r="X449" s="27"/>
      <c r="Y449" s="27">
        <f t="shared" si="270"/>
        <v>29698.268072022074</v>
      </c>
      <c r="Z449" s="27"/>
      <c r="AA449" s="27">
        <f t="shared" si="271"/>
        <v>2036.4733498713056</v>
      </c>
      <c r="AB449" s="27">
        <f t="shared" si="272"/>
        <v>115505.39</v>
      </c>
      <c r="AC449" s="22" t="str">
        <f t="shared" si="273"/>
        <v>ok</v>
      </c>
    </row>
    <row r="450" spans="1:29" x14ac:dyDescent="0.25">
      <c r="A450" s="14">
        <v>923</v>
      </c>
      <c r="B450" s="14" t="s">
        <v>164</v>
      </c>
      <c r="C450" s="14" t="s">
        <v>519</v>
      </c>
      <c r="D450" s="14" t="s">
        <v>411</v>
      </c>
      <c r="F450" s="110">
        <v>0</v>
      </c>
      <c r="G450" s="27"/>
      <c r="H450" s="27">
        <f t="shared" si="260"/>
        <v>0</v>
      </c>
      <c r="I450" s="27">
        <f t="shared" si="261"/>
        <v>0</v>
      </c>
      <c r="J450" s="27"/>
      <c r="K450" s="27">
        <f t="shared" si="262"/>
        <v>0</v>
      </c>
      <c r="L450" s="27"/>
      <c r="M450" s="27">
        <f t="shared" si="263"/>
        <v>0</v>
      </c>
      <c r="N450" s="27"/>
      <c r="O450" s="27">
        <f t="shared" si="264"/>
        <v>0</v>
      </c>
      <c r="P450" s="27">
        <f t="shared" si="265"/>
        <v>0</v>
      </c>
      <c r="Q450" s="27"/>
      <c r="R450" s="27">
        <f t="shared" si="266"/>
        <v>0</v>
      </c>
      <c r="S450" s="27">
        <f t="shared" si="267"/>
        <v>0</v>
      </c>
      <c r="T450" s="27"/>
      <c r="U450" s="27">
        <f t="shared" si="268"/>
        <v>0</v>
      </c>
      <c r="V450" s="27"/>
      <c r="W450" s="27">
        <f t="shared" si="269"/>
        <v>0</v>
      </c>
      <c r="X450" s="27"/>
      <c r="Y450" s="27">
        <f t="shared" si="270"/>
        <v>0</v>
      </c>
      <c r="Z450" s="27"/>
      <c r="AA450" s="27">
        <f t="shared" si="271"/>
        <v>0</v>
      </c>
      <c r="AB450" s="27">
        <f t="shared" si="272"/>
        <v>0</v>
      </c>
      <c r="AC450" s="22" t="str">
        <f t="shared" si="273"/>
        <v>ok</v>
      </c>
    </row>
    <row r="451" spans="1:29" x14ac:dyDescent="0.25">
      <c r="A451" s="14">
        <v>924</v>
      </c>
      <c r="B451" s="14" t="s">
        <v>166</v>
      </c>
      <c r="C451" s="14" t="s">
        <v>520</v>
      </c>
      <c r="D451" s="14" t="s">
        <v>84</v>
      </c>
      <c r="F451" s="110">
        <v>0</v>
      </c>
      <c r="G451" s="27"/>
      <c r="H451" s="27">
        <f t="shared" si="260"/>
        <v>0</v>
      </c>
      <c r="I451" s="27">
        <f t="shared" si="261"/>
        <v>0</v>
      </c>
      <c r="J451" s="27"/>
      <c r="K451" s="27">
        <f t="shared" si="262"/>
        <v>0</v>
      </c>
      <c r="L451" s="27"/>
      <c r="M451" s="27">
        <f t="shared" si="263"/>
        <v>0</v>
      </c>
      <c r="N451" s="27"/>
      <c r="O451" s="27">
        <f t="shared" si="264"/>
        <v>0</v>
      </c>
      <c r="P451" s="27">
        <f t="shared" si="265"/>
        <v>0</v>
      </c>
      <c r="Q451" s="27"/>
      <c r="R451" s="27">
        <f t="shared" si="266"/>
        <v>0</v>
      </c>
      <c r="S451" s="27">
        <f t="shared" si="267"/>
        <v>0</v>
      </c>
      <c r="T451" s="27"/>
      <c r="U451" s="27">
        <f t="shared" si="268"/>
        <v>0</v>
      </c>
      <c r="V451" s="27"/>
      <c r="W451" s="27">
        <f t="shared" si="269"/>
        <v>0</v>
      </c>
      <c r="X451" s="27"/>
      <c r="Y451" s="27">
        <f t="shared" si="270"/>
        <v>0</v>
      </c>
      <c r="Z451" s="27"/>
      <c r="AA451" s="27">
        <f t="shared" si="271"/>
        <v>0</v>
      </c>
      <c r="AB451" s="27">
        <f t="shared" si="272"/>
        <v>0</v>
      </c>
      <c r="AC451" s="22" t="str">
        <f t="shared" si="273"/>
        <v>ok</v>
      </c>
    </row>
    <row r="452" spans="1:29" x14ac:dyDescent="0.25">
      <c r="A452" s="14">
        <v>925</v>
      </c>
      <c r="B452" s="14" t="s">
        <v>168</v>
      </c>
      <c r="C452" s="14" t="s">
        <v>521</v>
      </c>
      <c r="D452" s="14" t="s">
        <v>516</v>
      </c>
      <c r="F452" s="110">
        <v>0</v>
      </c>
      <c r="G452" s="27"/>
      <c r="H452" s="27">
        <f t="shared" si="260"/>
        <v>0</v>
      </c>
      <c r="I452" s="27">
        <f t="shared" si="261"/>
        <v>0</v>
      </c>
      <c r="J452" s="27"/>
      <c r="K452" s="27">
        <f t="shared" si="262"/>
        <v>0</v>
      </c>
      <c r="L452" s="27"/>
      <c r="M452" s="27">
        <f t="shared" si="263"/>
        <v>0</v>
      </c>
      <c r="N452" s="27"/>
      <c r="O452" s="27">
        <f t="shared" si="264"/>
        <v>0</v>
      </c>
      <c r="P452" s="27">
        <f t="shared" si="265"/>
        <v>0</v>
      </c>
      <c r="Q452" s="27"/>
      <c r="R452" s="27">
        <f t="shared" si="266"/>
        <v>0</v>
      </c>
      <c r="S452" s="27">
        <f t="shared" si="267"/>
        <v>0</v>
      </c>
      <c r="T452" s="27"/>
      <c r="U452" s="27">
        <f t="shared" si="268"/>
        <v>0</v>
      </c>
      <c r="V452" s="27"/>
      <c r="W452" s="27">
        <f t="shared" si="269"/>
        <v>0</v>
      </c>
      <c r="X452" s="27"/>
      <c r="Y452" s="27">
        <f t="shared" si="270"/>
        <v>0</v>
      </c>
      <c r="Z452" s="27"/>
      <c r="AA452" s="27">
        <f t="shared" si="271"/>
        <v>0</v>
      </c>
      <c r="AB452" s="27">
        <f t="shared" si="272"/>
        <v>0</v>
      </c>
      <c r="AC452" s="22" t="str">
        <f t="shared" si="273"/>
        <v>ok</v>
      </c>
    </row>
    <row r="453" spans="1:29" x14ac:dyDescent="0.25">
      <c r="A453" s="14">
        <v>926</v>
      </c>
      <c r="B453" s="14" t="s">
        <v>170</v>
      </c>
      <c r="C453" s="14" t="s">
        <v>522</v>
      </c>
      <c r="D453" s="14" t="s">
        <v>516</v>
      </c>
      <c r="F453" s="110">
        <v>0</v>
      </c>
      <c r="G453" s="27"/>
      <c r="H453" s="27">
        <f t="shared" si="260"/>
        <v>0</v>
      </c>
      <c r="I453" s="27">
        <f t="shared" si="261"/>
        <v>0</v>
      </c>
      <c r="J453" s="27"/>
      <c r="K453" s="27">
        <f t="shared" si="262"/>
        <v>0</v>
      </c>
      <c r="L453" s="27"/>
      <c r="M453" s="27">
        <f t="shared" si="263"/>
        <v>0</v>
      </c>
      <c r="N453" s="27"/>
      <c r="O453" s="27">
        <f t="shared" si="264"/>
        <v>0</v>
      </c>
      <c r="P453" s="27">
        <f t="shared" si="265"/>
        <v>0</v>
      </c>
      <c r="Q453" s="27"/>
      <c r="R453" s="27">
        <f t="shared" si="266"/>
        <v>0</v>
      </c>
      <c r="S453" s="27">
        <f t="shared" si="267"/>
        <v>0</v>
      </c>
      <c r="T453" s="27"/>
      <c r="U453" s="27">
        <f t="shared" si="268"/>
        <v>0</v>
      </c>
      <c r="V453" s="27"/>
      <c r="W453" s="27">
        <f t="shared" si="269"/>
        <v>0</v>
      </c>
      <c r="X453" s="27"/>
      <c r="Y453" s="27">
        <f t="shared" si="270"/>
        <v>0</v>
      </c>
      <c r="Z453" s="27"/>
      <c r="AA453" s="27">
        <f t="shared" si="271"/>
        <v>0</v>
      </c>
      <c r="AB453" s="27">
        <f t="shared" si="272"/>
        <v>0</v>
      </c>
      <c r="AC453" s="22" t="str">
        <f t="shared" si="273"/>
        <v>ok</v>
      </c>
    </row>
    <row r="454" spans="1:29" x14ac:dyDescent="0.25">
      <c r="A454" s="14">
        <v>928</v>
      </c>
      <c r="B454" s="14" t="s">
        <v>172</v>
      </c>
      <c r="C454" s="14" t="s">
        <v>523</v>
      </c>
      <c r="D454" s="14" t="s">
        <v>411</v>
      </c>
      <c r="F454" s="110">
        <v>0</v>
      </c>
      <c r="G454" s="27"/>
      <c r="H454" s="27">
        <f t="shared" si="260"/>
        <v>0</v>
      </c>
      <c r="I454" s="27">
        <f t="shared" si="261"/>
        <v>0</v>
      </c>
      <c r="J454" s="27"/>
      <c r="K454" s="27">
        <f t="shared" si="262"/>
        <v>0</v>
      </c>
      <c r="L454" s="27"/>
      <c r="M454" s="27">
        <f t="shared" si="263"/>
        <v>0</v>
      </c>
      <c r="N454" s="27"/>
      <c r="O454" s="27">
        <f t="shared" si="264"/>
        <v>0</v>
      </c>
      <c r="P454" s="27">
        <f t="shared" si="265"/>
        <v>0</v>
      </c>
      <c r="Q454" s="27"/>
      <c r="R454" s="27">
        <f t="shared" si="266"/>
        <v>0</v>
      </c>
      <c r="S454" s="27">
        <f t="shared" si="267"/>
        <v>0</v>
      </c>
      <c r="T454" s="27"/>
      <c r="U454" s="27">
        <f t="shared" si="268"/>
        <v>0</v>
      </c>
      <c r="V454" s="27"/>
      <c r="W454" s="27">
        <f t="shared" si="269"/>
        <v>0</v>
      </c>
      <c r="X454" s="27"/>
      <c r="Y454" s="27">
        <f t="shared" si="270"/>
        <v>0</v>
      </c>
      <c r="Z454" s="27"/>
      <c r="AA454" s="27">
        <f t="shared" si="271"/>
        <v>0</v>
      </c>
      <c r="AB454" s="27">
        <f t="shared" si="272"/>
        <v>0</v>
      </c>
      <c r="AC454" s="22" t="str">
        <f t="shared" si="273"/>
        <v>ok</v>
      </c>
    </row>
    <row r="455" spans="1:29" x14ac:dyDescent="0.25">
      <c r="A455" s="14">
        <v>929</v>
      </c>
      <c r="B455" s="14" t="s">
        <v>386</v>
      </c>
      <c r="C455" s="14" t="s">
        <v>524</v>
      </c>
      <c r="D455" s="14" t="s">
        <v>411</v>
      </c>
      <c r="F455" s="110">
        <v>0</v>
      </c>
      <c r="G455" s="27"/>
      <c r="H455" s="27">
        <f t="shared" si="260"/>
        <v>0</v>
      </c>
      <c r="I455" s="27">
        <f t="shared" si="261"/>
        <v>0</v>
      </c>
      <c r="J455" s="27"/>
      <c r="K455" s="27">
        <f t="shared" si="262"/>
        <v>0</v>
      </c>
      <c r="L455" s="27"/>
      <c r="M455" s="27">
        <f t="shared" si="263"/>
        <v>0</v>
      </c>
      <c r="N455" s="27"/>
      <c r="O455" s="27">
        <f t="shared" si="264"/>
        <v>0</v>
      </c>
      <c r="P455" s="27">
        <f t="shared" si="265"/>
        <v>0</v>
      </c>
      <c r="Q455" s="27"/>
      <c r="R455" s="27">
        <f t="shared" si="266"/>
        <v>0</v>
      </c>
      <c r="S455" s="27">
        <f t="shared" si="267"/>
        <v>0</v>
      </c>
      <c r="T455" s="27"/>
      <c r="U455" s="27">
        <f t="shared" si="268"/>
        <v>0</v>
      </c>
      <c r="V455" s="27"/>
      <c r="W455" s="27">
        <f t="shared" si="269"/>
        <v>0</v>
      </c>
      <c r="X455" s="27"/>
      <c r="Y455" s="27">
        <f t="shared" si="270"/>
        <v>0</v>
      </c>
      <c r="Z455" s="27"/>
      <c r="AA455" s="27">
        <f t="shared" si="271"/>
        <v>0</v>
      </c>
      <c r="AB455" s="27">
        <f t="shared" si="272"/>
        <v>0</v>
      </c>
      <c r="AC455" s="22" t="str">
        <f t="shared" si="273"/>
        <v>ok</v>
      </c>
    </row>
    <row r="456" spans="1:29" x14ac:dyDescent="0.25">
      <c r="A456" s="14">
        <v>930</v>
      </c>
      <c r="B456" s="14" t="s">
        <v>174</v>
      </c>
      <c r="C456" s="14" t="s">
        <v>525</v>
      </c>
      <c r="D456" s="14" t="s">
        <v>411</v>
      </c>
      <c r="F456" s="110">
        <v>60695</v>
      </c>
      <c r="G456" s="27"/>
      <c r="H456" s="27">
        <f t="shared" si="260"/>
        <v>0</v>
      </c>
      <c r="I456" s="27">
        <f t="shared" si="261"/>
        <v>0</v>
      </c>
      <c r="J456" s="27"/>
      <c r="K456" s="27">
        <f t="shared" si="262"/>
        <v>0</v>
      </c>
      <c r="L456" s="27"/>
      <c r="M456" s="27">
        <f t="shared" si="263"/>
        <v>0</v>
      </c>
      <c r="N456" s="27"/>
      <c r="O456" s="27">
        <f t="shared" si="264"/>
        <v>31942.677992069905</v>
      </c>
      <c r="P456" s="27">
        <f t="shared" si="265"/>
        <v>10205.852217727783</v>
      </c>
      <c r="Q456" s="27"/>
      <c r="R456" s="27">
        <f t="shared" si="266"/>
        <v>0</v>
      </c>
      <c r="S456" s="27">
        <f t="shared" si="267"/>
        <v>933.85068986144074</v>
      </c>
      <c r="T456" s="27"/>
      <c r="U456" s="27">
        <f t="shared" si="268"/>
        <v>3950.7714751846052</v>
      </c>
      <c r="V456" s="27"/>
      <c r="W456" s="27">
        <f t="shared" si="269"/>
        <v>95.60713932526204</v>
      </c>
      <c r="X456" s="27"/>
      <c r="Y456" s="27">
        <f t="shared" si="270"/>
        <v>12894.88208131351</v>
      </c>
      <c r="Z456" s="27"/>
      <c r="AA456" s="27">
        <f t="shared" si="271"/>
        <v>671.35840451748822</v>
      </c>
      <c r="AB456" s="27">
        <f t="shared" si="272"/>
        <v>60695</v>
      </c>
      <c r="AC456" s="22" t="str">
        <f t="shared" si="273"/>
        <v>ok</v>
      </c>
    </row>
    <row r="457" spans="1:29" x14ac:dyDescent="0.25">
      <c r="A457" s="14">
        <v>931</v>
      </c>
      <c r="B457" s="14" t="s">
        <v>176</v>
      </c>
      <c r="C457" s="14" t="s">
        <v>526</v>
      </c>
      <c r="D457" s="14" t="s">
        <v>84</v>
      </c>
      <c r="F457" s="110">
        <v>0</v>
      </c>
      <c r="G457" s="27"/>
      <c r="H457" s="27">
        <f t="shared" si="260"/>
        <v>0</v>
      </c>
      <c r="I457" s="27">
        <f t="shared" si="261"/>
        <v>0</v>
      </c>
      <c r="J457" s="27"/>
      <c r="K457" s="27">
        <f t="shared" si="262"/>
        <v>0</v>
      </c>
      <c r="L457" s="27"/>
      <c r="M457" s="27">
        <f t="shared" si="263"/>
        <v>0</v>
      </c>
      <c r="N457" s="27"/>
      <c r="O457" s="27">
        <f t="shared" si="264"/>
        <v>0</v>
      </c>
      <c r="P457" s="27">
        <f t="shared" si="265"/>
        <v>0</v>
      </c>
      <c r="Q457" s="27"/>
      <c r="R457" s="27">
        <f t="shared" si="266"/>
        <v>0</v>
      </c>
      <c r="S457" s="27">
        <f t="shared" si="267"/>
        <v>0</v>
      </c>
      <c r="T457" s="27"/>
      <c r="U457" s="27">
        <f t="shared" si="268"/>
        <v>0</v>
      </c>
      <c r="V457" s="27"/>
      <c r="W457" s="27">
        <f t="shared" si="269"/>
        <v>0</v>
      </c>
      <c r="X457" s="27"/>
      <c r="Y457" s="27">
        <f t="shared" si="270"/>
        <v>0</v>
      </c>
      <c r="Z457" s="27"/>
      <c r="AA457" s="27">
        <f t="shared" si="271"/>
        <v>0</v>
      </c>
      <c r="AB457" s="27">
        <f t="shared" si="272"/>
        <v>0</v>
      </c>
      <c r="AC457" s="22" t="str">
        <f t="shared" si="273"/>
        <v>ok</v>
      </c>
    </row>
    <row r="458" spans="1:29" x14ac:dyDescent="0.25">
      <c r="A458" s="14">
        <v>932</v>
      </c>
      <c r="B458" s="14" t="s">
        <v>1022</v>
      </c>
      <c r="C458" s="14" t="s">
        <v>1021</v>
      </c>
      <c r="D458" s="14" t="s">
        <v>70</v>
      </c>
      <c r="F458" s="110">
        <v>0</v>
      </c>
      <c r="G458" s="27"/>
      <c r="H458" s="27">
        <f t="shared" si="260"/>
        <v>0</v>
      </c>
      <c r="I458" s="27">
        <f t="shared" si="261"/>
        <v>0</v>
      </c>
      <c r="J458" s="27"/>
      <c r="K458" s="27">
        <f t="shared" si="262"/>
        <v>0</v>
      </c>
      <c r="L458" s="27"/>
      <c r="M458" s="27">
        <f t="shared" si="263"/>
        <v>0</v>
      </c>
      <c r="N458" s="27"/>
      <c r="O458" s="27">
        <f t="shared" si="264"/>
        <v>0</v>
      </c>
      <c r="P458" s="27">
        <f t="shared" si="265"/>
        <v>0</v>
      </c>
      <c r="Q458" s="27"/>
      <c r="R458" s="27">
        <f t="shared" si="266"/>
        <v>0</v>
      </c>
      <c r="S458" s="27">
        <f t="shared" si="267"/>
        <v>0</v>
      </c>
      <c r="T458" s="27"/>
      <c r="U458" s="27">
        <f t="shared" si="268"/>
        <v>0</v>
      </c>
      <c r="V458" s="27"/>
      <c r="W458" s="27">
        <f t="shared" si="269"/>
        <v>0</v>
      </c>
      <c r="X458" s="27"/>
      <c r="Y458" s="27">
        <f t="shared" si="270"/>
        <v>0</v>
      </c>
      <c r="Z458" s="27"/>
      <c r="AA458" s="27">
        <f t="shared" si="271"/>
        <v>0</v>
      </c>
      <c r="AB458" s="27">
        <f t="shared" si="272"/>
        <v>0</v>
      </c>
      <c r="AC458" s="22" t="str">
        <f t="shared" si="273"/>
        <v>ok</v>
      </c>
    </row>
    <row r="459" spans="1:29" x14ac:dyDescent="0.25">
      <c r="A459" s="14">
        <v>935</v>
      </c>
      <c r="B459" s="14" t="s">
        <v>918</v>
      </c>
      <c r="C459" s="14" t="s">
        <v>1034</v>
      </c>
      <c r="D459" s="14" t="s">
        <v>70</v>
      </c>
      <c r="F459" s="110">
        <v>23191.64</v>
      </c>
      <c r="G459" s="27"/>
      <c r="H459" s="27">
        <f t="shared" si="260"/>
        <v>0</v>
      </c>
      <c r="I459" s="27">
        <f t="shared" si="261"/>
        <v>0</v>
      </c>
      <c r="J459" s="27"/>
      <c r="K459" s="27">
        <f t="shared" si="262"/>
        <v>0</v>
      </c>
      <c r="L459" s="27"/>
      <c r="M459" s="27">
        <f t="shared" si="263"/>
        <v>0</v>
      </c>
      <c r="N459" s="27"/>
      <c r="O459" s="27">
        <f t="shared" si="264"/>
        <v>13825.282466808187</v>
      </c>
      <c r="P459" s="27">
        <f t="shared" si="265"/>
        <v>5545.9750052184772</v>
      </c>
      <c r="Q459" s="27"/>
      <c r="R459" s="27">
        <f t="shared" si="266"/>
        <v>0</v>
      </c>
      <c r="S459" s="27">
        <f t="shared" si="267"/>
        <v>1710.6721855476042</v>
      </c>
      <c r="T459" s="27"/>
      <c r="U459" s="27">
        <f t="shared" si="268"/>
        <v>1341.356329260424</v>
      </c>
      <c r="V459" s="27"/>
      <c r="W459" s="27">
        <f t="shared" si="269"/>
        <v>768.35401316529533</v>
      </c>
      <c r="X459" s="27"/>
      <c r="Y459" s="27">
        <f t="shared" si="270"/>
        <v>0</v>
      </c>
      <c r="Z459" s="27"/>
      <c r="AA459" s="27">
        <f t="shared" si="271"/>
        <v>0</v>
      </c>
      <c r="AB459" s="27">
        <f t="shared" si="272"/>
        <v>23191.639999999985</v>
      </c>
      <c r="AC459" s="22" t="str">
        <f t="shared" si="273"/>
        <v>ok</v>
      </c>
    </row>
    <row r="460" spans="1:29" x14ac:dyDescent="0.25">
      <c r="F460" s="110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2"/>
    </row>
    <row r="461" spans="1:29" x14ac:dyDescent="0.25">
      <c r="A461" s="14" t="s">
        <v>179</v>
      </c>
      <c r="C461" s="14" t="s">
        <v>527</v>
      </c>
      <c r="F461" s="119">
        <f>SUM(F448:F460)</f>
        <v>659978.03</v>
      </c>
      <c r="G461" s="40"/>
      <c r="H461" s="40">
        <f>SUM(H448:H460)</f>
        <v>0</v>
      </c>
      <c r="I461" s="40">
        <f>SUM(I448:I460)</f>
        <v>0</v>
      </c>
      <c r="J461" s="40"/>
      <c r="K461" s="40">
        <f>SUM(K448:K460)</f>
        <v>0</v>
      </c>
      <c r="L461" s="40"/>
      <c r="M461" s="40">
        <f>SUM(M448:M460)</f>
        <v>0</v>
      </c>
      <c r="N461" s="40"/>
      <c r="O461" s="40">
        <f>SUM(O448:O460)</f>
        <v>337312.67648636771</v>
      </c>
      <c r="P461" s="40">
        <f>SUM(P448:P460)</f>
        <v>109370.82555072583</v>
      </c>
      <c r="Q461" s="40"/>
      <c r="R461" s="40">
        <f>SUM(R448:R460)</f>
        <v>0</v>
      </c>
      <c r="S461" s="40">
        <f>SUM(S448:S460)</f>
        <v>11445.616529715486</v>
      </c>
      <c r="T461" s="40"/>
      <c r="U461" s="40">
        <f>SUM(U448:U460)</f>
        <v>51741.702655795991</v>
      </c>
      <c r="V461" s="40"/>
      <c r="W461" s="40">
        <f>SUM(W448:W460)</f>
        <v>1858.3655893845855</v>
      </c>
      <c r="X461" s="40"/>
      <c r="Y461" s="40">
        <f>SUM(Y448:Y460)</f>
        <v>140446.38614153664</v>
      </c>
      <c r="Z461" s="40"/>
      <c r="AA461" s="40">
        <f>SUM(AA448:AA460)</f>
        <v>7802.4570464736753</v>
      </c>
      <c r="AB461" s="27">
        <f>SUM(H461:AA461)</f>
        <v>659978.0299999998</v>
      </c>
      <c r="AC461" s="22" t="str">
        <f>IF(ABS(AB461-F461)&lt;1,"ok","err")</f>
        <v>ok</v>
      </c>
    </row>
    <row r="462" spans="1:29" x14ac:dyDescent="0.25">
      <c r="D462" s="61"/>
      <c r="F462" s="110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2"/>
    </row>
    <row r="463" spans="1:29" x14ac:dyDescent="0.25">
      <c r="A463" s="14" t="s">
        <v>181</v>
      </c>
      <c r="C463" s="14" t="s">
        <v>528</v>
      </c>
      <c r="F463" s="119">
        <f>F358+F416+F425+F440+F461</f>
        <v>2559769.6399999997</v>
      </c>
      <c r="G463" s="40"/>
      <c r="H463" s="40">
        <f>H358+H416+H425+H440+H461</f>
        <v>0</v>
      </c>
      <c r="I463" s="40">
        <f>I358+I416+I425+I440+I461</f>
        <v>0</v>
      </c>
      <c r="J463" s="40"/>
      <c r="K463" s="40">
        <f>K358+K416+K425+K440+K461</f>
        <v>0</v>
      </c>
      <c r="L463" s="40"/>
      <c r="M463" s="40">
        <f>M358+M416+M425+M440+M461</f>
        <v>0</v>
      </c>
      <c r="N463" s="40"/>
      <c r="O463" s="40">
        <f>O358+O416+O425+O440+O461</f>
        <v>1145659.4014119487</v>
      </c>
      <c r="P463" s="40">
        <f>P358+P416+P425+P440+P461</f>
        <v>375354.79484042292</v>
      </c>
      <c r="Q463" s="40"/>
      <c r="R463" s="40">
        <f>R358+R416+R425+R440+R461</f>
        <v>0</v>
      </c>
      <c r="S463" s="40">
        <f>S358+S416+S425+S440+S461</f>
        <v>39645.712468049038</v>
      </c>
      <c r="T463" s="40"/>
      <c r="U463" s="40">
        <f>U358+U416+U425+U440+U461</f>
        <v>322618.22254467045</v>
      </c>
      <c r="V463" s="40"/>
      <c r="W463" s="40">
        <f>W358+W416+W425+W440+W461</f>
        <v>6280.9155468982162</v>
      </c>
      <c r="X463" s="40"/>
      <c r="Y463" s="40">
        <f>Y358+Y416+Y425+Y440+Y461</f>
        <v>628912.9461415367</v>
      </c>
      <c r="Z463" s="40"/>
      <c r="AA463" s="40">
        <f>AA358+AA416+AA425+AA440+AA461</f>
        <v>41297.647046473678</v>
      </c>
      <c r="AB463" s="27">
        <f>SUM(H463:AA463)</f>
        <v>2559769.64</v>
      </c>
      <c r="AC463" s="22" t="str">
        <f>IF(ABS(AB463-F463)&lt;1,"ok","err")</f>
        <v>ok</v>
      </c>
    </row>
    <row r="464" spans="1:29" x14ac:dyDescent="0.25">
      <c r="F464" s="110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2"/>
    </row>
    <row r="465" spans="1:29" x14ac:dyDescent="0.25">
      <c r="A465" s="14" t="s">
        <v>412</v>
      </c>
      <c r="C465" s="14" t="s">
        <v>529</v>
      </c>
      <c r="F465" s="120">
        <f>F463-F364</f>
        <v>2559769.6399999997</v>
      </c>
      <c r="G465" s="61"/>
      <c r="H465" s="61">
        <f>H463-H364</f>
        <v>0</v>
      </c>
      <c r="I465" s="61">
        <f>I463-I364</f>
        <v>0</v>
      </c>
      <c r="J465" s="61"/>
      <c r="K465" s="61">
        <f>K463-K364</f>
        <v>0</v>
      </c>
      <c r="L465" s="61"/>
      <c r="M465" s="61">
        <f>M463-M364</f>
        <v>0</v>
      </c>
      <c r="N465" s="61"/>
      <c r="O465" s="61">
        <f>O463-O364</f>
        <v>1145659.4014119487</v>
      </c>
      <c r="P465" s="61">
        <f>P463-P364</f>
        <v>375354.79484042292</v>
      </c>
      <c r="Q465" s="61"/>
      <c r="R465" s="61">
        <f>R463-R364</f>
        <v>0</v>
      </c>
      <c r="S465" s="61">
        <f>S463-S364</f>
        <v>39645.712468049038</v>
      </c>
      <c r="T465" s="61"/>
      <c r="U465" s="61">
        <f>U463-U364</f>
        <v>322618.22254467045</v>
      </c>
      <c r="V465" s="61"/>
      <c r="W465" s="61">
        <f>W463-W364</f>
        <v>6280.9155468982162</v>
      </c>
      <c r="X465" s="61"/>
      <c r="Y465" s="61">
        <f>Y463-Y364</f>
        <v>628912.9461415367</v>
      </c>
      <c r="Z465" s="61"/>
      <c r="AA465" s="61">
        <f>AA463-AA364</f>
        <v>41297.647046473678</v>
      </c>
      <c r="AB465" s="27">
        <f>SUM(H465:AA465)</f>
        <v>2559769.64</v>
      </c>
      <c r="AC465" s="22" t="str">
        <f>IF(ABS(AB465-F465)&lt;1,"ok","err")</f>
        <v>ok</v>
      </c>
    </row>
    <row r="466" spans="1:29" x14ac:dyDescent="0.25">
      <c r="F466" s="120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27"/>
      <c r="AC466" s="22"/>
    </row>
    <row r="467" spans="1:29" x14ac:dyDescent="0.25">
      <c r="A467" s="20" t="s">
        <v>199</v>
      </c>
      <c r="AC467" s="22"/>
    </row>
    <row r="468" spans="1:29" x14ac:dyDescent="0.25">
      <c r="AC468" s="22"/>
    </row>
    <row r="469" spans="1:29" x14ac:dyDescent="0.25">
      <c r="A469" s="14" t="s">
        <v>1</v>
      </c>
      <c r="C469" s="14" t="s">
        <v>24</v>
      </c>
      <c r="F469" s="122">
        <v>1</v>
      </c>
      <c r="G469" s="65"/>
      <c r="H469" s="66">
        <v>0</v>
      </c>
      <c r="I469" s="66">
        <v>0</v>
      </c>
      <c r="J469" s="66"/>
      <c r="K469" s="66">
        <v>0</v>
      </c>
      <c r="L469" s="65"/>
      <c r="M469" s="66">
        <v>1</v>
      </c>
      <c r="N469" s="65"/>
      <c r="O469" s="66">
        <v>0</v>
      </c>
      <c r="P469" s="66">
        <v>0</v>
      </c>
      <c r="Q469" s="67"/>
      <c r="R469" s="65">
        <v>0</v>
      </c>
      <c r="S469" s="65">
        <v>0</v>
      </c>
      <c r="T469" s="65"/>
      <c r="U469" s="65">
        <v>0</v>
      </c>
      <c r="V469" s="65"/>
      <c r="W469" s="65">
        <v>0</v>
      </c>
      <c r="X469" s="65"/>
      <c r="Y469" s="65">
        <v>0</v>
      </c>
      <c r="Z469" s="65"/>
      <c r="AA469" s="65">
        <v>0</v>
      </c>
      <c r="AB469" s="66">
        <f>SUM(H469:AA469)</f>
        <v>1</v>
      </c>
      <c r="AC469" s="22" t="str">
        <f t="shared" ref="AC469:AC479" si="274">IF(ABS(AB469-F469)&lt;0.0000001,"ok","err")</f>
        <v>ok</v>
      </c>
    </row>
    <row r="470" spans="1:29" x14ac:dyDescent="0.25">
      <c r="A470" s="14" t="s">
        <v>200</v>
      </c>
      <c r="C470" s="14" t="s">
        <v>27</v>
      </c>
      <c r="F470" s="122">
        <v>1</v>
      </c>
      <c r="G470" s="65"/>
      <c r="H470" s="66">
        <v>0</v>
      </c>
      <c r="I470" s="66">
        <v>0</v>
      </c>
      <c r="J470" s="66"/>
      <c r="K470" s="66">
        <v>0</v>
      </c>
      <c r="L470" s="65"/>
      <c r="M470" s="66">
        <v>0</v>
      </c>
      <c r="N470" s="65"/>
      <c r="O470" s="66">
        <f>O471</f>
        <v>0.81324863685318571</v>
      </c>
      <c r="P470" s="66">
        <f>P471</f>
        <v>0.18675136314681426</v>
      </c>
      <c r="Q470" s="67"/>
      <c r="R470" s="65">
        <v>0</v>
      </c>
      <c r="S470" s="65">
        <v>0</v>
      </c>
      <c r="T470" s="65"/>
      <c r="U470" s="65">
        <v>0</v>
      </c>
      <c r="V470" s="65"/>
      <c r="W470" s="65">
        <v>0</v>
      </c>
      <c r="X470" s="65"/>
      <c r="Y470" s="65">
        <v>0</v>
      </c>
      <c r="Z470" s="65"/>
      <c r="AA470" s="65">
        <v>0</v>
      </c>
      <c r="AB470" s="66">
        <f t="shared" ref="AB470:AB478" si="275">SUM(H470:AA470)</f>
        <v>1</v>
      </c>
      <c r="AC470" s="22" t="str">
        <f t="shared" si="274"/>
        <v>ok</v>
      </c>
    </row>
    <row r="471" spans="1:29" x14ac:dyDescent="0.25">
      <c r="A471" s="14" t="s">
        <v>201</v>
      </c>
      <c r="C471" s="14" t="s">
        <v>30</v>
      </c>
      <c r="F471" s="122">
        <v>1</v>
      </c>
      <c r="G471" s="65"/>
      <c r="H471" s="66">
        <v>0</v>
      </c>
      <c r="I471" s="66">
        <v>0</v>
      </c>
      <c r="J471" s="66"/>
      <c r="K471" s="66">
        <v>0</v>
      </c>
      <c r="L471" s="65"/>
      <c r="M471" s="66">
        <v>0</v>
      </c>
      <c r="N471" s="65"/>
      <c r="O471" s="66">
        <f>ZeroInt!D143</f>
        <v>0.81324863685318571</v>
      </c>
      <c r="P471" s="66">
        <f>ZeroInt!E143</f>
        <v>0.18675136314681426</v>
      </c>
      <c r="Q471" s="67"/>
      <c r="R471" s="65">
        <v>0</v>
      </c>
      <c r="S471" s="65">
        <v>0</v>
      </c>
      <c r="T471" s="65"/>
      <c r="U471" s="65">
        <v>0</v>
      </c>
      <c r="V471" s="65"/>
      <c r="W471" s="65">
        <v>0</v>
      </c>
      <c r="X471" s="65"/>
      <c r="Y471" s="65">
        <v>0</v>
      </c>
      <c r="Z471" s="65"/>
      <c r="AA471" s="65">
        <v>0</v>
      </c>
      <c r="AB471" s="66">
        <f t="shared" si="275"/>
        <v>1</v>
      </c>
      <c r="AC471" s="22" t="str">
        <f t="shared" si="274"/>
        <v>ok</v>
      </c>
    </row>
    <row r="472" spans="1:29" x14ac:dyDescent="0.25">
      <c r="A472" s="14" t="s">
        <v>202</v>
      </c>
      <c r="C472" s="14" t="s">
        <v>33</v>
      </c>
      <c r="F472" s="122">
        <v>1</v>
      </c>
      <c r="G472" s="65"/>
      <c r="H472" s="66">
        <v>0</v>
      </c>
      <c r="I472" s="66">
        <v>0</v>
      </c>
      <c r="J472" s="66"/>
      <c r="K472" s="66">
        <v>0</v>
      </c>
      <c r="L472" s="65"/>
      <c r="M472" s="66">
        <v>0</v>
      </c>
      <c r="N472" s="65"/>
      <c r="O472" s="66">
        <f>ZeroInt!D144</f>
        <v>0.66069295565171471</v>
      </c>
      <c r="P472" s="66">
        <f>ZeroInt!E144</f>
        <v>0.33930704434828529</v>
      </c>
      <c r="Q472" s="67"/>
      <c r="R472" s="65">
        <v>0</v>
      </c>
      <c r="S472" s="65">
        <v>0</v>
      </c>
      <c r="T472" s="65"/>
      <c r="U472" s="65">
        <v>0</v>
      </c>
      <c r="V472" s="65"/>
      <c r="W472" s="65">
        <v>0</v>
      </c>
      <c r="X472" s="65"/>
      <c r="Y472" s="65">
        <v>0</v>
      </c>
      <c r="Z472" s="65"/>
      <c r="AA472" s="65">
        <v>0</v>
      </c>
      <c r="AB472" s="66">
        <f t="shared" si="275"/>
        <v>1</v>
      </c>
      <c r="AC472" s="22" t="str">
        <f t="shared" si="274"/>
        <v>ok</v>
      </c>
    </row>
    <row r="473" spans="1:29" x14ac:dyDescent="0.25">
      <c r="A473" s="14" t="s">
        <v>203</v>
      </c>
      <c r="C473" s="14" t="s">
        <v>38</v>
      </c>
      <c r="F473" s="122">
        <v>1</v>
      </c>
      <c r="G473" s="65"/>
      <c r="H473" s="66">
        <v>0</v>
      </c>
      <c r="I473" s="66">
        <v>0</v>
      </c>
      <c r="J473" s="66"/>
      <c r="K473" s="66">
        <v>0</v>
      </c>
      <c r="L473" s="65"/>
      <c r="M473" s="66">
        <v>0</v>
      </c>
      <c r="N473" s="65"/>
      <c r="O473" s="66">
        <f>ZeroInt!D145</f>
        <v>0.36981740059684809</v>
      </c>
      <c r="P473" s="66">
        <f>ZeroInt!E145</f>
        <v>0.63018259940315191</v>
      </c>
      <c r="Q473" s="67"/>
      <c r="R473" s="65">
        <v>0</v>
      </c>
      <c r="S473" s="65">
        <v>0</v>
      </c>
      <c r="T473" s="65"/>
      <c r="U473" s="65">
        <v>0</v>
      </c>
      <c r="V473" s="65"/>
      <c r="W473" s="65">
        <v>0</v>
      </c>
      <c r="X473" s="65"/>
      <c r="Y473" s="65">
        <v>0</v>
      </c>
      <c r="Z473" s="65"/>
      <c r="AA473" s="65">
        <v>0</v>
      </c>
      <c r="AB473" s="66">
        <f t="shared" si="275"/>
        <v>1</v>
      </c>
      <c r="AC473" s="22" t="str">
        <f t="shared" si="274"/>
        <v>ok</v>
      </c>
    </row>
    <row r="474" spans="1:29" x14ac:dyDescent="0.25">
      <c r="A474" s="14" t="s">
        <v>204</v>
      </c>
      <c r="C474" s="14" t="s">
        <v>41</v>
      </c>
      <c r="F474" s="122">
        <v>1</v>
      </c>
      <c r="G474" s="65"/>
      <c r="H474" s="66">
        <v>0</v>
      </c>
      <c r="I474" s="66">
        <v>0</v>
      </c>
      <c r="J474" s="66"/>
      <c r="K474" s="66">
        <v>0</v>
      </c>
      <c r="L474" s="65"/>
      <c r="M474" s="66">
        <v>0</v>
      </c>
      <c r="N474" s="65"/>
      <c r="O474" s="66">
        <v>0</v>
      </c>
      <c r="P474" s="66">
        <v>0</v>
      </c>
      <c r="Q474" s="67"/>
      <c r="R474" s="65">
        <v>0</v>
      </c>
      <c r="S474" s="65">
        <v>1</v>
      </c>
      <c r="T474" s="65"/>
      <c r="U474" s="65">
        <v>0</v>
      </c>
      <c r="V474" s="65"/>
      <c r="W474" s="65">
        <v>0</v>
      </c>
      <c r="X474" s="65"/>
      <c r="Y474" s="65">
        <v>0</v>
      </c>
      <c r="Z474" s="65"/>
      <c r="AA474" s="65">
        <v>0</v>
      </c>
      <c r="AB474" s="66">
        <f t="shared" si="275"/>
        <v>1</v>
      </c>
      <c r="AC474" s="22" t="str">
        <f t="shared" si="274"/>
        <v>ok</v>
      </c>
    </row>
    <row r="475" spans="1:29" x14ac:dyDescent="0.25">
      <c r="A475" s="14" t="s">
        <v>4</v>
      </c>
      <c r="C475" s="14" t="s">
        <v>44</v>
      </c>
      <c r="F475" s="122">
        <v>1</v>
      </c>
      <c r="G475" s="65"/>
      <c r="H475" s="66">
        <v>0</v>
      </c>
      <c r="I475" s="66">
        <v>0</v>
      </c>
      <c r="J475" s="66"/>
      <c r="K475" s="66">
        <v>0</v>
      </c>
      <c r="L475" s="65"/>
      <c r="M475" s="66">
        <v>0</v>
      </c>
      <c r="N475" s="65"/>
      <c r="O475" s="66">
        <v>0</v>
      </c>
      <c r="P475" s="66">
        <v>0</v>
      </c>
      <c r="Q475" s="67"/>
      <c r="R475" s="65">
        <v>0</v>
      </c>
      <c r="S475" s="65">
        <v>0</v>
      </c>
      <c r="T475" s="65"/>
      <c r="U475" s="65">
        <v>1</v>
      </c>
      <c r="V475" s="65"/>
      <c r="W475" s="65">
        <v>0</v>
      </c>
      <c r="X475" s="65"/>
      <c r="Y475" s="65">
        <v>0</v>
      </c>
      <c r="Z475" s="65"/>
      <c r="AA475" s="65">
        <v>0</v>
      </c>
      <c r="AB475" s="66">
        <f t="shared" si="275"/>
        <v>1</v>
      </c>
      <c r="AC475" s="22" t="str">
        <f t="shared" si="274"/>
        <v>ok</v>
      </c>
    </row>
    <row r="476" spans="1:29" x14ac:dyDescent="0.25">
      <c r="A476" s="14" t="s">
        <v>205</v>
      </c>
      <c r="C476" s="14" t="s">
        <v>49</v>
      </c>
      <c r="F476" s="122">
        <v>1</v>
      </c>
      <c r="G476" s="65"/>
      <c r="H476" s="66">
        <v>0</v>
      </c>
      <c r="I476" s="66">
        <v>0</v>
      </c>
      <c r="J476" s="66"/>
      <c r="K476" s="66">
        <v>0</v>
      </c>
      <c r="L476" s="65"/>
      <c r="M476" s="66">
        <v>0</v>
      </c>
      <c r="N476" s="65"/>
      <c r="O476" s="66">
        <v>0</v>
      </c>
      <c r="P476" s="66">
        <v>0</v>
      </c>
      <c r="Q476" s="67"/>
      <c r="R476" s="65">
        <v>0</v>
      </c>
      <c r="S476" s="65">
        <v>0</v>
      </c>
      <c r="T476" s="65"/>
      <c r="U476" s="65">
        <v>0</v>
      </c>
      <c r="V476" s="65"/>
      <c r="W476" s="65">
        <v>1</v>
      </c>
      <c r="X476" s="65"/>
      <c r="Y476" s="65">
        <v>0</v>
      </c>
      <c r="Z476" s="65"/>
      <c r="AA476" s="65">
        <v>0</v>
      </c>
      <c r="AB476" s="66">
        <f t="shared" si="275"/>
        <v>1</v>
      </c>
      <c r="AC476" s="22" t="str">
        <f t="shared" si="274"/>
        <v>ok</v>
      </c>
    </row>
    <row r="477" spans="1:29" x14ac:dyDescent="0.25">
      <c r="A477" s="14" t="s">
        <v>206</v>
      </c>
      <c r="C477" s="14" t="s">
        <v>140</v>
      </c>
      <c r="F477" s="122">
        <v>1</v>
      </c>
      <c r="G477" s="65"/>
      <c r="H477" s="66">
        <v>0</v>
      </c>
      <c r="I477" s="66">
        <v>0</v>
      </c>
      <c r="J477" s="66"/>
      <c r="K477" s="66">
        <v>0</v>
      </c>
      <c r="L477" s="65"/>
      <c r="M477" s="66">
        <v>0</v>
      </c>
      <c r="N477" s="65"/>
      <c r="O477" s="66">
        <v>0</v>
      </c>
      <c r="P477" s="66">
        <v>0</v>
      </c>
      <c r="Q477" s="67"/>
      <c r="R477" s="65">
        <v>0</v>
      </c>
      <c r="S477" s="65">
        <v>0</v>
      </c>
      <c r="T477" s="65"/>
      <c r="U477" s="65">
        <v>0</v>
      </c>
      <c r="V477" s="65"/>
      <c r="W477" s="65">
        <v>0</v>
      </c>
      <c r="X477" s="65"/>
      <c r="Y477" s="65">
        <v>1</v>
      </c>
      <c r="Z477" s="65"/>
      <c r="AA477" s="65">
        <v>0</v>
      </c>
      <c r="AB477" s="66">
        <f t="shared" si="275"/>
        <v>1</v>
      </c>
      <c r="AC477" s="22" t="str">
        <f t="shared" si="274"/>
        <v>ok</v>
      </c>
    </row>
    <row r="478" spans="1:29" x14ac:dyDescent="0.25">
      <c r="A478" s="14" t="s">
        <v>207</v>
      </c>
      <c r="C478" s="14" t="s">
        <v>150</v>
      </c>
      <c r="F478" s="122">
        <v>1</v>
      </c>
      <c r="G478" s="65"/>
      <c r="H478" s="66">
        <v>0</v>
      </c>
      <c r="I478" s="66">
        <v>0</v>
      </c>
      <c r="J478" s="66"/>
      <c r="K478" s="66">
        <v>0</v>
      </c>
      <c r="L478" s="65"/>
      <c r="M478" s="66">
        <v>0</v>
      </c>
      <c r="N478" s="65"/>
      <c r="O478" s="66">
        <v>0</v>
      </c>
      <c r="P478" s="66">
        <v>0</v>
      </c>
      <c r="Q478" s="67"/>
      <c r="R478" s="65">
        <v>0</v>
      </c>
      <c r="S478" s="65">
        <v>0</v>
      </c>
      <c r="T478" s="65"/>
      <c r="U478" s="65">
        <v>0</v>
      </c>
      <c r="V478" s="65"/>
      <c r="W478" s="65">
        <v>0</v>
      </c>
      <c r="X478" s="65"/>
      <c r="Y478" s="65">
        <v>1</v>
      </c>
      <c r="Z478" s="65"/>
      <c r="AA478" s="65">
        <v>0</v>
      </c>
      <c r="AB478" s="66">
        <f t="shared" si="275"/>
        <v>1</v>
      </c>
      <c r="AC478" s="22" t="str">
        <f t="shared" si="274"/>
        <v>ok</v>
      </c>
    </row>
    <row r="479" spans="1:29" x14ac:dyDescent="0.25">
      <c r="A479" s="14" t="s">
        <v>350</v>
      </c>
      <c r="C479" s="14" t="s">
        <v>391</v>
      </c>
      <c r="F479" s="122">
        <v>1</v>
      </c>
      <c r="G479" s="65"/>
      <c r="H479" s="66">
        <v>0</v>
      </c>
      <c r="I479" s="66">
        <v>0</v>
      </c>
      <c r="J479" s="66"/>
      <c r="K479" s="66">
        <v>1</v>
      </c>
      <c r="L479" s="65"/>
      <c r="M479" s="66">
        <v>0</v>
      </c>
      <c r="N479" s="65"/>
      <c r="O479" s="66">
        <v>0</v>
      </c>
      <c r="P479" s="66">
        <v>0</v>
      </c>
      <c r="Q479" s="67"/>
      <c r="R479" s="65">
        <v>0</v>
      </c>
      <c r="S479" s="65">
        <v>0</v>
      </c>
      <c r="T479" s="65"/>
      <c r="U479" s="65">
        <v>0</v>
      </c>
      <c r="V479" s="65"/>
      <c r="W479" s="65">
        <v>0</v>
      </c>
      <c r="X479" s="65"/>
      <c r="Y479" s="65">
        <v>0</v>
      </c>
      <c r="Z479" s="65"/>
      <c r="AA479" s="65">
        <v>0</v>
      </c>
      <c r="AB479" s="66">
        <f>SUM(H479:AA479)</f>
        <v>1</v>
      </c>
      <c r="AC479" s="22" t="str">
        <f t="shared" si="274"/>
        <v>ok</v>
      </c>
    </row>
    <row r="480" spans="1:29" x14ac:dyDescent="0.25">
      <c r="A480" s="14" t="s">
        <v>470</v>
      </c>
      <c r="C480" s="14" t="s">
        <v>471</v>
      </c>
      <c r="F480" s="122">
        <v>1</v>
      </c>
      <c r="G480" s="65"/>
      <c r="H480" s="66">
        <v>0</v>
      </c>
      <c r="I480" s="66">
        <v>0</v>
      </c>
      <c r="J480" s="66"/>
      <c r="K480" s="66">
        <v>0</v>
      </c>
      <c r="L480" s="65"/>
      <c r="M480" s="66">
        <v>0</v>
      </c>
      <c r="N480" s="65"/>
      <c r="O480" s="66">
        <v>0</v>
      </c>
      <c r="P480" s="66">
        <v>0</v>
      </c>
      <c r="Q480" s="67"/>
      <c r="R480" s="65">
        <v>0</v>
      </c>
      <c r="S480" s="65">
        <v>0</v>
      </c>
      <c r="T480" s="65"/>
      <c r="U480" s="65">
        <v>0</v>
      </c>
      <c r="V480" s="65"/>
      <c r="W480" s="65">
        <v>0</v>
      </c>
      <c r="X480" s="65"/>
      <c r="Y480" s="65">
        <v>0</v>
      </c>
      <c r="Z480" s="65"/>
      <c r="AA480" s="65">
        <v>1</v>
      </c>
      <c r="AB480" s="66">
        <f>SUM(H480:AA480)</f>
        <v>1</v>
      </c>
      <c r="AC480" s="22" t="str">
        <f>IF(ABS(AB480-F480)&lt;0.0000001,"ok","err")</f>
        <v>ok</v>
      </c>
    </row>
    <row r="481" spans="1:29" x14ac:dyDescent="0.25">
      <c r="F481" s="122"/>
      <c r="G481" s="65"/>
      <c r="H481" s="66"/>
      <c r="I481" s="66"/>
      <c r="J481" s="66"/>
      <c r="K481" s="66"/>
      <c r="L481" s="66"/>
      <c r="M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22"/>
    </row>
    <row r="482" spans="1:29" x14ac:dyDescent="0.25">
      <c r="AC482" s="22"/>
    </row>
    <row r="483" spans="1:29" x14ac:dyDescent="0.25">
      <c r="A483" s="13" t="s">
        <v>402</v>
      </c>
      <c r="C483" s="14" t="s">
        <v>97</v>
      </c>
      <c r="F483" s="122">
        <v>1</v>
      </c>
      <c r="G483" s="65"/>
      <c r="H483" s="66">
        <f>'Purchased Power'!O131</f>
        <v>0.19465256217957524</v>
      </c>
      <c r="I483" s="66">
        <f>'Purchased Power'!O132</f>
        <v>0.80534743782042484</v>
      </c>
      <c r="J483" s="27"/>
      <c r="K483" s="27">
        <v>0</v>
      </c>
      <c r="L483" s="27"/>
      <c r="M483" s="27">
        <v>0</v>
      </c>
      <c r="N483" s="27"/>
      <c r="O483" s="27">
        <v>0</v>
      </c>
      <c r="P483" s="27">
        <v>0</v>
      </c>
      <c r="Q483" s="68"/>
      <c r="R483" s="27">
        <v>0</v>
      </c>
      <c r="S483" s="27">
        <v>0</v>
      </c>
      <c r="T483" s="27"/>
      <c r="U483" s="27">
        <v>0</v>
      </c>
      <c r="V483" s="27"/>
      <c r="W483" s="27">
        <v>0</v>
      </c>
      <c r="X483" s="27"/>
      <c r="Y483" s="27">
        <v>0</v>
      </c>
      <c r="Z483" s="27"/>
      <c r="AA483" s="27">
        <v>0</v>
      </c>
      <c r="AB483" s="66">
        <f>SUM(H483:AA483)</f>
        <v>1</v>
      </c>
      <c r="AC483" s="22" t="str">
        <f>IF(ABS(AB483-F483)&lt;1,"ok","err")</f>
        <v>ok</v>
      </c>
    </row>
    <row r="484" spans="1:29" x14ac:dyDescent="0.25">
      <c r="F484" s="122"/>
      <c r="AC484" s="22"/>
    </row>
    <row r="485" spans="1:29" x14ac:dyDescent="0.25">
      <c r="A485" s="14" t="s">
        <v>548</v>
      </c>
      <c r="C485" s="14" t="s">
        <v>546</v>
      </c>
      <c r="F485" s="122">
        <v>1</v>
      </c>
      <c r="G485" s="69"/>
      <c r="H485" s="27">
        <v>0</v>
      </c>
      <c r="I485" s="27">
        <v>0</v>
      </c>
      <c r="K485" s="27">
        <v>0</v>
      </c>
      <c r="M485" s="27">
        <v>0</v>
      </c>
      <c r="O485" s="27">
        <v>0</v>
      </c>
      <c r="P485" s="27">
        <v>0</v>
      </c>
      <c r="R485" s="27">
        <v>0</v>
      </c>
      <c r="S485" s="27">
        <v>0</v>
      </c>
      <c r="U485" s="27">
        <v>0</v>
      </c>
      <c r="W485" s="69">
        <v>1</v>
      </c>
      <c r="Y485" s="27">
        <v>0</v>
      </c>
      <c r="AA485" s="27">
        <v>0</v>
      </c>
      <c r="AB485" s="66">
        <f>SUM(H485:AA485)</f>
        <v>1</v>
      </c>
      <c r="AC485" s="22" t="str">
        <f>IF(ABS(AB485-F485)&lt;1,"ok","err")</f>
        <v>ok</v>
      </c>
    </row>
    <row r="486" spans="1:29" x14ac:dyDescent="0.25">
      <c r="A486" s="14" t="s">
        <v>549</v>
      </c>
      <c r="C486" s="14" t="s">
        <v>547</v>
      </c>
      <c r="F486" s="122">
        <v>1</v>
      </c>
      <c r="G486" s="69"/>
      <c r="H486" s="27">
        <v>0</v>
      </c>
      <c r="I486" s="27">
        <v>0</v>
      </c>
      <c r="K486" s="27">
        <v>0</v>
      </c>
      <c r="M486" s="27">
        <v>0</v>
      </c>
      <c r="O486" s="27">
        <v>0</v>
      </c>
      <c r="P486" s="27">
        <v>0</v>
      </c>
      <c r="R486" s="27">
        <v>0</v>
      </c>
      <c r="S486" s="27">
        <v>0</v>
      </c>
      <c r="U486" s="27">
        <v>0</v>
      </c>
      <c r="W486" s="69">
        <v>1</v>
      </c>
      <c r="Y486" s="27">
        <v>0</v>
      </c>
      <c r="AA486" s="27">
        <v>0</v>
      </c>
      <c r="AB486" s="66">
        <f>SUM(H486:AA486)</f>
        <v>1</v>
      </c>
      <c r="AC486" s="22" t="str">
        <f>IF(ABS(AB486-F486)&lt;1,"ok","err")</f>
        <v>ok</v>
      </c>
    </row>
    <row r="487" spans="1:29" x14ac:dyDescent="0.25">
      <c r="A487" s="14" t="s">
        <v>705</v>
      </c>
      <c r="C487" s="14" t="s">
        <v>551</v>
      </c>
      <c r="F487" s="122">
        <v>1</v>
      </c>
      <c r="G487" s="65"/>
      <c r="H487" s="66">
        <v>0</v>
      </c>
      <c r="I487" s="66">
        <v>0</v>
      </c>
      <c r="J487" s="66"/>
      <c r="K487" s="66">
        <v>0</v>
      </c>
      <c r="L487" s="65"/>
      <c r="M487" s="66">
        <v>0</v>
      </c>
      <c r="N487" s="65"/>
      <c r="O487" s="66">
        <v>0</v>
      </c>
      <c r="P487" s="66">
        <v>1</v>
      </c>
      <c r="Q487" s="67"/>
      <c r="R487" s="65">
        <v>0</v>
      </c>
      <c r="S487" s="65">
        <v>0</v>
      </c>
      <c r="T487" s="65"/>
      <c r="U487" s="65">
        <v>0</v>
      </c>
      <c r="V487" s="65"/>
      <c r="W487" s="65">
        <v>0</v>
      </c>
      <c r="X487" s="65"/>
      <c r="Y487" s="65">
        <v>0</v>
      </c>
      <c r="Z487" s="65"/>
      <c r="AA487" s="65">
        <v>0</v>
      </c>
      <c r="AB487" s="66">
        <f>SUM(H487:AA487)</f>
        <v>1</v>
      </c>
      <c r="AC487" s="22" t="str">
        <f>IF(ABS(AB487-F487)&lt;0.0000001,"ok","err")</f>
        <v>ok</v>
      </c>
    </row>
    <row r="488" spans="1:29" x14ac:dyDescent="0.25">
      <c r="A488" s="14" t="s">
        <v>819</v>
      </c>
      <c r="C488" s="14" t="s">
        <v>552</v>
      </c>
      <c r="F488" s="122">
        <v>1</v>
      </c>
      <c r="G488" s="65"/>
      <c r="H488" s="66">
        <v>1</v>
      </c>
      <c r="I488" s="66">
        <v>0</v>
      </c>
      <c r="J488" s="66"/>
      <c r="K488" s="66">
        <v>0</v>
      </c>
      <c r="L488" s="65"/>
      <c r="M488" s="66">
        <v>0</v>
      </c>
      <c r="N488" s="65"/>
      <c r="O488" s="66">
        <v>0</v>
      </c>
      <c r="P488" s="66">
        <v>0</v>
      </c>
      <c r="Q488" s="67"/>
      <c r="R488" s="65">
        <v>0</v>
      </c>
      <c r="S488" s="65">
        <v>0</v>
      </c>
      <c r="T488" s="65"/>
      <c r="U488" s="65">
        <v>0</v>
      </c>
      <c r="V488" s="65"/>
      <c r="W488" s="65">
        <v>0</v>
      </c>
      <c r="X488" s="65"/>
      <c r="Y488" s="65">
        <v>0</v>
      </c>
      <c r="Z488" s="65"/>
      <c r="AA488" s="65">
        <v>0</v>
      </c>
      <c r="AB488" s="66">
        <f>SUM(H488:AA488)</f>
        <v>1</v>
      </c>
      <c r="AC488" s="22" t="str">
        <f>IF(ABS(AB488-F488)&lt;0.0000001,"ok","err")</f>
        <v>ok</v>
      </c>
    </row>
    <row r="489" spans="1:29" x14ac:dyDescent="0.25">
      <c r="A489" s="14" t="s">
        <v>820</v>
      </c>
      <c r="C489" s="14" t="s">
        <v>783</v>
      </c>
      <c r="F489" s="122">
        <v>1</v>
      </c>
      <c r="G489" s="65"/>
      <c r="H489" s="66">
        <v>0</v>
      </c>
      <c r="I489" s="66">
        <v>1</v>
      </c>
      <c r="J489" s="66"/>
      <c r="K489" s="66">
        <v>0</v>
      </c>
      <c r="L489" s="65"/>
      <c r="M489" s="66">
        <v>0</v>
      </c>
      <c r="N489" s="65"/>
      <c r="O489" s="66">
        <v>0</v>
      </c>
      <c r="P489" s="66">
        <v>0</v>
      </c>
      <c r="Q489" s="67"/>
      <c r="R489" s="65">
        <v>0</v>
      </c>
      <c r="S489" s="65">
        <v>0</v>
      </c>
      <c r="T489" s="65"/>
      <c r="U489" s="65">
        <v>0</v>
      </c>
      <c r="V489" s="65"/>
      <c r="W489" s="65">
        <v>0</v>
      </c>
      <c r="X489" s="65"/>
      <c r="Y489" s="65">
        <v>0</v>
      </c>
      <c r="Z489" s="65"/>
      <c r="AA489" s="65">
        <v>0</v>
      </c>
      <c r="AB489" s="66">
        <f>SUM(H489:AA489)</f>
        <v>1</v>
      </c>
      <c r="AC489" s="22" t="str">
        <f>IF(ABS(AB489-F489)&lt;0.0000001,"ok","err")</f>
        <v>ok</v>
      </c>
    </row>
    <row r="490" spans="1:29" x14ac:dyDescent="0.25">
      <c r="F490" s="122"/>
      <c r="G490" s="65"/>
      <c r="AC490" s="22"/>
    </row>
    <row r="491" spans="1:29" x14ac:dyDescent="0.25">
      <c r="AC491" s="22"/>
    </row>
    <row r="492" spans="1:29" x14ac:dyDescent="0.25">
      <c r="F492" s="120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27"/>
      <c r="AC492" s="22"/>
    </row>
    <row r="493" spans="1:29" x14ac:dyDescent="0.25">
      <c r="F493" s="120"/>
      <c r="G493" s="61"/>
      <c r="H493" s="61"/>
      <c r="I493" s="61"/>
      <c r="J493" s="61"/>
      <c r="K493" s="61"/>
      <c r="L493" s="61"/>
      <c r="M493" s="61"/>
      <c r="N493" s="61"/>
      <c r="O493" s="25"/>
      <c r="P493" s="25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27"/>
      <c r="AC493" s="22"/>
    </row>
    <row r="494" spans="1:29" x14ac:dyDescent="0.25">
      <c r="O494" s="25"/>
      <c r="P494" s="25"/>
      <c r="AC494" s="22"/>
    </row>
    <row r="495" spans="1:29" x14ac:dyDescent="0.25">
      <c r="F495" s="110"/>
      <c r="G495" s="27"/>
      <c r="O495" s="25"/>
      <c r="P495" s="25"/>
      <c r="AC495" s="22"/>
    </row>
    <row r="496" spans="1:29" x14ac:dyDescent="0.25">
      <c r="F496" s="110"/>
      <c r="G496" s="27"/>
      <c r="O496" s="25"/>
      <c r="P496" s="25"/>
      <c r="AC496" s="22"/>
    </row>
    <row r="497" spans="6:29" x14ac:dyDescent="0.25">
      <c r="F497" s="110"/>
      <c r="G497" s="27"/>
      <c r="AC497" s="22"/>
    </row>
    <row r="498" spans="6:29" x14ac:dyDescent="0.25">
      <c r="F498" s="110"/>
      <c r="G498" s="27"/>
      <c r="AC498" s="22"/>
    </row>
    <row r="499" spans="6:29" x14ac:dyDescent="0.25">
      <c r="F499" s="110"/>
      <c r="G499" s="27"/>
      <c r="AC499" s="22"/>
    </row>
    <row r="500" spans="6:29" x14ac:dyDescent="0.25">
      <c r="F500" s="110"/>
      <c r="G500" s="27"/>
      <c r="AC500" s="22"/>
    </row>
    <row r="501" spans="6:29" x14ac:dyDescent="0.25">
      <c r="F501" s="110"/>
      <c r="G501" s="27"/>
      <c r="AC501" s="22"/>
    </row>
    <row r="502" spans="6:29" x14ac:dyDescent="0.25">
      <c r="F502" s="110"/>
      <c r="G502" s="27"/>
      <c r="AC502" s="22"/>
    </row>
    <row r="503" spans="6:29" x14ac:dyDescent="0.25">
      <c r="F503" s="123"/>
      <c r="G503" s="24"/>
      <c r="AC503" s="22"/>
    </row>
    <row r="504" spans="6:29" x14ac:dyDescent="0.25">
      <c r="AC504" s="22"/>
    </row>
    <row r="505" spans="6:29" x14ac:dyDescent="0.25">
      <c r="F505" s="119"/>
      <c r="G505" s="40"/>
      <c r="AC505" s="22"/>
    </row>
    <row r="506" spans="6:29" x14ac:dyDescent="0.25">
      <c r="AC506" s="22"/>
    </row>
    <row r="507" spans="6:29" x14ac:dyDescent="0.25">
      <c r="AC507" s="22"/>
    </row>
    <row r="508" spans="6:29" x14ac:dyDescent="0.25">
      <c r="AC508" s="22"/>
    </row>
  </sheetData>
  <phoneticPr fontId="0" type="noConversion"/>
  <conditionalFormatting sqref="AC1:AC36 AC189 AC192:AC193 AC197:AC257 AC363:AC65536 AC281:AC360 AC259:AC278 AC39:AC186">
    <cfRule type="cellIs" dxfId="80" priority="29" operator="equal">
      <formula>"err"</formula>
    </cfRule>
  </conditionalFormatting>
  <conditionalFormatting sqref="AC8:AC36 AC189 AC192:AC193 AC197:AC257 AC363:AC493 AC281:AC360 AC259:AC278 AC39:AC186">
    <cfRule type="containsText" dxfId="79" priority="27" operator="containsText" text="err">
      <formula>NOT(ISERROR(SEARCH("err",AC8)))</formula>
    </cfRule>
  </conditionalFormatting>
  <conditionalFormatting sqref="AC361:AC362">
    <cfRule type="cellIs" dxfId="78" priority="24" operator="equal">
      <formula>"err"</formula>
    </cfRule>
  </conditionalFormatting>
  <conditionalFormatting sqref="AC361:AC362">
    <cfRule type="containsText" dxfId="77" priority="23" operator="containsText" text="err">
      <formula>NOT(ISERROR(SEARCH("err",AC361)))</formula>
    </cfRule>
  </conditionalFormatting>
  <conditionalFormatting sqref="AC37:AC38">
    <cfRule type="cellIs" dxfId="76" priority="22" operator="equal">
      <formula>"err"</formula>
    </cfRule>
  </conditionalFormatting>
  <conditionalFormatting sqref="AC37:AC38">
    <cfRule type="containsText" dxfId="75" priority="21" operator="containsText" text="err">
      <formula>NOT(ISERROR(SEARCH("err",AC37)))</formula>
    </cfRule>
  </conditionalFormatting>
  <conditionalFormatting sqref="AC188">
    <cfRule type="cellIs" dxfId="74" priority="20" operator="equal">
      <formula>"err"</formula>
    </cfRule>
  </conditionalFormatting>
  <conditionalFormatting sqref="AC188">
    <cfRule type="containsText" dxfId="73" priority="19" operator="containsText" text="err">
      <formula>NOT(ISERROR(SEARCH("err",AC188)))</formula>
    </cfRule>
  </conditionalFormatting>
  <conditionalFormatting sqref="AC187">
    <cfRule type="cellIs" dxfId="72" priority="18" operator="equal">
      <formula>"err"</formula>
    </cfRule>
  </conditionalFormatting>
  <conditionalFormatting sqref="AC187">
    <cfRule type="containsText" dxfId="71" priority="17" operator="containsText" text="err">
      <formula>NOT(ISERROR(SEARCH("err",AC187)))</formula>
    </cfRule>
  </conditionalFormatting>
  <conditionalFormatting sqref="AC190">
    <cfRule type="cellIs" dxfId="70" priority="16" operator="equal">
      <formula>"err"</formula>
    </cfRule>
  </conditionalFormatting>
  <conditionalFormatting sqref="AC190">
    <cfRule type="containsText" dxfId="69" priority="15" operator="containsText" text="err">
      <formula>NOT(ISERROR(SEARCH("err",AC190)))</formula>
    </cfRule>
  </conditionalFormatting>
  <conditionalFormatting sqref="AC191">
    <cfRule type="cellIs" dxfId="68" priority="14" operator="equal">
      <formula>"err"</formula>
    </cfRule>
  </conditionalFormatting>
  <conditionalFormatting sqref="AC191">
    <cfRule type="containsText" dxfId="67" priority="13" operator="containsText" text="err">
      <formula>NOT(ISERROR(SEARCH("err",AC191)))</formula>
    </cfRule>
  </conditionalFormatting>
  <conditionalFormatting sqref="AC196">
    <cfRule type="cellIs" dxfId="66" priority="12" operator="equal">
      <formula>"err"</formula>
    </cfRule>
  </conditionalFormatting>
  <conditionalFormatting sqref="AC196">
    <cfRule type="containsText" dxfId="65" priority="11" operator="containsText" text="err">
      <formula>NOT(ISERROR(SEARCH("err",AC196)))</formula>
    </cfRule>
  </conditionalFormatting>
  <conditionalFormatting sqref="AC195">
    <cfRule type="cellIs" dxfId="64" priority="10" operator="equal">
      <formula>"err"</formula>
    </cfRule>
  </conditionalFormatting>
  <conditionalFormatting sqref="AC195">
    <cfRule type="containsText" dxfId="63" priority="9" operator="containsText" text="err">
      <formula>NOT(ISERROR(SEARCH("err",AC195)))</formula>
    </cfRule>
  </conditionalFormatting>
  <conditionalFormatting sqref="AC194">
    <cfRule type="cellIs" dxfId="62" priority="8" operator="equal">
      <formula>"err"</formula>
    </cfRule>
  </conditionalFormatting>
  <conditionalFormatting sqref="AC194">
    <cfRule type="containsText" dxfId="61" priority="7" operator="containsText" text="err">
      <formula>NOT(ISERROR(SEARCH("err",AC194)))</formula>
    </cfRule>
  </conditionalFormatting>
  <conditionalFormatting sqref="AC279">
    <cfRule type="cellIs" dxfId="60" priority="6" operator="equal">
      <formula>"err"</formula>
    </cfRule>
  </conditionalFormatting>
  <conditionalFormatting sqref="AC279">
    <cfRule type="containsText" dxfId="59" priority="5" operator="containsText" text="err">
      <formula>NOT(ISERROR(SEARCH("err",AC279)))</formula>
    </cfRule>
  </conditionalFormatting>
  <conditionalFormatting sqref="AC280">
    <cfRule type="cellIs" dxfId="58" priority="4" operator="equal">
      <formula>"err"</formula>
    </cfRule>
  </conditionalFormatting>
  <conditionalFormatting sqref="AC280">
    <cfRule type="containsText" dxfId="57" priority="3" operator="containsText" text="err">
      <formula>NOT(ISERROR(SEARCH("err",AC280)))</formula>
    </cfRule>
  </conditionalFormatting>
  <conditionalFormatting sqref="AC258">
    <cfRule type="cellIs" dxfId="56" priority="2" operator="equal">
      <formula>"err"</formula>
    </cfRule>
  </conditionalFormatting>
  <conditionalFormatting sqref="AC258">
    <cfRule type="containsText" dxfId="55" priority="1" operator="containsText" text="err">
      <formula>NOT(ISERROR(SEARCH("err",AC258)))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Roman,Bold"FLEMING-MASON ELECTRIC COOPERATIVE
Cost of Service Study
Functionalization and Classification
12 Months Ended December 31, 2022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2" max="26" man="1"/>
    <brk id="359" max="26" man="1"/>
    <brk id="396" max="26" man="1"/>
    <brk id="443" max="26" man="1"/>
    <brk id="465" max="26" man="1"/>
  </rowBreaks>
  <colBreaks count="1" manualBreakCount="1">
    <brk id="14" max="4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61"/>
  <sheetViews>
    <sheetView view="pageBreakPreview" zoomScale="75" zoomScaleNormal="100" zoomScaleSheetLayoutView="75" workbookViewId="0">
      <pane xSplit="2" ySplit="3" topLeftCell="C446" activePane="bottomRight" state="frozen"/>
      <selection activeCell="E545" sqref="E545"/>
      <selection pane="topRight" activeCell="E545" sqref="E545"/>
      <selection pane="bottomLeft" activeCell="E545" sqref="E545"/>
      <selection pane="bottomRight" activeCell="G374" sqref="G374"/>
    </sheetView>
  </sheetViews>
  <sheetFormatPr defaultColWidth="9.109375" defaultRowHeight="13.2" x14ac:dyDescent="0.25"/>
  <cols>
    <col min="1" max="1" width="7.6640625" style="102" customWidth="1"/>
    <col min="2" max="2" width="56.44140625" style="102" customWidth="1"/>
    <col min="3" max="3" width="19.6640625" style="102" customWidth="1"/>
    <col min="4" max="4" width="11.88671875" style="102" bestFit="1" customWidth="1"/>
    <col min="5" max="5" width="15.109375" style="102" bestFit="1" customWidth="1"/>
    <col min="6" max="6" width="14.109375" style="102" customWidth="1"/>
    <col min="7" max="7" width="16.5546875" style="102" customWidth="1"/>
    <col min="8" max="8" width="16.88671875" style="102" customWidth="1"/>
    <col min="9" max="9" width="16.77734375" style="102" customWidth="1"/>
    <col min="10" max="10" width="13.33203125" style="102" customWidth="1"/>
    <col min="11" max="11" width="18.6640625" style="102" customWidth="1"/>
    <col min="12" max="12" width="15.77734375" style="102" customWidth="1"/>
    <col min="13" max="13" width="14.88671875" style="102" customWidth="1"/>
    <col min="14" max="14" width="14.6640625" style="102" customWidth="1"/>
    <col min="15" max="15" width="16.21875" style="102" hidden="1" customWidth="1"/>
    <col min="16" max="16" width="16.109375" style="102" customWidth="1"/>
    <col min="17" max="17" width="15.6640625" style="102" customWidth="1"/>
    <col min="18" max="18" width="20.6640625" style="102" customWidth="1"/>
    <col min="19" max="21" width="14.5546875" style="102" customWidth="1"/>
    <col min="22" max="22" width="14.5546875" style="102" hidden="1" customWidth="1"/>
    <col min="23" max="23" width="13.5546875" style="102" hidden="1" customWidth="1"/>
    <col min="24" max="24" width="12" style="102" hidden="1" customWidth="1"/>
    <col min="25" max="30" width="17.6640625" style="102" hidden="1" customWidth="1"/>
    <col min="31" max="31" width="17.44140625" style="102" hidden="1" customWidth="1"/>
    <col min="32" max="32" width="21.88671875" style="102" hidden="1" customWidth="1"/>
    <col min="33" max="33" width="17.6640625" style="102" customWidth="1"/>
    <col min="34" max="34" width="10.6640625" style="102" customWidth="1"/>
    <col min="35" max="35" width="11.5546875" style="102" bestFit="1" customWidth="1"/>
    <col min="36" max="36" width="17.33203125" style="110" bestFit="1" customWidth="1"/>
    <col min="37" max="38" width="9.109375" style="102"/>
    <col min="39" max="39" width="14.44140625" style="102" bestFit="1" customWidth="1"/>
    <col min="40" max="16384" width="9.109375" style="102"/>
  </cols>
  <sheetData>
    <row r="1" spans="1:36" x14ac:dyDescent="0.25">
      <c r="A1" s="114"/>
      <c r="B1" s="114"/>
      <c r="C1" s="114"/>
      <c r="D1" s="114"/>
      <c r="AH1" s="103" t="str">
        <f ca="1">IF(COUNTIF(AH4:AH544,"err"),"err","ok")</f>
        <v>ok</v>
      </c>
    </row>
    <row r="2" spans="1:36" s="127" customFormat="1" ht="77.25" customHeight="1" x14ac:dyDescent="0.25">
      <c r="A2" s="124"/>
      <c r="B2" s="124"/>
      <c r="C2" s="125"/>
      <c r="D2" s="126" t="s">
        <v>208</v>
      </c>
      <c r="E2" s="125" t="s">
        <v>0</v>
      </c>
      <c r="F2" s="125" t="str">
        <f>'Summary of Returns'!B10</f>
        <v>Residential &amp; Small Power (1)</v>
      </c>
      <c r="G2" s="125" t="str">
        <f>'Summary of Returns'!B11</f>
        <v>Residential &amp; Small Power ETS (11)</v>
      </c>
      <c r="H2" s="125" t="str">
        <f>'Summary of Returns'!B12</f>
        <v>Prepay (80)</v>
      </c>
      <c r="I2" s="125" t="str">
        <f>'Summary of Returns'!B13</f>
        <v>Net Metering (100)</v>
      </c>
      <c r="J2" s="125" t="str">
        <f>'Summary of Returns'!B14</f>
        <v>Time of Day (110)</v>
      </c>
      <c r="K2" s="125" t="str">
        <f>'Summary of Returns'!B15</f>
        <v>Inclining Block Rate (8)</v>
      </c>
      <c r="L2" s="125" t="str">
        <f>'Summary of Returns'!B16</f>
        <v>Small General Service (2)</v>
      </c>
      <c r="M2" s="125" t="str">
        <f>'Summary of Returns'!B17</f>
        <v>Large General Service (3)</v>
      </c>
      <c r="N2" s="125" t="str">
        <f>'Summary of Returns'!B18</f>
        <v>All Electric School (4)</v>
      </c>
      <c r="O2" s="125" t="str">
        <f>'Summary of Returns'!B19</f>
        <v>reserved</v>
      </c>
      <c r="P2" s="125" t="str">
        <f>'Summary of Returns'!$B20</f>
        <v>Security Lights (20)</v>
      </c>
      <c r="Q2" s="125" t="str">
        <f>'Summary of Returns'!$B21</f>
        <v>App Harvest (70)</v>
      </c>
      <c r="R2" s="125" t="str">
        <f>'Summary of Returns'!$B22</f>
        <v>Dravo (14 now 18)</v>
      </c>
      <c r="S2" s="125" t="str">
        <f>'Summary of Returns'!$B23</f>
        <v>Guardian Industries (16)</v>
      </c>
      <c r="T2" s="125" t="str">
        <f>'Summary of Returns'!$B24</f>
        <v>Int'l Paper (12)</v>
      </c>
      <c r="U2" s="125" t="str">
        <f>'Summary of Returns'!$B25</f>
        <v>Tennessee Gas (17)</v>
      </c>
      <c r="V2" s="125" t="s">
        <v>700</v>
      </c>
      <c r="W2" s="125" t="s">
        <v>700</v>
      </c>
      <c r="X2" s="125" t="s">
        <v>700</v>
      </c>
      <c r="Y2" s="125" t="s">
        <v>700</v>
      </c>
      <c r="Z2" s="125" t="s">
        <v>700</v>
      </c>
      <c r="AA2" s="125" t="s">
        <v>700</v>
      </c>
      <c r="AB2" s="125" t="s">
        <v>700</v>
      </c>
      <c r="AC2" s="125" t="s">
        <v>700</v>
      </c>
      <c r="AD2" s="125" t="s">
        <v>700</v>
      </c>
      <c r="AE2" s="125" t="s">
        <v>700</v>
      </c>
      <c r="AF2" s="125" t="s">
        <v>700</v>
      </c>
      <c r="AG2" s="124"/>
      <c r="AH2" s="124"/>
      <c r="AJ2" s="128"/>
    </row>
    <row r="3" spans="1:36" ht="13.8" thickBot="1" x14ac:dyDescent="0.3">
      <c r="A3" s="129" t="s">
        <v>6</v>
      </c>
      <c r="B3" s="129"/>
      <c r="C3" s="130" t="s">
        <v>7</v>
      </c>
      <c r="D3" s="130" t="s">
        <v>8</v>
      </c>
      <c r="E3" s="116" t="s">
        <v>9</v>
      </c>
      <c r="F3" s="116" t="str">
        <f>'Summary of Returns'!C10</f>
        <v>RSP</v>
      </c>
      <c r="G3" s="116" t="str">
        <f>'Summary of Returns'!C11</f>
        <v>RSP-ETS</v>
      </c>
      <c r="H3" s="116" t="str">
        <f>'Summary of Returns'!C12</f>
        <v>RSP-PPM</v>
      </c>
      <c r="I3" s="116" t="str">
        <f>'Summary of Returns'!C13</f>
        <v>NM</v>
      </c>
      <c r="J3" s="116" t="str">
        <f>'Summary of Returns'!C14</f>
        <v>RSP-TOD</v>
      </c>
      <c r="K3" s="116" t="str">
        <f>'Summary of Returns'!C15</f>
        <v>RSP-IB</v>
      </c>
      <c r="L3" s="116" t="str">
        <f>'Summary of Returns'!C16</f>
        <v>SGS</v>
      </c>
      <c r="M3" s="116" t="str">
        <f>'Summary of Returns'!C17</f>
        <v>LGS</v>
      </c>
      <c r="N3" s="116" t="str">
        <f>'Summary of Returns'!C18</f>
        <v>AES</v>
      </c>
      <c r="O3" s="116" t="str">
        <f>'Summary of Returns'!C19</f>
        <v>---</v>
      </c>
      <c r="P3" s="116" t="str">
        <f>'Summary of Returns'!$C20</f>
        <v>OLS</v>
      </c>
      <c r="Q3" s="116" t="str">
        <f>'Summary of Returns'!$C21</f>
        <v>Contract</v>
      </c>
      <c r="R3" s="116" t="str">
        <f>'Summary of Returns'!$C22</f>
        <v>Contract</v>
      </c>
      <c r="S3" s="116" t="str">
        <f>'Summary of Returns'!$C23</f>
        <v>Contract</v>
      </c>
      <c r="T3" s="116" t="str">
        <f>'Summary of Returns'!$C24</f>
        <v>Contract</v>
      </c>
      <c r="U3" s="116" t="str">
        <f>'Summary of Returns'!$C25</f>
        <v>Contract</v>
      </c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 t="s">
        <v>13</v>
      </c>
      <c r="AH3" s="116" t="s">
        <v>14</v>
      </c>
    </row>
    <row r="5" spans="1:36" x14ac:dyDescent="0.25">
      <c r="A5" s="131" t="s">
        <v>15</v>
      </c>
    </row>
    <row r="7" spans="1:36" x14ac:dyDescent="0.25">
      <c r="A7" s="132" t="s">
        <v>885</v>
      </c>
    </row>
    <row r="8" spans="1:36" x14ac:dyDescent="0.25">
      <c r="A8" s="133" t="s">
        <v>209</v>
      </c>
      <c r="C8" s="102" t="s">
        <v>210</v>
      </c>
      <c r="D8" s="102" t="s">
        <v>655</v>
      </c>
      <c r="E8" s="119">
        <f>'Func &amp; Classif'!H82</f>
        <v>0</v>
      </c>
      <c r="F8" s="119">
        <f>IF(VLOOKUP($D8,$C$5:$AT$510,3,)=0,0,(VLOOKUP($D8,$C$5:$AT$510,4,)/VLOOKUP($D8,$C$5:$AT$510,3,))*$E8)</f>
        <v>0</v>
      </c>
      <c r="G8" s="119">
        <f>IF(VLOOKUP($D8,$C$5:$AT$510,3,)=0,0,(VLOOKUP($D8,$C$5:$AT$510,5,)/VLOOKUP($D8,$C$5:$AT$510,3,))*$E8)</f>
        <v>0</v>
      </c>
      <c r="H8" s="119">
        <f>IF(VLOOKUP($D8,$C$5:$AT$510,3,)=0,0,(VLOOKUP($D8,$C$5:$AT$510,6,)/VLOOKUP($D8,$C$5:$AT$510,3,))*$E8)</f>
        <v>0</v>
      </c>
      <c r="I8" s="119">
        <f>IF(VLOOKUP($D8,$C$5:$AT$510,3,)=0,0,(VLOOKUP($D8,$C$5:$AT$510,7,)/VLOOKUP($D8,$C$5:$AT$510,3,))*$E8)</f>
        <v>0</v>
      </c>
      <c r="J8" s="119">
        <f>IF(VLOOKUP($D8,$C$5:$AT$510,3,)=0,0,(VLOOKUP($D8,$C$5:$AT$510,8,)/VLOOKUP($D8,$C$5:$AT$510,3,))*$E8)</f>
        <v>0</v>
      </c>
      <c r="K8" s="119">
        <f>IF(VLOOKUP($D8,$C$5:$AT$510,3,)=0,0,(VLOOKUP($D8,$C$5:$AT$510,9,)/VLOOKUP($D8,$C$5:$AT$510,3,))*$E8)</f>
        <v>0</v>
      </c>
      <c r="L8" s="119">
        <f>IF(VLOOKUP($D8,$C$5:$AT$510,3,)=0,0,(VLOOKUP($D8,$C$5:$AT$510,10,)/VLOOKUP($D8,$C$5:$AT$510,3,))*$E8)</f>
        <v>0</v>
      </c>
      <c r="M8" s="119">
        <f>IF(VLOOKUP($D8,$C$5:$AT$510,3,)=0,0,(VLOOKUP($D8,$C$5:$AT$510,11,)/VLOOKUP($D8,$C$5:$AT$510,3,))*$E8)</f>
        <v>0</v>
      </c>
      <c r="N8" s="119">
        <f>IF(VLOOKUP($D8,$C$5:$AT$510,3,)=0,0,(VLOOKUP($D8,$C$5:$AT$510,12,)/VLOOKUP($D8,$C$5:$AT$510,3,))*$E8)</f>
        <v>0</v>
      </c>
      <c r="O8" s="119">
        <f>IF(VLOOKUP($D8,$C$5:$AT$510,3,)=0,0,(VLOOKUP($D8,$C$5:$AT$510,13,)/VLOOKUP($D8,$C$5:$AT$510,3,))*$E8)</f>
        <v>0</v>
      </c>
      <c r="P8" s="119">
        <f>IF(VLOOKUP($D8,$C$5:$AT$510,3,)=0,0,(VLOOKUP($D8,$C$5:$AT$510,14,)/VLOOKUP($D8,$C$5:$AT$510,3,))*$E8)</f>
        <v>0</v>
      </c>
      <c r="Q8" s="119">
        <f>IF(VLOOKUP($D8,$C$5:$AT$510,3,)=0,0,(VLOOKUP($D8,$C$5:$AT$510,15,)/VLOOKUP($D8,$C$5:$AT$510,3,))*$E8)</f>
        <v>0</v>
      </c>
      <c r="R8" s="119">
        <f>IF(VLOOKUP($D8,$C$5:$AT$510,3,)=0,0,(VLOOKUP($D8,$C$5:$AT$510,16,)/VLOOKUP($D8,$C$5:$AT$510,3,))*$E8)</f>
        <v>0</v>
      </c>
      <c r="S8" s="119">
        <f>IF(VLOOKUP($D8,$C$5:$AT$510,3,)=0,0,(VLOOKUP($D8,$C$5:$AT$510,17,)/VLOOKUP($D8,$C$5:$AT$510,3,))*$E8)</f>
        <v>0</v>
      </c>
      <c r="T8" s="119">
        <f>IF(VLOOKUP($D8,$C$5:$AT$510,3,)=0,0,(VLOOKUP($D8,$C$5:$AT$510,18,)/VLOOKUP($D8,$C$5:$AT$510,3,))*$E8)</f>
        <v>0</v>
      </c>
      <c r="U8" s="119">
        <f>IF(VLOOKUP($D8,$C$5:$AT$510,3,)=0,0,(VLOOKUP($D8,$C$5:$AT$510,19,)/VLOOKUP($D8,$C$5:$AT$510,3,))*$E8)</f>
        <v>0</v>
      </c>
      <c r="V8" s="119">
        <f>IF(VLOOKUP($D8,$C$5:$AT$510,3,)=0,0,(VLOOKUP($D8,$C$5:$AT$510,20,)/VLOOKUP($D8,$C$5:$AT$510,3,))*$E8)</f>
        <v>0</v>
      </c>
      <c r="W8" s="119">
        <f>IF(VLOOKUP($D8,$C$5:$AT$510,3,)=0,0,(VLOOKUP($D8,$C$5:$AT$510,21,)/VLOOKUP($D8,$C$5:$AT$510,3,))*$E8)</f>
        <v>0</v>
      </c>
      <c r="X8" s="119">
        <f>IF(VLOOKUP($D8,$C$5:$AT$510,3,)=0,0,(VLOOKUP($D8,$C$5:$AT$510,22,)/VLOOKUP($D8,$C$5:$AT$510,3,))*$E8)</f>
        <v>0</v>
      </c>
      <c r="Y8" s="119">
        <f>IF(VLOOKUP($D8,$C$5:$AT$510,3,)=0,0,(VLOOKUP($D8,$C$5:$AT$510,23,)/VLOOKUP($D8,$C$5:$AT$510,3,))*$E8)</f>
        <v>0</v>
      </c>
      <c r="Z8" s="119">
        <f>IF(VLOOKUP($D8,$C$5:$AT$510,3,)=0,0,(VLOOKUP($D8,$C$5:$AT$510,24,)/VLOOKUP($D8,$C$5:$AT$510,3,))*$E8)</f>
        <v>0</v>
      </c>
      <c r="AA8" s="119">
        <f>IF(VLOOKUP($D8,$C$5:$AT$510,3,)=0,0,(VLOOKUP($D8,$C$5:$AT$510,25,)/VLOOKUP($D8,$C$5:$AT$510,3,))*$E8)</f>
        <v>0</v>
      </c>
      <c r="AB8" s="119">
        <f>IF(VLOOKUP($D8,$C$5:$AT$510,3,)=0,0,(VLOOKUP($D8,$C$5:$AT$510,26,)/VLOOKUP($D8,$C$5:$AT$510,3,))*$E8)</f>
        <v>0</v>
      </c>
      <c r="AC8" s="119">
        <f>IF(VLOOKUP($D8,$C$5:$AT$510,3,)=0,0,(VLOOKUP($D8,$C$5:$AT$510,27,)/VLOOKUP($D8,$C$5:$AT$510,3,))*$E8)</f>
        <v>0</v>
      </c>
      <c r="AD8" s="119">
        <f>IF(VLOOKUP($D8,$C$5:$AT$510,3,)=0,0,(VLOOKUP($D8,$C$5:$AT$510,28,)/VLOOKUP($D8,$C$5:$AT$510,3,))*$E8)</f>
        <v>0</v>
      </c>
      <c r="AE8" s="119">
        <f>IF(VLOOKUP($D8,$C$5:$AT$510,3,)=0,0,(VLOOKUP($D8,$C$5:$AT$510,29,)/VLOOKUP($D8,$C$5:$AT$510,3,))*$E8)</f>
        <v>0</v>
      </c>
      <c r="AF8" s="119">
        <f>IF(VLOOKUP($D8,$C$5:$AT$510,3,)=0,0,(VLOOKUP($D8,$C$5:$AT$510,30,)/VLOOKUP($D8,$C$5:$AT$510,3,))*$E8)</f>
        <v>0</v>
      </c>
      <c r="AG8" s="120">
        <f>SUM(F8:AF8)</f>
        <v>0</v>
      </c>
      <c r="AH8" s="103" t="str">
        <f>IF(ABS(E8-AG8)&lt;0.01,"ok","err")</f>
        <v>ok</v>
      </c>
    </row>
    <row r="9" spans="1:36" x14ac:dyDescent="0.25">
      <c r="A9" s="133" t="s">
        <v>212</v>
      </c>
      <c r="C9" s="102" t="s">
        <v>213</v>
      </c>
      <c r="D9" s="102" t="s">
        <v>664</v>
      </c>
      <c r="E9" s="110">
        <f>'Func &amp; Classif'!I82</f>
        <v>0</v>
      </c>
      <c r="F9" s="119">
        <f>IF(VLOOKUP($D9,$C$5:$AT$510,3,)=0,0,(VLOOKUP($D9,$C$5:$AT$510,4,)/VLOOKUP($D9,$C$5:$AT$510,3,))*$E9)</f>
        <v>0</v>
      </c>
      <c r="G9" s="119">
        <f>IF(VLOOKUP($D9,$C$5:$AT$510,3,)=0,0,(VLOOKUP($D9,$C$5:$AT$510,5,)/VLOOKUP($D9,$C$5:$AT$510,3,))*$E9)</f>
        <v>0</v>
      </c>
      <c r="H9" s="119">
        <f>IF(VLOOKUP($D9,$C$5:$AT$510,3,)=0,0,(VLOOKUP($D9,$C$5:$AT$510,6,)/VLOOKUP($D9,$C$5:$AT$510,3,))*$E9)</f>
        <v>0</v>
      </c>
      <c r="I9" s="119">
        <f>IF(VLOOKUP($D9,$C$5:$AT$510,3,)=0,0,(VLOOKUP($D9,$C$5:$AT$510,7,)/VLOOKUP($D9,$C$5:$AT$510,3,))*$E9)</f>
        <v>0</v>
      </c>
      <c r="J9" s="119">
        <f>IF(VLOOKUP($D9,$C$5:$AT$510,3,)=0,0,(VLOOKUP($D9,$C$5:$AT$510,8,)/VLOOKUP($D9,$C$5:$AT$510,3,))*$E9)</f>
        <v>0</v>
      </c>
      <c r="K9" s="119">
        <f>IF(VLOOKUP($D9,$C$5:$AT$510,3,)=0,0,(VLOOKUP($D9,$C$5:$AT$510,9,)/VLOOKUP($D9,$C$5:$AT$510,3,))*$E9)</f>
        <v>0</v>
      </c>
      <c r="L9" s="119">
        <f>IF(VLOOKUP($D9,$C$5:$AT$510,3,)=0,0,(VLOOKUP($D9,$C$5:$AT$510,10,)/VLOOKUP($D9,$C$5:$AT$510,3,))*$E9)</f>
        <v>0</v>
      </c>
      <c r="M9" s="119">
        <f>IF(VLOOKUP($D9,$C$5:$AT$510,3,)=0,0,(VLOOKUP($D9,$C$5:$AT$510,11,)/VLOOKUP($D9,$C$5:$AT$510,3,))*$E9)</f>
        <v>0</v>
      </c>
      <c r="N9" s="119">
        <f>IF(VLOOKUP($D9,$C$5:$AT$510,3,)=0,0,(VLOOKUP($D9,$C$5:$AT$510,12,)/VLOOKUP($D9,$C$5:$AT$510,3,))*$E9)</f>
        <v>0</v>
      </c>
      <c r="O9" s="119">
        <f>IF(VLOOKUP($D9,$C$5:$AT$510,3,)=0,0,(VLOOKUP($D9,$C$5:$AT$510,13,)/VLOOKUP($D9,$C$5:$AT$510,3,))*$E9)</f>
        <v>0</v>
      </c>
      <c r="P9" s="119">
        <f>IF(VLOOKUP($D9,$C$5:$AT$510,3,)=0,0,(VLOOKUP($D9,$C$5:$AT$510,14,)/VLOOKUP($D9,$C$5:$AT$510,3,))*$E9)</f>
        <v>0</v>
      </c>
      <c r="Q9" s="119">
        <f>IF(VLOOKUP($D9,$C$5:$AT$510,3,)=0,0,(VLOOKUP($D9,$C$5:$AT$510,15,)/VLOOKUP($D9,$C$5:$AT$510,3,))*$E9)</f>
        <v>0</v>
      </c>
      <c r="R9" s="119">
        <f>IF(VLOOKUP($D9,$C$5:$AT$510,3,)=0,0,(VLOOKUP($D9,$C$5:$AT$510,16,)/VLOOKUP($D9,$C$5:$AT$510,3,))*$E9)</f>
        <v>0</v>
      </c>
      <c r="S9" s="119">
        <f>IF(VLOOKUP($D9,$C$5:$AT$510,3,)=0,0,(VLOOKUP($D9,$C$5:$AT$510,17,)/VLOOKUP($D9,$C$5:$AT$510,3,))*$E9)</f>
        <v>0</v>
      </c>
      <c r="T9" s="119">
        <f>IF(VLOOKUP($D9,$C$5:$AT$510,3,)=0,0,(VLOOKUP($D9,$C$5:$AT$510,18,)/VLOOKUP($D9,$C$5:$AT$510,3,))*$E9)</f>
        <v>0</v>
      </c>
      <c r="U9" s="119">
        <f>IF(VLOOKUP($D9,$C$5:$AT$510,3,)=0,0,(VLOOKUP($D9,$C$5:$AT$510,19,)/VLOOKUP($D9,$C$5:$AT$510,3,))*$E9)</f>
        <v>0</v>
      </c>
      <c r="V9" s="119">
        <f>IF(VLOOKUP($D9,$C$5:$AT$510,3,)=0,0,(VLOOKUP($D9,$C$5:$AT$510,20,)/VLOOKUP($D9,$C$5:$AT$510,3,))*$E9)</f>
        <v>0</v>
      </c>
      <c r="W9" s="119">
        <f>IF(VLOOKUP($D9,$C$5:$AT$510,3,)=0,0,(VLOOKUP($D9,$C$5:$AT$510,21,)/VLOOKUP($D9,$C$5:$AT$510,3,))*$E9)</f>
        <v>0</v>
      </c>
      <c r="X9" s="119">
        <f>IF(VLOOKUP($D9,$C$5:$AT$510,3,)=0,0,(VLOOKUP($D9,$C$5:$AT$510,22,)/VLOOKUP($D9,$C$5:$AT$510,3,))*$E9)</f>
        <v>0</v>
      </c>
      <c r="Y9" s="119">
        <f>IF(VLOOKUP($D9,$C$5:$AT$510,3,)=0,0,(VLOOKUP($D9,$C$5:$AT$510,23,)/VLOOKUP($D9,$C$5:$AT$510,3,))*$E9)</f>
        <v>0</v>
      </c>
      <c r="Z9" s="119">
        <f>IF(VLOOKUP($D9,$C$5:$AT$510,3,)=0,0,(VLOOKUP($D9,$C$5:$AT$510,24,)/VLOOKUP($D9,$C$5:$AT$510,3,))*$E9)</f>
        <v>0</v>
      </c>
      <c r="AA9" s="119">
        <f>IF(VLOOKUP($D9,$C$5:$AT$510,3,)=0,0,(VLOOKUP($D9,$C$5:$AT$510,25,)/VLOOKUP($D9,$C$5:$AT$510,3,))*$E9)</f>
        <v>0</v>
      </c>
      <c r="AB9" s="119">
        <f>IF(VLOOKUP($D9,$C$5:$AT$510,3,)=0,0,(VLOOKUP($D9,$C$5:$AT$510,26,)/VLOOKUP($D9,$C$5:$AT$510,3,))*$E9)</f>
        <v>0</v>
      </c>
      <c r="AC9" s="119">
        <f>IF(VLOOKUP($D9,$C$5:$AT$510,3,)=0,0,(VLOOKUP($D9,$C$5:$AT$510,27,)/VLOOKUP($D9,$C$5:$AT$510,3,))*$E9)</f>
        <v>0</v>
      </c>
      <c r="AD9" s="119">
        <f>IF(VLOOKUP($D9,$C$5:$AT$510,3,)=0,0,(VLOOKUP($D9,$C$5:$AT$510,28,)/VLOOKUP($D9,$C$5:$AT$510,3,))*$E9)</f>
        <v>0</v>
      </c>
      <c r="AE9" s="119">
        <f>IF(VLOOKUP($D9,$C$5:$AT$510,3,)=0,0,(VLOOKUP($D9,$C$5:$AT$510,29,)/VLOOKUP($D9,$C$5:$AT$510,3,))*$E9)</f>
        <v>0</v>
      </c>
      <c r="AF9" s="119">
        <f>IF(VLOOKUP($D9,$C$5:$AT$510,3,)=0,0,(VLOOKUP($D9,$C$5:$AT$510,30,)/VLOOKUP($D9,$C$5:$AT$510,3,))*$E9)</f>
        <v>0</v>
      </c>
      <c r="AG9" s="120">
        <f>SUM(F9:AF9)</f>
        <v>0</v>
      </c>
      <c r="AH9" s="103" t="str">
        <f>IF(ABS(E9-AG9)&lt;0.01,"ok","err")</f>
        <v>ok</v>
      </c>
    </row>
    <row r="10" spans="1:36" x14ac:dyDescent="0.25">
      <c r="A10" s="102" t="s">
        <v>215</v>
      </c>
      <c r="C10" s="102" t="s">
        <v>216</v>
      </c>
      <c r="E10" s="119">
        <f t="shared" ref="E10:T10" si="0">E8+E9</f>
        <v>0</v>
      </c>
      <c r="F10" s="119">
        <f t="shared" si="0"/>
        <v>0</v>
      </c>
      <c r="G10" s="119">
        <f t="shared" si="0"/>
        <v>0</v>
      </c>
      <c r="H10" s="119">
        <f t="shared" si="0"/>
        <v>0</v>
      </c>
      <c r="I10" s="119">
        <f t="shared" si="0"/>
        <v>0</v>
      </c>
      <c r="J10" s="119">
        <f t="shared" si="0"/>
        <v>0</v>
      </c>
      <c r="K10" s="119">
        <f t="shared" si="0"/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f t="shared" si="0"/>
        <v>0</v>
      </c>
      <c r="Q10" s="119">
        <f t="shared" si="0"/>
        <v>0</v>
      </c>
      <c r="R10" s="119">
        <f t="shared" si="0"/>
        <v>0</v>
      </c>
      <c r="S10" s="119">
        <f t="shared" si="0"/>
        <v>0</v>
      </c>
      <c r="T10" s="119">
        <f t="shared" si="0"/>
        <v>0</v>
      </c>
      <c r="U10" s="119">
        <f t="shared" ref="U10:AF10" si="1">U8+U9</f>
        <v>0</v>
      </c>
      <c r="V10" s="119">
        <f t="shared" si="1"/>
        <v>0</v>
      </c>
      <c r="W10" s="119">
        <f t="shared" si="1"/>
        <v>0</v>
      </c>
      <c r="X10" s="119">
        <f t="shared" si="1"/>
        <v>0</v>
      </c>
      <c r="Y10" s="119">
        <f t="shared" si="1"/>
        <v>0</v>
      </c>
      <c r="Z10" s="119">
        <f t="shared" si="1"/>
        <v>0</v>
      </c>
      <c r="AA10" s="119">
        <f t="shared" si="1"/>
        <v>0</v>
      </c>
      <c r="AB10" s="119">
        <f t="shared" si="1"/>
        <v>0</v>
      </c>
      <c r="AC10" s="119">
        <f t="shared" si="1"/>
        <v>0</v>
      </c>
      <c r="AD10" s="119">
        <f t="shared" si="1"/>
        <v>0</v>
      </c>
      <c r="AE10" s="119">
        <f t="shared" si="1"/>
        <v>0</v>
      </c>
      <c r="AF10" s="119">
        <f t="shared" si="1"/>
        <v>0</v>
      </c>
      <c r="AG10" s="120">
        <f>SUM(F10:AF10)</f>
        <v>0</v>
      </c>
      <c r="AH10" s="103" t="str">
        <f>IF(ABS(E10-AG10)&lt;0.01,"ok","err")</f>
        <v>ok</v>
      </c>
    </row>
    <row r="11" spans="1:36" x14ac:dyDescent="0.25">
      <c r="E11" s="110"/>
      <c r="F11" s="110"/>
      <c r="L11" s="110"/>
    </row>
    <row r="12" spans="1:36" x14ac:dyDescent="0.25">
      <c r="A12" s="132" t="s">
        <v>350</v>
      </c>
      <c r="E12" s="110"/>
      <c r="F12" s="110"/>
      <c r="L12" s="110"/>
    </row>
    <row r="13" spans="1:36" x14ac:dyDescent="0.25">
      <c r="A13" s="133" t="s">
        <v>209</v>
      </c>
      <c r="C13" s="102" t="s">
        <v>875</v>
      </c>
      <c r="D13" s="102" t="s">
        <v>597</v>
      </c>
      <c r="E13" s="119">
        <f>'Func &amp; Classif'!K82</f>
        <v>0</v>
      </c>
      <c r="F13" s="119">
        <f>IF(VLOOKUP($D13,$C$5:$AT$510,3,)=0,0,(VLOOKUP($D13,$C$5:$AT$510,4,)/VLOOKUP($D13,$C$5:$AT$510,3,))*$E13)</f>
        <v>0</v>
      </c>
      <c r="G13" s="119">
        <f>IF(VLOOKUP($D13,$C$5:$AT$510,3,)=0,0,(VLOOKUP($D13,$C$5:$AT$510,5,)/VLOOKUP($D13,$C$5:$AT$510,3,))*$E13)</f>
        <v>0</v>
      </c>
      <c r="H13" s="119">
        <f>IF(VLOOKUP($D13,$C$5:$AT$510,3,)=0,0,(VLOOKUP($D13,$C$5:$AT$510,6,)/VLOOKUP($D13,$C$5:$AT$510,3,))*$E13)</f>
        <v>0</v>
      </c>
      <c r="I13" s="119">
        <f>IF(VLOOKUP($D13,$C$5:$AT$510,3,)=0,0,(VLOOKUP($D13,$C$5:$AT$510,7,)/VLOOKUP($D13,$C$5:$AT$510,3,))*$E13)</f>
        <v>0</v>
      </c>
      <c r="J13" s="119">
        <f>IF(VLOOKUP($D13,$C$5:$AT$510,3,)=0,0,(VLOOKUP($D13,$C$5:$AT$510,8,)/VLOOKUP($D13,$C$5:$AT$510,3,))*$E13)</f>
        <v>0</v>
      </c>
      <c r="K13" s="119">
        <f>IF(VLOOKUP($D13,$C$5:$AT$510,3,)=0,0,(VLOOKUP($D13,$C$5:$AT$510,9,)/VLOOKUP($D13,$C$5:$AT$510,3,))*$E13)</f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f>IF(VLOOKUP($D13,$C$5:$AT$510,3,)=0,0,(VLOOKUP($D13,$C$5:$AT$510,14,)/VLOOKUP($D13,$C$5:$AT$510,3,))*$E13)</f>
        <v>0</v>
      </c>
      <c r="Q13" s="119">
        <f>IF(VLOOKUP($D13,$C$5:$AT$510,3,)=0,0,(VLOOKUP($D13,$C$5:$AT$510,15,)/VLOOKUP($D13,$C$5:$AT$510,3,))*$E13)</f>
        <v>0</v>
      </c>
      <c r="R13" s="119">
        <f>IF(VLOOKUP($D13,$C$5:$AT$510,3,)=0,0,(VLOOKUP($D13,$C$5:$AT$510,16,)/VLOOKUP($D13,$C$5:$AT$510,3,))*$E13)</f>
        <v>0</v>
      </c>
      <c r="S13" s="119">
        <f>IF(VLOOKUP($D13,$C$5:$AT$510,3,)=0,0,(VLOOKUP($D13,$C$5:$AT$510,17,)/VLOOKUP($D13,$C$5:$AT$510,3,))*$E13)</f>
        <v>0</v>
      </c>
      <c r="T13" s="119">
        <f>IF(VLOOKUP($D13,$C$5:$AT$510,3,)=0,0,(VLOOKUP($D13,$C$5:$AT$510,18,)/VLOOKUP($D13,$C$5:$AT$510,3,))*$E13)</f>
        <v>0</v>
      </c>
      <c r="U13" s="119">
        <f>IF(VLOOKUP($D13,$C$5:$AT$510,3,)=0,0,(VLOOKUP($D13,$C$5:$AT$510,19,)/VLOOKUP($D13,$C$5:$AT$510,3,))*$E13)</f>
        <v>0</v>
      </c>
      <c r="V13" s="119">
        <f>IF(VLOOKUP($D13,$C$5:$AT$510,3,)=0,0,(VLOOKUP($D13,$C$5:$AT$510,20,)/VLOOKUP($D13,$C$5:$AT$510,3,))*$E13)</f>
        <v>0</v>
      </c>
      <c r="W13" s="119">
        <f>IF(VLOOKUP($D13,$C$5:$AT$510,3,)=0,0,(VLOOKUP($D13,$C$5:$AT$510,21,)/VLOOKUP($D13,$C$5:$AT$510,3,))*$E13)</f>
        <v>0</v>
      </c>
      <c r="X13" s="119">
        <f>IF(VLOOKUP($D13,$C$5:$AT$510,3,)=0,0,(VLOOKUP($D13,$C$5:$AT$510,22,)/VLOOKUP($D13,$C$5:$AT$510,3,))*$E13)</f>
        <v>0</v>
      </c>
      <c r="Y13" s="119">
        <f>IF(VLOOKUP($D13,$C$5:$AT$510,3,)=0,0,(VLOOKUP($D13,$C$5:$AT$510,23,)/VLOOKUP($D13,$C$5:$AT$510,3,))*$E13)</f>
        <v>0</v>
      </c>
      <c r="Z13" s="119">
        <f>IF(VLOOKUP($D13,$C$5:$AT$510,3,)=0,0,(VLOOKUP($D13,$C$5:$AT$510,24,)/VLOOKUP($D13,$C$5:$AT$510,3,))*$E13)</f>
        <v>0</v>
      </c>
      <c r="AA13" s="119">
        <f>IF(VLOOKUP($D13,$C$5:$AT$510,3,)=0,0,(VLOOKUP($D13,$C$5:$AT$510,25,)/VLOOKUP($D13,$C$5:$AT$510,3,))*$E13)</f>
        <v>0</v>
      </c>
      <c r="AB13" s="119">
        <f>IF(VLOOKUP($D13,$C$5:$AT$510,3,)=0,0,(VLOOKUP($D13,$C$5:$AT$510,26,)/VLOOKUP($D13,$C$5:$AT$510,3,))*$E13)</f>
        <v>0</v>
      </c>
      <c r="AC13" s="119">
        <f>IF(VLOOKUP($D13,$C$5:$AT$510,3,)=0,0,(VLOOKUP($D13,$C$5:$AT$510,27,)/VLOOKUP($D13,$C$5:$AT$510,3,))*$E13)</f>
        <v>0</v>
      </c>
      <c r="AD13" s="119">
        <f>IF(VLOOKUP($D13,$C$5:$AT$510,3,)=0,0,(VLOOKUP($D13,$C$5:$AT$510,28,)/VLOOKUP($D13,$C$5:$AT$510,3,))*$E13)</f>
        <v>0</v>
      </c>
      <c r="AE13" s="119">
        <f>IF(VLOOKUP($D13,$C$5:$AT$510,3,)=0,0,(VLOOKUP($D13,$C$5:$AT$510,29,)/VLOOKUP($D13,$C$5:$AT$510,3,))*$E13)</f>
        <v>0</v>
      </c>
      <c r="AF13" s="119">
        <f>IF(VLOOKUP($D13,$C$5:$AT$510,3,)=0,0,(VLOOKUP($D13,$C$5:$AT$510,30,)/VLOOKUP($D13,$C$5:$AT$510,3,))*$E13)</f>
        <v>0</v>
      </c>
      <c r="AG13" s="120">
        <f>SUM(F13:AF13)</f>
        <v>0</v>
      </c>
      <c r="AH13" s="103" t="str">
        <f>IF(ABS(E13-AG13)&lt;0.01,"ok","err")</f>
        <v>ok</v>
      </c>
    </row>
    <row r="14" spans="1:36" x14ac:dyDescent="0.25">
      <c r="E14" s="110"/>
    </row>
    <row r="15" spans="1:36" x14ac:dyDescent="0.25">
      <c r="A15" s="132" t="s">
        <v>1</v>
      </c>
      <c r="E15" s="110"/>
      <c r="F15" s="110"/>
      <c r="L15" s="110"/>
    </row>
    <row r="16" spans="1:36" x14ac:dyDescent="0.25">
      <c r="A16" s="133" t="s">
        <v>209</v>
      </c>
      <c r="C16" s="102" t="s">
        <v>217</v>
      </c>
      <c r="D16" s="102" t="s">
        <v>613</v>
      </c>
      <c r="E16" s="119">
        <f>'Func &amp; Classif'!M82</f>
        <v>0</v>
      </c>
      <c r="F16" s="119">
        <f>IF(VLOOKUP($D16,$C$5:$AT$510,3,)=0,0,(VLOOKUP($D16,$C$5:$AT$510,4,)/VLOOKUP($D16,$C$5:$AT$510,3,))*$E16)</f>
        <v>0</v>
      </c>
      <c r="G16" s="119">
        <f>IF(VLOOKUP($D16,$C$5:$AT$510,3,)=0,0,(VLOOKUP($D16,$C$5:$AT$510,5,)/VLOOKUP($D16,$C$5:$AT$510,3,))*$E16)</f>
        <v>0</v>
      </c>
      <c r="H16" s="119">
        <f>IF(VLOOKUP($D16,$C$5:$AT$510,3,)=0,0,(VLOOKUP($D16,$C$5:$AT$510,6,)/VLOOKUP($D16,$C$5:$AT$510,3,))*$E16)</f>
        <v>0</v>
      </c>
      <c r="I16" s="119">
        <f>IF(VLOOKUP($D16,$C$5:$AT$510,3,)=0,0,(VLOOKUP($D16,$C$5:$AT$510,7,)/VLOOKUP($D16,$C$5:$AT$510,3,))*$E16)</f>
        <v>0</v>
      </c>
      <c r="J16" s="119">
        <f>IF(VLOOKUP($D16,$C$5:$AT$510,3,)=0,0,(VLOOKUP($D16,$C$5:$AT$510,8,)/VLOOKUP($D16,$C$5:$AT$510,3,))*$E16)</f>
        <v>0</v>
      </c>
      <c r="K16" s="119">
        <f>IF(VLOOKUP($D16,$C$5:$AT$510,3,)=0,0,(VLOOKUP($D16,$C$5:$AT$510,9,)/VLOOKUP($D16,$C$5:$AT$510,3,))*$E16)</f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f>IF(VLOOKUP($D16,$C$5:$AT$510,3,)=0,0,(VLOOKUP($D16,$C$5:$AT$510,14,)/VLOOKUP($D16,$C$5:$AT$510,3,))*$E16)</f>
        <v>0</v>
      </c>
      <c r="Q16" s="119">
        <f>IF(VLOOKUP($D16,$C$5:$AT$510,3,)=0,0,(VLOOKUP($D16,$C$5:$AT$510,15,)/VLOOKUP($D16,$C$5:$AT$510,3,))*$E16)</f>
        <v>0</v>
      </c>
      <c r="R16" s="119">
        <f>IF(VLOOKUP($D16,$C$5:$AT$510,3,)=0,0,(VLOOKUP($D16,$C$5:$AT$510,16,)/VLOOKUP($D16,$C$5:$AT$510,3,))*$E16)</f>
        <v>0</v>
      </c>
      <c r="S16" s="119">
        <f>IF(VLOOKUP($D16,$C$5:$AT$510,3,)=0,0,(VLOOKUP($D16,$C$5:$AT$510,17,)/VLOOKUP($D16,$C$5:$AT$510,3,))*$E16)</f>
        <v>0</v>
      </c>
      <c r="T16" s="119">
        <f>IF(VLOOKUP($D16,$C$5:$AT$510,3,)=0,0,(VLOOKUP($D16,$C$5:$AT$510,18,)/VLOOKUP($D16,$C$5:$AT$510,3,))*$E16)</f>
        <v>0</v>
      </c>
      <c r="U16" s="119">
        <f>IF(VLOOKUP($D16,$C$5:$AT$510,3,)=0,0,(VLOOKUP($D16,$C$5:$AT$510,19,)/VLOOKUP($D16,$C$5:$AT$510,3,))*$E16)</f>
        <v>0</v>
      </c>
      <c r="V16" s="119">
        <f>IF(VLOOKUP($D16,$C$5:$AT$510,3,)=0,0,(VLOOKUP($D16,$C$5:$AT$510,20,)/VLOOKUP($D16,$C$5:$AT$510,3,))*$E16)</f>
        <v>0</v>
      </c>
      <c r="W16" s="119">
        <f>IF(VLOOKUP($D16,$C$5:$AT$510,3,)=0,0,(VLOOKUP($D16,$C$5:$AT$510,21,)/VLOOKUP($D16,$C$5:$AT$510,3,))*$E16)</f>
        <v>0</v>
      </c>
      <c r="X16" s="119">
        <f>IF(VLOOKUP($D16,$C$5:$AT$510,3,)=0,0,(VLOOKUP($D16,$C$5:$AT$510,22,)/VLOOKUP($D16,$C$5:$AT$510,3,))*$E16)</f>
        <v>0</v>
      </c>
      <c r="Y16" s="119">
        <f>IF(VLOOKUP($D16,$C$5:$AT$510,3,)=0,0,(VLOOKUP($D16,$C$5:$AT$510,23,)/VLOOKUP($D16,$C$5:$AT$510,3,))*$E16)</f>
        <v>0</v>
      </c>
      <c r="Z16" s="119">
        <f>IF(VLOOKUP($D16,$C$5:$AT$510,3,)=0,0,(VLOOKUP($D16,$C$5:$AT$510,24,)/VLOOKUP($D16,$C$5:$AT$510,3,))*$E16)</f>
        <v>0</v>
      </c>
      <c r="AA16" s="119">
        <f>IF(VLOOKUP($D16,$C$5:$AT$510,3,)=0,0,(VLOOKUP($D16,$C$5:$AT$510,25,)/VLOOKUP($D16,$C$5:$AT$510,3,))*$E16)</f>
        <v>0</v>
      </c>
      <c r="AB16" s="119">
        <f>IF(VLOOKUP($D16,$C$5:$AT$510,3,)=0,0,(VLOOKUP($D16,$C$5:$AT$510,26,)/VLOOKUP($D16,$C$5:$AT$510,3,))*$E16)</f>
        <v>0</v>
      </c>
      <c r="AC16" s="119">
        <f>IF(VLOOKUP($D16,$C$5:$AT$510,3,)=0,0,(VLOOKUP($D16,$C$5:$AT$510,27,)/VLOOKUP($D16,$C$5:$AT$510,3,))*$E16)</f>
        <v>0</v>
      </c>
      <c r="AD16" s="119">
        <f>IF(VLOOKUP($D16,$C$5:$AT$510,3,)=0,0,(VLOOKUP($D16,$C$5:$AT$510,28,)/VLOOKUP($D16,$C$5:$AT$510,3,))*$E16)</f>
        <v>0</v>
      </c>
      <c r="AE16" s="119">
        <f>IF(VLOOKUP($D16,$C$5:$AT$510,3,)=0,0,(VLOOKUP($D16,$C$5:$AT$510,29,)/VLOOKUP($D16,$C$5:$AT$510,3,))*$E16)</f>
        <v>0</v>
      </c>
      <c r="AF16" s="119">
        <f>IF(VLOOKUP($D16,$C$5:$AT$510,3,)=0,0,(VLOOKUP($D16,$C$5:$AT$510,30,)/VLOOKUP($D16,$C$5:$AT$510,3,))*$E16)</f>
        <v>0</v>
      </c>
      <c r="AG16" s="120">
        <f>SUM(F16:AF16)</f>
        <v>0</v>
      </c>
      <c r="AH16" s="103" t="str">
        <f>IF(ABS(E16-AG16)&lt;0.01,"ok","err")</f>
        <v>ok</v>
      </c>
    </row>
    <row r="17" spans="1:35" x14ac:dyDescent="0.25">
      <c r="E17" s="110"/>
    </row>
    <row r="18" spans="1:35" x14ac:dyDescent="0.25">
      <c r="A18" s="132" t="s">
        <v>357</v>
      </c>
      <c r="E18" s="110"/>
    </row>
    <row r="19" spans="1:35" x14ac:dyDescent="0.25">
      <c r="A19" s="133" t="s">
        <v>209</v>
      </c>
      <c r="C19" s="102" t="s">
        <v>219</v>
      </c>
      <c r="D19" s="102" t="s">
        <v>605</v>
      </c>
      <c r="E19" s="119">
        <f>'Func &amp; Classif'!O82</f>
        <v>74348905.435568213</v>
      </c>
      <c r="F19" s="119">
        <f>IF(VLOOKUP($D19,$C$5:$AT$510,3,)=0,0,(VLOOKUP($D19,$C$5:$AT$510,4,)/VLOOKUP($D19,$C$5:$AT$510,3,))*$E19)</f>
        <v>53693050.168916419</v>
      </c>
      <c r="G19" s="119">
        <f>IF(VLOOKUP($D19,$C$5:$AT$510,3,)=0,0,(VLOOKUP($D19,$C$5:$AT$510,5,)/VLOOKUP($D19,$C$5:$AT$510,3,))*$E19)</f>
        <v>158806.38855859611</v>
      </c>
      <c r="H19" s="119">
        <f>IF(VLOOKUP($D19,$C$5:$AT$510,3,)=0,0,(VLOOKUP($D19,$C$5:$AT$510,6,)/VLOOKUP($D19,$C$5:$AT$510,3,))*$E19)</f>
        <v>2908765.4636688242</v>
      </c>
      <c r="I19" s="119">
        <f>IF(VLOOKUP($D19,$C$5:$AT$510,3,)=0,0,(VLOOKUP($D19,$C$5:$AT$510,7,)/VLOOKUP($D19,$C$5:$AT$510,3,))*$E19)</f>
        <v>7677547.2146694968</v>
      </c>
      <c r="J19" s="119">
        <f>IF(VLOOKUP($D19,$C$5:$AT$510,3,)=0,0,(VLOOKUP($D19,$C$5:$AT$510,8,)/VLOOKUP($D19,$C$5:$AT$510,3,))*$E19)</f>
        <v>1325431.7765722335</v>
      </c>
      <c r="K19" s="119">
        <f>IF(VLOOKUP($D19,$C$5:$AT$510,3,)=0,0,(VLOOKUP($D19,$C$5:$AT$510,9,)/VLOOKUP($D19,$C$5:$AT$510,3,))*$E19)</f>
        <v>57675.526683843658</v>
      </c>
      <c r="L19" s="119">
        <f>IF(VLOOKUP($D19,$C$5:$AT$510,3,)=0,0,(VLOOKUP($D19,$C$5:$AT$510,10,)/VLOOKUP($D19,$C$5:$AT$510,3,))*$E19)</f>
        <v>1629767.9131664466</v>
      </c>
      <c r="M19" s="119">
        <f>IF(VLOOKUP($D19,$C$5:$AT$510,3,)=0,0,(VLOOKUP($D19,$C$5:$AT$510,11,)/VLOOKUP($D19,$C$5:$AT$510,3,))*$E19)</f>
        <v>6829402.1206540866</v>
      </c>
      <c r="N19" s="119">
        <f>IF(VLOOKUP($D19,$C$5:$AT$510,3,)=0,0,(VLOOKUP($D19,$C$5:$AT$510,12,)/VLOOKUP($D19,$C$5:$AT$510,3,))*$E19)</f>
        <v>58506.351889890961</v>
      </c>
      <c r="O19" s="119">
        <f>IF(VLOOKUP($D19,$C$5:$AT$510,3,)=0,0,(VLOOKUP($D19,$C$5:$AT$510,13,)/VLOOKUP($D19,$C$5:$AT$510,3,))*$E19)</f>
        <v>0</v>
      </c>
      <c r="P19" s="119">
        <f>IF(VLOOKUP($D19,$C$5:$AT$510,3,)=0,0,(VLOOKUP($D19,$C$5:$AT$510,14,)/VLOOKUP($D19,$C$5:$AT$510,3,))*$E19)</f>
        <v>9952.510788384614</v>
      </c>
      <c r="Q19" s="119">
        <f>IF(VLOOKUP($D19,$C$5:$AT$510,3,)=0,0,(VLOOKUP($D19,$C$5:$AT$510,15,)/VLOOKUP($D19,$C$5:$AT$510,3,))*$E19)</f>
        <v>0</v>
      </c>
      <c r="R19" s="119">
        <f>IF(VLOOKUP($D19,$C$5:$AT$510,3,)=0,0,(VLOOKUP($D19,$C$5:$AT$510,16,)/VLOOKUP($D19,$C$5:$AT$510,3,))*$E19)</f>
        <v>0</v>
      </c>
      <c r="S19" s="119">
        <f>IF(VLOOKUP($D19,$C$5:$AT$510,3,)=0,0,(VLOOKUP($D19,$C$5:$AT$510,17,)/VLOOKUP($D19,$C$5:$AT$510,3,))*$E19)</f>
        <v>0</v>
      </c>
      <c r="T19" s="119">
        <f>IF(VLOOKUP($D19,$C$5:$AT$510,3,)=0,0,(VLOOKUP($D19,$C$5:$AT$510,18,)/VLOOKUP($D19,$C$5:$AT$510,3,))*$E19)</f>
        <v>0</v>
      </c>
      <c r="U19" s="119">
        <f>IF(VLOOKUP($D19,$C$5:$AT$510,3,)=0,0,(VLOOKUP($D19,$C$5:$AT$510,19,)/VLOOKUP($D19,$C$5:$AT$510,3,))*$E19)</f>
        <v>0</v>
      </c>
      <c r="V19" s="119">
        <f>IF(VLOOKUP($D19,$C$5:$AT$510,3,)=0,0,(VLOOKUP($D19,$C$5:$AT$510,20,)/VLOOKUP($D19,$C$5:$AT$510,3,))*$E19)</f>
        <v>0</v>
      </c>
      <c r="W19" s="119">
        <f>IF(VLOOKUP($D19,$C$5:$AT$510,3,)=0,0,(VLOOKUP($D19,$C$5:$AT$510,21,)/VLOOKUP($D19,$C$5:$AT$510,3,))*$E19)</f>
        <v>0</v>
      </c>
      <c r="X19" s="119">
        <f>IF(VLOOKUP($D19,$C$5:$AT$510,3,)=0,0,(VLOOKUP($D19,$C$5:$AT$510,22,)/VLOOKUP($D19,$C$5:$AT$510,3,))*$E19)</f>
        <v>0</v>
      </c>
      <c r="Y19" s="119">
        <f>IF(VLOOKUP($D19,$C$5:$AT$510,3,)=0,0,(VLOOKUP($D19,$C$5:$AT$510,23,)/VLOOKUP($D19,$C$5:$AT$510,3,))*$E19)</f>
        <v>0</v>
      </c>
      <c r="Z19" s="119">
        <f>IF(VLOOKUP($D19,$C$5:$AT$510,3,)=0,0,(VLOOKUP($D19,$C$5:$AT$510,24,)/VLOOKUP($D19,$C$5:$AT$510,3,))*$E19)</f>
        <v>0</v>
      </c>
      <c r="AA19" s="119">
        <f>IF(VLOOKUP($D19,$C$5:$AT$510,3,)=0,0,(VLOOKUP($D19,$C$5:$AT$510,25,)/VLOOKUP($D19,$C$5:$AT$510,3,))*$E19)</f>
        <v>0</v>
      </c>
      <c r="AB19" s="119">
        <f>IF(VLOOKUP($D19,$C$5:$AT$510,3,)=0,0,(VLOOKUP($D19,$C$5:$AT$510,26,)/VLOOKUP($D19,$C$5:$AT$510,3,))*$E19)</f>
        <v>0</v>
      </c>
      <c r="AC19" s="119">
        <f>IF(VLOOKUP($D19,$C$5:$AT$510,3,)=0,0,(VLOOKUP($D19,$C$5:$AT$510,27,)/VLOOKUP($D19,$C$5:$AT$510,3,))*$E19)</f>
        <v>0</v>
      </c>
      <c r="AD19" s="119">
        <f>IF(VLOOKUP($D19,$C$5:$AT$510,3,)=0,0,(VLOOKUP($D19,$C$5:$AT$510,28,)/VLOOKUP($D19,$C$5:$AT$510,3,))*$E19)</f>
        <v>0</v>
      </c>
      <c r="AE19" s="119">
        <f>IF(VLOOKUP($D19,$C$5:$AT$510,3,)=0,0,(VLOOKUP($D19,$C$5:$AT$510,29,)/VLOOKUP($D19,$C$5:$AT$510,3,))*$E19)</f>
        <v>0</v>
      </c>
      <c r="AF19" s="119">
        <f>IF(VLOOKUP($D19,$C$5:$AT$510,3,)=0,0,(VLOOKUP($D19,$C$5:$AT$510,30,)/VLOOKUP($D19,$C$5:$AT$510,3,))*$E19)</f>
        <v>0</v>
      </c>
      <c r="AG19" s="120">
        <f>SUM(F19:AF19)</f>
        <v>74348905.435568228</v>
      </c>
      <c r="AH19" s="103" t="str">
        <f>IF(ABS(E19-AG19)&lt;0.01,"ok","err")</f>
        <v>ok</v>
      </c>
      <c r="AI19" s="120"/>
    </row>
    <row r="20" spans="1:35" x14ac:dyDescent="0.25">
      <c r="A20" s="133" t="s">
        <v>221</v>
      </c>
      <c r="C20" s="102" t="s">
        <v>222</v>
      </c>
      <c r="D20" s="102" t="s">
        <v>223</v>
      </c>
      <c r="E20" s="110">
        <f>'Func &amp; Classif'!P82</f>
        <v>29824864.135756709</v>
      </c>
      <c r="F20" s="119">
        <f>IF(VLOOKUP($D20,$C$5:$AT$510,3,)=0,0,(VLOOKUP($D20,$C$5:$AT$510,4,)/VLOOKUP($D20,$C$5:$AT$510,3,))*$E20)</f>
        <v>28215504.088263303</v>
      </c>
      <c r="G20" s="119">
        <f>IF(VLOOKUP($D20,$C$5:$AT$510,3,)=0,0,(VLOOKUP($D20,$C$5:$AT$510,5,)/VLOOKUP($D20,$C$5:$AT$510,3,))*$E20)</f>
        <v>59853.203082165724</v>
      </c>
      <c r="H20" s="119">
        <f>IF(VLOOKUP($D20,$C$5:$AT$510,3,)=0,0,(VLOOKUP($D20,$C$5:$AT$510,6,)/VLOOKUP($D20,$C$5:$AT$510,3,))*$E20)</f>
        <v>613788.72964652313</v>
      </c>
      <c r="I20" s="119">
        <f>IF(VLOOKUP($D20,$C$5:$AT$510,3,)=0,0,(VLOOKUP($D20,$C$5:$AT$510,7,)/VLOOKUP($D20,$C$5:$AT$510,3,))*$E20)</f>
        <v>71589.125255139399</v>
      </c>
      <c r="J20" s="119">
        <f>IF(VLOOKUP($D20,$C$5:$AT$510,3,)=0,0,(VLOOKUP($D20,$C$5:$AT$510,8,)/VLOOKUP($D20,$C$5:$AT$510,3,))*$E20)</f>
        <v>26992.620997839447</v>
      </c>
      <c r="K20" s="119">
        <f>IF(VLOOKUP($D20,$C$5:$AT$510,3,)=0,0,(VLOOKUP($D20,$C$5:$AT$510,9,)/VLOOKUP($D20,$C$5:$AT$510,3,))*$E20)</f>
        <v>366160.7717967786</v>
      </c>
      <c r="L20" s="119">
        <f>IF(VLOOKUP($D20,$C$5:$AT$510,3,)=0,0,(VLOOKUP($D20,$C$5:$AT$510,10,)/VLOOKUP($D20,$C$5:$AT$510,3,))*$E20)</f>
        <v>284009.31658596284</v>
      </c>
      <c r="M20" s="119">
        <f>IF(VLOOKUP($D20,$C$5:$AT$510,3,)=0,0,(VLOOKUP($D20,$C$5:$AT$510,11,)/VLOOKUP($D20,$C$5:$AT$510,3,))*$E20)</f>
        <v>181906.79368109195</v>
      </c>
      <c r="N20" s="119">
        <f>IF(VLOOKUP($D20,$C$5:$AT$510,3,)=0,0,(VLOOKUP($D20,$C$5:$AT$510,12,)/VLOOKUP($D20,$C$5:$AT$510,3,))*$E20)</f>
        <v>3520.7766518921021</v>
      </c>
      <c r="O20" s="119">
        <f>IF(VLOOKUP($D20,$C$5:$AT$510,3,)=0,0,(VLOOKUP($D20,$C$5:$AT$510,13,)/VLOOKUP($D20,$C$5:$AT$510,3,))*$E20)</f>
        <v>0</v>
      </c>
      <c r="P20" s="119">
        <f>IF(VLOOKUP($D20,$C$5:$AT$510,3,)=0,0,(VLOOKUP($D20,$C$5:$AT$510,14,)/VLOOKUP($D20,$C$5:$AT$510,3,))*$E20)</f>
        <v>1538.7097960121039</v>
      </c>
      <c r="Q20" s="119">
        <f>IF(VLOOKUP($D20,$C$5:$AT$510,3,)=0,0,(VLOOKUP($D20,$C$5:$AT$510,15,)/VLOOKUP($D20,$C$5:$AT$510,3,))*$E20)</f>
        <v>0</v>
      </c>
      <c r="R20" s="119">
        <f>IF(VLOOKUP($D20,$C$5:$AT$510,3,)=0,0,(VLOOKUP($D20,$C$5:$AT$510,16,)/VLOOKUP($D20,$C$5:$AT$510,3,))*$E20)</f>
        <v>0</v>
      </c>
      <c r="S20" s="119">
        <f>IF(VLOOKUP($D20,$C$5:$AT$510,3,)=0,0,(VLOOKUP($D20,$C$5:$AT$510,17,)/VLOOKUP($D20,$C$5:$AT$510,3,))*$E20)</f>
        <v>0</v>
      </c>
      <c r="T20" s="119">
        <f>IF(VLOOKUP($D20,$C$5:$AT$510,3,)=0,0,(VLOOKUP($D20,$C$5:$AT$510,18,)/VLOOKUP($D20,$C$5:$AT$510,3,))*$E20)</f>
        <v>0</v>
      </c>
      <c r="U20" s="119">
        <f>IF(VLOOKUP($D20,$C$5:$AT$510,3,)=0,0,(VLOOKUP($D20,$C$5:$AT$510,19,)/VLOOKUP($D20,$C$5:$AT$510,3,))*$E20)</f>
        <v>0</v>
      </c>
      <c r="V20" s="119">
        <f>IF(VLOOKUP($D20,$C$5:$AT$510,3,)=0,0,(VLOOKUP($D20,$C$5:$AT$510,20,)/VLOOKUP($D20,$C$5:$AT$510,3,))*$E20)</f>
        <v>0</v>
      </c>
      <c r="W20" s="119">
        <f>IF(VLOOKUP($D20,$C$5:$AT$510,3,)=0,0,(VLOOKUP($D20,$C$5:$AT$510,21,)/VLOOKUP($D20,$C$5:$AT$510,3,))*$E20)</f>
        <v>0</v>
      </c>
      <c r="X20" s="119">
        <f>IF(VLOOKUP($D20,$C$5:$AT$510,3,)=0,0,(VLOOKUP($D20,$C$5:$AT$510,22,)/VLOOKUP($D20,$C$5:$AT$510,3,))*$E20)</f>
        <v>0</v>
      </c>
      <c r="Y20" s="119">
        <f>IF(VLOOKUP($D20,$C$5:$AT$510,3,)=0,0,(VLOOKUP($D20,$C$5:$AT$510,23,)/VLOOKUP($D20,$C$5:$AT$510,3,))*$E20)</f>
        <v>0</v>
      </c>
      <c r="Z20" s="119">
        <f>IF(VLOOKUP($D20,$C$5:$AT$510,3,)=0,0,(VLOOKUP($D20,$C$5:$AT$510,24,)/VLOOKUP($D20,$C$5:$AT$510,3,))*$E20)</f>
        <v>0</v>
      </c>
      <c r="AA20" s="119">
        <f>IF(VLOOKUP($D20,$C$5:$AT$510,3,)=0,0,(VLOOKUP($D20,$C$5:$AT$510,25,)/VLOOKUP($D20,$C$5:$AT$510,3,))*$E20)</f>
        <v>0</v>
      </c>
      <c r="AB20" s="119">
        <f>IF(VLOOKUP($D20,$C$5:$AT$510,3,)=0,0,(VLOOKUP($D20,$C$5:$AT$510,26,)/VLOOKUP($D20,$C$5:$AT$510,3,))*$E20)</f>
        <v>0</v>
      </c>
      <c r="AC20" s="119">
        <f>IF(VLOOKUP($D20,$C$5:$AT$510,3,)=0,0,(VLOOKUP($D20,$C$5:$AT$510,27,)/VLOOKUP($D20,$C$5:$AT$510,3,))*$E20)</f>
        <v>0</v>
      </c>
      <c r="AD20" s="119">
        <f>IF(VLOOKUP($D20,$C$5:$AT$510,3,)=0,0,(VLOOKUP($D20,$C$5:$AT$510,28,)/VLOOKUP($D20,$C$5:$AT$510,3,))*$E20)</f>
        <v>0</v>
      </c>
      <c r="AE20" s="119">
        <f>IF(VLOOKUP($D20,$C$5:$AT$510,3,)=0,0,(VLOOKUP($D20,$C$5:$AT$510,29,)/VLOOKUP($D20,$C$5:$AT$510,3,))*$E20)</f>
        <v>0</v>
      </c>
      <c r="AF20" s="119">
        <f>IF(VLOOKUP($D20,$C$5:$AT$510,3,)=0,0,(VLOOKUP($D20,$C$5:$AT$510,30,)/VLOOKUP($D20,$C$5:$AT$510,3,))*$E20)</f>
        <v>0</v>
      </c>
      <c r="AG20" s="120">
        <f>SUM(F20:AF20)</f>
        <v>29824864.135756705</v>
      </c>
      <c r="AH20" s="103" t="str">
        <f>IF(ABS(E20-AG20)&lt;0.01,"ok","err")</f>
        <v>ok</v>
      </c>
    </row>
    <row r="21" spans="1:35" x14ac:dyDescent="0.25">
      <c r="A21" s="102" t="s">
        <v>224</v>
      </c>
      <c r="C21" s="102" t="s">
        <v>472</v>
      </c>
      <c r="E21" s="119">
        <f t="shared" ref="E21:T21" si="2">E19+E20</f>
        <v>104173769.57132491</v>
      </c>
      <c r="F21" s="119">
        <f t="shared" si="2"/>
        <v>81908554.257179722</v>
      </c>
      <c r="G21" s="119">
        <f t="shared" si="2"/>
        <v>218659.59164076182</v>
      </c>
      <c r="H21" s="119">
        <f t="shared" si="2"/>
        <v>3522554.1933153472</v>
      </c>
      <c r="I21" s="119">
        <f t="shared" si="2"/>
        <v>7749136.3399246363</v>
      </c>
      <c r="J21" s="119">
        <f t="shared" si="2"/>
        <v>1352424.3975700729</v>
      </c>
      <c r="K21" s="119">
        <f t="shared" si="2"/>
        <v>423836.29848062224</v>
      </c>
      <c r="L21" s="119">
        <f t="shared" si="2"/>
        <v>1913777.2297524095</v>
      </c>
      <c r="M21" s="119">
        <f t="shared" si="2"/>
        <v>7011308.9143351782</v>
      </c>
      <c r="N21" s="119">
        <f t="shared" si="2"/>
        <v>62027.128541783066</v>
      </c>
      <c r="O21" s="119">
        <f t="shared" si="2"/>
        <v>0</v>
      </c>
      <c r="P21" s="119">
        <f t="shared" si="2"/>
        <v>11491.220584396719</v>
      </c>
      <c r="Q21" s="119">
        <f t="shared" si="2"/>
        <v>0</v>
      </c>
      <c r="R21" s="119">
        <f t="shared" si="2"/>
        <v>0</v>
      </c>
      <c r="S21" s="119">
        <f t="shared" si="2"/>
        <v>0</v>
      </c>
      <c r="T21" s="119">
        <f t="shared" si="2"/>
        <v>0</v>
      </c>
      <c r="U21" s="119">
        <f t="shared" ref="U21:AF21" si="3">U19+U20</f>
        <v>0</v>
      </c>
      <c r="V21" s="119">
        <f t="shared" si="3"/>
        <v>0</v>
      </c>
      <c r="W21" s="119">
        <f t="shared" si="3"/>
        <v>0</v>
      </c>
      <c r="X21" s="119">
        <f t="shared" si="3"/>
        <v>0</v>
      </c>
      <c r="Y21" s="119">
        <f t="shared" si="3"/>
        <v>0</v>
      </c>
      <c r="Z21" s="119">
        <f t="shared" si="3"/>
        <v>0</v>
      </c>
      <c r="AA21" s="119">
        <f t="shared" si="3"/>
        <v>0</v>
      </c>
      <c r="AB21" s="119">
        <f t="shared" si="3"/>
        <v>0</v>
      </c>
      <c r="AC21" s="119">
        <f t="shared" si="3"/>
        <v>0</v>
      </c>
      <c r="AD21" s="119">
        <f t="shared" si="3"/>
        <v>0</v>
      </c>
      <c r="AE21" s="119">
        <f t="shared" si="3"/>
        <v>0</v>
      </c>
      <c r="AF21" s="119">
        <f t="shared" si="3"/>
        <v>0</v>
      </c>
      <c r="AG21" s="120">
        <f>SUM(F21:AF21)</f>
        <v>104173769.5713249</v>
      </c>
      <c r="AH21" s="103" t="str">
        <f>IF(ABS(E21-AG21)&lt;0.01,"ok","err")</f>
        <v>ok</v>
      </c>
    </row>
    <row r="22" spans="1:35" x14ac:dyDescent="0.25">
      <c r="E22" s="110"/>
    </row>
    <row r="23" spans="1:35" x14ac:dyDescent="0.25">
      <c r="A23" s="132" t="s">
        <v>3</v>
      </c>
      <c r="E23" s="110"/>
    </row>
    <row r="24" spans="1:35" x14ac:dyDescent="0.25">
      <c r="A24" s="133" t="s">
        <v>209</v>
      </c>
      <c r="C24" s="102" t="s">
        <v>225</v>
      </c>
      <c r="D24" s="102" t="s">
        <v>617</v>
      </c>
      <c r="E24" s="119">
        <f>'Func &amp; Classif'!R82</f>
        <v>0</v>
      </c>
      <c r="F24" s="119">
        <f>IF(VLOOKUP($D24,$C$5:$AT$510,3,)=0,0,(VLOOKUP($D24,$C$5:$AT$510,4,)/VLOOKUP($D24,$C$5:$AT$510,3,))*$E24)</f>
        <v>0</v>
      </c>
      <c r="G24" s="119">
        <f>IF(VLOOKUP($D24,$C$5:$AT$510,3,)=0,0,(VLOOKUP($D24,$C$5:$AT$510,5,)/VLOOKUP($D24,$C$5:$AT$510,3,))*$E24)</f>
        <v>0</v>
      </c>
      <c r="H24" s="119">
        <f>IF(VLOOKUP($D24,$C$5:$AT$510,3,)=0,0,(VLOOKUP($D24,$C$5:$AT$510,6,)/VLOOKUP($D24,$C$5:$AT$510,3,))*$E24)</f>
        <v>0</v>
      </c>
      <c r="I24" s="119">
        <f>IF(VLOOKUP($D24,$C$5:$AT$510,3,)=0,0,(VLOOKUP($D24,$C$5:$AT$510,7,)/VLOOKUP($D24,$C$5:$AT$510,3,))*$E24)</f>
        <v>0</v>
      </c>
      <c r="J24" s="119">
        <f>IF(VLOOKUP($D24,$C$5:$AT$510,3,)=0,0,(VLOOKUP($D24,$C$5:$AT$510,8,)/VLOOKUP($D24,$C$5:$AT$510,3,))*$E24)</f>
        <v>0</v>
      </c>
      <c r="K24" s="119">
        <f>IF(VLOOKUP($D24,$C$5:$AT$510,3,)=0,0,(VLOOKUP($D24,$C$5:$AT$510,9,)/VLOOKUP($D24,$C$5:$AT$510,3,))*$E24)</f>
        <v>0</v>
      </c>
      <c r="L24" s="119">
        <f>IF(VLOOKUP($D24,$C$5:$AT$510,3,)=0,0,(VLOOKUP($D24,$C$5:$AT$510,10,)/VLOOKUP($D24,$C$5:$AT$510,3,))*$E24)</f>
        <v>0</v>
      </c>
      <c r="M24" s="119">
        <f>IF(VLOOKUP($D24,$C$5:$AT$510,3,)=0,0,(VLOOKUP($D24,$C$5:$AT$510,11,)/VLOOKUP($D24,$C$5:$AT$510,3,))*$E24)</f>
        <v>0</v>
      </c>
      <c r="N24" s="119">
        <f>IF(VLOOKUP($D24,$C$5:$AT$510,3,)=0,0,(VLOOKUP($D24,$C$5:$AT$510,12,)/VLOOKUP($D24,$C$5:$AT$510,3,))*$E24)</f>
        <v>0</v>
      </c>
      <c r="O24" s="119">
        <f>IF(VLOOKUP($D24,$C$5:$AT$510,3,)=0,0,(VLOOKUP($D24,$C$5:$AT$510,13,)/VLOOKUP($D24,$C$5:$AT$510,3,))*$E24)</f>
        <v>0</v>
      </c>
      <c r="P24" s="119">
        <f>IF(VLOOKUP($D24,$C$5:$AT$510,3,)=0,0,(VLOOKUP($D24,$C$5:$AT$510,14,)/VLOOKUP($D24,$C$5:$AT$510,3,))*$E24)</f>
        <v>0</v>
      </c>
      <c r="Q24" s="119">
        <f>IF(VLOOKUP($D24,$C$5:$AT$510,3,)=0,0,(VLOOKUP($D24,$C$5:$AT$510,15,)/VLOOKUP($D24,$C$5:$AT$510,3,))*$E24)</f>
        <v>0</v>
      </c>
      <c r="R24" s="119">
        <f>IF(VLOOKUP($D24,$C$5:$AT$510,3,)=0,0,(VLOOKUP($D24,$C$5:$AT$510,16,)/VLOOKUP($D24,$C$5:$AT$510,3,))*$E24)</f>
        <v>0</v>
      </c>
      <c r="S24" s="119">
        <f>IF(VLOOKUP($D24,$C$5:$AT$510,3,)=0,0,(VLOOKUP($D24,$C$5:$AT$510,17,)/VLOOKUP($D24,$C$5:$AT$510,3,))*$E24)</f>
        <v>0</v>
      </c>
      <c r="T24" s="119">
        <f>IF(VLOOKUP($D24,$C$5:$AT$510,3,)=0,0,(VLOOKUP($D24,$C$5:$AT$510,18,)/VLOOKUP($D24,$C$5:$AT$510,3,))*$E24)</f>
        <v>0</v>
      </c>
      <c r="U24" s="119">
        <f>IF(VLOOKUP($D24,$C$5:$AT$510,3,)=0,0,(VLOOKUP($D24,$C$5:$AT$510,19,)/VLOOKUP($D24,$C$5:$AT$510,3,))*$E24)</f>
        <v>0</v>
      </c>
      <c r="V24" s="119">
        <f>IF(VLOOKUP($D24,$C$5:$AT$510,3,)=0,0,(VLOOKUP($D24,$C$5:$AT$510,20,)/VLOOKUP($D24,$C$5:$AT$510,3,))*$E24)</f>
        <v>0</v>
      </c>
      <c r="W24" s="119">
        <f>IF(VLOOKUP($D24,$C$5:$AT$510,3,)=0,0,(VLOOKUP($D24,$C$5:$AT$510,21,)/VLOOKUP($D24,$C$5:$AT$510,3,))*$E24)</f>
        <v>0</v>
      </c>
      <c r="X24" s="119">
        <f>IF(VLOOKUP($D24,$C$5:$AT$510,3,)=0,0,(VLOOKUP($D24,$C$5:$AT$510,22,)/VLOOKUP($D24,$C$5:$AT$510,3,))*$E24)</f>
        <v>0</v>
      </c>
      <c r="Y24" s="119">
        <f>IF(VLOOKUP($D24,$C$5:$AT$510,3,)=0,0,(VLOOKUP($D24,$C$5:$AT$510,23,)/VLOOKUP($D24,$C$5:$AT$510,3,))*$E24)</f>
        <v>0</v>
      </c>
      <c r="Z24" s="119">
        <f>IF(VLOOKUP($D24,$C$5:$AT$510,3,)=0,0,(VLOOKUP($D24,$C$5:$AT$510,24,)/VLOOKUP($D24,$C$5:$AT$510,3,))*$E24)</f>
        <v>0</v>
      </c>
      <c r="AA24" s="119">
        <f>IF(VLOOKUP($D24,$C$5:$AT$510,3,)=0,0,(VLOOKUP($D24,$C$5:$AT$510,25,)/VLOOKUP($D24,$C$5:$AT$510,3,))*$E24)</f>
        <v>0</v>
      </c>
      <c r="AB24" s="119">
        <f>IF(VLOOKUP($D24,$C$5:$AT$510,3,)=0,0,(VLOOKUP($D24,$C$5:$AT$510,26,)/VLOOKUP($D24,$C$5:$AT$510,3,))*$E24)</f>
        <v>0</v>
      </c>
      <c r="AC24" s="119">
        <f>IF(VLOOKUP($D24,$C$5:$AT$510,3,)=0,0,(VLOOKUP($D24,$C$5:$AT$510,27,)/VLOOKUP($D24,$C$5:$AT$510,3,))*$E24)</f>
        <v>0</v>
      </c>
      <c r="AD24" s="119">
        <f>IF(VLOOKUP($D24,$C$5:$AT$510,3,)=0,0,(VLOOKUP($D24,$C$5:$AT$510,28,)/VLOOKUP($D24,$C$5:$AT$510,3,))*$E24)</f>
        <v>0</v>
      </c>
      <c r="AE24" s="119">
        <f>IF(VLOOKUP($D24,$C$5:$AT$510,3,)=0,0,(VLOOKUP($D24,$C$5:$AT$510,29,)/VLOOKUP($D24,$C$5:$AT$510,3,))*$E24)</f>
        <v>0</v>
      </c>
      <c r="AF24" s="119">
        <f>IF(VLOOKUP($D24,$C$5:$AT$510,3,)=0,0,(VLOOKUP($D24,$C$5:$AT$510,30,)/VLOOKUP($D24,$C$5:$AT$510,3,))*$E24)</f>
        <v>0</v>
      </c>
      <c r="AG24" s="120">
        <f>SUM(F24:AF24)</f>
        <v>0</v>
      </c>
      <c r="AH24" s="103" t="str">
        <f>IF(ABS(E24-AG24)&lt;0.01,"ok","err")</f>
        <v>ok</v>
      </c>
    </row>
    <row r="25" spans="1:35" x14ac:dyDescent="0.25">
      <c r="A25" s="133" t="s">
        <v>221</v>
      </c>
      <c r="C25" s="102" t="s">
        <v>226</v>
      </c>
      <c r="D25" s="102" t="s">
        <v>698</v>
      </c>
      <c r="E25" s="110">
        <f>'Func &amp; Classif'!S82</f>
        <v>9199566.4363376219</v>
      </c>
      <c r="F25" s="119">
        <f>IF(VLOOKUP($D25,$C$5:$AT$510,3,)=0,0,(VLOOKUP($D25,$C$5:$AT$510,4,)/VLOOKUP($D25,$C$5:$AT$510,3,))*$E25)</f>
        <v>8662065.9697360471</v>
      </c>
      <c r="G25" s="119">
        <f>IF(VLOOKUP($D25,$C$5:$AT$510,3,)=0,0,(VLOOKUP($D25,$C$5:$AT$510,5,)/VLOOKUP($D25,$C$5:$AT$510,3,))*$E25)</f>
        <v>18374.734400488247</v>
      </c>
      <c r="H25" s="119">
        <f>IF(VLOOKUP($D25,$C$5:$AT$510,3,)=0,0,(VLOOKUP($D25,$C$5:$AT$510,6,)/VLOOKUP($D25,$C$5:$AT$510,3,))*$E25)</f>
        <v>188431.0998324579</v>
      </c>
      <c r="I25" s="119">
        <f>IF(VLOOKUP($D25,$C$5:$AT$510,3,)=0,0,(VLOOKUP($D25,$C$5:$AT$510,7,)/VLOOKUP($D25,$C$5:$AT$510,3,))*$E25)</f>
        <v>21977.623498623201</v>
      </c>
      <c r="J25" s="119">
        <f>IF(VLOOKUP($D25,$C$5:$AT$510,3,)=0,0,(VLOOKUP($D25,$C$5:$AT$510,8,)/VLOOKUP($D25,$C$5:$AT$510,3,))*$E25)</f>
        <v>8286.6449257103868</v>
      </c>
      <c r="K25" s="119">
        <f>IF(VLOOKUP($D25,$C$5:$AT$510,3,)=0,0,(VLOOKUP($D25,$C$5:$AT$510,9,)/VLOOKUP($D25,$C$5:$AT$510,3,))*$E25)</f>
        <v>112410.13986181046</v>
      </c>
      <c r="L25" s="119">
        <f>IF(VLOOKUP($D25,$C$5:$AT$510,3,)=0,0,(VLOOKUP($D25,$C$5:$AT$510,10,)/VLOOKUP($D25,$C$5:$AT$510,3,))*$E25)</f>
        <v>93842.32964373818</v>
      </c>
      <c r="M25" s="119">
        <f>IF(VLOOKUP($D25,$C$5:$AT$510,3,)=0,0,(VLOOKUP($D25,$C$5:$AT$510,11,)/VLOOKUP($D25,$C$5:$AT$510,3,))*$E25)</f>
        <v>92389.706569657181</v>
      </c>
      <c r="N25" s="119">
        <f>IF(VLOOKUP($D25,$C$5:$AT$510,3,)=0,0,(VLOOKUP($D25,$C$5:$AT$510,12,)/VLOOKUP($D25,$C$5:$AT$510,3,))*$E25)</f>
        <v>1788.187869090139</v>
      </c>
      <c r="O25" s="119">
        <f>IF(VLOOKUP($D25,$C$5:$AT$510,3,)=0,0,(VLOOKUP($D25,$C$5:$AT$510,13,)/VLOOKUP($D25,$C$5:$AT$510,3,))*$E25)</f>
        <v>0</v>
      </c>
      <c r="P25" s="119">
        <f>IF(VLOOKUP($D25,$C$5:$AT$510,3,)=0,0,(VLOOKUP($D25,$C$5:$AT$510,14,)/VLOOKUP($D25,$C$5:$AT$510,3,))*$E25)</f>
        <v>0</v>
      </c>
      <c r="Q25" s="119">
        <f>IF(VLOOKUP($D25,$C$5:$AT$510,3,)=0,0,(VLOOKUP($D25,$C$5:$AT$510,15,)/VLOOKUP($D25,$C$5:$AT$510,3,))*$E25)</f>
        <v>0</v>
      </c>
      <c r="R25" s="119">
        <f>IF(VLOOKUP($D25,$C$5:$AT$510,3,)=0,0,(VLOOKUP($D25,$C$5:$AT$510,16,)/VLOOKUP($D25,$C$5:$AT$510,3,))*$E25)</f>
        <v>0</v>
      </c>
      <c r="S25" s="119">
        <f>IF(VLOOKUP($D25,$C$5:$AT$510,3,)=0,0,(VLOOKUP($D25,$C$5:$AT$510,17,)/VLOOKUP($D25,$C$5:$AT$510,3,))*$E25)</f>
        <v>0</v>
      </c>
      <c r="T25" s="119">
        <f>IF(VLOOKUP($D25,$C$5:$AT$510,3,)=0,0,(VLOOKUP($D25,$C$5:$AT$510,18,)/VLOOKUP($D25,$C$5:$AT$510,3,))*$E25)</f>
        <v>0</v>
      </c>
      <c r="U25" s="119">
        <f>IF(VLOOKUP($D25,$C$5:$AT$510,3,)=0,0,(VLOOKUP($D25,$C$5:$AT$510,19,)/VLOOKUP($D25,$C$5:$AT$510,3,))*$E25)</f>
        <v>0</v>
      </c>
      <c r="V25" s="119">
        <f>IF(VLOOKUP($D25,$C$5:$AT$510,3,)=0,0,(VLOOKUP($D25,$C$5:$AT$510,20,)/VLOOKUP($D25,$C$5:$AT$510,3,))*$E25)</f>
        <v>0</v>
      </c>
      <c r="W25" s="119">
        <f>IF(VLOOKUP($D25,$C$5:$AT$510,3,)=0,0,(VLOOKUP($D25,$C$5:$AT$510,21,)/VLOOKUP($D25,$C$5:$AT$510,3,))*$E25)</f>
        <v>0</v>
      </c>
      <c r="X25" s="119">
        <f>IF(VLOOKUP($D25,$C$5:$AT$510,3,)=0,0,(VLOOKUP($D25,$C$5:$AT$510,22,)/VLOOKUP($D25,$C$5:$AT$510,3,))*$E25)</f>
        <v>0</v>
      </c>
      <c r="Y25" s="119">
        <f>IF(VLOOKUP($D25,$C$5:$AT$510,3,)=0,0,(VLOOKUP($D25,$C$5:$AT$510,23,)/VLOOKUP($D25,$C$5:$AT$510,3,))*$E25)</f>
        <v>0</v>
      </c>
      <c r="Z25" s="119">
        <f>IF(VLOOKUP($D25,$C$5:$AT$510,3,)=0,0,(VLOOKUP($D25,$C$5:$AT$510,24,)/VLOOKUP($D25,$C$5:$AT$510,3,))*$E25)</f>
        <v>0</v>
      </c>
      <c r="AA25" s="119">
        <f>IF(VLOOKUP($D25,$C$5:$AT$510,3,)=0,0,(VLOOKUP($D25,$C$5:$AT$510,25,)/VLOOKUP($D25,$C$5:$AT$510,3,))*$E25)</f>
        <v>0</v>
      </c>
      <c r="AB25" s="119">
        <f>IF(VLOOKUP($D25,$C$5:$AT$510,3,)=0,0,(VLOOKUP($D25,$C$5:$AT$510,26,)/VLOOKUP($D25,$C$5:$AT$510,3,))*$E25)</f>
        <v>0</v>
      </c>
      <c r="AC25" s="119">
        <f>IF(VLOOKUP($D25,$C$5:$AT$510,3,)=0,0,(VLOOKUP($D25,$C$5:$AT$510,27,)/VLOOKUP($D25,$C$5:$AT$510,3,))*$E25)</f>
        <v>0</v>
      </c>
      <c r="AD25" s="119">
        <f>IF(VLOOKUP($D25,$C$5:$AT$510,3,)=0,0,(VLOOKUP($D25,$C$5:$AT$510,28,)/VLOOKUP($D25,$C$5:$AT$510,3,))*$E25)</f>
        <v>0</v>
      </c>
      <c r="AE25" s="119">
        <f>IF(VLOOKUP($D25,$C$5:$AT$510,3,)=0,0,(VLOOKUP($D25,$C$5:$AT$510,29,)/VLOOKUP($D25,$C$5:$AT$510,3,))*$E25)</f>
        <v>0</v>
      </c>
      <c r="AF25" s="119">
        <f>IF(VLOOKUP($D25,$C$5:$AT$510,3,)=0,0,(VLOOKUP($D25,$C$5:$AT$510,30,)/VLOOKUP($D25,$C$5:$AT$510,3,))*$E25)</f>
        <v>0</v>
      </c>
      <c r="AG25" s="120">
        <f>SUM(F25:AF25)</f>
        <v>9199566.4363376219</v>
      </c>
      <c r="AH25" s="103" t="str">
        <f>IF(ABS(E25-AG25)&lt;0.01,"ok","err")</f>
        <v>ok</v>
      </c>
    </row>
    <row r="26" spans="1:35" x14ac:dyDescent="0.25">
      <c r="A26" s="102" t="s">
        <v>228</v>
      </c>
      <c r="E26" s="119">
        <f t="shared" ref="E26:T26" si="4">E24+E25</f>
        <v>9199566.4363376219</v>
      </c>
      <c r="F26" s="119">
        <f t="shared" si="4"/>
        <v>8662065.9697360471</v>
      </c>
      <c r="G26" s="119">
        <f t="shared" si="4"/>
        <v>18374.734400488247</v>
      </c>
      <c r="H26" s="119">
        <f t="shared" si="4"/>
        <v>188431.0998324579</v>
      </c>
      <c r="I26" s="119">
        <f t="shared" si="4"/>
        <v>21977.623498623201</v>
      </c>
      <c r="J26" s="119">
        <f t="shared" si="4"/>
        <v>8286.6449257103868</v>
      </c>
      <c r="K26" s="119">
        <f t="shared" si="4"/>
        <v>112410.13986181046</v>
      </c>
      <c r="L26" s="119">
        <f t="shared" si="4"/>
        <v>93842.32964373818</v>
      </c>
      <c r="M26" s="119">
        <f t="shared" si="4"/>
        <v>92389.706569657181</v>
      </c>
      <c r="N26" s="119">
        <f t="shared" si="4"/>
        <v>1788.187869090139</v>
      </c>
      <c r="O26" s="119">
        <f t="shared" si="4"/>
        <v>0</v>
      </c>
      <c r="P26" s="119">
        <f t="shared" si="4"/>
        <v>0</v>
      </c>
      <c r="Q26" s="119">
        <f t="shared" si="4"/>
        <v>0</v>
      </c>
      <c r="R26" s="119">
        <f t="shared" si="4"/>
        <v>0</v>
      </c>
      <c r="S26" s="119">
        <f t="shared" si="4"/>
        <v>0</v>
      </c>
      <c r="T26" s="119">
        <f t="shared" si="4"/>
        <v>0</v>
      </c>
      <c r="U26" s="119">
        <f t="shared" ref="U26:AF26" si="5">U24+U25</f>
        <v>0</v>
      </c>
      <c r="V26" s="119">
        <f t="shared" si="5"/>
        <v>0</v>
      </c>
      <c r="W26" s="119">
        <f t="shared" si="5"/>
        <v>0</v>
      </c>
      <c r="X26" s="119">
        <f t="shared" si="5"/>
        <v>0</v>
      </c>
      <c r="Y26" s="119">
        <f t="shared" si="5"/>
        <v>0</v>
      </c>
      <c r="Z26" s="119">
        <f t="shared" si="5"/>
        <v>0</v>
      </c>
      <c r="AA26" s="119">
        <f t="shared" si="5"/>
        <v>0</v>
      </c>
      <c r="AB26" s="119">
        <f t="shared" si="5"/>
        <v>0</v>
      </c>
      <c r="AC26" s="119">
        <f t="shared" si="5"/>
        <v>0</v>
      </c>
      <c r="AD26" s="119">
        <f t="shared" si="5"/>
        <v>0</v>
      </c>
      <c r="AE26" s="119">
        <f t="shared" si="5"/>
        <v>0</v>
      </c>
      <c r="AF26" s="119">
        <f t="shared" si="5"/>
        <v>0</v>
      </c>
      <c r="AG26" s="120">
        <f>SUM(F26:AF26)</f>
        <v>9199566.4363376219</v>
      </c>
      <c r="AH26" s="103" t="str">
        <f>IF(ABS(E26-AG26)&lt;0.01,"ok","err")</f>
        <v>ok</v>
      </c>
    </row>
    <row r="27" spans="1:35" x14ac:dyDescent="0.25">
      <c r="E27" s="110"/>
    </row>
    <row r="28" spans="1:35" x14ac:dyDescent="0.25">
      <c r="A28" s="132" t="s">
        <v>4</v>
      </c>
      <c r="E28" s="110"/>
    </row>
    <row r="29" spans="1:35" x14ac:dyDescent="0.25">
      <c r="A29" s="133" t="s">
        <v>221</v>
      </c>
      <c r="C29" s="102" t="s">
        <v>229</v>
      </c>
      <c r="D29" s="102" t="s">
        <v>230</v>
      </c>
      <c r="E29" s="119">
        <f>'Func &amp; Classif'!U82</f>
        <v>7213478.2865386354</v>
      </c>
      <c r="F29" s="119">
        <f>IF(VLOOKUP($D29,$C$5:$AT$510,3,)=0,0,(VLOOKUP($D29,$C$5:$AT$510,4,)/VLOOKUP($D29,$C$5:$AT$510,3,))*$E29)</f>
        <v>6504030.1345824581</v>
      </c>
      <c r="G29" s="119">
        <f>IF(VLOOKUP($D29,$C$5:$AT$510,3,)=0,0,(VLOOKUP($D29,$C$5:$AT$510,5,)/VLOOKUP($D29,$C$5:$AT$510,3,))*$E29)</f>
        <v>13796.919426990489</v>
      </c>
      <c r="H29" s="119">
        <f>IF(VLOOKUP($D29,$C$5:$AT$510,3,)=0,0,(VLOOKUP($D29,$C$5:$AT$510,6,)/VLOOKUP($D29,$C$5:$AT$510,3,))*$E29)</f>
        <v>141486.05608462795</v>
      </c>
      <c r="I29" s="119">
        <f>IF(VLOOKUP($D29,$C$5:$AT$510,3,)=0,0,(VLOOKUP($D29,$C$5:$AT$510,7,)/VLOOKUP($D29,$C$5:$AT$510,3,))*$E29)</f>
        <v>16502.197746008234</v>
      </c>
      <c r="J29" s="119">
        <f>IF(VLOOKUP($D29,$C$5:$AT$510,3,)=0,0,(VLOOKUP($D29,$C$5:$AT$510,8,)/VLOOKUP($D29,$C$5:$AT$510,3,))*$E29)</f>
        <v>6222.1401337408097</v>
      </c>
      <c r="K29" s="119">
        <f>IF(VLOOKUP($D29,$C$5:$AT$510,3,)=0,0,(VLOOKUP($D29,$C$5:$AT$510,9,)/VLOOKUP($D29,$C$5:$AT$510,3,))*$E29)</f>
        <v>84404.683553353578</v>
      </c>
      <c r="L29" s="119">
        <f>IF(VLOOKUP($D29,$C$5:$AT$510,3,)=0,0,(VLOOKUP($D29,$C$5:$AT$510,10,)/VLOOKUP($D29,$C$5:$AT$510,3,))*$E29)</f>
        <v>270456.87378193118</v>
      </c>
      <c r="M29" s="119">
        <f>IF(VLOOKUP($D29,$C$5:$AT$510,3,)=0,0,(VLOOKUP($D29,$C$5:$AT$510,11,)/VLOOKUP($D29,$C$5:$AT$510,3,))*$E29)</f>
        <v>173226.5100669394</v>
      </c>
      <c r="N29" s="119">
        <f>IF(VLOOKUP($D29,$C$5:$AT$510,3,)=0,0,(VLOOKUP($D29,$C$5:$AT$510,12,)/VLOOKUP($D29,$C$5:$AT$510,3,))*$E29)</f>
        <v>3352.7711625859242</v>
      </c>
      <c r="O29" s="119">
        <f>IF(VLOOKUP($D29,$C$5:$AT$510,3,)=0,0,(VLOOKUP($D29,$C$5:$AT$510,13,)/VLOOKUP($D29,$C$5:$AT$510,3,))*$E29)</f>
        <v>0</v>
      </c>
      <c r="P29" s="119">
        <f>IF(VLOOKUP($D29,$C$5:$AT$510,3,)=0,0,(VLOOKUP($D29,$C$5:$AT$510,14,)/VLOOKUP($D29,$C$5:$AT$510,3,))*$E29)</f>
        <v>0</v>
      </c>
      <c r="Q29" s="119">
        <f>IF(VLOOKUP($D29,$C$5:$AT$510,3,)=0,0,(VLOOKUP($D29,$C$5:$AT$510,15,)/VLOOKUP($D29,$C$5:$AT$510,3,))*$E29)</f>
        <v>0</v>
      </c>
      <c r="R29" s="119">
        <f>IF(VLOOKUP($D29,$C$5:$AT$510,3,)=0,0,(VLOOKUP($D29,$C$5:$AT$510,16,)/VLOOKUP($D29,$C$5:$AT$510,3,))*$E29)</f>
        <v>0</v>
      </c>
      <c r="S29" s="119">
        <f>IF(VLOOKUP($D29,$C$5:$AT$510,3,)=0,0,(VLOOKUP($D29,$C$5:$AT$510,17,)/VLOOKUP($D29,$C$5:$AT$510,3,))*$E29)</f>
        <v>0</v>
      </c>
      <c r="T29" s="119">
        <f>IF(VLOOKUP($D29,$C$5:$AT$510,3,)=0,0,(VLOOKUP($D29,$C$5:$AT$510,18,)/VLOOKUP($D29,$C$5:$AT$510,3,))*$E29)</f>
        <v>0</v>
      </c>
      <c r="U29" s="119">
        <f>IF(VLOOKUP($D29,$C$5:$AT$510,3,)=0,0,(VLOOKUP($D29,$C$5:$AT$510,19,)/VLOOKUP($D29,$C$5:$AT$510,3,))*$E29)</f>
        <v>0</v>
      </c>
      <c r="V29" s="119">
        <f>IF(VLOOKUP($D29,$C$5:$AT$510,3,)=0,0,(VLOOKUP($D29,$C$5:$AT$510,20,)/VLOOKUP($D29,$C$5:$AT$510,3,))*$E29)</f>
        <v>0</v>
      </c>
      <c r="W29" s="119">
        <f>IF(VLOOKUP($D29,$C$5:$AT$510,3,)=0,0,(VLOOKUP($D29,$C$5:$AT$510,21,)/VLOOKUP($D29,$C$5:$AT$510,3,))*$E29)</f>
        <v>0</v>
      </c>
      <c r="X29" s="119">
        <f>IF(VLOOKUP($D29,$C$5:$AT$510,3,)=0,0,(VLOOKUP($D29,$C$5:$AT$510,22,)/VLOOKUP($D29,$C$5:$AT$510,3,))*$E29)</f>
        <v>0</v>
      </c>
      <c r="Y29" s="119">
        <f>IF(VLOOKUP($D29,$C$5:$AT$510,3,)=0,0,(VLOOKUP($D29,$C$5:$AT$510,23,)/VLOOKUP($D29,$C$5:$AT$510,3,))*$E29)</f>
        <v>0</v>
      </c>
      <c r="Z29" s="119">
        <f>IF(VLOOKUP($D29,$C$5:$AT$510,3,)=0,0,(VLOOKUP($D29,$C$5:$AT$510,24,)/VLOOKUP($D29,$C$5:$AT$510,3,))*$E29)</f>
        <v>0</v>
      </c>
      <c r="AA29" s="119">
        <f>IF(VLOOKUP($D29,$C$5:$AT$510,3,)=0,0,(VLOOKUP($D29,$C$5:$AT$510,25,)/VLOOKUP($D29,$C$5:$AT$510,3,))*$E29)</f>
        <v>0</v>
      </c>
      <c r="AB29" s="119">
        <f>IF(VLOOKUP($D29,$C$5:$AT$510,3,)=0,0,(VLOOKUP($D29,$C$5:$AT$510,26,)/VLOOKUP($D29,$C$5:$AT$510,3,))*$E29)</f>
        <v>0</v>
      </c>
      <c r="AC29" s="119">
        <f>IF(VLOOKUP($D29,$C$5:$AT$510,3,)=0,0,(VLOOKUP($D29,$C$5:$AT$510,27,)/VLOOKUP($D29,$C$5:$AT$510,3,))*$E29)</f>
        <v>0</v>
      </c>
      <c r="AD29" s="119">
        <f>IF(VLOOKUP($D29,$C$5:$AT$510,3,)=0,0,(VLOOKUP($D29,$C$5:$AT$510,28,)/VLOOKUP($D29,$C$5:$AT$510,3,))*$E29)</f>
        <v>0</v>
      </c>
      <c r="AE29" s="119">
        <f>IF(VLOOKUP($D29,$C$5:$AT$510,3,)=0,0,(VLOOKUP($D29,$C$5:$AT$510,29,)/VLOOKUP($D29,$C$5:$AT$510,3,))*$E29)</f>
        <v>0</v>
      </c>
      <c r="AF29" s="119">
        <f>IF(VLOOKUP($D29,$C$5:$AT$510,3,)=0,0,(VLOOKUP($D29,$C$5:$AT$510,30,)/VLOOKUP($D29,$C$5:$AT$510,3,))*$E29)</f>
        <v>0</v>
      </c>
      <c r="AG29" s="120">
        <f>SUM(F29:AF29)</f>
        <v>7213478.2865386372</v>
      </c>
      <c r="AH29" s="103" t="str">
        <f>IF(ABS(E29-AG29)&lt;0.01,"ok","err")</f>
        <v>ok</v>
      </c>
    </row>
    <row r="30" spans="1:35" x14ac:dyDescent="0.25">
      <c r="E30" s="110"/>
    </row>
    <row r="31" spans="1:35" x14ac:dyDescent="0.25">
      <c r="A31" s="132" t="s">
        <v>5</v>
      </c>
      <c r="E31" s="110"/>
    </row>
    <row r="32" spans="1:35" x14ac:dyDescent="0.25">
      <c r="A32" s="133" t="s">
        <v>221</v>
      </c>
      <c r="C32" s="102" t="s">
        <v>231</v>
      </c>
      <c r="D32" s="102" t="s">
        <v>232</v>
      </c>
      <c r="E32" s="119">
        <f>'Func &amp; Classif'!W82</f>
        <v>4132015.3857988026</v>
      </c>
      <c r="F32" s="119">
        <f>IF(VLOOKUP($D32,$C$5:$AT$510,3,)=0,0,(VLOOKUP($D32,$C$5:$AT$510,4,)/VLOOKUP($D32,$C$5:$AT$510,3,))*$E32)</f>
        <v>0</v>
      </c>
      <c r="G32" s="119">
        <f>IF(VLOOKUP($D32,$C$5:$AT$510,3,)=0,0,(VLOOKUP($D32,$C$5:$AT$510,5,)/VLOOKUP($D32,$C$5:$AT$510,3,))*$E32)</f>
        <v>0</v>
      </c>
      <c r="H32" s="119">
        <f>IF(VLOOKUP($D32,$C$5:$AT$510,3,)=0,0,(VLOOKUP($D32,$C$5:$AT$510,6,)/VLOOKUP($D32,$C$5:$AT$510,3,))*$E32)</f>
        <v>0</v>
      </c>
      <c r="I32" s="119">
        <f>IF(VLOOKUP($D32,$C$5:$AT$510,3,)=0,0,(VLOOKUP($D32,$C$5:$AT$510,7,)/VLOOKUP($D32,$C$5:$AT$510,3,))*$E32)</f>
        <v>0</v>
      </c>
      <c r="J32" s="119">
        <f>IF(VLOOKUP($D32,$C$5:$AT$510,3,)=0,0,(VLOOKUP($D32,$C$5:$AT$510,8,)/VLOOKUP($D32,$C$5:$AT$510,3,))*$E32)</f>
        <v>0</v>
      </c>
      <c r="K32" s="119">
        <f>IF(VLOOKUP($D32,$C$5:$AT$510,3,)=0,0,(VLOOKUP($D32,$C$5:$AT$510,9,)/VLOOKUP($D32,$C$5:$AT$510,3,))*$E32)</f>
        <v>0</v>
      </c>
      <c r="L32" s="119">
        <f>IF(VLOOKUP($D32,$C$5:$AT$510,3,)=0,0,(VLOOKUP($D32,$C$5:$AT$510,10,)/VLOOKUP($D32,$C$5:$AT$510,3,))*$E32)</f>
        <v>0</v>
      </c>
      <c r="M32" s="119">
        <f>IF(VLOOKUP($D32,$C$5:$AT$510,3,)=0,0,(VLOOKUP($D32,$C$5:$AT$510,11,)/VLOOKUP($D32,$C$5:$AT$510,3,))*$E32)</f>
        <v>0</v>
      </c>
      <c r="N32" s="119">
        <f>IF(VLOOKUP($D32,$C$5:$AT$510,3,)=0,0,(VLOOKUP($D32,$C$5:$AT$510,12,)/VLOOKUP($D32,$C$5:$AT$510,3,))*$E32)</f>
        <v>0</v>
      </c>
      <c r="O32" s="119">
        <f>IF(VLOOKUP($D32,$C$5:$AT$510,3,)=0,0,(VLOOKUP($D32,$C$5:$AT$510,13,)/VLOOKUP($D32,$C$5:$AT$510,3,))*$E32)</f>
        <v>0</v>
      </c>
      <c r="P32" s="119">
        <f>IF(VLOOKUP($D32,$C$5:$AT$510,3,)=0,0,(VLOOKUP($D32,$C$5:$AT$510,14,)/VLOOKUP($D32,$C$5:$AT$510,3,))*$E32)</f>
        <v>4132015.3857988026</v>
      </c>
      <c r="Q32" s="119">
        <f>IF(VLOOKUP($D32,$C$5:$AT$510,3,)=0,0,(VLOOKUP($D32,$C$5:$AT$510,15,)/VLOOKUP($D32,$C$5:$AT$510,3,))*$E32)</f>
        <v>0</v>
      </c>
      <c r="R32" s="119">
        <f>IF(VLOOKUP($D32,$C$5:$AT$510,3,)=0,0,(VLOOKUP($D32,$C$5:$AT$510,16,)/VLOOKUP($D32,$C$5:$AT$510,3,))*$E32)</f>
        <v>0</v>
      </c>
      <c r="S32" s="119">
        <f>IF(VLOOKUP($D32,$C$5:$AT$510,3,)=0,0,(VLOOKUP($D32,$C$5:$AT$510,17,)/VLOOKUP($D32,$C$5:$AT$510,3,))*$E32)</f>
        <v>0</v>
      </c>
      <c r="T32" s="119">
        <f>IF(VLOOKUP($D32,$C$5:$AT$510,3,)=0,0,(VLOOKUP($D32,$C$5:$AT$510,18,)/VLOOKUP($D32,$C$5:$AT$510,3,))*$E32)</f>
        <v>0</v>
      </c>
      <c r="U32" s="119">
        <f>IF(VLOOKUP($D32,$C$5:$AT$510,3,)=0,0,(VLOOKUP($D32,$C$5:$AT$510,19,)/VLOOKUP($D32,$C$5:$AT$510,3,))*$E32)</f>
        <v>0</v>
      </c>
      <c r="V32" s="119">
        <f>IF(VLOOKUP($D32,$C$5:$AT$510,3,)=0,0,(VLOOKUP($D32,$C$5:$AT$510,20,)/VLOOKUP($D32,$C$5:$AT$510,3,))*$E32)</f>
        <v>0</v>
      </c>
      <c r="W32" s="119">
        <f>IF(VLOOKUP($D32,$C$5:$AT$510,3,)=0,0,(VLOOKUP($D32,$C$5:$AT$510,21,)/VLOOKUP($D32,$C$5:$AT$510,3,))*$E32)</f>
        <v>0</v>
      </c>
      <c r="X32" s="119">
        <f>IF(VLOOKUP($D32,$C$5:$AT$510,3,)=0,0,(VLOOKUP($D32,$C$5:$AT$510,22,)/VLOOKUP($D32,$C$5:$AT$510,3,))*$E32)</f>
        <v>0</v>
      </c>
      <c r="Y32" s="119">
        <f>IF(VLOOKUP($D32,$C$5:$AT$510,3,)=0,0,(VLOOKUP($D32,$C$5:$AT$510,23,)/VLOOKUP($D32,$C$5:$AT$510,3,))*$E32)</f>
        <v>0</v>
      </c>
      <c r="Z32" s="119">
        <f>IF(VLOOKUP($D32,$C$5:$AT$510,3,)=0,0,(VLOOKUP($D32,$C$5:$AT$510,24,)/VLOOKUP($D32,$C$5:$AT$510,3,))*$E32)</f>
        <v>0</v>
      </c>
      <c r="AA32" s="119">
        <f>IF(VLOOKUP($D32,$C$5:$AT$510,3,)=0,0,(VLOOKUP($D32,$C$5:$AT$510,25,)/VLOOKUP($D32,$C$5:$AT$510,3,))*$E32)</f>
        <v>0</v>
      </c>
      <c r="AB32" s="119">
        <f>IF(VLOOKUP($D32,$C$5:$AT$510,3,)=0,0,(VLOOKUP($D32,$C$5:$AT$510,26,)/VLOOKUP($D32,$C$5:$AT$510,3,))*$E32)</f>
        <v>0</v>
      </c>
      <c r="AC32" s="119">
        <f>IF(VLOOKUP($D32,$C$5:$AT$510,3,)=0,0,(VLOOKUP($D32,$C$5:$AT$510,27,)/VLOOKUP($D32,$C$5:$AT$510,3,))*$E32)</f>
        <v>0</v>
      </c>
      <c r="AD32" s="119">
        <f>IF(VLOOKUP($D32,$C$5:$AT$510,3,)=0,0,(VLOOKUP($D32,$C$5:$AT$510,28,)/VLOOKUP($D32,$C$5:$AT$510,3,))*$E32)</f>
        <v>0</v>
      </c>
      <c r="AE32" s="119">
        <f>IF(VLOOKUP($D32,$C$5:$AT$510,3,)=0,0,(VLOOKUP($D32,$C$5:$AT$510,29,)/VLOOKUP($D32,$C$5:$AT$510,3,))*$E32)</f>
        <v>0</v>
      </c>
      <c r="AF32" s="119">
        <f>IF(VLOOKUP($D32,$C$5:$AT$510,3,)=0,0,(VLOOKUP($D32,$C$5:$AT$510,30,)/VLOOKUP($D32,$C$5:$AT$510,3,))*$E32)</f>
        <v>0</v>
      </c>
      <c r="AG32" s="120">
        <f>SUM(F32:AF32)</f>
        <v>4132015.3857988026</v>
      </c>
      <c r="AH32" s="103" t="str">
        <f>IF(ABS(E32-AG32)&lt;0.01,"ok","err")</f>
        <v>ok</v>
      </c>
    </row>
    <row r="33" spans="1:35" x14ac:dyDescent="0.25">
      <c r="E33" s="110"/>
    </row>
    <row r="34" spans="1:35" x14ac:dyDescent="0.25">
      <c r="A34" s="132" t="s">
        <v>545</v>
      </c>
      <c r="E34" s="110"/>
    </row>
    <row r="35" spans="1:35" x14ac:dyDescent="0.25">
      <c r="A35" s="133" t="s">
        <v>221</v>
      </c>
      <c r="C35" s="102" t="s">
        <v>233</v>
      </c>
      <c r="D35" s="102" t="s">
        <v>234</v>
      </c>
      <c r="E35" s="119">
        <f>'Func &amp; Classif'!Y82</f>
        <v>0</v>
      </c>
      <c r="F35" s="119">
        <f>IF(VLOOKUP($D35,$C$5:$AT$510,3,)=0,0,(VLOOKUP($D35,$C$5:$AT$510,4,)/VLOOKUP($D35,$C$5:$AT$510,3,))*$E35)</f>
        <v>0</v>
      </c>
      <c r="G35" s="119">
        <f>IF(VLOOKUP($D35,$C$5:$AT$510,3,)=0,0,(VLOOKUP($D35,$C$5:$AT$510,5,)/VLOOKUP($D35,$C$5:$AT$510,3,))*$E35)</f>
        <v>0</v>
      </c>
      <c r="H35" s="119">
        <f>IF(VLOOKUP($D35,$C$5:$AT$510,3,)=0,0,(VLOOKUP($D35,$C$5:$AT$510,6,)/VLOOKUP($D35,$C$5:$AT$510,3,))*$E35)</f>
        <v>0</v>
      </c>
      <c r="I35" s="119">
        <f>IF(VLOOKUP($D35,$C$5:$AT$510,3,)=0,0,(VLOOKUP($D35,$C$5:$AT$510,7,)/VLOOKUP($D35,$C$5:$AT$510,3,))*$E35)</f>
        <v>0</v>
      </c>
      <c r="J35" s="119">
        <f>IF(VLOOKUP($D35,$C$5:$AT$510,3,)=0,0,(VLOOKUP($D35,$C$5:$AT$510,8,)/VLOOKUP($D35,$C$5:$AT$510,3,))*$E35)</f>
        <v>0</v>
      </c>
      <c r="K35" s="119">
        <f>IF(VLOOKUP($D35,$C$5:$AT$510,3,)=0,0,(VLOOKUP($D35,$C$5:$AT$510,9,)/VLOOKUP($D35,$C$5:$AT$510,3,))*$E35)</f>
        <v>0</v>
      </c>
      <c r="L35" s="119">
        <f>IF(VLOOKUP($D35,$C$5:$AT$510,3,)=0,0,(VLOOKUP($D35,$C$5:$AT$510,10,)/VLOOKUP($D35,$C$5:$AT$510,3,))*$E35)</f>
        <v>0</v>
      </c>
      <c r="M35" s="119">
        <f>IF(VLOOKUP($D35,$C$5:$AT$510,3,)=0,0,(VLOOKUP($D35,$C$5:$AT$510,11,)/VLOOKUP($D35,$C$5:$AT$510,3,))*$E35)</f>
        <v>0</v>
      </c>
      <c r="N35" s="119">
        <f>IF(VLOOKUP($D35,$C$5:$AT$510,3,)=0,0,(VLOOKUP($D35,$C$5:$AT$510,12,)/VLOOKUP($D35,$C$5:$AT$510,3,))*$E35)</f>
        <v>0</v>
      </c>
      <c r="O35" s="119">
        <f>IF(VLOOKUP($D35,$C$5:$AT$510,3,)=0,0,(VLOOKUP($D35,$C$5:$AT$510,13,)/VLOOKUP($D35,$C$5:$AT$510,3,))*$E35)</f>
        <v>0</v>
      </c>
      <c r="P35" s="119">
        <f>IF(VLOOKUP($D35,$C$5:$AT$510,3,)=0,0,(VLOOKUP($D35,$C$5:$AT$510,14,)/VLOOKUP($D35,$C$5:$AT$510,3,))*$E35)</f>
        <v>0</v>
      </c>
      <c r="Q35" s="119">
        <f>IF(VLOOKUP($D35,$C$5:$AT$510,3,)=0,0,(VLOOKUP($D35,$C$5:$AT$510,15,)/VLOOKUP($D35,$C$5:$AT$510,3,))*$E35)</f>
        <v>0</v>
      </c>
      <c r="R35" s="119">
        <f>IF(VLOOKUP($D35,$C$5:$AT$510,3,)=0,0,(VLOOKUP($D35,$C$5:$AT$510,16,)/VLOOKUP($D35,$C$5:$AT$510,3,))*$E35)</f>
        <v>0</v>
      </c>
      <c r="S35" s="119">
        <f>IF(VLOOKUP($D35,$C$5:$AT$510,3,)=0,0,(VLOOKUP($D35,$C$5:$AT$510,17,)/VLOOKUP($D35,$C$5:$AT$510,3,))*$E35)</f>
        <v>0</v>
      </c>
      <c r="T35" s="119">
        <f>IF(VLOOKUP($D35,$C$5:$AT$510,3,)=0,0,(VLOOKUP($D35,$C$5:$AT$510,18,)/VLOOKUP($D35,$C$5:$AT$510,3,))*$E35)</f>
        <v>0</v>
      </c>
      <c r="U35" s="119">
        <f>IF(VLOOKUP($D35,$C$5:$AT$510,3,)=0,0,(VLOOKUP($D35,$C$5:$AT$510,19,)/VLOOKUP($D35,$C$5:$AT$510,3,))*$E35)</f>
        <v>0</v>
      </c>
      <c r="V35" s="119">
        <f>IF(VLOOKUP($D35,$C$5:$AT$510,3,)=0,0,(VLOOKUP($D35,$C$5:$AT$510,20,)/VLOOKUP($D35,$C$5:$AT$510,3,))*$E35)</f>
        <v>0</v>
      </c>
      <c r="W35" s="119">
        <f>IF(VLOOKUP($D35,$C$5:$AT$510,3,)=0,0,(VLOOKUP($D35,$C$5:$AT$510,21,)/VLOOKUP($D35,$C$5:$AT$510,3,))*$E35)</f>
        <v>0</v>
      </c>
      <c r="X35" s="119">
        <f>IF(VLOOKUP($D35,$C$5:$AT$510,3,)=0,0,(VLOOKUP($D35,$C$5:$AT$510,22,)/VLOOKUP($D35,$C$5:$AT$510,3,))*$E35)</f>
        <v>0</v>
      </c>
      <c r="Y35" s="119">
        <f>IF(VLOOKUP($D35,$C$5:$AT$510,3,)=0,0,(VLOOKUP($D35,$C$5:$AT$510,23,)/VLOOKUP($D35,$C$5:$AT$510,3,))*$E35)</f>
        <v>0</v>
      </c>
      <c r="Z35" s="119">
        <f>IF(VLOOKUP($D35,$C$5:$AT$510,3,)=0,0,(VLOOKUP($D35,$C$5:$AT$510,24,)/VLOOKUP($D35,$C$5:$AT$510,3,))*$E35)</f>
        <v>0</v>
      </c>
      <c r="AA35" s="119">
        <f>IF(VLOOKUP($D35,$C$5:$AT$510,3,)=0,0,(VLOOKUP($D35,$C$5:$AT$510,25,)/VLOOKUP($D35,$C$5:$AT$510,3,))*$E35)</f>
        <v>0</v>
      </c>
      <c r="AB35" s="119">
        <f>IF(VLOOKUP($D35,$C$5:$AT$510,3,)=0,0,(VLOOKUP($D35,$C$5:$AT$510,26,)/VLOOKUP($D35,$C$5:$AT$510,3,))*$E35)</f>
        <v>0</v>
      </c>
      <c r="AC35" s="119">
        <f>IF(VLOOKUP($D35,$C$5:$AT$510,3,)=0,0,(VLOOKUP($D35,$C$5:$AT$510,27,)/VLOOKUP($D35,$C$5:$AT$510,3,))*$E35)</f>
        <v>0</v>
      </c>
      <c r="AD35" s="119">
        <f>IF(VLOOKUP($D35,$C$5:$AT$510,3,)=0,0,(VLOOKUP($D35,$C$5:$AT$510,28,)/VLOOKUP($D35,$C$5:$AT$510,3,))*$E35)</f>
        <v>0</v>
      </c>
      <c r="AE35" s="119">
        <f>IF(VLOOKUP($D35,$C$5:$AT$510,3,)=0,0,(VLOOKUP($D35,$C$5:$AT$510,29,)/VLOOKUP($D35,$C$5:$AT$510,3,))*$E35)</f>
        <v>0</v>
      </c>
      <c r="AF35" s="119">
        <f>IF(VLOOKUP($D35,$C$5:$AT$510,3,)=0,0,(VLOOKUP($D35,$C$5:$AT$510,30,)/VLOOKUP($D35,$C$5:$AT$510,3,))*$E35)</f>
        <v>0</v>
      </c>
      <c r="AG35" s="120">
        <f>SUM(F35:AF35)</f>
        <v>0</v>
      </c>
      <c r="AH35" s="103" t="str">
        <f>IF(ABS(E35-AG35)&lt;0.01,"ok","err")</f>
        <v>ok</v>
      </c>
    </row>
    <row r="36" spans="1:35" x14ac:dyDescent="0.25">
      <c r="E36" s="110"/>
    </row>
    <row r="37" spans="1:35" x14ac:dyDescent="0.25">
      <c r="A37" s="132" t="s">
        <v>470</v>
      </c>
      <c r="E37" s="110"/>
    </row>
    <row r="38" spans="1:35" x14ac:dyDescent="0.25">
      <c r="A38" s="133" t="s">
        <v>221</v>
      </c>
      <c r="C38" s="102" t="s">
        <v>226</v>
      </c>
      <c r="D38" s="102" t="s">
        <v>235</v>
      </c>
      <c r="E38" s="119">
        <f>'Func &amp; Classif'!AA82</f>
        <v>0</v>
      </c>
      <c r="F38" s="119">
        <f>IF(VLOOKUP($D38,$C$5:$AT$510,3,)=0,0,(VLOOKUP($D38,$C$5:$AT$510,4,)/VLOOKUP($D38,$C$5:$AT$510,3,))*$E38)</f>
        <v>0</v>
      </c>
      <c r="G38" s="119">
        <f>IF(VLOOKUP($D38,$C$5:$AT$510,3,)=0,0,(VLOOKUP($D38,$C$5:$AT$510,5,)/VLOOKUP($D38,$C$5:$AT$510,3,))*$E38)</f>
        <v>0</v>
      </c>
      <c r="H38" s="119">
        <f>IF(VLOOKUP($D38,$C$5:$AT$510,3,)=0,0,(VLOOKUP($D38,$C$5:$AT$510,6,)/VLOOKUP($D38,$C$5:$AT$510,3,))*$E38)</f>
        <v>0</v>
      </c>
      <c r="I38" s="119">
        <f>IF(VLOOKUP($D38,$C$5:$AT$510,3,)=0,0,(VLOOKUP($D38,$C$5:$AT$510,7,)/VLOOKUP($D38,$C$5:$AT$510,3,))*$E38)</f>
        <v>0</v>
      </c>
      <c r="J38" s="119">
        <f>IF(VLOOKUP($D38,$C$5:$AT$510,3,)=0,0,(VLOOKUP($D38,$C$5:$AT$510,8,)/VLOOKUP($D38,$C$5:$AT$510,3,))*$E38)</f>
        <v>0</v>
      </c>
      <c r="K38" s="119">
        <f>IF(VLOOKUP($D38,$C$5:$AT$510,3,)=0,0,(VLOOKUP($D38,$C$5:$AT$510,9,)/VLOOKUP($D38,$C$5:$AT$510,3,))*$E38)</f>
        <v>0</v>
      </c>
      <c r="L38" s="119">
        <f>IF(VLOOKUP($D38,$C$5:$AT$510,3,)=0,0,(VLOOKUP($D38,$C$5:$AT$510,10,)/VLOOKUP($D38,$C$5:$AT$510,3,))*$E38)</f>
        <v>0</v>
      </c>
      <c r="M38" s="119">
        <f>IF(VLOOKUP($D38,$C$5:$AT$510,3,)=0,0,(VLOOKUP($D38,$C$5:$AT$510,11,)/VLOOKUP($D38,$C$5:$AT$510,3,))*$E38)</f>
        <v>0</v>
      </c>
      <c r="N38" s="119">
        <f>IF(VLOOKUP($D38,$C$5:$AT$510,3,)=0,0,(VLOOKUP($D38,$C$5:$AT$510,12,)/VLOOKUP($D38,$C$5:$AT$510,3,))*$E38)</f>
        <v>0</v>
      </c>
      <c r="O38" s="119">
        <f>IF(VLOOKUP($D38,$C$5:$AT$510,3,)=0,0,(VLOOKUP($D38,$C$5:$AT$510,13,)/VLOOKUP($D38,$C$5:$AT$510,3,))*$E38)</f>
        <v>0</v>
      </c>
      <c r="P38" s="119">
        <f>IF(VLOOKUP($D38,$C$5:$AT$510,3,)=0,0,(VLOOKUP($D38,$C$5:$AT$510,14,)/VLOOKUP($D38,$C$5:$AT$510,3,))*$E38)</f>
        <v>0</v>
      </c>
      <c r="Q38" s="119">
        <f>IF(VLOOKUP($D38,$C$5:$AT$510,3,)=0,0,(VLOOKUP($D38,$C$5:$AT$510,15,)/VLOOKUP($D38,$C$5:$AT$510,3,))*$E38)</f>
        <v>0</v>
      </c>
      <c r="R38" s="119">
        <f>IF(VLOOKUP($D38,$C$5:$AT$510,3,)=0,0,(VLOOKUP($D38,$C$5:$AT$510,16,)/VLOOKUP($D38,$C$5:$AT$510,3,))*$E38)</f>
        <v>0</v>
      </c>
      <c r="S38" s="119">
        <f>IF(VLOOKUP($D38,$C$5:$AT$510,3,)=0,0,(VLOOKUP($D38,$C$5:$AT$510,17,)/VLOOKUP($D38,$C$5:$AT$510,3,))*$E38)</f>
        <v>0</v>
      </c>
      <c r="T38" s="119">
        <f>IF(VLOOKUP($D38,$C$5:$AT$510,3,)=0,0,(VLOOKUP($D38,$C$5:$AT$510,18,)/VLOOKUP($D38,$C$5:$AT$510,3,))*$E38)</f>
        <v>0</v>
      </c>
      <c r="U38" s="119">
        <f>IF(VLOOKUP($D38,$C$5:$AT$510,3,)=0,0,(VLOOKUP($D38,$C$5:$AT$510,19,)/VLOOKUP($D38,$C$5:$AT$510,3,))*$E38)</f>
        <v>0</v>
      </c>
      <c r="V38" s="119">
        <f>IF(VLOOKUP($D38,$C$5:$AT$510,3,)=0,0,(VLOOKUP($D38,$C$5:$AT$510,20,)/VLOOKUP($D38,$C$5:$AT$510,3,))*$E38)</f>
        <v>0</v>
      </c>
      <c r="W38" s="119">
        <f>IF(VLOOKUP($D38,$C$5:$AT$510,3,)=0,0,(VLOOKUP($D38,$C$5:$AT$510,21,)/VLOOKUP($D38,$C$5:$AT$510,3,))*$E38)</f>
        <v>0</v>
      </c>
      <c r="X38" s="119">
        <f>IF(VLOOKUP($D38,$C$5:$AT$510,3,)=0,0,(VLOOKUP($D38,$C$5:$AT$510,22,)/VLOOKUP($D38,$C$5:$AT$510,3,))*$E38)</f>
        <v>0</v>
      </c>
      <c r="Y38" s="119">
        <f>IF(VLOOKUP($D38,$C$5:$AT$510,3,)=0,0,(VLOOKUP($D38,$C$5:$AT$510,23,)/VLOOKUP($D38,$C$5:$AT$510,3,))*$E38)</f>
        <v>0</v>
      </c>
      <c r="Z38" s="119">
        <f>IF(VLOOKUP($D38,$C$5:$AT$510,3,)=0,0,(VLOOKUP($D38,$C$5:$AT$510,24,)/VLOOKUP($D38,$C$5:$AT$510,3,))*$E38)</f>
        <v>0</v>
      </c>
      <c r="AA38" s="119">
        <f>IF(VLOOKUP($D38,$C$5:$AT$510,3,)=0,0,(VLOOKUP($D38,$C$5:$AT$510,25,)/VLOOKUP($D38,$C$5:$AT$510,3,))*$E38)</f>
        <v>0</v>
      </c>
      <c r="AB38" s="119">
        <f>IF(VLOOKUP($D38,$C$5:$AT$510,3,)=0,0,(VLOOKUP($D38,$C$5:$AT$510,26,)/VLOOKUP($D38,$C$5:$AT$510,3,))*$E38)</f>
        <v>0</v>
      </c>
      <c r="AC38" s="119">
        <f>IF(VLOOKUP($D38,$C$5:$AT$510,3,)=0,0,(VLOOKUP($D38,$C$5:$AT$510,27,)/VLOOKUP($D38,$C$5:$AT$510,3,))*$E38)</f>
        <v>0</v>
      </c>
      <c r="AD38" s="119">
        <f>IF(VLOOKUP($D38,$C$5:$AT$510,3,)=0,0,(VLOOKUP($D38,$C$5:$AT$510,28,)/VLOOKUP($D38,$C$5:$AT$510,3,))*$E38)</f>
        <v>0</v>
      </c>
      <c r="AE38" s="119">
        <f>IF(VLOOKUP($D38,$C$5:$AT$510,3,)=0,0,(VLOOKUP($D38,$C$5:$AT$510,29,)/VLOOKUP($D38,$C$5:$AT$510,3,))*$E38)</f>
        <v>0</v>
      </c>
      <c r="AF38" s="119">
        <f>IF(VLOOKUP($D38,$C$5:$AT$510,3,)=0,0,(VLOOKUP($D38,$C$5:$AT$510,30,)/VLOOKUP($D38,$C$5:$AT$510,3,))*$E38)</f>
        <v>0</v>
      </c>
      <c r="AG38" s="120">
        <f>SUM(F38:AF38)</f>
        <v>0</v>
      </c>
      <c r="AH38" s="103" t="str">
        <f>IF(ABS(E38-AG38)&lt;0.01,"ok","err")</f>
        <v>ok</v>
      </c>
    </row>
    <row r="39" spans="1:35" x14ac:dyDescent="0.25">
      <c r="E39" s="110"/>
    </row>
    <row r="40" spans="1:35" x14ac:dyDescent="0.25">
      <c r="A40" s="102" t="s">
        <v>0</v>
      </c>
      <c r="C40" s="102" t="s">
        <v>236</v>
      </c>
      <c r="E40" s="119">
        <f>E10+E13+E16+E21+E26+E29+E32+E35+E38</f>
        <v>124718829.67999996</v>
      </c>
      <c r="F40" s="119">
        <f t="shared" ref="F40:R40" si="6">F10+F13+F16+F21+F26+F29+F32+F35+F38</f>
        <v>97074650.361498237</v>
      </c>
      <c r="G40" s="119">
        <f t="shared" si="6"/>
        <v>250831.24546824058</v>
      </c>
      <c r="H40" s="119">
        <f t="shared" si="6"/>
        <v>3852471.3492324329</v>
      </c>
      <c r="I40" s="119">
        <f t="shared" si="6"/>
        <v>7787616.1611692682</v>
      </c>
      <c r="J40" s="119">
        <f t="shared" si="6"/>
        <v>1366933.182629524</v>
      </c>
      <c r="K40" s="119">
        <f t="shared" si="6"/>
        <v>620651.12189578626</v>
      </c>
      <c r="L40" s="119">
        <f t="shared" si="6"/>
        <v>2278076.4331780788</v>
      </c>
      <c r="M40" s="119">
        <f t="shared" si="6"/>
        <v>7276925.1309717745</v>
      </c>
      <c r="N40" s="119">
        <f t="shared" si="6"/>
        <v>67168.087573459125</v>
      </c>
      <c r="O40" s="119">
        <f t="shared" si="6"/>
        <v>0</v>
      </c>
      <c r="P40" s="119">
        <f t="shared" si="6"/>
        <v>4143506.6063831993</v>
      </c>
      <c r="Q40" s="119">
        <f t="shared" si="6"/>
        <v>0</v>
      </c>
      <c r="R40" s="119">
        <f t="shared" si="6"/>
        <v>0</v>
      </c>
      <c r="S40" s="119">
        <f t="shared" ref="S40:AF40" si="7">S10+S16+S21+S26+S29+S32+S35+S38</f>
        <v>0</v>
      </c>
      <c r="T40" s="119">
        <f t="shared" si="7"/>
        <v>0</v>
      </c>
      <c r="U40" s="119">
        <f t="shared" si="7"/>
        <v>0</v>
      </c>
      <c r="V40" s="119">
        <f t="shared" si="7"/>
        <v>0</v>
      </c>
      <c r="W40" s="119">
        <f t="shared" si="7"/>
        <v>0</v>
      </c>
      <c r="X40" s="119">
        <f t="shared" si="7"/>
        <v>0</v>
      </c>
      <c r="Y40" s="119">
        <f t="shared" si="7"/>
        <v>0</v>
      </c>
      <c r="Z40" s="119">
        <f t="shared" si="7"/>
        <v>0</v>
      </c>
      <c r="AA40" s="119">
        <f t="shared" si="7"/>
        <v>0</v>
      </c>
      <c r="AB40" s="119">
        <f t="shared" si="7"/>
        <v>0</v>
      </c>
      <c r="AC40" s="119">
        <f t="shared" si="7"/>
        <v>0</v>
      </c>
      <c r="AD40" s="119">
        <f t="shared" si="7"/>
        <v>0</v>
      </c>
      <c r="AE40" s="119">
        <f t="shared" si="7"/>
        <v>0</v>
      </c>
      <c r="AF40" s="119">
        <f t="shared" si="7"/>
        <v>0</v>
      </c>
      <c r="AG40" s="120">
        <f>SUM(F40:AF40)</f>
        <v>124718829.68000002</v>
      </c>
      <c r="AH40" s="103" t="str">
        <f>IF(ABS(E40-AG40)&lt;0.01,"ok","err")</f>
        <v>ok</v>
      </c>
      <c r="AI40" s="120"/>
    </row>
    <row r="44" spans="1:35" x14ac:dyDescent="0.25">
      <c r="A44" s="131" t="s">
        <v>83</v>
      </c>
    </row>
    <row r="46" spans="1:35" x14ac:dyDescent="0.25">
      <c r="A46" s="132" t="s">
        <v>885</v>
      </c>
    </row>
    <row r="47" spans="1:35" x14ac:dyDescent="0.25">
      <c r="A47" s="133" t="s">
        <v>209</v>
      </c>
      <c r="C47" s="102" t="s">
        <v>237</v>
      </c>
      <c r="D47" s="102" t="s">
        <v>655</v>
      </c>
      <c r="E47" s="119">
        <f>'Func &amp; Classif'!H126</f>
        <v>0</v>
      </c>
      <c r="F47" s="119">
        <f>IF(VLOOKUP($D47,$C$5:$AT$510,3,)=0,0,(VLOOKUP($D47,$C$5:$AT$510,4,)/VLOOKUP($D47,$C$5:$AT$510,3,))*$E47)</f>
        <v>0</v>
      </c>
      <c r="G47" s="119">
        <f>IF(VLOOKUP($D47,$C$5:$AT$510,3,)=0,0,(VLOOKUP($D47,$C$5:$AT$510,5,)/VLOOKUP($D47,$C$5:$AT$510,3,))*$E47)</f>
        <v>0</v>
      </c>
      <c r="H47" s="119">
        <f>IF(VLOOKUP($D47,$C$5:$AT$510,3,)=0,0,(VLOOKUP($D47,$C$5:$AT$510,6,)/VLOOKUP($D47,$C$5:$AT$510,3,))*$E47)</f>
        <v>0</v>
      </c>
      <c r="I47" s="119">
        <f>IF(VLOOKUP($D47,$C$5:$AT$510,3,)=0,0,(VLOOKUP($D47,$C$5:$AT$510,7,)/VLOOKUP($D47,$C$5:$AT$510,3,))*$E47)</f>
        <v>0</v>
      </c>
      <c r="J47" s="119">
        <f>IF(VLOOKUP($D47,$C$5:$AT$510,3,)=0,0,(VLOOKUP($D47,$C$5:$AT$510,8,)/VLOOKUP($D47,$C$5:$AT$510,3,))*$E47)</f>
        <v>0</v>
      </c>
      <c r="K47" s="119">
        <f>IF(VLOOKUP($D47,$C$5:$AT$510,3,)=0,0,(VLOOKUP($D47,$C$5:$AT$510,9,)/VLOOKUP($D47,$C$5:$AT$510,3,))*$E47)</f>
        <v>0</v>
      </c>
      <c r="L47" s="119">
        <f>IF(VLOOKUP($D47,$C$5:$AT$510,3,)=0,0,(VLOOKUP($D47,$C$5:$AT$510,10,)/VLOOKUP($D47,$C$5:$AT$510,3,))*$E47)</f>
        <v>0</v>
      </c>
      <c r="M47" s="119">
        <f>IF(VLOOKUP($D47,$C$5:$AT$510,3,)=0,0,(VLOOKUP($D47,$C$5:$AT$510,11,)/VLOOKUP($D47,$C$5:$AT$510,3,))*$E47)</f>
        <v>0</v>
      </c>
      <c r="N47" s="119">
        <f>IF(VLOOKUP($D47,$C$5:$AT$510,3,)=0,0,(VLOOKUP($D47,$C$5:$AT$510,12,)/VLOOKUP($D47,$C$5:$AT$510,3,))*$E47)</f>
        <v>0</v>
      </c>
      <c r="O47" s="119">
        <f>IF(VLOOKUP($D47,$C$5:$AT$510,3,)=0,0,(VLOOKUP($D47,$C$5:$AT$510,13,)/VLOOKUP($D47,$C$5:$AT$510,3,))*$E47)</f>
        <v>0</v>
      </c>
      <c r="P47" s="119">
        <f>IF(VLOOKUP($D47,$C$5:$AT$510,3,)=0,0,(VLOOKUP($D47,$C$5:$AT$510,14,)/VLOOKUP($D47,$C$5:$AT$510,3,))*$E47)</f>
        <v>0</v>
      </c>
      <c r="Q47" s="119">
        <f>IF(VLOOKUP($D47,$C$5:$AT$510,3,)=0,0,(VLOOKUP($D47,$C$5:$AT$510,15,)/VLOOKUP($D47,$C$5:$AT$510,3,))*$E47)</f>
        <v>0</v>
      </c>
      <c r="R47" s="119">
        <f>IF(VLOOKUP($D47,$C$5:$AT$510,3,)=0,0,(VLOOKUP($D47,$C$5:$AT$510,16,)/VLOOKUP($D47,$C$5:$AT$510,3,))*$E47)</f>
        <v>0</v>
      </c>
      <c r="S47" s="119">
        <f>IF(VLOOKUP($D47,$C$5:$AT$510,3,)=0,0,(VLOOKUP($D47,$C$5:$AT$510,17,)/VLOOKUP($D47,$C$5:$AT$510,3,))*$E47)</f>
        <v>0</v>
      </c>
      <c r="T47" s="119">
        <f>IF(VLOOKUP($D47,$C$5:$AT$510,3,)=0,0,(VLOOKUP($D47,$C$5:$AT$510,18,)/VLOOKUP($D47,$C$5:$AT$510,3,))*$E47)</f>
        <v>0</v>
      </c>
      <c r="U47" s="119">
        <f>IF(VLOOKUP($D47,$C$5:$AT$510,3,)=0,0,(VLOOKUP($D47,$C$5:$AT$510,19,)/VLOOKUP($D47,$C$5:$AT$510,3,))*$E47)</f>
        <v>0</v>
      </c>
      <c r="V47" s="119">
        <f>IF(VLOOKUP($D47,$C$5:$AT$510,3,)=0,0,(VLOOKUP($D47,$C$5:$AT$510,20,)/VLOOKUP($D47,$C$5:$AT$510,3,))*$E47)</f>
        <v>0</v>
      </c>
      <c r="W47" s="119">
        <f>IF(VLOOKUP($D47,$C$5:$AT$510,3,)=0,0,(VLOOKUP($D47,$C$5:$AT$510,21,)/VLOOKUP($D47,$C$5:$AT$510,3,))*$E47)</f>
        <v>0</v>
      </c>
      <c r="X47" s="119">
        <f>IF(VLOOKUP($D47,$C$5:$AT$510,3,)=0,0,(VLOOKUP($D47,$C$5:$AT$510,22,)/VLOOKUP($D47,$C$5:$AT$510,3,))*$E47)</f>
        <v>0</v>
      </c>
      <c r="Y47" s="119">
        <f>IF(VLOOKUP($D47,$C$5:$AT$510,3,)=0,0,(VLOOKUP($D47,$C$5:$AT$510,23,)/VLOOKUP($D47,$C$5:$AT$510,3,))*$E47)</f>
        <v>0</v>
      </c>
      <c r="Z47" s="119">
        <f>IF(VLOOKUP($D47,$C$5:$AT$510,3,)=0,0,(VLOOKUP($D47,$C$5:$AT$510,24,)/VLOOKUP($D47,$C$5:$AT$510,3,))*$E47)</f>
        <v>0</v>
      </c>
      <c r="AA47" s="119">
        <f>IF(VLOOKUP($D47,$C$5:$AT$510,3,)=0,0,(VLOOKUP($D47,$C$5:$AT$510,25,)/VLOOKUP($D47,$C$5:$AT$510,3,))*$E47)</f>
        <v>0</v>
      </c>
      <c r="AB47" s="119">
        <f>IF(VLOOKUP($D47,$C$5:$AT$510,3,)=0,0,(VLOOKUP($D47,$C$5:$AT$510,26,)/VLOOKUP($D47,$C$5:$AT$510,3,))*$E47)</f>
        <v>0</v>
      </c>
      <c r="AC47" s="119">
        <f>IF(VLOOKUP($D47,$C$5:$AT$510,3,)=0,0,(VLOOKUP($D47,$C$5:$AT$510,27,)/VLOOKUP($D47,$C$5:$AT$510,3,))*$E47)</f>
        <v>0</v>
      </c>
      <c r="AD47" s="119">
        <f>IF(VLOOKUP($D47,$C$5:$AT$510,3,)=0,0,(VLOOKUP($D47,$C$5:$AT$510,28,)/VLOOKUP($D47,$C$5:$AT$510,3,))*$E47)</f>
        <v>0</v>
      </c>
      <c r="AE47" s="119">
        <f>IF(VLOOKUP($D47,$C$5:$AT$510,3,)=0,0,(VLOOKUP($D47,$C$5:$AT$510,29,)/VLOOKUP($D47,$C$5:$AT$510,3,))*$E47)</f>
        <v>0</v>
      </c>
      <c r="AF47" s="119">
        <f>IF(VLOOKUP($D47,$C$5:$AT$510,3,)=0,0,(VLOOKUP($D47,$C$5:$AT$510,30,)/VLOOKUP($D47,$C$5:$AT$510,3,))*$E47)</f>
        <v>0</v>
      </c>
      <c r="AG47" s="120">
        <f>SUM(F47:AF47)</f>
        <v>0</v>
      </c>
      <c r="AH47" s="103" t="str">
        <f>IF(ABS(E47-AG47)&lt;0.01,"ok","err")</f>
        <v>ok</v>
      </c>
    </row>
    <row r="48" spans="1:35" x14ac:dyDescent="0.25">
      <c r="A48" s="133" t="s">
        <v>212</v>
      </c>
      <c r="C48" s="102" t="s">
        <v>238</v>
      </c>
      <c r="D48" s="102" t="s">
        <v>664</v>
      </c>
      <c r="E48" s="110">
        <f>'Func &amp; Classif'!I126</f>
        <v>0</v>
      </c>
      <c r="F48" s="119">
        <f>IF(VLOOKUP($D48,$C$5:$AT$510,3,)=0,0,(VLOOKUP($D48,$C$5:$AT$510,4,)/VLOOKUP($D48,$C$5:$AT$510,3,))*$E48)</f>
        <v>0</v>
      </c>
      <c r="G48" s="119">
        <f>IF(VLOOKUP($D48,$C$5:$AT$510,3,)=0,0,(VLOOKUP($D48,$C$5:$AT$510,5,)/VLOOKUP($D48,$C$5:$AT$510,3,))*$E48)</f>
        <v>0</v>
      </c>
      <c r="H48" s="119">
        <f>IF(VLOOKUP($D48,$C$5:$AT$510,3,)=0,0,(VLOOKUP($D48,$C$5:$AT$510,6,)/VLOOKUP($D48,$C$5:$AT$510,3,))*$E48)</f>
        <v>0</v>
      </c>
      <c r="I48" s="119">
        <f>IF(VLOOKUP($D48,$C$5:$AT$510,3,)=0,0,(VLOOKUP($D48,$C$5:$AT$510,7,)/VLOOKUP($D48,$C$5:$AT$510,3,))*$E48)</f>
        <v>0</v>
      </c>
      <c r="J48" s="119">
        <f>IF(VLOOKUP($D48,$C$5:$AT$510,3,)=0,0,(VLOOKUP($D48,$C$5:$AT$510,8,)/VLOOKUP($D48,$C$5:$AT$510,3,))*$E48)</f>
        <v>0</v>
      </c>
      <c r="K48" s="119">
        <f>IF(VLOOKUP($D48,$C$5:$AT$510,3,)=0,0,(VLOOKUP($D48,$C$5:$AT$510,9,)/VLOOKUP($D48,$C$5:$AT$510,3,))*$E48)</f>
        <v>0</v>
      </c>
      <c r="L48" s="119">
        <f>IF(VLOOKUP($D48,$C$5:$AT$510,3,)=0,0,(VLOOKUP($D48,$C$5:$AT$510,10,)/VLOOKUP($D48,$C$5:$AT$510,3,))*$E48)</f>
        <v>0</v>
      </c>
      <c r="M48" s="119">
        <f>IF(VLOOKUP($D48,$C$5:$AT$510,3,)=0,0,(VLOOKUP($D48,$C$5:$AT$510,11,)/VLOOKUP($D48,$C$5:$AT$510,3,))*$E48)</f>
        <v>0</v>
      </c>
      <c r="N48" s="119">
        <f>IF(VLOOKUP($D48,$C$5:$AT$510,3,)=0,0,(VLOOKUP($D48,$C$5:$AT$510,12,)/VLOOKUP($D48,$C$5:$AT$510,3,))*$E48)</f>
        <v>0</v>
      </c>
      <c r="O48" s="119">
        <f>IF(VLOOKUP($D48,$C$5:$AT$510,3,)=0,0,(VLOOKUP($D48,$C$5:$AT$510,13,)/VLOOKUP($D48,$C$5:$AT$510,3,))*$E48)</f>
        <v>0</v>
      </c>
      <c r="P48" s="119">
        <f>IF(VLOOKUP($D48,$C$5:$AT$510,3,)=0,0,(VLOOKUP($D48,$C$5:$AT$510,14,)/VLOOKUP($D48,$C$5:$AT$510,3,))*$E48)</f>
        <v>0</v>
      </c>
      <c r="Q48" s="119">
        <f>IF(VLOOKUP($D48,$C$5:$AT$510,3,)=0,0,(VLOOKUP($D48,$C$5:$AT$510,15,)/VLOOKUP($D48,$C$5:$AT$510,3,))*$E48)</f>
        <v>0</v>
      </c>
      <c r="R48" s="119">
        <f>IF(VLOOKUP($D48,$C$5:$AT$510,3,)=0,0,(VLOOKUP($D48,$C$5:$AT$510,16,)/VLOOKUP($D48,$C$5:$AT$510,3,))*$E48)</f>
        <v>0</v>
      </c>
      <c r="S48" s="119">
        <f>IF(VLOOKUP($D48,$C$5:$AT$510,3,)=0,0,(VLOOKUP($D48,$C$5:$AT$510,17,)/VLOOKUP($D48,$C$5:$AT$510,3,))*$E48)</f>
        <v>0</v>
      </c>
      <c r="T48" s="119">
        <f>IF(VLOOKUP($D48,$C$5:$AT$510,3,)=0,0,(VLOOKUP($D48,$C$5:$AT$510,18,)/VLOOKUP($D48,$C$5:$AT$510,3,))*$E48)</f>
        <v>0</v>
      </c>
      <c r="U48" s="119">
        <f>IF(VLOOKUP($D48,$C$5:$AT$510,3,)=0,0,(VLOOKUP($D48,$C$5:$AT$510,19,)/VLOOKUP($D48,$C$5:$AT$510,3,))*$E48)</f>
        <v>0</v>
      </c>
      <c r="V48" s="119">
        <f>IF(VLOOKUP($D48,$C$5:$AT$510,3,)=0,0,(VLOOKUP($D48,$C$5:$AT$510,20,)/VLOOKUP($D48,$C$5:$AT$510,3,))*$E48)</f>
        <v>0</v>
      </c>
      <c r="W48" s="119">
        <f>IF(VLOOKUP($D48,$C$5:$AT$510,3,)=0,0,(VLOOKUP($D48,$C$5:$AT$510,21,)/VLOOKUP($D48,$C$5:$AT$510,3,))*$E48)</f>
        <v>0</v>
      </c>
      <c r="X48" s="119">
        <f>IF(VLOOKUP($D48,$C$5:$AT$510,3,)=0,0,(VLOOKUP($D48,$C$5:$AT$510,22,)/VLOOKUP($D48,$C$5:$AT$510,3,))*$E48)</f>
        <v>0</v>
      </c>
      <c r="Y48" s="119">
        <f>IF(VLOOKUP($D48,$C$5:$AT$510,3,)=0,0,(VLOOKUP($D48,$C$5:$AT$510,23,)/VLOOKUP($D48,$C$5:$AT$510,3,))*$E48)</f>
        <v>0</v>
      </c>
      <c r="Z48" s="119">
        <f>IF(VLOOKUP($D48,$C$5:$AT$510,3,)=0,0,(VLOOKUP($D48,$C$5:$AT$510,24,)/VLOOKUP($D48,$C$5:$AT$510,3,))*$E48)</f>
        <v>0</v>
      </c>
      <c r="AA48" s="119">
        <f>IF(VLOOKUP($D48,$C$5:$AT$510,3,)=0,0,(VLOOKUP($D48,$C$5:$AT$510,25,)/VLOOKUP($D48,$C$5:$AT$510,3,))*$E48)</f>
        <v>0</v>
      </c>
      <c r="AB48" s="119">
        <f>IF(VLOOKUP($D48,$C$5:$AT$510,3,)=0,0,(VLOOKUP($D48,$C$5:$AT$510,26,)/VLOOKUP($D48,$C$5:$AT$510,3,))*$E48)</f>
        <v>0</v>
      </c>
      <c r="AC48" s="119">
        <f>IF(VLOOKUP($D48,$C$5:$AT$510,3,)=0,0,(VLOOKUP($D48,$C$5:$AT$510,27,)/VLOOKUP($D48,$C$5:$AT$510,3,))*$E48)</f>
        <v>0</v>
      </c>
      <c r="AD48" s="119">
        <f>IF(VLOOKUP($D48,$C$5:$AT$510,3,)=0,0,(VLOOKUP($D48,$C$5:$AT$510,28,)/VLOOKUP($D48,$C$5:$AT$510,3,))*$E48)</f>
        <v>0</v>
      </c>
      <c r="AE48" s="119">
        <f>IF(VLOOKUP($D48,$C$5:$AT$510,3,)=0,0,(VLOOKUP($D48,$C$5:$AT$510,29,)/VLOOKUP($D48,$C$5:$AT$510,3,))*$E48)</f>
        <v>0</v>
      </c>
      <c r="AF48" s="119">
        <f>IF(VLOOKUP($D48,$C$5:$AT$510,3,)=0,0,(VLOOKUP($D48,$C$5:$AT$510,30,)/VLOOKUP($D48,$C$5:$AT$510,3,))*$E48)</f>
        <v>0</v>
      </c>
      <c r="AG48" s="120">
        <f>SUM(F48:AF48)</f>
        <v>0</v>
      </c>
      <c r="AH48" s="103" t="str">
        <f>IF(ABS(E48-AG48)&lt;0.01,"ok","err")</f>
        <v>ok</v>
      </c>
    </row>
    <row r="49" spans="1:34" x14ac:dyDescent="0.25">
      <c r="A49" s="102" t="s">
        <v>215</v>
      </c>
      <c r="C49" s="102" t="s">
        <v>239</v>
      </c>
      <c r="E49" s="110">
        <f t="shared" ref="E49:T49" si="8">E47+E48</f>
        <v>0</v>
      </c>
      <c r="F49" s="119">
        <f t="shared" si="8"/>
        <v>0</v>
      </c>
      <c r="G49" s="119">
        <f t="shared" si="8"/>
        <v>0</v>
      </c>
      <c r="H49" s="119">
        <f t="shared" si="8"/>
        <v>0</v>
      </c>
      <c r="I49" s="119">
        <f t="shared" si="8"/>
        <v>0</v>
      </c>
      <c r="J49" s="119">
        <f t="shared" si="8"/>
        <v>0</v>
      </c>
      <c r="K49" s="119">
        <f t="shared" si="8"/>
        <v>0</v>
      </c>
      <c r="L49" s="119">
        <f t="shared" si="8"/>
        <v>0</v>
      </c>
      <c r="M49" s="119">
        <f t="shared" si="8"/>
        <v>0</v>
      </c>
      <c r="N49" s="119">
        <f t="shared" si="8"/>
        <v>0</v>
      </c>
      <c r="O49" s="119">
        <f t="shared" si="8"/>
        <v>0</v>
      </c>
      <c r="P49" s="119">
        <f t="shared" si="8"/>
        <v>0</v>
      </c>
      <c r="Q49" s="119">
        <f t="shared" si="8"/>
        <v>0</v>
      </c>
      <c r="R49" s="119">
        <f t="shared" si="8"/>
        <v>0</v>
      </c>
      <c r="S49" s="119">
        <f t="shared" si="8"/>
        <v>0</v>
      </c>
      <c r="T49" s="119">
        <f t="shared" si="8"/>
        <v>0</v>
      </c>
      <c r="U49" s="119">
        <f t="shared" ref="U49:AF49" si="9">U47+U48</f>
        <v>0</v>
      </c>
      <c r="V49" s="119">
        <f t="shared" si="9"/>
        <v>0</v>
      </c>
      <c r="W49" s="119">
        <f t="shared" si="9"/>
        <v>0</v>
      </c>
      <c r="X49" s="119">
        <f t="shared" si="9"/>
        <v>0</v>
      </c>
      <c r="Y49" s="119">
        <f t="shared" si="9"/>
        <v>0</v>
      </c>
      <c r="Z49" s="119">
        <f t="shared" si="9"/>
        <v>0</v>
      </c>
      <c r="AA49" s="119">
        <f t="shared" si="9"/>
        <v>0</v>
      </c>
      <c r="AB49" s="119">
        <f t="shared" si="9"/>
        <v>0</v>
      </c>
      <c r="AC49" s="119">
        <f t="shared" si="9"/>
        <v>0</v>
      </c>
      <c r="AD49" s="119">
        <f t="shared" si="9"/>
        <v>0</v>
      </c>
      <c r="AE49" s="119">
        <f t="shared" si="9"/>
        <v>0</v>
      </c>
      <c r="AF49" s="119">
        <f t="shared" si="9"/>
        <v>0</v>
      </c>
      <c r="AG49" s="120">
        <f>SUM(F49:AF49)</f>
        <v>0</v>
      </c>
      <c r="AH49" s="103" t="str">
        <f>IF(ABS(E49-AG49)&lt;0.01,"ok","err")</f>
        <v>ok</v>
      </c>
    </row>
    <row r="50" spans="1:34" x14ac:dyDescent="0.25">
      <c r="E50" s="110"/>
      <c r="F50" s="110"/>
    </row>
    <row r="51" spans="1:34" x14ac:dyDescent="0.25">
      <c r="A51" s="132" t="s">
        <v>350</v>
      </c>
      <c r="E51" s="110"/>
      <c r="F51" s="110"/>
    </row>
    <row r="52" spans="1:34" x14ac:dyDescent="0.25">
      <c r="A52" s="133" t="s">
        <v>209</v>
      </c>
      <c r="C52" s="102" t="s">
        <v>874</v>
      </c>
      <c r="D52" s="102" t="s">
        <v>597</v>
      </c>
      <c r="E52" s="119">
        <f>'Func &amp; Classif'!K126</f>
        <v>0</v>
      </c>
      <c r="F52" s="119">
        <f>IF(VLOOKUP($D52,$C$5:$AT$510,3,)=0,0,(VLOOKUP($D52,$C$5:$AT$510,4,)/VLOOKUP($D52,$C$5:$AT$510,3,))*$E52)</f>
        <v>0</v>
      </c>
      <c r="G52" s="119">
        <f>IF(VLOOKUP($D52,$C$5:$AT$510,3,)=0,0,(VLOOKUP($D52,$C$5:$AT$510,5,)/VLOOKUP($D52,$C$5:$AT$510,3,))*$E52)</f>
        <v>0</v>
      </c>
      <c r="H52" s="119">
        <f>IF(VLOOKUP($D52,$C$5:$AT$510,3,)=0,0,(VLOOKUP($D52,$C$5:$AT$510,6,)/VLOOKUP($D52,$C$5:$AT$510,3,))*$E52)</f>
        <v>0</v>
      </c>
      <c r="I52" s="119">
        <f>IF(VLOOKUP($D52,$C$5:$AT$510,3,)=0,0,(VLOOKUP($D52,$C$5:$AT$510,7,)/VLOOKUP($D52,$C$5:$AT$510,3,))*$E52)</f>
        <v>0</v>
      </c>
      <c r="J52" s="119">
        <f>IF(VLOOKUP($D52,$C$5:$AT$510,3,)=0,0,(VLOOKUP($D52,$C$5:$AT$510,8,)/VLOOKUP($D52,$C$5:$AT$510,3,))*$E52)</f>
        <v>0</v>
      </c>
      <c r="K52" s="119">
        <f>IF(VLOOKUP($D52,$C$5:$AT$510,3,)=0,0,(VLOOKUP($D52,$C$5:$AT$510,9,)/VLOOKUP($D52,$C$5:$AT$510,3,))*$E52)</f>
        <v>0</v>
      </c>
      <c r="L52" s="119">
        <f>IF(VLOOKUP($D52,$C$5:$AT$510,3,)=0,0,(VLOOKUP($D52,$C$5:$AT$510,10,)/VLOOKUP($D52,$C$5:$AT$510,3,))*$E52)</f>
        <v>0</v>
      </c>
      <c r="M52" s="119">
        <f>IF(VLOOKUP($D52,$C$5:$AT$510,3,)=0,0,(VLOOKUP($D52,$C$5:$AT$510,11,)/VLOOKUP($D52,$C$5:$AT$510,3,))*$E52)</f>
        <v>0</v>
      </c>
      <c r="N52" s="119">
        <f>IF(VLOOKUP($D52,$C$5:$AT$510,3,)=0,0,(VLOOKUP($D52,$C$5:$AT$510,12,)/VLOOKUP($D52,$C$5:$AT$510,3,))*$E52)</f>
        <v>0</v>
      </c>
      <c r="O52" s="119">
        <f>IF(VLOOKUP($D52,$C$5:$AT$510,3,)=0,0,(VLOOKUP($D52,$C$5:$AT$510,13,)/VLOOKUP($D52,$C$5:$AT$510,3,))*$E52)</f>
        <v>0</v>
      </c>
      <c r="P52" s="119">
        <f>IF(VLOOKUP($D52,$C$5:$AT$510,3,)=0,0,(VLOOKUP($D52,$C$5:$AT$510,14,)/VLOOKUP($D52,$C$5:$AT$510,3,))*$E52)</f>
        <v>0</v>
      </c>
      <c r="Q52" s="119">
        <f>IF(VLOOKUP($D52,$C$5:$AT$510,3,)=0,0,(VLOOKUP($D52,$C$5:$AT$510,15,)/VLOOKUP($D52,$C$5:$AT$510,3,))*$E52)</f>
        <v>0</v>
      </c>
      <c r="R52" s="119">
        <f>IF(VLOOKUP($D52,$C$5:$AT$510,3,)=0,0,(VLOOKUP($D52,$C$5:$AT$510,16,)/VLOOKUP($D52,$C$5:$AT$510,3,))*$E52)</f>
        <v>0</v>
      </c>
      <c r="S52" s="119">
        <f>IF(VLOOKUP($D52,$C$5:$AT$510,3,)=0,0,(VLOOKUP($D52,$C$5:$AT$510,17,)/VLOOKUP($D52,$C$5:$AT$510,3,))*$E52)</f>
        <v>0</v>
      </c>
      <c r="T52" s="119">
        <f>IF(VLOOKUP($D52,$C$5:$AT$510,3,)=0,0,(VLOOKUP($D52,$C$5:$AT$510,18,)/VLOOKUP($D52,$C$5:$AT$510,3,))*$E52)</f>
        <v>0</v>
      </c>
      <c r="U52" s="119">
        <f>IF(VLOOKUP($D52,$C$5:$AT$510,3,)=0,0,(VLOOKUP($D52,$C$5:$AT$510,19,)/VLOOKUP($D52,$C$5:$AT$510,3,))*$E52)</f>
        <v>0</v>
      </c>
      <c r="V52" s="119">
        <f>IF(VLOOKUP($D52,$C$5:$AT$510,3,)=0,0,(VLOOKUP($D52,$C$5:$AT$510,20,)/VLOOKUP($D52,$C$5:$AT$510,3,))*$E52)</f>
        <v>0</v>
      </c>
      <c r="W52" s="119">
        <f>IF(VLOOKUP($D52,$C$5:$AT$510,3,)=0,0,(VLOOKUP($D52,$C$5:$AT$510,21,)/VLOOKUP($D52,$C$5:$AT$510,3,))*$E52)</f>
        <v>0</v>
      </c>
      <c r="X52" s="119">
        <f>IF(VLOOKUP($D52,$C$5:$AT$510,3,)=0,0,(VLOOKUP($D52,$C$5:$AT$510,22,)/VLOOKUP($D52,$C$5:$AT$510,3,))*$E52)</f>
        <v>0</v>
      </c>
      <c r="Y52" s="119">
        <f>IF(VLOOKUP($D52,$C$5:$AT$510,3,)=0,0,(VLOOKUP($D52,$C$5:$AT$510,23,)/VLOOKUP($D52,$C$5:$AT$510,3,))*$E52)</f>
        <v>0</v>
      </c>
      <c r="Z52" s="119">
        <f>IF(VLOOKUP($D52,$C$5:$AT$510,3,)=0,0,(VLOOKUP($D52,$C$5:$AT$510,24,)/VLOOKUP($D52,$C$5:$AT$510,3,))*$E52)</f>
        <v>0</v>
      </c>
      <c r="AA52" s="119">
        <f>IF(VLOOKUP($D52,$C$5:$AT$510,3,)=0,0,(VLOOKUP($D52,$C$5:$AT$510,25,)/VLOOKUP($D52,$C$5:$AT$510,3,))*$E52)</f>
        <v>0</v>
      </c>
      <c r="AB52" s="119">
        <f>IF(VLOOKUP($D52,$C$5:$AT$510,3,)=0,0,(VLOOKUP($D52,$C$5:$AT$510,26,)/VLOOKUP($D52,$C$5:$AT$510,3,))*$E52)</f>
        <v>0</v>
      </c>
      <c r="AC52" s="119">
        <f>IF(VLOOKUP($D52,$C$5:$AT$510,3,)=0,0,(VLOOKUP($D52,$C$5:$AT$510,27,)/VLOOKUP($D52,$C$5:$AT$510,3,))*$E52)</f>
        <v>0</v>
      </c>
      <c r="AD52" s="119">
        <f>IF(VLOOKUP($D52,$C$5:$AT$510,3,)=0,0,(VLOOKUP($D52,$C$5:$AT$510,28,)/VLOOKUP($D52,$C$5:$AT$510,3,))*$E52)</f>
        <v>0</v>
      </c>
      <c r="AE52" s="119">
        <f>IF(VLOOKUP($D52,$C$5:$AT$510,3,)=0,0,(VLOOKUP($D52,$C$5:$AT$510,29,)/VLOOKUP($D52,$C$5:$AT$510,3,))*$E52)</f>
        <v>0</v>
      </c>
      <c r="AF52" s="119">
        <f>IF(VLOOKUP($D52,$C$5:$AT$510,3,)=0,0,(VLOOKUP($D52,$C$5:$AT$510,30,)/VLOOKUP($D52,$C$5:$AT$510,3,))*$E52)</f>
        <v>0</v>
      </c>
      <c r="AG52" s="120">
        <f>SUM(F52:AF52)</f>
        <v>0</v>
      </c>
      <c r="AH52" s="103" t="str">
        <f>IF(ABS(E52-AG52)&lt;0.01,"ok","err")</f>
        <v>ok</v>
      </c>
    </row>
    <row r="53" spans="1:34" x14ac:dyDescent="0.25">
      <c r="E53" s="110"/>
    </row>
    <row r="54" spans="1:34" x14ac:dyDescent="0.25">
      <c r="A54" s="132" t="s">
        <v>1</v>
      </c>
      <c r="E54" s="110"/>
      <c r="F54" s="110"/>
    </row>
    <row r="55" spans="1:34" x14ac:dyDescent="0.25">
      <c r="A55" s="133" t="s">
        <v>209</v>
      </c>
      <c r="C55" s="102" t="s">
        <v>240</v>
      </c>
      <c r="D55" s="102" t="s">
        <v>613</v>
      </c>
      <c r="E55" s="119">
        <f>'Func &amp; Classif'!M126</f>
        <v>0</v>
      </c>
      <c r="F55" s="119">
        <f>IF(VLOOKUP($D55,$C$5:$AT$510,3,)=0,0,(VLOOKUP($D55,$C$5:$AT$510,4,)/VLOOKUP($D55,$C$5:$AT$510,3,))*$E55)</f>
        <v>0</v>
      </c>
      <c r="G55" s="119">
        <f>IF(VLOOKUP($D55,$C$5:$AT$510,3,)=0,0,(VLOOKUP($D55,$C$5:$AT$510,5,)/VLOOKUP($D55,$C$5:$AT$510,3,))*$E55)</f>
        <v>0</v>
      </c>
      <c r="H55" s="119">
        <f>IF(VLOOKUP($D55,$C$5:$AT$510,3,)=0,0,(VLOOKUP($D55,$C$5:$AT$510,6,)/VLOOKUP($D55,$C$5:$AT$510,3,))*$E55)</f>
        <v>0</v>
      </c>
      <c r="I55" s="119">
        <f>IF(VLOOKUP($D55,$C$5:$AT$510,3,)=0,0,(VLOOKUP($D55,$C$5:$AT$510,7,)/VLOOKUP($D55,$C$5:$AT$510,3,))*$E55)</f>
        <v>0</v>
      </c>
      <c r="J55" s="119">
        <f>IF(VLOOKUP($D55,$C$5:$AT$510,3,)=0,0,(VLOOKUP($D55,$C$5:$AT$510,8,)/VLOOKUP($D55,$C$5:$AT$510,3,))*$E55)</f>
        <v>0</v>
      </c>
      <c r="K55" s="119">
        <f>IF(VLOOKUP($D55,$C$5:$AT$510,3,)=0,0,(VLOOKUP($D55,$C$5:$AT$510,9,)/VLOOKUP($D55,$C$5:$AT$510,3,))*$E55)</f>
        <v>0</v>
      </c>
      <c r="L55" s="119">
        <f>IF(VLOOKUP($D55,$C$5:$AT$510,3,)=0,0,(VLOOKUP($D55,$C$5:$AT$510,10,)/VLOOKUP($D55,$C$5:$AT$510,3,))*$E55)</f>
        <v>0</v>
      </c>
      <c r="M55" s="119">
        <f>IF(VLOOKUP($D55,$C$5:$AT$510,3,)=0,0,(VLOOKUP($D55,$C$5:$AT$510,11,)/VLOOKUP($D55,$C$5:$AT$510,3,))*$E55)</f>
        <v>0</v>
      </c>
      <c r="N55" s="119">
        <f>IF(VLOOKUP($D55,$C$5:$AT$510,3,)=0,0,(VLOOKUP($D55,$C$5:$AT$510,12,)/VLOOKUP($D55,$C$5:$AT$510,3,))*$E55)</f>
        <v>0</v>
      </c>
      <c r="O55" s="119">
        <f>IF(VLOOKUP($D55,$C$5:$AT$510,3,)=0,0,(VLOOKUP($D55,$C$5:$AT$510,13,)/VLOOKUP($D55,$C$5:$AT$510,3,))*$E55)</f>
        <v>0</v>
      </c>
      <c r="P55" s="119">
        <f>IF(VLOOKUP($D55,$C$5:$AT$510,3,)=0,0,(VLOOKUP($D55,$C$5:$AT$510,14,)/VLOOKUP($D55,$C$5:$AT$510,3,))*$E55)</f>
        <v>0</v>
      </c>
      <c r="Q55" s="119">
        <f>IF(VLOOKUP($D55,$C$5:$AT$510,3,)=0,0,(VLOOKUP($D55,$C$5:$AT$510,15,)/VLOOKUP($D55,$C$5:$AT$510,3,))*$E55)</f>
        <v>0</v>
      </c>
      <c r="R55" s="119">
        <f>IF(VLOOKUP($D55,$C$5:$AT$510,3,)=0,0,(VLOOKUP($D55,$C$5:$AT$510,16,)/VLOOKUP($D55,$C$5:$AT$510,3,))*$E55)</f>
        <v>0</v>
      </c>
      <c r="S55" s="119">
        <f>IF(VLOOKUP($D55,$C$5:$AT$510,3,)=0,0,(VLOOKUP($D55,$C$5:$AT$510,17,)/VLOOKUP($D55,$C$5:$AT$510,3,))*$E55)</f>
        <v>0</v>
      </c>
      <c r="T55" s="119">
        <f>IF(VLOOKUP($D55,$C$5:$AT$510,3,)=0,0,(VLOOKUP($D55,$C$5:$AT$510,18,)/VLOOKUP($D55,$C$5:$AT$510,3,))*$E55)</f>
        <v>0</v>
      </c>
      <c r="U55" s="119">
        <f>IF(VLOOKUP($D55,$C$5:$AT$510,3,)=0,0,(VLOOKUP($D55,$C$5:$AT$510,19,)/VLOOKUP($D55,$C$5:$AT$510,3,))*$E55)</f>
        <v>0</v>
      </c>
      <c r="V55" s="119">
        <f>IF(VLOOKUP($D55,$C$5:$AT$510,3,)=0,0,(VLOOKUP($D55,$C$5:$AT$510,20,)/VLOOKUP($D55,$C$5:$AT$510,3,))*$E55)</f>
        <v>0</v>
      </c>
      <c r="W55" s="119">
        <f>IF(VLOOKUP($D55,$C$5:$AT$510,3,)=0,0,(VLOOKUP($D55,$C$5:$AT$510,21,)/VLOOKUP($D55,$C$5:$AT$510,3,))*$E55)</f>
        <v>0</v>
      </c>
      <c r="X55" s="119">
        <f>IF(VLOOKUP($D55,$C$5:$AT$510,3,)=0,0,(VLOOKUP($D55,$C$5:$AT$510,22,)/VLOOKUP($D55,$C$5:$AT$510,3,))*$E55)</f>
        <v>0</v>
      </c>
      <c r="Y55" s="119">
        <f>IF(VLOOKUP($D55,$C$5:$AT$510,3,)=0,0,(VLOOKUP($D55,$C$5:$AT$510,23,)/VLOOKUP($D55,$C$5:$AT$510,3,))*$E55)</f>
        <v>0</v>
      </c>
      <c r="Z55" s="119">
        <f>IF(VLOOKUP($D55,$C$5:$AT$510,3,)=0,0,(VLOOKUP($D55,$C$5:$AT$510,24,)/VLOOKUP($D55,$C$5:$AT$510,3,))*$E55)</f>
        <v>0</v>
      </c>
      <c r="AA55" s="119">
        <f>IF(VLOOKUP($D55,$C$5:$AT$510,3,)=0,0,(VLOOKUP($D55,$C$5:$AT$510,25,)/VLOOKUP($D55,$C$5:$AT$510,3,))*$E55)</f>
        <v>0</v>
      </c>
      <c r="AB55" s="119">
        <f>IF(VLOOKUP($D55,$C$5:$AT$510,3,)=0,0,(VLOOKUP($D55,$C$5:$AT$510,26,)/VLOOKUP($D55,$C$5:$AT$510,3,))*$E55)</f>
        <v>0</v>
      </c>
      <c r="AC55" s="119">
        <f>IF(VLOOKUP($D55,$C$5:$AT$510,3,)=0,0,(VLOOKUP($D55,$C$5:$AT$510,27,)/VLOOKUP($D55,$C$5:$AT$510,3,))*$E55)</f>
        <v>0</v>
      </c>
      <c r="AD55" s="119">
        <f>IF(VLOOKUP($D55,$C$5:$AT$510,3,)=0,0,(VLOOKUP($D55,$C$5:$AT$510,28,)/VLOOKUP($D55,$C$5:$AT$510,3,))*$E55)</f>
        <v>0</v>
      </c>
      <c r="AE55" s="119">
        <f>IF(VLOOKUP($D55,$C$5:$AT$510,3,)=0,0,(VLOOKUP($D55,$C$5:$AT$510,29,)/VLOOKUP($D55,$C$5:$AT$510,3,))*$E55)</f>
        <v>0</v>
      </c>
      <c r="AF55" s="119">
        <f>IF(VLOOKUP($D55,$C$5:$AT$510,3,)=0,0,(VLOOKUP($D55,$C$5:$AT$510,30,)/VLOOKUP($D55,$C$5:$AT$510,3,))*$E55)</f>
        <v>0</v>
      </c>
      <c r="AG55" s="120">
        <f>SUM(F55:AF55)</f>
        <v>0</v>
      </c>
      <c r="AH55" s="103" t="str">
        <f>IF(ABS(E55-AG55)&lt;0.01,"ok","err")</f>
        <v>ok</v>
      </c>
    </row>
    <row r="56" spans="1:34" x14ac:dyDescent="0.25">
      <c r="E56" s="110"/>
    </row>
    <row r="57" spans="1:34" x14ac:dyDescent="0.25">
      <c r="A57" s="132" t="s">
        <v>2</v>
      </c>
      <c r="E57" s="110"/>
    </row>
    <row r="58" spans="1:34" x14ac:dyDescent="0.25">
      <c r="A58" s="133" t="s">
        <v>209</v>
      </c>
      <c r="C58" s="102" t="s">
        <v>241</v>
      </c>
      <c r="D58" s="102" t="s">
        <v>605</v>
      </c>
      <c r="E58" s="119">
        <f>'Func &amp; Classif'!O126</f>
        <v>45941498.437003508</v>
      </c>
      <c r="F58" s="119">
        <f>IF(VLOOKUP($D58,$C$5:$AT$510,3,)=0,0,(VLOOKUP($D58,$C$5:$AT$510,4,)/VLOOKUP($D58,$C$5:$AT$510,3,))*$E58)</f>
        <v>33177881.583622433</v>
      </c>
      <c r="G58" s="119">
        <f>IF(VLOOKUP($D58,$C$5:$AT$510,3,)=0,0,(VLOOKUP($D58,$C$5:$AT$510,5,)/VLOOKUP($D58,$C$5:$AT$510,3,))*$E58)</f>
        <v>98129.265104965918</v>
      </c>
      <c r="H58" s="119">
        <f>IF(VLOOKUP($D58,$C$5:$AT$510,3,)=0,0,(VLOOKUP($D58,$C$5:$AT$510,6,)/VLOOKUP($D58,$C$5:$AT$510,3,))*$E58)</f>
        <v>1797377.4223019236</v>
      </c>
      <c r="I58" s="119">
        <f>IF(VLOOKUP($D58,$C$5:$AT$510,3,)=0,0,(VLOOKUP($D58,$C$5:$AT$510,7,)/VLOOKUP($D58,$C$5:$AT$510,3,))*$E58)</f>
        <v>4744091.6755449697</v>
      </c>
      <c r="J58" s="119">
        <f>IF(VLOOKUP($D58,$C$5:$AT$510,3,)=0,0,(VLOOKUP($D58,$C$5:$AT$510,8,)/VLOOKUP($D58,$C$5:$AT$510,3,))*$E58)</f>
        <v>819007.64422844362</v>
      </c>
      <c r="K58" s="119">
        <f>IF(VLOOKUP($D58,$C$5:$AT$510,3,)=0,0,(VLOOKUP($D58,$C$5:$AT$510,9,)/VLOOKUP($D58,$C$5:$AT$510,3,))*$E58)</f>
        <v>35638.723979540278</v>
      </c>
      <c r="L58" s="119">
        <f>IF(VLOOKUP($D58,$C$5:$AT$510,3,)=0,0,(VLOOKUP($D58,$C$5:$AT$510,10,)/VLOOKUP($D58,$C$5:$AT$510,3,))*$E58)</f>
        <v>1007062.304371133</v>
      </c>
      <c r="M58" s="119">
        <f>IF(VLOOKUP($D58,$C$5:$AT$510,3,)=0,0,(VLOOKUP($D58,$C$5:$AT$510,11,)/VLOOKUP($D58,$C$5:$AT$510,3,))*$E58)</f>
        <v>4220007.8805948365</v>
      </c>
      <c r="N58" s="119">
        <f>IF(VLOOKUP($D58,$C$5:$AT$510,3,)=0,0,(VLOOKUP($D58,$C$5:$AT$510,12,)/VLOOKUP($D58,$C$5:$AT$510,3,))*$E58)</f>
        <v>36152.105510598907</v>
      </c>
      <c r="O58" s="119">
        <f>IF(VLOOKUP($D58,$C$5:$AT$510,3,)=0,0,(VLOOKUP($D58,$C$5:$AT$510,13,)/VLOOKUP($D58,$C$5:$AT$510,3,))*$E58)</f>
        <v>0</v>
      </c>
      <c r="P58" s="119">
        <f>IF(VLOOKUP($D58,$C$5:$AT$510,3,)=0,0,(VLOOKUP($D58,$C$5:$AT$510,14,)/VLOOKUP($D58,$C$5:$AT$510,3,))*$E58)</f>
        <v>6149.8317446660585</v>
      </c>
      <c r="Q58" s="119">
        <f>IF(VLOOKUP($D58,$C$5:$AT$510,3,)=0,0,(VLOOKUP($D58,$C$5:$AT$510,15,)/VLOOKUP($D58,$C$5:$AT$510,3,))*$E58)</f>
        <v>0</v>
      </c>
      <c r="R58" s="119">
        <f>IF(VLOOKUP($D58,$C$5:$AT$510,3,)=0,0,(VLOOKUP($D58,$C$5:$AT$510,16,)/VLOOKUP($D58,$C$5:$AT$510,3,))*$E58)</f>
        <v>0</v>
      </c>
      <c r="S58" s="119">
        <f>IF(VLOOKUP($D58,$C$5:$AT$510,3,)=0,0,(VLOOKUP($D58,$C$5:$AT$510,17,)/VLOOKUP($D58,$C$5:$AT$510,3,))*$E58)</f>
        <v>0</v>
      </c>
      <c r="T58" s="119">
        <f>IF(VLOOKUP($D58,$C$5:$AT$510,3,)=0,0,(VLOOKUP($D58,$C$5:$AT$510,18,)/VLOOKUP($D58,$C$5:$AT$510,3,))*$E58)</f>
        <v>0</v>
      </c>
      <c r="U58" s="119">
        <f>IF(VLOOKUP($D58,$C$5:$AT$510,3,)=0,0,(VLOOKUP($D58,$C$5:$AT$510,19,)/VLOOKUP($D58,$C$5:$AT$510,3,))*$E58)</f>
        <v>0</v>
      </c>
      <c r="V58" s="119">
        <f>IF(VLOOKUP($D58,$C$5:$AT$510,3,)=0,0,(VLOOKUP($D58,$C$5:$AT$510,20,)/VLOOKUP($D58,$C$5:$AT$510,3,))*$E58)</f>
        <v>0</v>
      </c>
      <c r="W58" s="119">
        <f>IF(VLOOKUP($D58,$C$5:$AT$510,3,)=0,0,(VLOOKUP($D58,$C$5:$AT$510,21,)/VLOOKUP($D58,$C$5:$AT$510,3,))*$E58)</f>
        <v>0</v>
      </c>
      <c r="X58" s="119">
        <f>IF(VLOOKUP($D58,$C$5:$AT$510,3,)=0,0,(VLOOKUP($D58,$C$5:$AT$510,22,)/VLOOKUP($D58,$C$5:$AT$510,3,))*$E58)</f>
        <v>0</v>
      </c>
      <c r="Y58" s="119">
        <f>IF(VLOOKUP($D58,$C$5:$AT$510,3,)=0,0,(VLOOKUP($D58,$C$5:$AT$510,23,)/VLOOKUP($D58,$C$5:$AT$510,3,))*$E58)</f>
        <v>0</v>
      </c>
      <c r="Z58" s="119">
        <f>IF(VLOOKUP($D58,$C$5:$AT$510,3,)=0,0,(VLOOKUP($D58,$C$5:$AT$510,24,)/VLOOKUP($D58,$C$5:$AT$510,3,))*$E58)</f>
        <v>0</v>
      </c>
      <c r="AA58" s="119">
        <f>IF(VLOOKUP($D58,$C$5:$AT$510,3,)=0,0,(VLOOKUP($D58,$C$5:$AT$510,25,)/VLOOKUP($D58,$C$5:$AT$510,3,))*$E58)</f>
        <v>0</v>
      </c>
      <c r="AB58" s="119">
        <f>IF(VLOOKUP($D58,$C$5:$AT$510,3,)=0,0,(VLOOKUP($D58,$C$5:$AT$510,26,)/VLOOKUP($D58,$C$5:$AT$510,3,))*$E58)</f>
        <v>0</v>
      </c>
      <c r="AC58" s="119">
        <f>IF(VLOOKUP($D58,$C$5:$AT$510,3,)=0,0,(VLOOKUP($D58,$C$5:$AT$510,27,)/VLOOKUP($D58,$C$5:$AT$510,3,))*$E58)</f>
        <v>0</v>
      </c>
      <c r="AD58" s="119">
        <f>IF(VLOOKUP($D58,$C$5:$AT$510,3,)=0,0,(VLOOKUP($D58,$C$5:$AT$510,28,)/VLOOKUP($D58,$C$5:$AT$510,3,))*$E58)</f>
        <v>0</v>
      </c>
      <c r="AE58" s="119">
        <f>IF(VLOOKUP($D58,$C$5:$AT$510,3,)=0,0,(VLOOKUP($D58,$C$5:$AT$510,29,)/VLOOKUP($D58,$C$5:$AT$510,3,))*$E58)</f>
        <v>0</v>
      </c>
      <c r="AF58" s="119">
        <f>IF(VLOOKUP($D58,$C$5:$AT$510,3,)=0,0,(VLOOKUP($D58,$C$5:$AT$510,30,)/VLOOKUP($D58,$C$5:$AT$510,3,))*$E58)</f>
        <v>0</v>
      </c>
      <c r="AG58" s="120">
        <f>SUM(F58:AF58)</f>
        <v>45941498.437003508</v>
      </c>
      <c r="AH58" s="103" t="str">
        <f>IF(ABS(E58-AG58)&lt;0.01,"ok","err")</f>
        <v>ok</v>
      </c>
    </row>
    <row r="59" spans="1:34" x14ac:dyDescent="0.25">
      <c r="A59" s="133" t="s">
        <v>221</v>
      </c>
      <c r="C59" s="102" t="s">
        <v>242</v>
      </c>
      <c r="D59" s="102" t="s">
        <v>223</v>
      </c>
      <c r="E59" s="110">
        <f>'Func &amp; Classif'!P126</f>
        <v>18429308.959553443</v>
      </c>
      <c r="F59" s="119">
        <f>IF(VLOOKUP($D59,$C$5:$AT$510,3,)=0,0,(VLOOKUP($D59,$C$5:$AT$510,4,)/VLOOKUP($D59,$C$5:$AT$510,3,))*$E59)</f>
        <v>17434857.034897089</v>
      </c>
      <c r="G59" s="119">
        <f>IF(VLOOKUP($D59,$C$5:$AT$510,3,)=0,0,(VLOOKUP($D59,$C$5:$AT$510,5,)/VLOOKUP($D59,$C$5:$AT$510,3,))*$E59)</f>
        <v>36984.348589125337</v>
      </c>
      <c r="H59" s="119">
        <f>IF(VLOOKUP($D59,$C$5:$AT$510,3,)=0,0,(VLOOKUP($D59,$C$5:$AT$510,6,)/VLOOKUP($D59,$C$5:$AT$510,3,))*$E59)</f>
        <v>379270.86886495206</v>
      </c>
      <c r="I59" s="119">
        <f>IF(VLOOKUP($D59,$C$5:$AT$510,3,)=0,0,(VLOOKUP($D59,$C$5:$AT$510,7,)/VLOOKUP($D59,$C$5:$AT$510,3,))*$E59)</f>
        <v>44236.181645816585</v>
      </c>
      <c r="J59" s="119">
        <f>IF(VLOOKUP($D59,$C$5:$AT$510,3,)=0,0,(VLOOKUP($D59,$C$5:$AT$510,8,)/VLOOKUP($D59,$C$5:$AT$510,3,))*$E59)</f>
        <v>16679.21603038986</v>
      </c>
      <c r="K59" s="119">
        <f>IF(VLOOKUP($D59,$C$5:$AT$510,3,)=0,0,(VLOOKUP($D59,$C$5:$AT$510,9,)/VLOOKUP($D59,$C$5:$AT$510,3,))*$E59)</f>
        <v>226257.1913687668</v>
      </c>
      <c r="L59" s="119">
        <f>IF(VLOOKUP($D59,$C$5:$AT$510,3,)=0,0,(VLOOKUP($D59,$C$5:$AT$510,10,)/VLOOKUP($D59,$C$5:$AT$510,3,))*$E59)</f>
        <v>175494.35997192809</v>
      </c>
      <c r="M59" s="119">
        <f>IF(VLOOKUP($D59,$C$5:$AT$510,3,)=0,0,(VLOOKUP($D59,$C$5:$AT$510,11,)/VLOOKUP($D59,$C$5:$AT$510,3,))*$E59)</f>
        <v>112403.41237871429</v>
      </c>
      <c r="N59" s="119">
        <f>IF(VLOOKUP($D59,$C$5:$AT$510,3,)=0,0,(VLOOKUP($D59,$C$5:$AT$510,12,)/VLOOKUP($D59,$C$5:$AT$510,3,))*$E59)</f>
        <v>2175.5499170073731</v>
      </c>
      <c r="O59" s="119">
        <f>IF(VLOOKUP($D59,$C$5:$AT$510,3,)=0,0,(VLOOKUP($D59,$C$5:$AT$510,13,)/VLOOKUP($D59,$C$5:$AT$510,3,))*$E59)</f>
        <v>0</v>
      </c>
      <c r="P59" s="119">
        <f>IF(VLOOKUP($D59,$C$5:$AT$510,3,)=0,0,(VLOOKUP($D59,$C$5:$AT$510,14,)/VLOOKUP($D59,$C$5:$AT$510,3,))*$E59)</f>
        <v>950.79588965507423</v>
      </c>
      <c r="Q59" s="119">
        <f>IF(VLOOKUP($D59,$C$5:$AT$510,3,)=0,0,(VLOOKUP($D59,$C$5:$AT$510,15,)/VLOOKUP($D59,$C$5:$AT$510,3,))*$E59)</f>
        <v>0</v>
      </c>
      <c r="R59" s="119">
        <f>IF(VLOOKUP($D59,$C$5:$AT$510,3,)=0,0,(VLOOKUP($D59,$C$5:$AT$510,16,)/VLOOKUP($D59,$C$5:$AT$510,3,))*$E59)</f>
        <v>0</v>
      </c>
      <c r="S59" s="119">
        <f>IF(VLOOKUP($D59,$C$5:$AT$510,3,)=0,0,(VLOOKUP($D59,$C$5:$AT$510,17,)/VLOOKUP($D59,$C$5:$AT$510,3,))*$E59)</f>
        <v>0</v>
      </c>
      <c r="T59" s="119">
        <f>IF(VLOOKUP($D59,$C$5:$AT$510,3,)=0,0,(VLOOKUP($D59,$C$5:$AT$510,18,)/VLOOKUP($D59,$C$5:$AT$510,3,))*$E59)</f>
        <v>0</v>
      </c>
      <c r="U59" s="119">
        <f>IF(VLOOKUP($D59,$C$5:$AT$510,3,)=0,0,(VLOOKUP($D59,$C$5:$AT$510,19,)/VLOOKUP($D59,$C$5:$AT$510,3,))*$E59)</f>
        <v>0</v>
      </c>
      <c r="V59" s="119">
        <f>IF(VLOOKUP($D59,$C$5:$AT$510,3,)=0,0,(VLOOKUP($D59,$C$5:$AT$510,20,)/VLOOKUP($D59,$C$5:$AT$510,3,))*$E59)</f>
        <v>0</v>
      </c>
      <c r="W59" s="119">
        <f>IF(VLOOKUP($D59,$C$5:$AT$510,3,)=0,0,(VLOOKUP($D59,$C$5:$AT$510,21,)/VLOOKUP($D59,$C$5:$AT$510,3,))*$E59)</f>
        <v>0</v>
      </c>
      <c r="X59" s="119">
        <f>IF(VLOOKUP($D59,$C$5:$AT$510,3,)=0,0,(VLOOKUP($D59,$C$5:$AT$510,22,)/VLOOKUP($D59,$C$5:$AT$510,3,))*$E59)</f>
        <v>0</v>
      </c>
      <c r="Y59" s="119">
        <f>IF(VLOOKUP($D59,$C$5:$AT$510,3,)=0,0,(VLOOKUP($D59,$C$5:$AT$510,23,)/VLOOKUP($D59,$C$5:$AT$510,3,))*$E59)</f>
        <v>0</v>
      </c>
      <c r="Z59" s="119">
        <f>IF(VLOOKUP($D59,$C$5:$AT$510,3,)=0,0,(VLOOKUP($D59,$C$5:$AT$510,24,)/VLOOKUP($D59,$C$5:$AT$510,3,))*$E59)</f>
        <v>0</v>
      </c>
      <c r="AA59" s="119">
        <f>IF(VLOOKUP($D59,$C$5:$AT$510,3,)=0,0,(VLOOKUP($D59,$C$5:$AT$510,25,)/VLOOKUP($D59,$C$5:$AT$510,3,))*$E59)</f>
        <v>0</v>
      </c>
      <c r="AB59" s="119">
        <f>IF(VLOOKUP($D59,$C$5:$AT$510,3,)=0,0,(VLOOKUP($D59,$C$5:$AT$510,26,)/VLOOKUP($D59,$C$5:$AT$510,3,))*$E59)</f>
        <v>0</v>
      </c>
      <c r="AC59" s="119">
        <f>IF(VLOOKUP($D59,$C$5:$AT$510,3,)=0,0,(VLOOKUP($D59,$C$5:$AT$510,27,)/VLOOKUP($D59,$C$5:$AT$510,3,))*$E59)</f>
        <v>0</v>
      </c>
      <c r="AD59" s="119">
        <f>IF(VLOOKUP($D59,$C$5:$AT$510,3,)=0,0,(VLOOKUP($D59,$C$5:$AT$510,28,)/VLOOKUP($D59,$C$5:$AT$510,3,))*$E59)</f>
        <v>0</v>
      </c>
      <c r="AE59" s="119">
        <f>IF(VLOOKUP($D59,$C$5:$AT$510,3,)=0,0,(VLOOKUP($D59,$C$5:$AT$510,29,)/VLOOKUP($D59,$C$5:$AT$510,3,))*$E59)</f>
        <v>0</v>
      </c>
      <c r="AF59" s="119">
        <f>IF(VLOOKUP($D59,$C$5:$AT$510,3,)=0,0,(VLOOKUP($D59,$C$5:$AT$510,30,)/VLOOKUP($D59,$C$5:$AT$510,3,))*$E59)</f>
        <v>0</v>
      </c>
      <c r="AG59" s="120">
        <f>SUM(F59:AF59)</f>
        <v>18429308.959553447</v>
      </c>
      <c r="AH59" s="103" t="str">
        <f>IF(ABS(E59-AG59)&lt;0.01,"ok","err")</f>
        <v>ok</v>
      </c>
    </row>
    <row r="60" spans="1:34" x14ac:dyDescent="0.25">
      <c r="A60" s="102" t="s">
        <v>224</v>
      </c>
      <c r="E60" s="119">
        <f t="shared" ref="E60:T60" si="10">E58+E59</f>
        <v>64370807.396556951</v>
      </c>
      <c r="F60" s="119">
        <f t="shared" si="10"/>
        <v>50612738.618519522</v>
      </c>
      <c r="G60" s="119">
        <f t="shared" si="10"/>
        <v>135113.61369409127</v>
      </c>
      <c r="H60" s="119">
        <f t="shared" si="10"/>
        <v>2176648.2911668755</v>
      </c>
      <c r="I60" s="119">
        <f t="shared" si="10"/>
        <v>4788327.8571907859</v>
      </c>
      <c r="J60" s="119">
        <f t="shared" si="10"/>
        <v>835686.86025883351</v>
      </c>
      <c r="K60" s="119">
        <f t="shared" si="10"/>
        <v>261895.91534830708</v>
      </c>
      <c r="L60" s="119">
        <f t="shared" si="10"/>
        <v>1182556.6643430612</v>
      </c>
      <c r="M60" s="119">
        <f t="shared" si="10"/>
        <v>4332411.292973551</v>
      </c>
      <c r="N60" s="119">
        <f t="shared" si="10"/>
        <v>38327.655427606282</v>
      </c>
      <c r="O60" s="119">
        <f t="shared" si="10"/>
        <v>0</v>
      </c>
      <c r="P60" s="119">
        <f t="shared" si="10"/>
        <v>7100.627634321133</v>
      </c>
      <c r="Q60" s="119">
        <f t="shared" si="10"/>
        <v>0</v>
      </c>
      <c r="R60" s="119">
        <f t="shared" si="10"/>
        <v>0</v>
      </c>
      <c r="S60" s="119">
        <f t="shared" si="10"/>
        <v>0</v>
      </c>
      <c r="T60" s="119">
        <f t="shared" si="10"/>
        <v>0</v>
      </c>
      <c r="U60" s="119">
        <f t="shared" ref="U60:AF60" si="11">U58+U59</f>
        <v>0</v>
      </c>
      <c r="V60" s="119">
        <f t="shared" si="11"/>
        <v>0</v>
      </c>
      <c r="W60" s="119">
        <f t="shared" si="11"/>
        <v>0</v>
      </c>
      <c r="X60" s="119">
        <f t="shared" si="11"/>
        <v>0</v>
      </c>
      <c r="Y60" s="119">
        <f t="shared" si="11"/>
        <v>0</v>
      </c>
      <c r="Z60" s="119">
        <f t="shared" si="11"/>
        <v>0</v>
      </c>
      <c r="AA60" s="119">
        <f t="shared" si="11"/>
        <v>0</v>
      </c>
      <c r="AB60" s="119">
        <f t="shared" si="11"/>
        <v>0</v>
      </c>
      <c r="AC60" s="119">
        <f t="shared" si="11"/>
        <v>0</v>
      </c>
      <c r="AD60" s="119">
        <f t="shared" si="11"/>
        <v>0</v>
      </c>
      <c r="AE60" s="119">
        <f t="shared" si="11"/>
        <v>0</v>
      </c>
      <c r="AF60" s="119">
        <f t="shared" si="11"/>
        <v>0</v>
      </c>
      <c r="AG60" s="120">
        <f>SUM(F60:AF60)</f>
        <v>64370807.396556951</v>
      </c>
      <c r="AH60" s="103" t="str">
        <f>IF(ABS(E60-AG60)&lt;0.01,"ok","err")</f>
        <v>ok</v>
      </c>
    </row>
    <row r="61" spans="1:34" x14ac:dyDescent="0.25">
      <c r="E61" s="110"/>
    </row>
    <row r="62" spans="1:34" x14ac:dyDescent="0.25">
      <c r="A62" s="132" t="s">
        <v>3</v>
      </c>
      <c r="E62" s="110"/>
    </row>
    <row r="63" spans="1:34" x14ac:dyDescent="0.25">
      <c r="A63" s="133" t="s">
        <v>209</v>
      </c>
      <c r="C63" s="102" t="s">
        <v>243</v>
      </c>
      <c r="D63" s="102" t="s">
        <v>617</v>
      </c>
      <c r="E63" s="119">
        <f>'Func &amp; Classif'!R126</f>
        <v>0</v>
      </c>
      <c r="F63" s="119">
        <f>IF(VLOOKUP($D63,$C$5:$AT$510,3,)=0,0,(VLOOKUP($D63,$C$5:$AT$510,4,)/VLOOKUP($D63,$C$5:$AT$510,3,))*$E63)</f>
        <v>0</v>
      </c>
      <c r="G63" s="119">
        <f>IF(VLOOKUP($D63,$C$5:$AT$510,3,)=0,0,(VLOOKUP($D63,$C$5:$AT$510,5,)/VLOOKUP($D63,$C$5:$AT$510,3,))*$E63)</f>
        <v>0</v>
      </c>
      <c r="H63" s="119">
        <f>IF(VLOOKUP($D63,$C$5:$AT$510,3,)=0,0,(VLOOKUP($D63,$C$5:$AT$510,6,)/VLOOKUP($D63,$C$5:$AT$510,3,))*$E63)</f>
        <v>0</v>
      </c>
      <c r="I63" s="119">
        <f>IF(VLOOKUP($D63,$C$5:$AT$510,3,)=0,0,(VLOOKUP($D63,$C$5:$AT$510,7,)/VLOOKUP($D63,$C$5:$AT$510,3,))*$E63)</f>
        <v>0</v>
      </c>
      <c r="J63" s="119">
        <f>IF(VLOOKUP($D63,$C$5:$AT$510,3,)=0,0,(VLOOKUP($D63,$C$5:$AT$510,8,)/VLOOKUP($D63,$C$5:$AT$510,3,))*$E63)</f>
        <v>0</v>
      </c>
      <c r="K63" s="119">
        <f>IF(VLOOKUP($D63,$C$5:$AT$510,3,)=0,0,(VLOOKUP($D63,$C$5:$AT$510,9,)/VLOOKUP($D63,$C$5:$AT$510,3,))*$E63)</f>
        <v>0</v>
      </c>
      <c r="L63" s="119">
        <f>IF(VLOOKUP($D63,$C$5:$AT$510,3,)=0,0,(VLOOKUP($D63,$C$5:$AT$510,10,)/VLOOKUP($D63,$C$5:$AT$510,3,))*$E63)</f>
        <v>0</v>
      </c>
      <c r="M63" s="119">
        <f>IF(VLOOKUP($D63,$C$5:$AT$510,3,)=0,0,(VLOOKUP($D63,$C$5:$AT$510,11,)/VLOOKUP($D63,$C$5:$AT$510,3,))*$E63)</f>
        <v>0</v>
      </c>
      <c r="N63" s="119">
        <f>IF(VLOOKUP($D63,$C$5:$AT$510,3,)=0,0,(VLOOKUP($D63,$C$5:$AT$510,12,)/VLOOKUP($D63,$C$5:$AT$510,3,))*$E63)</f>
        <v>0</v>
      </c>
      <c r="O63" s="119">
        <f>IF(VLOOKUP($D63,$C$5:$AT$510,3,)=0,0,(VLOOKUP($D63,$C$5:$AT$510,13,)/VLOOKUP($D63,$C$5:$AT$510,3,))*$E63)</f>
        <v>0</v>
      </c>
      <c r="P63" s="119">
        <f>IF(VLOOKUP($D63,$C$5:$AT$510,3,)=0,0,(VLOOKUP($D63,$C$5:$AT$510,14,)/VLOOKUP($D63,$C$5:$AT$510,3,))*$E63)</f>
        <v>0</v>
      </c>
      <c r="Q63" s="119">
        <f>IF(VLOOKUP($D63,$C$5:$AT$510,3,)=0,0,(VLOOKUP($D63,$C$5:$AT$510,15,)/VLOOKUP($D63,$C$5:$AT$510,3,))*$E63)</f>
        <v>0</v>
      </c>
      <c r="R63" s="119">
        <f>IF(VLOOKUP($D63,$C$5:$AT$510,3,)=0,0,(VLOOKUP($D63,$C$5:$AT$510,16,)/VLOOKUP($D63,$C$5:$AT$510,3,))*$E63)</f>
        <v>0</v>
      </c>
      <c r="S63" s="119">
        <f>IF(VLOOKUP($D63,$C$5:$AT$510,3,)=0,0,(VLOOKUP($D63,$C$5:$AT$510,17,)/VLOOKUP($D63,$C$5:$AT$510,3,))*$E63)</f>
        <v>0</v>
      </c>
      <c r="T63" s="119">
        <f>IF(VLOOKUP($D63,$C$5:$AT$510,3,)=0,0,(VLOOKUP($D63,$C$5:$AT$510,18,)/VLOOKUP($D63,$C$5:$AT$510,3,))*$E63)</f>
        <v>0</v>
      </c>
      <c r="U63" s="119">
        <f>IF(VLOOKUP($D63,$C$5:$AT$510,3,)=0,0,(VLOOKUP($D63,$C$5:$AT$510,19,)/VLOOKUP($D63,$C$5:$AT$510,3,))*$E63)</f>
        <v>0</v>
      </c>
      <c r="V63" s="119">
        <f>IF(VLOOKUP($D63,$C$5:$AT$510,3,)=0,0,(VLOOKUP($D63,$C$5:$AT$510,20,)/VLOOKUP($D63,$C$5:$AT$510,3,))*$E63)</f>
        <v>0</v>
      </c>
      <c r="W63" s="119">
        <f>IF(VLOOKUP($D63,$C$5:$AT$510,3,)=0,0,(VLOOKUP($D63,$C$5:$AT$510,21,)/VLOOKUP($D63,$C$5:$AT$510,3,))*$E63)</f>
        <v>0</v>
      </c>
      <c r="X63" s="119">
        <f>IF(VLOOKUP($D63,$C$5:$AT$510,3,)=0,0,(VLOOKUP($D63,$C$5:$AT$510,22,)/VLOOKUP($D63,$C$5:$AT$510,3,))*$E63)</f>
        <v>0</v>
      </c>
      <c r="Y63" s="119">
        <f>IF(VLOOKUP($D63,$C$5:$AT$510,3,)=0,0,(VLOOKUP($D63,$C$5:$AT$510,23,)/VLOOKUP($D63,$C$5:$AT$510,3,))*$E63)</f>
        <v>0</v>
      </c>
      <c r="Z63" s="119">
        <f>IF(VLOOKUP($D63,$C$5:$AT$510,3,)=0,0,(VLOOKUP($D63,$C$5:$AT$510,24,)/VLOOKUP($D63,$C$5:$AT$510,3,))*$E63)</f>
        <v>0</v>
      </c>
      <c r="AA63" s="119">
        <f>IF(VLOOKUP($D63,$C$5:$AT$510,3,)=0,0,(VLOOKUP($D63,$C$5:$AT$510,25,)/VLOOKUP($D63,$C$5:$AT$510,3,))*$E63)</f>
        <v>0</v>
      </c>
      <c r="AB63" s="119">
        <f>IF(VLOOKUP($D63,$C$5:$AT$510,3,)=0,0,(VLOOKUP($D63,$C$5:$AT$510,26,)/VLOOKUP($D63,$C$5:$AT$510,3,))*$E63)</f>
        <v>0</v>
      </c>
      <c r="AC63" s="119">
        <f>IF(VLOOKUP($D63,$C$5:$AT$510,3,)=0,0,(VLOOKUP($D63,$C$5:$AT$510,27,)/VLOOKUP($D63,$C$5:$AT$510,3,))*$E63)</f>
        <v>0</v>
      </c>
      <c r="AD63" s="119">
        <f>IF(VLOOKUP($D63,$C$5:$AT$510,3,)=0,0,(VLOOKUP($D63,$C$5:$AT$510,28,)/VLOOKUP($D63,$C$5:$AT$510,3,))*$E63)</f>
        <v>0</v>
      </c>
      <c r="AE63" s="119">
        <f>IF(VLOOKUP($D63,$C$5:$AT$510,3,)=0,0,(VLOOKUP($D63,$C$5:$AT$510,29,)/VLOOKUP($D63,$C$5:$AT$510,3,))*$E63)</f>
        <v>0</v>
      </c>
      <c r="AF63" s="119">
        <f>IF(VLOOKUP($D63,$C$5:$AT$510,3,)=0,0,(VLOOKUP($D63,$C$5:$AT$510,30,)/VLOOKUP($D63,$C$5:$AT$510,3,))*$E63)</f>
        <v>0</v>
      </c>
      <c r="AG63" s="120">
        <f>SUM(F63:AF63)</f>
        <v>0</v>
      </c>
      <c r="AH63" s="103" t="str">
        <f>IF(ABS(E63-AG63)&lt;0.01,"ok","err")</f>
        <v>ok</v>
      </c>
    </row>
    <row r="64" spans="1:34" x14ac:dyDescent="0.25">
      <c r="A64" s="133" t="s">
        <v>221</v>
      </c>
      <c r="C64" s="102" t="s">
        <v>244</v>
      </c>
      <c r="D64" s="102" t="s">
        <v>698</v>
      </c>
      <c r="E64" s="110">
        <f>'Func &amp; Classif'!S126</f>
        <v>5684574.1652832013</v>
      </c>
      <c r="F64" s="119">
        <f>IF(VLOOKUP($D64,$C$5:$AT$510,3,)=0,0,(VLOOKUP($D64,$C$5:$AT$510,4,)/VLOOKUP($D64,$C$5:$AT$510,3,))*$E64)</f>
        <v>5352443.1580868047</v>
      </c>
      <c r="G64" s="119">
        <f>IF(VLOOKUP($D64,$C$5:$AT$510,3,)=0,0,(VLOOKUP($D64,$C$5:$AT$510,5,)/VLOOKUP($D64,$C$5:$AT$510,3,))*$E64)</f>
        <v>11354.072084786087</v>
      </c>
      <c r="H64" s="119">
        <f>IF(VLOOKUP($D64,$C$5:$AT$510,3,)=0,0,(VLOOKUP($D64,$C$5:$AT$510,6,)/VLOOKUP($D64,$C$5:$AT$510,3,))*$E64)</f>
        <v>116434.89608515927</v>
      </c>
      <c r="I64" s="119">
        <f>IF(VLOOKUP($D64,$C$5:$AT$510,3,)=0,0,(VLOOKUP($D64,$C$5:$AT$510,7,)/VLOOKUP($D64,$C$5:$AT$510,3,))*$E64)</f>
        <v>13580.36072886179</v>
      </c>
      <c r="J64" s="119">
        <f>IF(VLOOKUP($D64,$C$5:$AT$510,3,)=0,0,(VLOOKUP($D64,$C$5:$AT$510,8,)/VLOOKUP($D64,$C$5:$AT$510,3,))*$E64)</f>
        <v>5120.4638813741167</v>
      </c>
      <c r="K64" s="119">
        <f>IF(VLOOKUP($D64,$C$5:$AT$510,3,)=0,0,(VLOOKUP($D64,$C$5:$AT$510,9,)/VLOOKUP($D64,$C$5:$AT$510,3,))*$E64)</f>
        <v>69460.205695161931</v>
      </c>
      <c r="L64" s="119">
        <f>IF(VLOOKUP($D64,$C$5:$AT$510,3,)=0,0,(VLOOKUP($D64,$C$5:$AT$510,10,)/VLOOKUP($D64,$C$5:$AT$510,3,))*$E64)</f>
        <v>57986.828661368272</v>
      </c>
      <c r="M64" s="119">
        <f>IF(VLOOKUP($D64,$C$5:$AT$510,3,)=0,0,(VLOOKUP($D64,$C$5:$AT$510,11,)/VLOOKUP($D64,$C$5:$AT$510,3,))*$E64)</f>
        <v>57089.227273742181</v>
      </c>
      <c r="N64" s="119">
        <f>IF(VLOOKUP($D64,$C$5:$AT$510,3,)=0,0,(VLOOKUP($D64,$C$5:$AT$510,12,)/VLOOKUP($D64,$C$5:$AT$510,3,))*$E64)</f>
        <v>1104.952785943397</v>
      </c>
      <c r="O64" s="119">
        <f>IF(VLOOKUP($D64,$C$5:$AT$510,3,)=0,0,(VLOOKUP($D64,$C$5:$AT$510,13,)/VLOOKUP($D64,$C$5:$AT$510,3,))*$E64)</f>
        <v>0</v>
      </c>
      <c r="P64" s="119">
        <f>IF(VLOOKUP($D64,$C$5:$AT$510,3,)=0,0,(VLOOKUP($D64,$C$5:$AT$510,14,)/VLOOKUP($D64,$C$5:$AT$510,3,))*$E64)</f>
        <v>0</v>
      </c>
      <c r="Q64" s="119">
        <f>IF(VLOOKUP($D64,$C$5:$AT$510,3,)=0,0,(VLOOKUP($D64,$C$5:$AT$510,15,)/VLOOKUP($D64,$C$5:$AT$510,3,))*$E64)</f>
        <v>0</v>
      </c>
      <c r="R64" s="119">
        <f>IF(VLOOKUP($D64,$C$5:$AT$510,3,)=0,0,(VLOOKUP($D64,$C$5:$AT$510,16,)/VLOOKUP($D64,$C$5:$AT$510,3,))*$E64)</f>
        <v>0</v>
      </c>
      <c r="S64" s="119">
        <f>IF(VLOOKUP($D64,$C$5:$AT$510,3,)=0,0,(VLOOKUP($D64,$C$5:$AT$510,17,)/VLOOKUP($D64,$C$5:$AT$510,3,))*$E64)</f>
        <v>0</v>
      </c>
      <c r="T64" s="119">
        <f>IF(VLOOKUP($D64,$C$5:$AT$510,3,)=0,0,(VLOOKUP($D64,$C$5:$AT$510,18,)/VLOOKUP($D64,$C$5:$AT$510,3,))*$E64)</f>
        <v>0</v>
      </c>
      <c r="U64" s="119">
        <f>IF(VLOOKUP($D64,$C$5:$AT$510,3,)=0,0,(VLOOKUP($D64,$C$5:$AT$510,19,)/VLOOKUP($D64,$C$5:$AT$510,3,))*$E64)</f>
        <v>0</v>
      </c>
      <c r="V64" s="119">
        <f>IF(VLOOKUP($D64,$C$5:$AT$510,3,)=0,0,(VLOOKUP($D64,$C$5:$AT$510,20,)/VLOOKUP($D64,$C$5:$AT$510,3,))*$E64)</f>
        <v>0</v>
      </c>
      <c r="W64" s="119">
        <f>IF(VLOOKUP($D64,$C$5:$AT$510,3,)=0,0,(VLOOKUP($D64,$C$5:$AT$510,21,)/VLOOKUP($D64,$C$5:$AT$510,3,))*$E64)</f>
        <v>0</v>
      </c>
      <c r="X64" s="119">
        <f>IF(VLOOKUP($D64,$C$5:$AT$510,3,)=0,0,(VLOOKUP($D64,$C$5:$AT$510,22,)/VLOOKUP($D64,$C$5:$AT$510,3,))*$E64)</f>
        <v>0</v>
      </c>
      <c r="Y64" s="119">
        <f>IF(VLOOKUP($D64,$C$5:$AT$510,3,)=0,0,(VLOOKUP($D64,$C$5:$AT$510,23,)/VLOOKUP($D64,$C$5:$AT$510,3,))*$E64)</f>
        <v>0</v>
      </c>
      <c r="Z64" s="119">
        <f>IF(VLOOKUP($D64,$C$5:$AT$510,3,)=0,0,(VLOOKUP($D64,$C$5:$AT$510,24,)/VLOOKUP($D64,$C$5:$AT$510,3,))*$E64)</f>
        <v>0</v>
      </c>
      <c r="AA64" s="119">
        <f>IF(VLOOKUP($D64,$C$5:$AT$510,3,)=0,0,(VLOOKUP($D64,$C$5:$AT$510,25,)/VLOOKUP($D64,$C$5:$AT$510,3,))*$E64)</f>
        <v>0</v>
      </c>
      <c r="AB64" s="119">
        <f>IF(VLOOKUP($D64,$C$5:$AT$510,3,)=0,0,(VLOOKUP($D64,$C$5:$AT$510,26,)/VLOOKUP($D64,$C$5:$AT$510,3,))*$E64)</f>
        <v>0</v>
      </c>
      <c r="AC64" s="119">
        <f>IF(VLOOKUP($D64,$C$5:$AT$510,3,)=0,0,(VLOOKUP($D64,$C$5:$AT$510,27,)/VLOOKUP($D64,$C$5:$AT$510,3,))*$E64)</f>
        <v>0</v>
      </c>
      <c r="AD64" s="119">
        <f>IF(VLOOKUP($D64,$C$5:$AT$510,3,)=0,0,(VLOOKUP($D64,$C$5:$AT$510,28,)/VLOOKUP($D64,$C$5:$AT$510,3,))*$E64)</f>
        <v>0</v>
      </c>
      <c r="AE64" s="119">
        <f>IF(VLOOKUP($D64,$C$5:$AT$510,3,)=0,0,(VLOOKUP($D64,$C$5:$AT$510,29,)/VLOOKUP($D64,$C$5:$AT$510,3,))*$E64)</f>
        <v>0</v>
      </c>
      <c r="AF64" s="119">
        <f>IF(VLOOKUP($D64,$C$5:$AT$510,3,)=0,0,(VLOOKUP($D64,$C$5:$AT$510,30,)/VLOOKUP($D64,$C$5:$AT$510,3,))*$E64)</f>
        <v>0</v>
      </c>
      <c r="AG64" s="120">
        <f>SUM(F64:AF64)</f>
        <v>5684574.1652832013</v>
      </c>
      <c r="AH64" s="103" t="str">
        <f>IF(ABS(E64-AG64)&lt;0.01,"ok","err")</f>
        <v>ok</v>
      </c>
    </row>
    <row r="65" spans="1:34" x14ac:dyDescent="0.25">
      <c r="A65" s="102" t="s">
        <v>228</v>
      </c>
      <c r="E65" s="119">
        <f t="shared" ref="E65:T65" si="12">E63+E64</f>
        <v>5684574.1652832013</v>
      </c>
      <c r="F65" s="119">
        <f t="shared" si="12"/>
        <v>5352443.1580868047</v>
      </c>
      <c r="G65" s="119">
        <f t="shared" si="12"/>
        <v>11354.072084786087</v>
      </c>
      <c r="H65" s="119">
        <f t="shared" si="12"/>
        <v>116434.89608515927</v>
      </c>
      <c r="I65" s="119">
        <f t="shared" si="12"/>
        <v>13580.36072886179</v>
      </c>
      <c r="J65" s="119">
        <f t="shared" si="12"/>
        <v>5120.4638813741167</v>
      </c>
      <c r="K65" s="119">
        <f t="shared" si="12"/>
        <v>69460.205695161931</v>
      </c>
      <c r="L65" s="119">
        <f t="shared" si="12"/>
        <v>57986.828661368272</v>
      </c>
      <c r="M65" s="119">
        <f t="shared" si="12"/>
        <v>57089.227273742181</v>
      </c>
      <c r="N65" s="119">
        <f t="shared" si="12"/>
        <v>1104.952785943397</v>
      </c>
      <c r="O65" s="119">
        <f t="shared" si="12"/>
        <v>0</v>
      </c>
      <c r="P65" s="119">
        <f t="shared" si="12"/>
        <v>0</v>
      </c>
      <c r="Q65" s="119">
        <f t="shared" si="12"/>
        <v>0</v>
      </c>
      <c r="R65" s="119">
        <f t="shared" si="12"/>
        <v>0</v>
      </c>
      <c r="S65" s="119">
        <f t="shared" si="12"/>
        <v>0</v>
      </c>
      <c r="T65" s="119">
        <f t="shared" si="12"/>
        <v>0</v>
      </c>
      <c r="U65" s="119">
        <f t="shared" ref="U65:AF65" si="13">U63+U64</f>
        <v>0</v>
      </c>
      <c r="V65" s="119">
        <f t="shared" si="13"/>
        <v>0</v>
      </c>
      <c r="W65" s="119">
        <f t="shared" si="13"/>
        <v>0</v>
      </c>
      <c r="X65" s="119">
        <f t="shared" si="13"/>
        <v>0</v>
      </c>
      <c r="Y65" s="119">
        <f t="shared" si="13"/>
        <v>0</v>
      </c>
      <c r="Z65" s="119">
        <f t="shared" si="13"/>
        <v>0</v>
      </c>
      <c r="AA65" s="119">
        <f t="shared" si="13"/>
        <v>0</v>
      </c>
      <c r="AB65" s="119">
        <f t="shared" si="13"/>
        <v>0</v>
      </c>
      <c r="AC65" s="119">
        <f t="shared" si="13"/>
        <v>0</v>
      </c>
      <c r="AD65" s="119">
        <f t="shared" si="13"/>
        <v>0</v>
      </c>
      <c r="AE65" s="119">
        <f t="shared" si="13"/>
        <v>0</v>
      </c>
      <c r="AF65" s="119">
        <f t="shared" si="13"/>
        <v>0</v>
      </c>
      <c r="AG65" s="120">
        <f>SUM(F65:AF65)</f>
        <v>5684574.1652832013</v>
      </c>
      <c r="AH65" s="103" t="str">
        <f>IF(ABS(E65-AG65)&lt;0.01,"ok","err")</f>
        <v>ok</v>
      </c>
    </row>
    <row r="66" spans="1:34" x14ac:dyDescent="0.25">
      <c r="E66" s="110"/>
    </row>
    <row r="67" spans="1:34" x14ac:dyDescent="0.25">
      <c r="A67" s="132" t="s">
        <v>4</v>
      </c>
      <c r="E67" s="110"/>
    </row>
    <row r="68" spans="1:34" x14ac:dyDescent="0.25">
      <c r="A68" s="133" t="s">
        <v>221</v>
      </c>
      <c r="C68" s="102" t="s">
        <v>245</v>
      </c>
      <c r="D68" s="102" t="s">
        <v>230</v>
      </c>
      <c r="E68" s="119">
        <f>'Func &amp; Classif'!U126</f>
        <v>4457335.3095771875</v>
      </c>
      <c r="F68" s="119">
        <f>IF(VLOOKUP($D68,$C$5:$AT$510,3,)=0,0,(VLOOKUP($D68,$C$5:$AT$510,4,)/VLOOKUP($D68,$C$5:$AT$510,3,))*$E68)</f>
        <v>4018954.7984817633</v>
      </c>
      <c r="G68" s="119">
        <f>IF(VLOOKUP($D68,$C$5:$AT$510,3,)=0,0,(VLOOKUP($D68,$C$5:$AT$510,5,)/VLOOKUP($D68,$C$5:$AT$510,3,))*$E68)</f>
        <v>8525.3595675305678</v>
      </c>
      <c r="H68" s="119">
        <f>IF(VLOOKUP($D68,$C$5:$AT$510,3,)=0,0,(VLOOKUP($D68,$C$5:$AT$510,6,)/VLOOKUP($D68,$C$5:$AT$510,3,))*$E68)</f>
        <v>87426.726545460537</v>
      </c>
      <c r="I68" s="119">
        <f>IF(VLOOKUP($D68,$C$5:$AT$510,3,)=0,0,(VLOOKUP($D68,$C$5:$AT$510,7,)/VLOOKUP($D68,$C$5:$AT$510,3,))*$E68)</f>
        <v>10196.998698418915</v>
      </c>
      <c r="J68" s="119">
        <f>IF(VLOOKUP($D68,$C$5:$AT$510,3,)=0,0,(VLOOKUP($D68,$C$5:$AT$510,8,)/VLOOKUP($D68,$C$5:$AT$510,3,))*$E68)</f>
        <v>3844.7700010431977</v>
      </c>
      <c r="K68" s="119">
        <f>IF(VLOOKUP($D68,$C$5:$AT$510,3,)=0,0,(VLOOKUP($D68,$C$5:$AT$510,9,)/VLOOKUP($D68,$C$5:$AT$510,3,))*$E68)</f>
        <v>52155.14088371642</v>
      </c>
      <c r="L68" s="119">
        <f>IF(VLOOKUP($D68,$C$5:$AT$510,3,)=0,0,(VLOOKUP($D68,$C$5:$AT$510,10,)/VLOOKUP($D68,$C$5:$AT$510,3,))*$E68)</f>
        <v>167120.06681654908</v>
      </c>
      <c r="M68" s="119">
        <f>IF(VLOOKUP($D68,$C$5:$AT$510,3,)=0,0,(VLOOKUP($D68,$C$5:$AT$510,11,)/VLOOKUP($D68,$C$5:$AT$510,3,))*$E68)</f>
        <v>107039.71221721118</v>
      </c>
      <c r="N68" s="119">
        <f>IF(VLOOKUP($D68,$C$5:$AT$510,3,)=0,0,(VLOOKUP($D68,$C$5:$AT$510,12,)/VLOOKUP($D68,$C$5:$AT$510,3,))*$E68)</f>
        <v>2071.7363654944102</v>
      </c>
      <c r="O68" s="119">
        <f>IF(VLOOKUP($D68,$C$5:$AT$510,3,)=0,0,(VLOOKUP($D68,$C$5:$AT$510,13,)/VLOOKUP($D68,$C$5:$AT$510,3,))*$E68)</f>
        <v>0</v>
      </c>
      <c r="P68" s="119">
        <f>IF(VLOOKUP($D68,$C$5:$AT$510,3,)=0,0,(VLOOKUP($D68,$C$5:$AT$510,14,)/VLOOKUP($D68,$C$5:$AT$510,3,))*$E68)</f>
        <v>0</v>
      </c>
      <c r="Q68" s="119">
        <f>IF(VLOOKUP($D68,$C$5:$AT$510,3,)=0,0,(VLOOKUP($D68,$C$5:$AT$510,15,)/VLOOKUP($D68,$C$5:$AT$510,3,))*$E68)</f>
        <v>0</v>
      </c>
      <c r="R68" s="119">
        <f>IF(VLOOKUP($D68,$C$5:$AT$510,3,)=0,0,(VLOOKUP($D68,$C$5:$AT$510,16,)/VLOOKUP($D68,$C$5:$AT$510,3,))*$E68)</f>
        <v>0</v>
      </c>
      <c r="S68" s="119">
        <f>IF(VLOOKUP($D68,$C$5:$AT$510,3,)=0,0,(VLOOKUP($D68,$C$5:$AT$510,17,)/VLOOKUP($D68,$C$5:$AT$510,3,))*$E68)</f>
        <v>0</v>
      </c>
      <c r="T68" s="119">
        <f>IF(VLOOKUP($D68,$C$5:$AT$510,3,)=0,0,(VLOOKUP($D68,$C$5:$AT$510,18,)/VLOOKUP($D68,$C$5:$AT$510,3,))*$E68)</f>
        <v>0</v>
      </c>
      <c r="U68" s="119">
        <f>IF(VLOOKUP($D68,$C$5:$AT$510,3,)=0,0,(VLOOKUP($D68,$C$5:$AT$510,19,)/VLOOKUP($D68,$C$5:$AT$510,3,))*$E68)</f>
        <v>0</v>
      </c>
      <c r="V68" s="119">
        <f>IF(VLOOKUP($D68,$C$5:$AT$510,3,)=0,0,(VLOOKUP($D68,$C$5:$AT$510,20,)/VLOOKUP($D68,$C$5:$AT$510,3,))*$E68)</f>
        <v>0</v>
      </c>
      <c r="W68" s="119">
        <f>IF(VLOOKUP($D68,$C$5:$AT$510,3,)=0,0,(VLOOKUP($D68,$C$5:$AT$510,21,)/VLOOKUP($D68,$C$5:$AT$510,3,))*$E68)</f>
        <v>0</v>
      </c>
      <c r="X68" s="119">
        <f>IF(VLOOKUP($D68,$C$5:$AT$510,3,)=0,0,(VLOOKUP($D68,$C$5:$AT$510,22,)/VLOOKUP($D68,$C$5:$AT$510,3,))*$E68)</f>
        <v>0</v>
      </c>
      <c r="Y68" s="119">
        <f>IF(VLOOKUP($D68,$C$5:$AT$510,3,)=0,0,(VLOOKUP($D68,$C$5:$AT$510,23,)/VLOOKUP($D68,$C$5:$AT$510,3,))*$E68)</f>
        <v>0</v>
      </c>
      <c r="Z68" s="119">
        <f>IF(VLOOKUP($D68,$C$5:$AT$510,3,)=0,0,(VLOOKUP($D68,$C$5:$AT$510,24,)/VLOOKUP($D68,$C$5:$AT$510,3,))*$E68)</f>
        <v>0</v>
      </c>
      <c r="AA68" s="119">
        <f>IF(VLOOKUP($D68,$C$5:$AT$510,3,)=0,0,(VLOOKUP($D68,$C$5:$AT$510,25,)/VLOOKUP($D68,$C$5:$AT$510,3,))*$E68)</f>
        <v>0</v>
      </c>
      <c r="AB68" s="119">
        <f>IF(VLOOKUP($D68,$C$5:$AT$510,3,)=0,0,(VLOOKUP($D68,$C$5:$AT$510,26,)/VLOOKUP($D68,$C$5:$AT$510,3,))*$E68)</f>
        <v>0</v>
      </c>
      <c r="AC68" s="119">
        <f>IF(VLOOKUP($D68,$C$5:$AT$510,3,)=0,0,(VLOOKUP($D68,$C$5:$AT$510,27,)/VLOOKUP($D68,$C$5:$AT$510,3,))*$E68)</f>
        <v>0</v>
      </c>
      <c r="AD68" s="119">
        <f>IF(VLOOKUP($D68,$C$5:$AT$510,3,)=0,0,(VLOOKUP($D68,$C$5:$AT$510,28,)/VLOOKUP($D68,$C$5:$AT$510,3,))*$E68)</f>
        <v>0</v>
      </c>
      <c r="AE68" s="119">
        <f>IF(VLOOKUP($D68,$C$5:$AT$510,3,)=0,0,(VLOOKUP($D68,$C$5:$AT$510,29,)/VLOOKUP($D68,$C$5:$AT$510,3,))*$E68)</f>
        <v>0</v>
      </c>
      <c r="AF68" s="119">
        <f>IF(VLOOKUP($D68,$C$5:$AT$510,3,)=0,0,(VLOOKUP($D68,$C$5:$AT$510,30,)/VLOOKUP($D68,$C$5:$AT$510,3,))*$E68)</f>
        <v>0</v>
      </c>
      <c r="AG68" s="120">
        <f>SUM(F68:AF68)</f>
        <v>4457335.3095771866</v>
      </c>
      <c r="AH68" s="103" t="str">
        <f>IF(ABS(E68-AG68)&lt;0.01,"ok","err")</f>
        <v>ok</v>
      </c>
    </row>
    <row r="69" spans="1:34" x14ac:dyDescent="0.25">
      <c r="E69" s="110"/>
    </row>
    <row r="70" spans="1:34" x14ac:dyDescent="0.25">
      <c r="A70" s="132" t="s">
        <v>5</v>
      </c>
      <c r="E70" s="110"/>
    </row>
    <row r="71" spans="1:34" x14ac:dyDescent="0.25">
      <c r="A71" s="133" t="s">
        <v>221</v>
      </c>
      <c r="C71" s="102" t="s">
        <v>246</v>
      </c>
      <c r="D71" s="102" t="s">
        <v>232</v>
      </c>
      <c r="E71" s="119">
        <f>'Func &amp; Classif'!W126</f>
        <v>2553245.0985826585</v>
      </c>
      <c r="F71" s="119">
        <f>IF(VLOOKUP($D71,$C$5:$AT$510,3,)=0,0,(VLOOKUP($D71,$C$5:$AT$510,4,)/VLOOKUP($D71,$C$5:$AT$510,3,))*$E71)</f>
        <v>0</v>
      </c>
      <c r="G71" s="119">
        <f>IF(VLOOKUP($D71,$C$5:$AT$510,3,)=0,0,(VLOOKUP($D71,$C$5:$AT$510,5,)/VLOOKUP($D71,$C$5:$AT$510,3,))*$E71)</f>
        <v>0</v>
      </c>
      <c r="H71" s="119">
        <f>IF(VLOOKUP($D71,$C$5:$AT$510,3,)=0,0,(VLOOKUP($D71,$C$5:$AT$510,6,)/VLOOKUP($D71,$C$5:$AT$510,3,))*$E71)</f>
        <v>0</v>
      </c>
      <c r="I71" s="119">
        <f>IF(VLOOKUP($D71,$C$5:$AT$510,3,)=0,0,(VLOOKUP($D71,$C$5:$AT$510,7,)/VLOOKUP($D71,$C$5:$AT$510,3,))*$E71)</f>
        <v>0</v>
      </c>
      <c r="J71" s="119">
        <f>IF(VLOOKUP($D71,$C$5:$AT$510,3,)=0,0,(VLOOKUP($D71,$C$5:$AT$510,8,)/VLOOKUP($D71,$C$5:$AT$510,3,))*$E71)</f>
        <v>0</v>
      </c>
      <c r="K71" s="119">
        <f>IF(VLOOKUP($D71,$C$5:$AT$510,3,)=0,0,(VLOOKUP($D71,$C$5:$AT$510,9,)/VLOOKUP($D71,$C$5:$AT$510,3,))*$E71)</f>
        <v>0</v>
      </c>
      <c r="L71" s="119">
        <f>IF(VLOOKUP($D71,$C$5:$AT$510,3,)=0,0,(VLOOKUP($D71,$C$5:$AT$510,10,)/VLOOKUP($D71,$C$5:$AT$510,3,))*$E71)</f>
        <v>0</v>
      </c>
      <c r="M71" s="119">
        <f>IF(VLOOKUP($D71,$C$5:$AT$510,3,)=0,0,(VLOOKUP($D71,$C$5:$AT$510,11,)/VLOOKUP($D71,$C$5:$AT$510,3,))*$E71)</f>
        <v>0</v>
      </c>
      <c r="N71" s="119">
        <f>IF(VLOOKUP($D71,$C$5:$AT$510,3,)=0,0,(VLOOKUP($D71,$C$5:$AT$510,12,)/VLOOKUP($D71,$C$5:$AT$510,3,))*$E71)</f>
        <v>0</v>
      </c>
      <c r="O71" s="119">
        <f>IF(VLOOKUP($D71,$C$5:$AT$510,3,)=0,0,(VLOOKUP($D71,$C$5:$AT$510,13,)/VLOOKUP($D71,$C$5:$AT$510,3,))*$E71)</f>
        <v>0</v>
      </c>
      <c r="P71" s="119">
        <f>IF(VLOOKUP($D71,$C$5:$AT$510,3,)=0,0,(VLOOKUP($D71,$C$5:$AT$510,14,)/VLOOKUP($D71,$C$5:$AT$510,3,))*$E71)</f>
        <v>2553245.0985826585</v>
      </c>
      <c r="Q71" s="119">
        <f>IF(VLOOKUP($D71,$C$5:$AT$510,3,)=0,0,(VLOOKUP($D71,$C$5:$AT$510,15,)/VLOOKUP($D71,$C$5:$AT$510,3,))*$E71)</f>
        <v>0</v>
      </c>
      <c r="R71" s="119">
        <f>IF(VLOOKUP($D71,$C$5:$AT$510,3,)=0,0,(VLOOKUP($D71,$C$5:$AT$510,16,)/VLOOKUP($D71,$C$5:$AT$510,3,))*$E71)</f>
        <v>0</v>
      </c>
      <c r="S71" s="119">
        <f>IF(VLOOKUP($D71,$C$5:$AT$510,3,)=0,0,(VLOOKUP($D71,$C$5:$AT$510,17,)/VLOOKUP($D71,$C$5:$AT$510,3,))*$E71)</f>
        <v>0</v>
      </c>
      <c r="T71" s="119">
        <f>IF(VLOOKUP($D71,$C$5:$AT$510,3,)=0,0,(VLOOKUP($D71,$C$5:$AT$510,18,)/VLOOKUP($D71,$C$5:$AT$510,3,))*$E71)</f>
        <v>0</v>
      </c>
      <c r="U71" s="119">
        <f>IF(VLOOKUP($D71,$C$5:$AT$510,3,)=0,0,(VLOOKUP($D71,$C$5:$AT$510,19,)/VLOOKUP($D71,$C$5:$AT$510,3,))*$E71)</f>
        <v>0</v>
      </c>
      <c r="V71" s="119">
        <f>IF(VLOOKUP($D71,$C$5:$AT$510,3,)=0,0,(VLOOKUP($D71,$C$5:$AT$510,20,)/VLOOKUP($D71,$C$5:$AT$510,3,))*$E71)</f>
        <v>0</v>
      </c>
      <c r="W71" s="119">
        <f>IF(VLOOKUP($D71,$C$5:$AT$510,3,)=0,0,(VLOOKUP($D71,$C$5:$AT$510,21,)/VLOOKUP($D71,$C$5:$AT$510,3,))*$E71)</f>
        <v>0</v>
      </c>
      <c r="X71" s="119">
        <f>IF(VLOOKUP($D71,$C$5:$AT$510,3,)=0,0,(VLOOKUP($D71,$C$5:$AT$510,22,)/VLOOKUP($D71,$C$5:$AT$510,3,))*$E71)</f>
        <v>0</v>
      </c>
      <c r="Y71" s="119">
        <f>IF(VLOOKUP($D71,$C$5:$AT$510,3,)=0,0,(VLOOKUP($D71,$C$5:$AT$510,23,)/VLOOKUP($D71,$C$5:$AT$510,3,))*$E71)</f>
        <v>0</v>
      </c>
      <c r="Z71" s="119">
        <f>IF(VLOOKUP($D71,$C$5:$AT$510,3,)=0,0,(VLOOKUP($D71,$C$5:$AT$510,24,)/VLOOKUP($D71,$C$5:$AT$510,3,))*$E71)</f>
        <v>0</v>
      </c>
      <c r="AA71" s="119">
        <f>IF(VLOOKUP($D71,$C$5:$AT$510,3,)=0,0,(VLOOKUP($D71,$C$5:$AT$510,25,)/VLOOKUP($D71,$C$5:$AT$510,3,))*$E71)</f>
        <v>0</v>
      </c>
      <c r="AB71" s="119">
        <f>IF(VLOOKUP($D71,$C$5:$AT$510,3,)=0,0,(VLOOKUP($D71,$C$5:$AT$510,26,)/VLOOKUP($D71,$C$5:$AT$510,3,))*$E71)</f>
        <v>0</v>
      </c>
      <c r="AC71" s="119">
        <f>IF(VLOOKUP($D71,$C$5:$AT$510,3,)=0,0,(VLOOKUP($D71,$C$5:$AT$510,27,)/VLOOKUP($D71,$C$5:$AT$510,3,))*$E71)</f>
        <v>0</v>
      </c>
      <c r="AD71" s="119">
        <f>IF(VLOOKUP($D71,$C$5:$AT$510,3,)=0,0,(VLOOKUP($D71,$C$5:$AT$510,28,)/VLOOKUP($D71,$C$5:$AT$510,3,))*$E71)</f>
        <v>0</v>
      </c>
      <c r="AE71" s="119">
        <f>IF(VLOOKUP($D71,$C$5:$AT$510,3,)=0,0,(VLOOKUP($D71,$C$5:$AT$510,29,)/VLOOKUP($D71,$C$5:$AT$510,3,))*$E71)</f>
        <v>0</v>
      </c>
      <c r="AF71" s="119">
        <f>IF(VLOOKUP($D71,$C$5:$AT$510,3,)=0,0,(VLOOKUP($D71,$C$5:$AT$510,30,)/VLOOKUP($D71,$C$5:$AT$510,3,))*$E71)</f>
        <v>0</v>
      </c>
      <c r="AG71" s="120">
        <f>SUM(F71:AF71)</f>
        <v>2553245.0985826585</v>
      </c>
      <c r="AH71" s="103" t="str">
        <f>IF(ABS(E71-AG71)&lt;0.01,"ok","err")</f>
        <v>ok</v>
      </c>
    </row>
    <row r="72" spans="1:34" x14ac:dyDescent="0.25">
      <c r="E72" s="110"/>
    </row>
    <row r="73" spans="1:34" x14ac:dyDescent="0.25">
      <c r="A73" s="132" t="s">
        <v>545</v>
      </c>
      <c r="E73" s="110"/>
    </row>
    <row r="74" spans="1:34" x14ac:dyDescent="0.25">
      <c r="A74" s="133" t="s">
        <v>221</v>
      </c>
      <c r="C74" s="102" t="s">
        <v>247</v>
      </c>
      <c r="D74" s="102" t="s">
        <v>234</v>
      </c>
      <c r="E74" s="119">
        <f>'Func &amp; Classif'!Y126</f>
        <v>0</v>
      </c>
      <c r="F74" s="119">
        <f>IF(VLOOKUP($D74,$C$5:$AT$510,3,)=0,0,(VLOOKUP($D74,$C$5:$AT$510,4,)/VLOOKUP($D74,$C$5:$AT$510,3,))*$E74)</f>
        <v>0</v>
      </c>
      <c r="G74" s="119">
        <f>IF(VLOOKUP($D74,$C$5:$AT$510,3,)=0,0,(VLOOKUP($D74,$C$5:$AT$510,5,)/VLOOKUP($D74,$C$5:$AT$510,3,))*$E74)</f>
        <v>0</v>
      </c>
      <c r="H74" s="119">
        <f>IF(VLOOKUP($D74,$C$5:$AT$510,3,)=0,0,(VLOOKUP($D74,$C$5:$AT$510,6,)/VLOOKUP($D74,$C$5:$AT$510,3,))*$E74)</f>
        <v>0</v>
      </c>
      <c r="I74" s="119">
        <f>IF(VLOOKUP($D74,$C$5:$AT$510,3,)=0,0,(VLOOKUP($D74,$C$5:$AT$510,7,)/VLOOKUP($D74,$C$5:$AT$510,3,))*$E74)</f>
        <v>0</v>
      </c>
      <c r="J74" s="119">
        <f>IF(VLOOKUP($D74,$C$5:$AT$510,3,)=0,0,(VLOOKUP($D74,$C$5:$AT$510,8,)/VLOOKUP($D74,$C$5:$AT$510,3,))*$E74)</f>
        <v>0</v>
      </c>
      <c r="K74" s="119">
        <f>IF(VLOOKUP($D74,$C$5:$AT$510,3,)=0,0,(VLOOKUP($D74,$C$5:$AT$510,9,)/VLOOKUP($D74,$C$5:$AT$510,3,))*$E74)</f>
        <v>0</v>
      </c>
      <c r="L74" s="119">
        <f>IF(VLOOKUP($D74,$C$5:$AT$510,3,)=0,0,(VLOOKUP($D74,$C$5:$AT$510,10,)/VLOOKUP($D74,$C$5:$AT$510,3,))*$E74)</f>
        <v>0</v>
      </c>
      <c r="M74" s="119">
        <f>IF(VLOOKUP($D74,$C$5:$AT$510,3,)=0,0,(VLOOKUP($D74,$C$5:$AT$510,11,)/VLOOKUP($D74,$C$5:$AT$510,3,))*$E74)</f>
        <v>0</v>
      </c>
      <c r="N74" s="119">
        <f>IF(VLOOKUP($D74,$C$5:$AT$510,3,)=0,0,(VLOOKUP($D74,$C$5:$AT$510,12,)/VLOOKUP($D74,$C$5:$AT$510,3,))*$E74)</f>
        <v>0</v>
      </c>
      <c r="O74" s="119">
        <f>IF(VLOOKUP($D74,$C$5:$AT$510,3,)=0,0,(VLOOKUP($D74,$C$5:$AT$510,13,)/VLOOKUP($D74,$C$5:$AT$510,3,))*$E74)</f>
        <v>0</v>
      </c>
      <c r="P74" s="119">
        <f>IF(VLOOKUP($D74,$C$5:$AT$510,3,)=0,0,(VLOOKUP($D74,$C$5:$AT$510,14,)/VLOOKUP($D74,$C$5:$AT$510,3,))*$E74)</f>
        <v>0</v>
      </c>
      <c r="Q74" s="119">
        <f>IF(VLOOKUP($D74,$C$5:$AT$510,3,)=0,0,(VLOOKUP($D74,$C$5:$AT$510,15,)/VLOOKUP($D74,$C$5:$AT$510,3,))*$E74)</f>
        <v>0</v>
      </c>
      <c r="R74" s="119">
        <f>IF(VLOOKUP($D74,$C$5:$AT$510,3,)=0,0,(VLOOKUP($D74,$C$5:$AT$510,16,)/VLOOKUP($D74,$C$5:$AT$510,3,))*$E74)</f>
        <v>0</v>
      </c>
      <c r="S74" s="119">
        <f>IF(VLOOKUP($D74,$C$5:$AT$510,3,)=0,0,(VLOOKUP($D74,$C$5:$AT$510,17,)/VLOOKUP($D74,$C$5:$AT$510,3,))*$E74)</f>
        <v>0</v>
      </c>
      <c r="T74" s="119">
        <f>IF(VLOOKUP($D74,$C$5:$AT$510,3,)=0,0,(VLOOKUP($D74,$C$5:$AT$510,18,)/VLOOKUP($D74,$C$5:$AT$510,3,))*$E74)</f>
        <v>0</v>
      </c>
      <c r="U74" s="119">
        <f>IF(VLOOKUP($D74,$C$5:$AT$510,3,)=0,0,(VLOOKUP($D74,$C$5:$AT$510,19,)/VLOOKUP($D74,$C$5:$AT$510,3,))*$E74)</f>
        <v>0</v>
      </c>
      <c r="V74" s="119">
        <f>IF(VLOOKUP($D74,$C$5:$AT$510,3,)=0,0,(VLOOKUP($D74,$C$5:$AT$510,20,)/VLOOKUP($D74,$C$5:$AT$510,3,))*$E74)</f>
        <v>0</v>
      </c>
      <c r="W74" s="119">
        <f>IF(VLOOKUP($D74,$C$5:$AT$510,3,)=0,0,(VLOOKUP($D74,$C$5:$AT$510,21,)/VLOOKUP($D74,$C$5:$AT$510,3,))*$E74)</f>
        <v>0</v>
      </c>
      <c r="X74" s="119">
        <f>IF(VLOOKUP($D74,$C$5:$AT$510,3,)=0,0,(VLOOKUP($D74,$C$5:$AT$510,22,)/VLOOKUP($D74,$C$5:$AT$510,3,))*$E74)</f>
        <v>0</v>
      </c>
      <c r="Y74" s="119">
        <f>IF(VLOOKUP($D74,$C$5:$AT$510,3,)=0,0,(VLOOKUP($D74,$C$5:$AT$510,23,)/VLOOKUP($D74,$C$5:$AT$510,3,))*$E74)</f>
        <v>0</v>
      </c>
      <c r="Z74" s="119">
        <f>IF(VLOOKUP($D74,$C$5:$AT$510,3,)=0,0,(VLOOKUP($D74,$C$5:$AT$510,24,)/VLOOKUP($D74,$C$5:$AT$510,3,))*$E74)</f>
        <v>0</v>
      </c>
      <c r="AA74" s="119">
        <f>IF(VLOOKUP($D74,$C$5:$AT$510,3,)=0,0,(VLOOKUP($D74,$C$5:$AT$510,25,)/VLOOKUP($D74,$C$5:$AT$510,3,))*$E74)</f>
        <v>0</v>
      </c>
      <c r="AB74" s="119">
        <f>IF(VLOOKUP($D74,$C$5:$AT$510,3,)=0,0,(VLOOKUP($D74,$C$5:$AT$510,26,)/VLOOKUP($D74,$C$5:$AT$510,3,))*$E74)</f>
        <v>0</v>
      </c>
      <c r="AC74" s="119">
        <f>IF(VLOOKUP($D74,$C$5:$AT$510,3,)=0,0,(VLOOKUP($D74,$C$5:$AT$510,27,)/VLOOKUP($D74,$C$5:$AT$510,3,))*$E74)</f>
        <v>0</v>
      </c>
      <c r="AD74" s="119">
        <f>IF(VLOOKUP($D74,$C$5:$AT$510,3,)=0,0,(VLOOKUP($D74,$C$5:$AT$510,28,)/VLOOKUP($D74,$C$5:$AT$510,3,))*$E74)</f>
        <v>0</v>
      </c>
      <c r="AE74" s="119">
        <f>IF(VLOOKUP($D74,$C$5:$AT$510,3,)=0,0,(VLOOKUP($D74,$C$5:$AT$510,29,)/VLOOKUP($D74,$C$5:$AT$510,3,))*$E74)</f>
        <v>0</v>
      </c>
      <c r="AF74" s="119">
        <f>IF(VLOOKUP($D74,$C$5:$AT$510,3,)=0,0,(VLOOKUP($D74,$C$5:$AT$510,30,)/VLOOKUP($D74,$C$5:$AT$510,3,))*$E74)</f>
        <v>0</v>
      </c>
      <c r="AG74" s="120">
        <f>SUM(F74:AF74)</f>
        <v>0</v>
      </c>
      <c r="AH74" s="103" t="str">
        <f>IF(ABS(E74-AG74)&lt;0.01,"ok","err")</f>
        <v>ok</v>
      </c>
    </row>
    <row r="75" spans="1:34" x14ac:dyDescent="0.25">
      <c r="E75" s="110"/>
    </row>
    <row r="76" spans="1:34" x14ac:dyDescent="0.25">
      <c r="A76" s="132" t="s">
        <v>470</v>
      </c>
      <c r="E76" s="110"/>
    </row>
    <row r="77" spans="1:34" x14ac:dyDescent="0.25">
      <c r="A77" s="133" t="s">
        <v>221</v>
      </c>
      <c r="C77" s="102" t="s">
        <v>244</v>
      </c>
      <c r="D77" s="102" t="s">
        <v>235</v>
      </c>
      <c r="E77" s="119">
        <f>'Func &amp; Classif'!AA126</f>
        <v>0</v>
      </c>
      <c r="F77" s="119">
        <f>IF(VLOOKUP($D77,$C$5:$AT$510,3,)=0,0,(VLOOKUP($D77,$C$5:$AT$510,4,)/VLOOKUP($D77,$C$5:$AT$510,3,))*$E77)</f>
        <v>0</v>
      </c>
      <c r="G77" s="119">
        <f>IF(VLOOKUP($D77,$C$5:$AT$510,3,)=0,0,(VLOOKUP($D77,$C$5:$AT$510,5,)/VLOOKUP($D77,$C$5:$AT$510,3,))*$E77)</f>
        <v>0</v>
      </c>
      <c r="H77" s="119">
        <f>IF(VLOOKUP($D77,$C$5:$AT$510,3,)=0,0,(VLOOKUP($D77,$C$5:$AT$510,6,)/VLOOKUP($D77,$C$5:$AT$510,3,))*$E77)</f>
        <v>0</v>
      </c>
      <c r="I77" s="119">
        <f>IF(VLOOKUP($D77,$C$5:$AT$510,3,)=0,0,(VLOOKUP($D77,$C$5:$AT$510,7,)/VLOOKUP($D77,$C$5:$AT$510,3,))*$E77)</f>
        <v>0</v>
      </c>
      <c r="J77" s="119">
        <f>IF(VLOOKUP($D77,$C$5:$AT$510,3,)=0,0,(VLOOKUP($D77,$C$5:$AT$510,8,)/VLOOKUP($D77,$C$5:$AT$510,3,))*$E77)</f>
        <v>0</v>
      </c>
      <c r="K77" s="119">
        <f>IF(VLOOKUP($D77,$C$5:$AT$510,3,)=0,0,(VLOOKUP($D77,$C$5:$AT$510,9,)/VLOOKUP($D77,$C$5:$AT$510,3,))*$E77)</f>
        <v>0</v>
      </c>
      <c r="L77" s="119">
        <f>IF(VLOOKUP($D77,$C$5:$AT$510,3,)=0,0,(VLOOKUP($D77,$C$5:$AT$510,10,)/VLOOKUP($D77,$C$5:$AT$510,3,))*$E77)</f>
        <v>0</v>
      </c>
      <c r="M77" s="119">
        <f>IF(VLOOKUP($D77,$C$5:$AT$510,3,)=0,0,(VLOOKUP($D77,$C$5:$AT$510,11,)/VLOOKUP($D77,$C$5:$AT$510,3,))*$E77)</f>
        <v>0</v>
      </c>
      <c r="N77" s="119">
        <f>IF(VLOOKUP($D77,$C$5:$AT$510,3,)=0,0,(VLOOKUP($D77,$C$5:$AT$510,12,)/VLOOKUP($D77,$C$5:$AT$510,3,))*$E77)</f>
        <v>0</v>
      </c>
      <c r="O77" s="119">
        <f>IF(VLOOKUP($D77,$C$5:$AT$510,3,)=0,0,(VLOOKUP($D77,$C$5:$AT$510,13,)/VLOOKUP($D77,$C$5:$AT$510,3,))*$E77)</f>
        <v>0</v>
      </c>
      <c r="P77" s="119">
        <f>IF(VLOOKUP($D77,$C$5:$AT$510,3,)=0,0,(VLOOKUP($D77,$C$5:$AT$510,14,)/VLOOKUP($D77,$C$5:$AT$510,3,))*$E77)</f>
        <v>0</v>
      </c>
      <c r="Q77" s="119">
        <f>IF(VLOOKUP($D77,$C$5:$AT$510,3,)=0,0,(VLOOKUP($D77,$C$5:$AT$510,15,)/VLOOKUP($D77,$C$5:$AT$510,3,))*$E77)</f>
        <v>0</v>
      </c>
      <c r="R77" s="119">
        <f>IF(VLOOKUP($D77,$C$5:$AT$510,3,)=0,0,(VLOOKUP($D77,$C$5:$AT$510,16,)/VLOOKUP($D77,$C$5:$AT$510,3,))*$E77)</f>
        <v>0</v>
      </c>
      <c r="S77" s="119">
        <f>IF(VLOOKUP($D77,$C$5:$AT$510,3,)=0,0,(VLOOKUP($D77,$C$5:$AT$510,17,)/VLOOKUP($D77,$C$5:$AT$510,3,))*$E77)</f>
        <v>0</v>
      </c>
      <c r="T77" s="119">
        <f>IF(VLOOKUP($D77,$C$5:$AT$510,3,)=0,0,(VLOOKUP($D77,$C$5:$AT$510,18,)/VLOOKUP($D77,$C$5:$AT$510,3,))*$E77)</f>
        <v>0</v>
      </c>
      <c r="U77" s="119">
        <f>IF(VLOOKUP($D77,$C$5:$AT$510,3,)=0,0,(VLOOKUP($D77,$C$5:$AT$510,19,)/VLOOKUP($D77,$C$5:$AT$510,3,))*$E77)</f>
        <v>0</v>
      </c>
      <c r="V77" s="119">
        <f>IF(VLOOKUP($D77,$C$5:$AT$510,3,)=0,0,(VLOOKUP($D77,$C$5:$AT$510,20,)/VLOOKUP($D77,$C$5:$AT$510,3,))*$E77)</f>
        <v>0</v>
      </c>
      <c r="W77" s="119">
        <f>IF(VLOOKUP($D77,$C$5:$AT$510,3,)=0,0,(VLOOKUP($D77,$C$5:$AT$510,21,)/VLOOKUP($D77,$C$5:$AT$510,3,))*$E77)</f>
        <v>0</v>
      </c>
      <c r="X77" s="119">
        <f>IF(VLOOKUP($D77,$C$5:$AT$510,3,)=0,0,(VLOOKUP($D77,$C$5:$AT$510,22,)/VLOOKUP($D77,$C$5:$AT$510,3,))*$E77)</f>
        <v>0</v>
      </c>
      <c r="Y77" s="119">
        <f>IF(VLOOKUP($D77,$C$5:$AT$510,3,)=0,0,(VLOOKUP($D77,$C$5:$AT$510,23,)/VLOOKUP($D77,$C$5:$AT$510,3,))*$E77)</f>
        <v>0</v>
      </c>
      <c r="Z77" s="119">
        <f>IF(VLOOKUP($D77,$C$5:$AT$510,3,)=0,0,(VLOOKUP($D77,$C$5:$AT$510,24,)/VLOOKUP($D77,$C$5:$AT$510,3,))*$E77)</f>
        <v>0</v>
      </c>
      <c r="AA77" s="119">
        <f>IF(VLOOKUP($D77,$C$5:$AT$510,3,)=0,0,(VLOOKUP($D77,$C$5:$AT$510,25,)/VLOOKUP($D77,$C$5:$AT$510,3,))*$E77)</f>
        <v>0</v>
      </c>
      <c r="AB77" s="119">
        <f>IF(VLOOKUP($D77,$C$5:$AT$510,3,)=0,0,(VLOOKUP($D77,$C$5:$AT$510,26,)/VLOOKUP($D77,$C$5:$AT$510,3,))*$E77)</f>
        <v>0</v>
      </c>
      <c r="AC77" s="119">
        <f>IF(VLOOKUP($D77,$C$5:$AT$510,3,)=0,0,(VLOOKUP($D77,$C$5:$AT$510,27,)/VLOOKUP($D77,$C$5:$AT$510,3,))*$E77)</f>
        <v>0</v>
      </c>
      <c r="AD77" s="119">
        <f>IF(VLOOKUP($D77,$C$5:$AT$510,3,)=0,0,(VLOOKUP($D77,$C$5:$AT$510,28,)/VLOOKUP($D77,$C$5:$AT$510,3,))*$E77)</f>
        <v>0</v>
      </c>
      <c r="AE77" s="119">
        <f>IF(VLOOKUP($D77,$C$5:$AT$510,3,)=0,0,(VLOOKUP($D77,$C$5:$AT$510,29,)/VLOOKUP($D77,$C$5:$AT$510,3,))*$E77)</f>
        <v>0</v>
      </c>
      <c r="AF77" s="119">
        <f>IF(VLOOKUP($D77,$C$5:$AT$510,3,)=0,0,(VLOOKUP($D77,$C$5:$AT$510,30,)/VLOOKUP($D77,$C$5:$AT$510,3,))*$E77)</f>
        <v>0</v>
      </c>
      <c r="AG77" s="120">
        <f>SUM(F77:AF77)</f>
        <v>0</v>
      </c>
      <c r="AH77" s="103" t="str">
        <f>IF(ABS(E77-AG77)&lt;0.01,"ok","err")</f>
        <v>ok</v>
      </c>
    </row>
    <row r="78" spans="1:34" x14ac:dyDescent="0.25">
      <c r="E78" s="110"/>
    </row>
    <row r="79" spans="1:34" x14ac:dyDescent="0.25">
      <c r="A79" s="102" t="s">
        <v>0</v>
      </c>
      <c r="C79" s="102" t="s">
        <v>248</v>
      </c>
      <c r="E79" s="119">
        <f>E49+E52+E55+E60+E65+E68+E71+E74+E77</f>
        <v>77065961.969999984</v>
      </c>
      <c r="F79" s="119">
        <f t="shared" ref="F79:R79" si="14">F49+F52+F55+F60+F65+F68+F71+F74+F77</f>
        <v>59984136.575088091</v>
      </c>
      <c r="G79" s="119">
        <f t="shared" si="14"/>
        <v>154993.04534640792</v>
      </c>
      <c r="H79" s="119">
        <f t="shared" si="14"/>
        <v>2380509.9137974954</v>
      </c>
      <c r="I79" s="119">
        <f t="shared" si="14"/>
        <v>4812105.2166180667</v>
      </c>
      <c r="J79" s="119">
        <f t="shared" si="14"/>
        <v>844652.09414125083</v>
      </c>
      <c r="K79" s="119">
        <f t="shared" si="14"/>
        <v>383511.26192718541</v>
      </c>
      <c r="L79" s="119">
        <f t="shared" si="14"/>
        <v>1407663.5598209784</v>
      </c>
      <c r="M79" s="119">
        <f t="shared" si="14"/>
        <v>4496540.2324645035</v>
      </c>
      <c r="N79" s="119">
        <f t="shared" si="14"/>
        <v>41504.344579044089</v>
      </c>
      <c r="O79" s="119">
        <f t="shared" si="14"/>
        <v>0</v>
      </c>
      <c r="P79" s="119">
        <f t="shared" si="14"/>
        <v>2560345.7262169798</v>
      </c>
      <c r="Q79" s="119">
        <f t="shared" si="14"/>
        <v>0</v>
      </c>
      <c r="R79" s="119">
        <f t="shared" si="14"/>
        <v>0</v>
      </c>
      <c r="S79" s="119">
        <f t="shared" ref="S79:AF79" si="15">S49+S55+S60+S65+S68+S71+S74+S77</f>
        <v>0</v>
      </c>
      <c r="T79" s="119">
        <f t="shared" si="15"/>
        <v>0</v>
      </c>
      <c r="U79" s="119">
        <f t="shared" si="15"/>
        <v>0</v>
      </c>
      <c r="V79" s="119">
        <f t="shared" si="15"/>
        <v>0</v>
      </c>
      <c r="W79" s="119">
        <f t="shared" si="15"/>
        <v>0</v>
      </c>
      <c r="X79" s="119">
        <f t="shared" si="15"/>
        <v>0</v>
      </c>
      <c r="Y79" s="119">
        <f t="shared" si="15"/>
        <v>0</v>
      </c>
      <c r="Z79" s="119">
        <f t="shared" si="15"/>
        <v>0</v>
      </c>
      <c r="AA79" s="119">
        <f t="shared" si="15"/>
        <v>0</v>
      </c>
      <c r="AB79" s="119">
        <f t="shared" si="15"/>
        <v>0</v>
      </c>
      <c r="AC79" s="119">
        <f t="shared" si="15"/>
        <v>0</v>
      </c>
      <c r="AD79" s="119">
        <f t="shared" si="15"/>
        <v>0</v>
      </c>
      <c r="AE79" s="119">
        <f t="shared" si="15"/>
        <v>0</v>
      </c>
      <c r="AF79" s="119">
        <f t="shared" si="15"/>
        <v>0</v>
      </c>
      <c r="AG79" s="120">
        <f>SUM(F79:AF79)</f>
        <v>77065961.970000014</v>
      </c>
      <c r="AH79" s="103" t="str">
        <f>IF(ABS(E79-AG79)&lt;0.01,"ok","err")</f>
        <v>ok</v>
      </c>
    </row>
    <row r="80" spans="1:34" x14ac:dyDescent="0.25">
      <c r="F80" s="121"/>
    </row>
    <row r="82" spans="1:34" x14ac:dyDescent="0.25">
      <c r="A82" s="131" t="s">
        <v>249</v>
      </c>
    </row>
    <row r="84" spans="1:34" x14ac:dyDescent="0.25">
      <c r="A84" s="132" t="s">
        <v>885</v>
      </c>
    </row>
    <row r="85" spans="1:34" x14ac:dyDescent="0.25">
      <c r="A85" s="133" t="s">
        <v>209</v>
      </c>
      <c r="C85" s="102" t="s">
        <v>250</v>
      </c>
      <c r="D85" s="102" t="s">
        <v>655</v>
      </c>
      <c r="E85" s="119">
        <f>'Func &amp; Classif'!H144</f>
        <v>0</v>
      </c>
      <c r="F85" s="119">
        <f>IF(VLOOKUP($D85,$C$5:$AT$510,3,)=0,0,(VLOOKUP($D85,$C$5:$AT$510,4,)/VLOOKUP($D85,$C$5:$AT$510,3,))*$E85)</f>
        <v>0</v>
      </c>
      <c r="G85" s="119">
        <f>IF(VLOOKUP($D85,$C$5:$AT$510,3,)=0,0,(VLOOKUP($D85,$C$5:$AT$510,5,)/VLOOKUP($D85,$C$5:$AT$510,3,))*$E85)</f>
        <v>0</v>
      </c>
      <c r="H85" s="119">
        <f>IF(VLOOKUP($D85,$C$5:$AT$510,3,)=0,0,(VLOOKUP($D85,$C$5:$AT$510,6,)/VLOOKUP($D85,$C$5:$AT$510,3,))*$E85)</f>
        <v>0</v>
      </c>
      <c r="I85" s="119">
        <f>IF(VLOOKUP($D85,$C$5:$AT$510,3,)=0,0,(VLOOKUP($D85,$C$5:$AT$510,7,)/VLOOKUP($D85,$C$5:$AT$510,3,))*$E85)</f>
        <v>0</v>
      </c>
      <c r="J85" s="119">
        <f>IF(VLOOKUP($D85,$C$5:$AT$510,3,)=0,0,(VLOOKUP($D85,$C$5:$AT$510,8,)/VLOOKUP($D85,$C$5:$AT$510,3,))*$E85)</f>
        <v>0</v>
      </c>
      <c r="K85" s="119">
        <f>IF(VLOOKUP($D85,$C$5:$AT$510,3,)=0,0,(VLOOKUP($D85,$C$5:$AT$510,9,)/VLOOKUP($D85,$C$5:$AT$510,3,))*$E85)</f>
        <v>0</v>
      </c>
      <c r="L85" s="119">
        <f>IF(VLOOKUP($D85,$C$5:$AT$510,3,)=0,0,(VLOOKUP($D85,$C$5:$AT$510,10,)/VLOOKUP($D85,$C$5:$AT$510,3,))*$E85)</f>
        <v>0</v>
      </c>
      <c r="M85" s="119">
        <f>IF(VLOOKUP($D85,$C$5:$AT$510,3,)=0,0,(VLOOKUP($D85,$C$5:$AT$510,11,)/VLOOKUP($D85,$C$5:$AT$510,3,))*$E85)</f>
        <v>0</v>
      </c>
      <c r="N85" s="119">
        <f>IF(VLOOKUP($D85,$C$5:$AT$510,3,)=0,0,(VLOOKUP($D85,$C$5:$AT$510,12,)/VLOOKUP($D85,$C$5:$AT$510,3,))*$E85)</f>
        <v>0</v>
      </c>
      <c r="O85" s="119">
        <f>IF(VLOOKUP($D85,$C$5:$AT$510,3,)=0,0,(VLOOKUP($D85,$C$5:$AT$510,13,)/VLOOKUP($D85,$C$5:$AT$510,3,))*$E85)</f>
        <v>0</v>
      </c>
      <c r="P85" s="119">
        <f>IF(VLOOKUP($D85,$C$5:$AT$510,3,)=0,0,(VLOOKUP($D85,$C$5:$AT$510,14,)/VLOOKUP($D85,$C$5:$AT$510,3,))*$E85)</f>
        <v>0</v>
      </c>
      <c r="Q85" s="119">
        <f>IF(VLOOKUP($D85,$C$5:$AT$510,3,)=0,0,(VLOOKUP($D85,$C$5:$AT$510,15,)/VLOOKUP($D85,$C$5:$AT$510,3,))*$E85)</f>
        <v>0</v>
      </c>
      <c r="R85" s="119">
        <f>IF(VLOOKUP($D85,$C$5:$AT$510,3,)=0,0,(VLOOKUP($D85,$C$5:$AT$510,16,)/VLOOKUP($D85,$C$5:$AT$510,3,))*$E85)</f>
        <v>0</v>
      </c>
      <c r="S85" s="119">
        <f>IF(VLOOKUP($D85,$C$5:$AT$510,3,)=0,0,(VLOOKUP($D85,$C$5:$AT$510,17,)/VLOOKUP($D85,$C$5:$AT$510,3,))*$E85)</f>
        <v>0</v>
      </c>
      <c r="T85" s="119">
        <f>IF(VLOOKUP($D85,$C$5:$AT$510,3,)=0,0,(VLOOKUP($D85,$C$5:$AT$510,18,)/VLOOKUP($D85,$C$5:$AT$510,3,))*$E85)</f>
        <v>0</v>
      </c>
      <c r="U85" s="119">
        <f>IF(VLOOKUP($D85,$C$5:$AT$510,3,)=0,0,(VLOOKUP($D85,$C$5:$AT$510,19,)/VLOOKUP($D85,$C$5:$AT$510,3,))*$E85)</f>
        <v>0</v>
      </c>
      <c r="V85" s="119">
        <f>IF(VLOOKUP($D85,$C$5:$AT$510,3,)=0,0,(VLOOKUP($D85,$C$5:$AT$510,20,)/VLOOKUP($D85,$C$5:$AT$510,3,))*$E85)</f>
        <v>0</v>
      </c>
      <c r="W85" s="119">
        <f>IF(VLOOKUP($D85,$C$5:$AT$510,3,)=0,0,(VLOOKUP($D85,$C$5:$AT$510,21,)/VLOOKUP($D85,$C$5:$AT$510,3,))*$E85)</f>
        <v>0</v>
      </c>
      <c r="X85" s="119">
        <f>IF(VLOOKUP($D85,$C$5:$AT$510,3,)=0,0,(VLOOKUP($D85,$C$5:$AT$510,22,)/VLOOKUP($D85,$C$5:$AT$510,3,))*$E85)</f>
        <v>0</v>
      </c>
      <c r="Y85" s="119">
        <f>IF(VLOOKUP($D85,$C$5:$AT$510,3,)=0,0,(VLOOKUP($D85,$C$5:$AT$510,23,)/VLOOKUP($D85,$C$5:$AT$510,3,))*$E85)</f>
        <v>0</v>
      </c>
      <c r="Z85" s="119">
        <f>IF(VLOOKUP($D85,$C$5:$AT$510,3,)=0,0,(VLOOKUP($D85,$C$5:$AT$510,24,)/VLOOKUP($D85,$C$5:$AT$510,3,))*$E85)</f>
        <v>0</v>
      </c>
      <c r="AA85" s="119">
        <f>IF(VLOOKUP($D85,$C$5:$AT$510,3,)=0,0,(VLOOKUP($D85,$C$5:$AT$510,25,)/VLOOKUP($D85,$C$5:$AT$510,3,))*$E85)</f>
        <v>0</v>
      </c>
      <c r="AB85" s="119">
        <f>IF(VLOOKUP($D85,$C$5:$AT$510,3,)=0,0,(VLOOKUP($D85,$C$5:$AT$510,26,)/VLOOKUP($D85,$C$5:$AT$510,3,))*$E85)</f>
        <v>0</v>
      </c>
      <c r="AC85" s="119">
        <f>IF(VLOOKUP($D85,$C$5:$AT$510,3,)=0,0,(VLOOKUP($D85,$C$5:$AT$510,27,)/VLOOKUP($D85,$C$5:$AT$510,3,))*$E85)</f>
        <v>0</v>
      </c>
      <c r="AD85" s="119">
        <f>IF(VLOOKUP($D85,$C$5:$AT$510,3,)=0,0,(VLOOKUP($D85,$C$5:$AT$510,28,)/VLOOKUP($D85,$C$5:$AT$510,3,))*$E85)</f>
        <v>0</v>
      </c>
      <c r="AE85" s="119">
        <f>IF(VLOOKUP($D85,$C$5:$AT$510,3,)=0,0,(VLOOKUP($D85,$C$5:$AT$510,29,)/VLOOKUP($D85,$C$5:$AT$510,3,))*$E85)</f>
        <v>0</v>
      </c>
      <c r="AF85" s="119">
        <f>IF(VLOOKUP($D85,$C$5:$AT$510,3,)=0,0,(VLOOKUP($D85,$C$5:$AT$510,30,)/VLOOKUP($D85,$C$5:$AT$510,3,))*$E85)</f>
        <v>0</v>
      </c>
      <c r="AG85" s="120">
        <f>SUM(F85:AF85)</f>
        <v>0</v>
      </c>
      <c r="AH85" s="103" t="str">
        <f>IF(ABS(E85-AG85)&lt;0.01,"ok","err")</f>
        <v>ok</v>
      </c>
    </row>
    <row r="86" spans="1:34" x14ac:dyDescent="0.25">
      <c r="A86" s="133" t="s">
        <v>212</v>
      </c>
      <c r="C86" s="102" t="s">
        <v>251</v>
      </c>
      <c r="D86" s="102" t="s">
        <v>664</v>
      </c>
      <c r="E86" s="110">
        <f>'Func &amp; Classif'!I144</f>
        <v>0</v>
      </c>
      <c r="F86" s="119">
        <f>IF(VLOOKUP($D86,$C$5:$AT$510,3,)=0,0,(VLOOKUP($D86,$C$5:$AT$510,4,)/VLOOKUP($D86,$C$5:$AT$510,3,))*$E86)</f>
        <v>0</v>
      </c>
      <c r="G86" s="119">
        <f>IF(VLOOKUP($D86,$C$5:$AT$510,3,)=0,0,(VLOOKUP($D86,$C$5:$AT$510,5,)/VLOOKUP($D86,$C$5:$AT$510,3,))*$E86)</f>
        <v>0</v>
      </c>
      <c r="H86" s="119">
        <f>IF(VLOOKUP($D86,$C$5:$AT$510,3,)=0,0,(VLOOKUP($D86,$C$5:$AT$510,6,)/VLOOKUP($D86,$C$5:$AT$510,3,))*$E86)</f>
        <v>0</v>
      </c>
      <c r="I86" s="119">
        <f>IF(VLOOKUP($D86,$C$5:$AT$510,3,)=0,0,(VLOOKUP($D86,$C$5:$AT$510,7,)/VLOOKUP($D86,$C$5:$AT$510,3,))*$E86)</f>
        <v>0</v>
      </c>
      <c r="J86" s="119">
        <f>IF(VLOOKUP($D86,$C$5:$AT$510,3,)=0,0,(VLOOKUP($D86,$C$5:$AT$510,8,)/VLOOKUP($D86,$C$5:$AT$510,3,))*$E86)</f>
        <v>0</v>
      </c>
      <c r="K86" s="119">
        <f>IF(VLOOKUP($D86,$C$5:$AT$510,3,)=0,0,(VLOOKUP($D86,$C$5:$AT$510,9,)/VLOOKUP($D86,$C$5:$AT$510,3,))*$E86)</f>
        <v>0</v>
      </c>
      <c r="L86" s="119">
        <f>IF(VLOOKUP($D86,$C$5:$AT$510,3,)=0,0,(VLOOKUP($D86,$C$5:$AT$510,10,)/VLOOKUP($D86,$C$5:$AT$510,3,))*$E86)</f>
        <v>0</v>
      </c>
      <c r="M86" s="119">
        <f>IF(VLOOKUP($D86,$C$5:$AT$510,3,)=0,0,(VLOOKUP($D86,$C$5:$AT$510,11,)/VLOOKUP($D86,$C$5:$AT$510,3,))*$E86)</f>
        <v>0</v>
      </c>
      <c r="N86" s="119">
        <f>IF(VLOOKUP($D86,$C$5:$AT$510,3,)=0,0,(VLOOKUP($D86,$C$5:$AT$510,12,)/VLOOKUP($D86,$C$5:$AT$510,3,))*$E86)</f>
        <v>0</v>
      </c>
      <c r="O86" s="119">
        <f>IF(VLOOKUP($D86,$C$5:$AT$510,3,)=0,0,(VLOOKUP($D86,$C$5:$AT$510,13,)/VLOOKUP($D86,$C$5:$AT$510,3,))*$E86)</f>
        <v>0</v>
      </c>
      <c r="P86" s="119">
        <f>IF(VLOOKUP($D86,$C$5:$AT$510,3,)=0,0,(VLOOKUP($D86,$C$5:$AT$510,14,)/VLOOKUP($D86,$C$5:$AT$510,3,))*$E86)</f>
        <v>0</v>
      </c>
      <c r="Q86" s="119">
        <f>IF(VLOOKUP($D86,$C$5:$AT$510,3,)=0,0,(VLOOKUP($D86,$C$5:$AT$510,15,)/VLOOKUP($D86,$C$5:$AT$510,3,))*$E86)</f>
        <v>0</v>
      </c>
      <c r="R86" s="119">
        <f>IF(VLOOKUP($D86,$C$5:$AT$510,3,)=0,0,(VLOOKUP($D86,$C$5:$AT$510,16,)/VLOOKUP($D86,$C$5:$AT$510,3,))*$E86)</f>
        <v>0</v>
      </c>
      <c r="S86" s="119">
        <f>IF(VLOOKUP($D86,$C$5:$AT$510,3,)=0,0,(VLOOKUP($D86,$C$5:$AT$510,17,)/VLOOKUP($D86,$C$5:$AT$510,3,))*$E86)</f>
        <v>0</v>
      </c>
      <c r="T86" s="119">
        <f>IF(VLOOKUP($D86,$C$5:$AT$510,3,)=0,0,(VLOOKUP($D86,$C$5:$AT$510,18,)/VLOOKUP($D86,$C$5:$AT$510,3,))*$E86)</f>
        <v>0</v>
      </c>
      <c r="U86" s="119">
        <f>IF(VLOOKUP($D86,$C$5:$AT$510,3,)=0,0,(VLOOKUP($D86,$C$5:$AT$510,19,)/VLOOKUP($D86,$C$5:$AT$510,3,))*$E86)</f>
        <v>0</v>
      </c>
      <c r="V86" s="119">
        <f>IF(VLOOKUP($D86,$C$5:$AT$510,3,)=0,0,(VLOOKUP($D86,$C$5:$AT$510,20,)/VLOOKUP($D86,$C$5:$AT$510,3,))*$E86)</f>
        <v>0</v>
      </c>
      <c r="W86" s="119">
        <f>IF(VLOOKUP($D86,$C$5:$AT$510,3,)=0,0,(VLOOKUP($D86,$C$5:$AT$510,21,)/VLOOKUP($D86,$C$5:$AT$510,3,))*$E86)</f>
        <v>0</v>
      </c>
      <c r="X86" s="119">
        <f>IF(VLOOKUP($D86,$C$5:$AT$510,3,)=0,0,(VLOOKUP($D86,$C$5:$AT$510,22,)/VLOOKUP($D86,$C$5:$AT$510,3,))*$E86)</f>
        <v>0</v>
      </c>
      <c r="Y86" s="119">
        <f>IF(VLOOKUP($D86,$C$5:$AT$510,3,)=0,0,(VLOOKUP($D86,$C$5:$AT$510,23,)/VLOOKUP($D86,$C$5:$AT$510,3,))*$E86)</f>
        <v>0</v>
      </c>
      <c r="Z86" s="119">
        <f>IF(VLOOKUP($D86,$C$5:$AT$510,3,)=0,0,(VLOOKUP($D86,$C$5:$AT$510,24,)/VLOOKUP($D86,$C$5:$AT$510,3,))*$E86)</f>
        <v>0</v>
      </c>
      <c r="AA86" s="119">
        <f>IF(VLOOKUP($D86,$C$5:$AT$510,3,)=0,0,(VLOOKUP($D86,$C$5:$AT$510,25,)/VLOOKUP($D86,$C$5:$AT$510,3,))*$E86)</f>
        <v>0</v>
      </c>
      <c r="AB86" s="119">
        <f>IF(VLOOKUP($D86,$C$5:$AT$510,3,)=0,0,(VLOOKUP($D86,$C$5:$AT$510,26,)/VLOOKUP($D86,$C$5:$AT$510,3,))*$E86)</f>
        <v>0</v>
      </c>
      <c r="AC86" s="119">
        <f>IF(VLOOKUP($D86,$C$5:$AT$510,3,)=0,0,(VLOOKUP($D86,$C$5:$AT$510,27,)/VLOOKUP($D86,$C$5:$AT$510,3,))*$E86)</f>
        <v>0</v>
      </c>
      <c r="AD86" s="119">
        <f>IF(VLOOKUP($D86,$C$5:$AT$510,3,)=0,0,(VLOOKUP($D86,$C$5:$AT$510,28,)/VLOOKUP($D86,$C$5:$AT$510,3,))*$E86)</f>
        <v>0</v>
      </c>
      <c r="AE86" s="119">
        <f>IF(VLOOKUP($D86,$C$5:$AT$510,3,)=0,0,(VLOOKUP($D86,$C$5:$AT$510,29,)/VLOOKUP($D86,$C$5:$AT$510,3,))*$E86)</f>
        <v>0</v>
      </c>
      <c r="AF86" s="119">
        <f>IF(VLOOKUP($D86,$C$5:$AT$510,3,)=0,0,(VLOOKUP($D86,$C$5:$AT$510,30,)/VLOOKUP($D86,$C$5:$AT$510,3,))*$E86)</f>
        <v>0</v>
      </c>
      <c r="AG86" s="120">
        <f>SUM(F86:AF86)</f>
        <v>0</v>
      </c>
      <c r="AH86" s="103" t="str">
        <f>IF(ABS(E86-AG86)&lt;0.01,"ok","err")</f>
        <v>ok</v>
      </c>
    </row>
    <row r="87" spans="1:34" x14ac:dyDescent="0.25">
      <c r="A87" s="102" t="s">
        <v>215</v>
      </c>
      <c r="C87" s="102" t="s">
        <v>252</v>
      </c>
      <c r="E87" s="110">
        <f t="shared" ref="E87:T87" si="16">E85+E86</f>
        <v>0</v>
      </c>
      <c r="F87" s="119">
        <f t="shared" si="16"/>
        <v>0</v>
      </c>
      <c r="G87" s="119">
        <f t="shared" si="16"/>
        <v>0</v>
      </c>
      <c r="H87" s="119">
        <f t="shared" si="16"/>
        <v>0</v>
      </c>
      <c r="I87" s="119">
        <f t="shared" si="16"/>
        <v>0</v>
      </c>
      <c r="J87" s="119">
        <f t="shared" si="16"/>
        <v>0</v>
      </c>
      <c r="K87" s="119">
        <f t="shared" si="16"/>
        <v>0</v>
      </c>
      <c r="L87" s="119">
        <f t="shared" si="16"/>
        <v>0</v>
      </c>
      <c r="M87" s="119">
        <f t="shared" si="16"/>
        <v>0</v>
      </c>
      <c r="N87" s="119">
        <f t="shared" si="16"/>
        <v>0</v>
      </c>
      <c r="O87" s="119">
        <f t="shared" si="16"/>
        <v>0</v>
      </c>
      <c r="P87" s="119">
        <f t="shared" si="16"/>
        <v>0</v>
      </c>
      <c r="Q87" s="119">
        <f t="shared" si="16"/>
        <v>0</v>
      </c>
      <c r="R87" s="119">
        <f t="shared" si="16"/>
        <v>0</v>
      </c>
      <c r="S87" s="119">
        <f t="shared" si="16"/>
        <v>0</v>
      </c>
      <c r="T87" s="119">
        <f t="shared" si="16"/>
        <v>0</v>
      </c>
      <c r="U87" s="119">
        <f t="shared" ref="U87:AF87" si="17">U85+U86</f>
        <v>0</v>
      </c>
      <c r="V87" s="119">
        <f t="shared" si="17"/>
        <v>0</v>
      </c>
      <c r="W87" s="119">
        <f t="shared" si="17"/>
        <v>0</v>
      </c>
      <c r="X87" s="119">
        <f t="shared" si="17"/>
        <v>0</v>
      </c>
      <c r="Y87" s="119">
        <f t="shared" si="17"/>
        <v>0</v>
      </c>
      <c r="Z87" s="119">
        <f t="shared" si="17"/>
        <v>0</v>
      </c>
      <c r="AA87" s="119">
        <f t="shared" si="17"/>
        <v>0</v>
      </c>
      <c r="AB87" s="119">
        <f t="shared" si="17"/>
        <v>0</v>
      </c>
      <c r="AC87" s="119">
        <f t="shared" si="17"/>
        <v>0</v>
      </c>
      <c r="AD87" s="119">
        <f t="shared" si="17"/>
        <v>0</v>
      </c>
      <c r="AE87" s="119">
        <f t="shared" si="17"/>
        <v>0</v>
      </c>
      <c r="AF87" s="119">
        <f t="shared" si="17"/>
        <v>0</v>
      </c>
      <c r="AG87" s="120">
        <f>SUM(F87:AF87)</f>
        <v>0</v>
      </c>
      <c r="AH87" s="103" t="str">
        <f>IF(ABS(E87-AG87)&lt;0.01,"ok","err")</f>
        <v>ok</v>
      </c>
    </row>
    <row r="88" spans="1:34" x14ac:dyDescent="0.25">
      <c r="E88" s="110"/>
      <c r="F88" s="110"/>
    </row>
    <row r="89" spans="1:34" x14ac:dyDescent="0.25">
      <c r="A89" s="132" t="s">
        <v>350</v>
      </c>
      <c r="E89" s="110"/>
      <c r="F89" s="110"/>
    </row>
    <row r="90" spans="1:34" x14ac:dyDescent="0.25">
      <c r="A90" s="133" t="s">
        <v>209</v>
      </c>
      <c r="C90" s="102" t="s">
        <v>876</v>
      </c>
      <c r="D90" s="102" t="s">
        <v>597</v>
      </c>
      <c r="E90" s="119">
        <f>'Func &amp; Classif'!K144</f>
        <v>0</v>
      </c>
      <c r="F90" s="119">
        <f>IF(VLOOKUP($D90,$C$5:$AT$510,3,)=0,0,(VLOOKUP($D90,$C$5:$AT$510,4,)/VLOOKUP($D90,$C$5:$AT$510,3,))*$E90)</f>
        <v>0</v>
      </c>
      <c r="G90" s="119">
        <f>IF(VLOOKUP($D90,$C$5:$AT$510,3,)=0,0,(VLOOKUP($D90,$C$5:$AT$510,5,)/VLOOKUP($D90,$C$5:$AT$510,3,))*$E90)</f>
        <v>0</v>
      </c>
      <c r="H90" s="119">
        <f>IF(VLOOKUP($D90,$C$5:$AT$510,3,)=0,0,(VLOOKUP($D90,$C$5:$AT$510,6,)/VLOOKUP($D90,$C$5:$AT$510,3,))*$E90)</f>
        <v>0</v>
      </c>
      <c r="I90" s="119">
        <f>IF(VLOOKUP($D90,$C$5:$AT$510,3,)=0,0,(VLOOKUP($D90,$C$5:$AT$510,7,)/VLOOKUP($D90,$C$5:$AT$510,3,))*$E90)</f>
        <v>0</v>
      </c>
      <c r="J90" s="119">
        <f>IF(VLOOKUP($D90,$C$5:$AT$510,3,)=0,0,(VLOOKUP($D90,$C$5:$AT$510,8,)/VLOOKUP($D90,$C$5:$AT$510,3,))*$E90)</f>
        <v>0</v>
      </c>
      <c r="K90" s="119">
        <f>IF(VLOOKUP($D90,$C$5:$AT$510,3,)=0,0,(VLOOKUP($D90,$C$5:$AT$510,9,)/VLOOKUP($D90,$C$5:$AT$510,3,))*$E90)</f>
        <v>0</v>
      </c>
      <c r="L90" s="119">
        <f>IF(VLOOKUP($D90,$C$5:$AT$510,3,)=0,0,(VLOOKUP($D90,$C$5:$AT$510,10,)/VLOOKUP($D90,$C$5:$AT$510,3,))*$E90)</f>
        <v>0</v>
      </c>
      <c r="M90" s="119">
        <f>IF(VLOOKUP($D90,$C$5:$AT$510,3,)=0,0,(VLOOKUP($D90,$C$5:$AT$510,11,)/VLOOKUP($D90,$C$5:$AT$510,3,))*$E90)</f>
        <v>0</v>
      </c>
      <c r="N90" s="119">
        <f>IF(VLOOKUP($D90,$C$5:$AT$510,3,)=0,0,(VLOOKUP($D90,$C$5:$AT$510,12,)/VLOOKUP($D90,$C$5:$AT$510,3,))*$E90)</f>
        <v>0</v>
      </c>
      <c r="O90" s="119">
        <f>IF(VLOOKUP($D90,$C$5:$AT$510,3,)=0,0,(VLOOKUP($D90,$C$5:$AT$510,13,)/VLOOKUP($D90,$C$5:$AT$510,3,))*$E90)</f>
        <v>0</v>
      </c>
      <c r="P90" s="119">
        <f>IF(VLOOKUP($D90,$C$5:$AT$510,3,)=0,0,(VLOOKUP($D90,$C$5:$AT$510,14,)/VLOOKUP($D90,$C$5:$AT$510,3,))*$E90)</f>
        <v>0</v>
      </c>
      <c r="Q90" s="119">
        <f>IF(VLOOKUP($D90,$C$5:$AT$510,3,)=0,0,(VLOOKUP($D90,$C$5:$AT$510,15,)/VLOOKUP($D90,$C$5:$AT$510,3,))*$E90)</f>
        <v>0</v>
      </c>
      <c r="R90" s="119">
        <f>IF(VLOOKUP($D90,$C$5:$AT$510,3,)=0,0,(VLOOKUP($D90,$C$5:$AT$510,16,)/VLOOKUP($D90,$C$5:$AT$510,3,))*$E90)</f>
        <v>0</v>
      </c>
      <c r="S90" s="119">
        <f>IF(VLOOKUP($D90,$C$5:$AT$510,3,)=0,0,(VLOOKUP($D90,$C$5:$AT$510,17,)/VLOOKUP($D90,$C$5:$AT$510,3,))*$E90)</f>
        <v>0</v>
      </c>
      <c r="T90" s="119">
        <f>IF(VLOOKUP($D90,$C$5:$AT$510,3,)=0,0,(VLOOKUP($D90,$C$5:$AT$510,18,)/VLOOKUP($D90,$C$5:$AT$510,3,))*$E90)</f>
        <v>0</v>
      </c>
      <c r="U90" s="119">
        <f>IF(VLOOKUP($D90,$C$5:$AT$510,3,)=0,0,(VLOOKUP($D90,$C$5:$AT$510,19,)/VLOOKUP($D90,$C$5:$AT$510,3,))*$E90)</f>
        <v>0</v>
      </c>
      <c r="V90" s="119">
        <f>IF(VLOOKUP($D90,$C$5:$AT$510,3,)=0,0,(VLOOKUP($D90,$C$5:$AT$510,20,)/VLOOKUP($D90,$C$5:$AT$510,3,))*$E90)</f>
        <v>0</v>
      </c>
      <c r="W90" s="119">
        <f>IF(VLOOKUP($D90,$C$5:$AT$510,3,)=0,0,(VLOOKUP($D90,$C$5:$AT$510,21,)/VLOOKUP($D90,$C$5:$AT$510,3,))*$E90)</f>
        <v>0</v>
      </c>
      <c r="X90" s="119">
        <f>IF(VLOOKUP($D90,$C$5:$AT$510,3,)=0,0,(VLOOKUP($D90,$C$5:$AT$510,22,)/VLOOKUP($D90,$C$5:$AT$510,3,))*$E90)</f>
        <v>0</v>
      </c>
      <c r="Y90" s="119">
        <f>IF(VLOOKUP($D90,$C$5:$AT$510,3,)=0,0,(VLOOKUP($D90,$C$5:$AT$510,23,)/VLOOKUP($D90,$C$5:$AT$510,3,))*$E90)</f>
        <v>0</v>
      </c>
      <c r="Z90" s="119">
        <f>IF(VLOOKUP($D90,$C$5:$AT$510,3,)=0,0,(VLOOKUP($D90,$C$5:$AT$510,24,)/VLOOKUP($D90,$C$5:$AT$510,3,))*$E90)</f>
        <v>0</v>
      </c>
      <c r="AA90" s="119">
        <f>IF(VLOOKUP($D90,$C$5:$AT$510,3,)=0,0,(VLOOKUP($D90,$C$5:$AT$510,25,)/VLOOKUP($D90,$C$5:$AT$510,3,))*$E90)</f>
        <v>0</v>
      </c>
      <c r="AB90" s="119">
        <f>IF(VLOOKUP($D90,$C$5:$AT$510,3,)=0,0,(VLOOKUP($D90,$C$5:$AT$510,26,)/VLOOKUP($D90,$C$5:$AT$510,3,))*$E90)</f>
        <v>0</v>
      </c>
      <c r="AC90" s="119">
        <f>IF(VLOOKUP($D90,$C$5:$AT$510,3,)=0,0,(VLOOKUP($D90,$C$5:$AT$510,27,)/VLOOKUP($D90,$C$5:$AT$510,3,))*$E90)</f>
        <v>0</v>
      </c>
      <c r="AD90" s="119">
        <f>IF(VLOOKUP($D90,$C$5:$AT$510,3,)=0,0,(VLOOKUP($D90,$C$5:$AT$510,28,)/VLOOKUP($D90,$C$5:$AT$510,3,))*$E90)</f>
        <v>0</v>
      </c>
      <c r="AE90" s="119">
        <f>IF(VLOOKUP($D90,$C$5:$AT$510,3,)=0,0,(VLOOKUP($D90,$C$5:$AT$510,29,)/VLOOKUP($D90,$C$5:$AT$510,3,))*$E90)</f>
        <v>0</v>
      </c>
      <c r="AF90" s="119">
        <f>IF(VLOOKUP($D90,$C$5:$AT$510,3,)=0,0,(VLOOKUP($D90,$C$5:$AT$510,30,)/VLOOKUP($D90,$C$5:$AT$510,3,))*$E90)</f>
        <v>0</v>
      </c>
      <c r="AG90" s="120">
        <f>SUM(F90:AF90)</f>
        <v>0</v>
      </c>
      <c r="AH90" s="103" t="str">
        <f>IF(ABS(E90-AG90)&lt;0.01,"ok","err")</f>
        <v>ok</v>
      </c>
    </row>
    <row r="91" spans="1:34" x14ac:dyDescent="0.25">
      <c r="E91" s="110"/>
    </row>
    <row r="92" spans="1:34" x14ac:dyDescent="0.25">
      <c r="A92" s="132" t="s">
        <v>1</v>
      </c>
      <c r="E92" s="110"/>
      <c r="F92" s="110"/>
    </row>
    <row r="93" spans="1:34" x14ac:dyDescent="0.25">
      <c r="A93" s="133" t="s">
        <v>209</v>
      </c>
      <c r="C93" s="102" t="s">
        <v>253</v>
      </c>
      <c r="D93" s="102" t="s">
        <v>613</v>
      </c>
      <c r="E93" s="119">
        <f>'Func &amp; Classif'!M144</f>
        <v>0</v>
      </c>
      <c r="F93" s="119">
        <f>IF(VLOOKUP($D93,$C$5:$AT$510,3,)=0,0,(VLOOKUP($D93,$C$5:$AT$510,4,)/VLOOKUP($D93,$C$5:$AT$510,3,))*$E93)</f>
        <v>0</v>
      </c>
      <c r="G93" s="119">
        <f>IF(VLOOKUP($D93,$C$5:$AT$510,3,)=0,0,(VLOOKUP($D93,$C$5:$AT$510,5,)/VLOOKUP($D93,$C$5:$AT$510,3,))*$E93)</f>
        <v>0</v>
      </c>
      <c r="H93" s="119">
        <f>IF(VLOOKUP($D93,$C$5:$AT$510,3,)=0,0,(VLOOKUP($D93,$C$5:$AT$510,6,)/VLOOKUP($D93,$C$5:$AT$510,3,))*$E93)</f>
        <v>0</v>
      </c>
      <c r="I93" s="119">
        <f>IF(VLOOKUP($D93,$C$5:$AT$510,3,)=0,0,(VLOOKUP($D93,$C$5:$AT$510,7,)/VLOOKUP($D93,$C$5:$AT$510,3,))*$E93)</f>
        <v>0</v>
      </c>
      <c r="J93" s="119">
        <f>IF(VLOOKUP($D93,$C$5:$AT$510,3,)=0,0,(VLOOKUP($D93,$C$5:$AT$510,8,)/VLOOKUP($D93,$C$5:$AT$510,3,))*$E93)</f>
        <v>0</v>
      </c>
      <c r="K93" s="119">
        <f>IF(VLOOKUP($D93,$C$5:$AT$510,3,)=0,0,(VLOOKUP($D93,$C$5:$AT$510,9,)/VLOOKUP($D93,$C$5:$AT$510,3,))*$E93)</f>
        <v>0</v>
      </c>
      <c r="L93" s="119">
        <f>IF(VLOOKUP($D93,$C$5:$AT$510,3,)=0,0,(VLOOKUP($D93,$C$5:$AT$510,10,)/VLOOKUP($D93,$C$5:$AT$510,3,))*$E93)</f>
        <v>0</v>
      </c>
      <c r="M93" s="119">
        <f>IF(VLOOKUP($D93,$C$5:$AT$510,3,)=0,0,(VLOOKUP($D93,$C$5:$AT$510,11,)/VLOOKUP($D93,$C$5:$AT$510,3,))*$E93)</f>
        <v>0</v>
      </c>
      <c r="N93" s="119">
        <f>IF(VLOOKUP($D93,$C$5:$AT$510,3,)=0,0,(VLOOKUP($D93,$C$5:$AT$510,12,)/VLOOKUP($D93,$C$5:$AT$510,3,))*$E93)</f>
        <v>0</v>
      </c>
      <c r="O93" s="119">
        <f>IF(VLOOKUP($D93,$C$5:$AT$510,3,)=0,0,(VLOOKUP($D93,$C$5:$AT$510,13,)/VLOOKUP($D93,$C$5:$AT$510,3,))*$E93)</f>
        <v>0</v>
      </c>
      <c r="P93" s="119">
        <f>IF(VLOOKUP($D93,$C$5:$AT$510,3,)=0,0,(VLOOKUP($D93,$C$5:$AT$510,14,)/VLOOKUP($D93,$C$5:$AT$510,3,))*$E93)</f>
        <v>0</v>
      </c>
      <c r="Q93" s="119">
        <f>IF(VLOOKUP($D93,$C$5:$AT$510,3,)=0,0,(VLOOKUP($D93,$C$5:$AT$510,15,)/VLOOKUP($D93,$C$5:$AT$510,3,))*$E93)</f>
        <v>0</v>
      </c>
      <c r="R93" s="119">
        <f>IF(VLOOKUP($D93,$C$5:$AT$510,3,)=0,0,(VLOOKUP($D93,$C$5:$AT$510,16,)/VLOOKUP($D93,$C$5:$AT$510,3,))*$E93)</f>
        <v>0</v>
      </c>
      <c r="S93" s="119">
        <f>IF(VLOOKUP($D93,$C$5:$AT$510,3,)=0,0,(VLOOKUP($D93,$C$5:$AT$510,17,)/VLOOKUP($D93,$C$5:$AT$510,3,))*$E93)</f>
        <v>0</v>
      </c>
      <c r="T93" s="119">
        <f>IF(VLOOKUP($D93,$C$5:$AT$510,3,)=0,0,(VLOOKUP($D93,$C$5:$AT$510,18,)/VLOOKUP($D93,$C$5:$AT$510,3,))*$E93)</f>
        <v>0</v>
      </c>
      <c r="U93" s="119">
        <f>IF(VLOOKUP($D93,$C$5:$AT$510,3,)=0,0,(VLOOKUP($D93,$C$5:$AT$510,19,)/VLOOKUP($D93,$C$5:$AT$510,3,))*$E93)</f>
        <v>0</v>
      </c>
      <c r="V93" s="119">
        <f>IF(VLOOKUP($D93,$C$5:$AT$510,3,)=0,0,(VLOOKUP($D93,$C$5:$AT$510,20,)/VLOOKUP($D93,$C$5:$AT$510,3,))*$E93)</f>
        <v>0</v>
      </c>
      <c r="W93" s="119">
        <f>IF(VLOOKUP($D93,$C$5:$AT$510,3,)=0,0,(VLOOKUP($D93,$C$5:$AT$510,21,)/VLOOKUP($D93,$C$5:$AT$510,3,))*$E93)</f>
        <v>0</v>
      </c>
      <c r="X93" s="119">
        <f>IF(VLOOKUP($D93,$C$5:$AT$510,3,)=0,0,(VLOOKUP($D93,$C$5:$AT$510,22,)/VLOOKUP($D93,$C$5:$AT$510,3,))*$E93)</f>
        <v>0</v>
      </c>
      <c r="Y93" s="119">
        <f>IF(VLOOKUP($D93,$C$5:$AT$510,3,)=0,0,(VLOOKUP($D93,$C$5:$AT$510,23,)/VLOOKUP($D93,$C$5:$AT$510,3,))*$E93)</f>
        <v>0</v>
      </c>
      <c r="Z93" s="119">
        <f>IF(VLOOKUP($D93,$C$5:$AT$510,3,)=0,0,(VLOOKUP($D93,$C$5:$AT$510,24,)/VLOOKUP($D93,$C$5:$AT$510,3,))*$E93)</f>
        <v>0</v>
      </c>
      <c r="AA93" s="119">
        <f>IF(VLOOKUP($D93,$C$5:$AT$510,3,)=0,0,(VLOOKUP($D93,$C$5:$AT$510,25,)/VLOOKUP($D93,$C$5:$AT$510,3,))*$E93)</f>
        <v>0</v>
      </c>
      <c r="AB93" s="119">
        <f>IF(VLOOKUP($D93,$C$5:$AT$510,3,)=0,0,(VLOOKUP($D93,$C$5:$AT$510,26,)/VLOOKUP($D93,$C$5:$AT$510,3,))*$E93)</f>
        <v>0</v>
      </c>
      <c r="AC93" s="119">
        <f>IF(VLOOKUP($D93,$C$5:$AT$510,3,)=0,0,(VLOOKUP($D93,$C$5:$AT$510,27,)/VLOOKUP($D93,$C$5:$AT$510,3,))*$E93)</f>
        <v>0</v>
      </c>
      <c r="AD93" s="119">
        <f>IF(VLOOKUP($D93,$C$5:$AT$510,3,)=0,0,(VLOOKUP($D93,$C$5:$AT$510,28,)/VLOOKUP($D93,$C$5:$AT$510,3,))*$E93)</f>
        <v>0</v>
      </c>
      <c r="AE93" s="119">
        <f>IF(VLOOKUP($D93,$C$5:$AT$510,3,)=0,0,(VLOOKUP($D93,$C$5:$AT$510,29,)/VLOOKUP($D93,$C$5:$AT$510,3,))*$E93)</f>
        <v>0</v>
      </c>
      <c r="AF93" s="119">
        <f>IF(VLOOKUP($D93,$C$5:$AT$510,3,)=0,0,(VLOOKUP($D93,$C$5:$AT$510,30,)/VLOOKUP($D93,$C$5:$AT$510,3,))*$E93)</f>
        <v>0</v>
      </c>
      <c r="AG93" s="120">
        <f>SUM(F93:AF93)</f>
        <v>0</v>
      </c>
      <c r="AH93" s="103" t="str">
        <f>IF(ABS(E93-AG93)&lt;0.01,"ok","err")</f>
        <v>ok</v>
      </c>
    </row>
    <row r="94" spans="1:34" x14ac:dyDescent="0.25">
      <c r="E94" s="110"/>
    </row>
    <row r="95" spans="1:34" x14ac:dyDescent="0.25">
      <c r="A95" s="132" t="s">
        <v>2</v>
      </c>
      <c r="E95" s="110"/>
    </row>
    <row r="96" spans="1:34" x14ac:dyDescent="0.25">
      <c r="A96" s="133" t="s">
        <v>209</v>
      </c>
      <c r="C96" s="102" t="s">
        <v>254</v>
      </c>
      <c r="D96" s="102" t="s">
        <v>605</v>
      </c>
      <c r="E96" s="119">
        <f>'Func &amp; Classif'!O144</f>
        <v>46675781.953562655</v>
      </c>
      <c r="F96" s="119">
        <f>IF(VLOOKUP($D96,$C$5:$AT$510,3,)=0,0,(VLOOKUP($D96,$C$5:$AT$510,4,)/VLOOKUP($D96,$C$5:$AT$510,3,))*$E96)</f>
        <v>33708164.060033411</v>
      </c>
      <c r="G96" s="119">
        <f>IF(VLOOKUP($D96,$C$5:$AT$510,3,)=0,0,(VLOOKUP($D96,$C$5:$AT$510,5,)/VLOOKUP($D96,$C$5:$AT$510,3,))*$E96)</f>
        <v>99697.666317595998</v>
      </c>
      <c r="H96" s="119">
        <f>IF(VLOOKUP($D96,$C$5:$AT$510,3,)=0,0,(VLOOKUP($D96,$C$5:$AT$510,6,)/VLOOKUP($D96,$C$5:$AT$510,3,))*$E96)</f>
        <v>1826104.927044539</v>
      </c>
      <c r="I96" s="119">
        <f>IF(VLOOKUP($D96,$C$5:$AT$510,3,)=0,0,(VLOOKUP($D96,$C$5:$AT$510,7,)/VLOOKUP($D96,$C$5:$AT$510,3,))*$E96)</f>
        <v>4819916.549284664</v>
      </c>
      <c r="J96" s="119">
        <f>IF(VLOOKUP($D96,$C$5:$AT$510,3,)=0,0,(VLOOKUP($D96,$C$5:$AT$510,8,)/VLOOKUP($D96,$C$5:$AT$510,3,))*$E96)</f>
        <v>832097.85315833997</v>
      </c>
      <c r="K96" s="119">
        <f>IF(VLOOKUP($D96,$C$5:$AT$510,3,)=0,0,(VLOOKUP($D96,$C$5:$AT$510,9,)/VLOOKUP($D96,$C$5:$AT$510,3,))*$E96)</f>
        <v>36208.338129267271</v>
      </c>
      <c r="L96" s="119">
        <f>IF(VLOOKUP($D96,$C$5:$AT$510,3,)=0,0,(VLOOKUP($D96,$C$5:$AT$510,10,)/VLOOKUP($D96,$C$5:$AT$510,3,))*$E96)</f>
        <v>1023158.1931733186</v>
      </c>
      <c r="M96" s="119">
        <f>IF(VLOOKUP($D96,$C$5:$AT$510,3,)=0,0,(VLOOKUP($D96,$C$5:$AT$510,11,)/VLOOKUP($D96,$C$5:$AT$510,3,))*$E96)</f>
        <v>4287456.316799405</v>
      </c>
      <c r="N96" s="119">
        <f>IF(VLOOKUP($D96,$C$5:$AT$510,3,)=0,0,(VLOOKUP($D96,$C$5:$AT$510,12,)/VLOOKUP($D96,$C$5:$AT$510,3,))*$E96)</f>
        <v>36729.92504344981</v>
      </c>
      <c r="O96" s="119">
        <f>IF(VLOOKUP($D96,$C$5:$AT$510,3,)=0,0,(VLOOKUP($D96,$C$5:$AT$510,13,)/VLOOKUP($D96,$C$5:$AT$510,3,))*$E96)</f>
        <v>0</v>
      </c>
      <c r="P96" s="119">
        <f>IF(VLOOKUP($D96,$C$5:$AT$510,3,)=0,0,(VLOOKUP($D96,$C$5:$AT$510,14,)/VLOOKUP($D96,$C$5:$AT$510,3,))*$E96)</f>
        <v>6248.1245786691243</v>
      </c>
      <c r="Q96" s="119">
        <f>IF(VLOOKUP($D96,$C$5:$AT$510,3,)=0,0,(VLOOKUP($D96,$C$5:$AT$510,15,)/VLOOKUP($D96,$C$5:$AT$510,3,))*$E96)</f>
        <v>0</v>
      </c>
      <c r="R96" s="119">
        <f>IF(VLOOKUP($D96,$C$5:$AT$510,3,)=0,0,(VLOOKUP($D96,$C$5:$AT$510,16,)/VLOOKUP($D96,$C$5:$AT$510,3,))*$E96)</f>
        <v>0</v>
      </c>
      <c r="S96" s="119">
        <f>IF(VLOOKUP($D96,$C$5:$AT$510,3,)=0,0,(VLOOKUP($D96,$C$5:$AT$510,17,)/VLOOKUP($D96,$C$5:$AT$510,3,))*$E96)</f>
        <v>0</v>
      </c>
      <c r="T96" s="119">
        <f>IF(VLOOKUP($D96,$C$5:$AT$510,3,)=0,0,(VLOOKUP($D96,$C$5:$AT$510,18,)/VLOOKUP($D96,$C$5:$AT$510,3,))*$E96)</f>
        <v>0</v>
      </c>
      <c r="U96" s="119">
        <f>IF(VLOOKUP($D96,$C$5:$AT$510,3,)=0,0,(VLOOKUP($D96,$C$5:$AT$510,19,)/VLOOKUP($D96,$C$5:$AT$510,3,))*$E96)</f>
        <v>0</v>
      </c>
      <c r="V96" s="119">
        <f>IF(VLOOKUP($D96,$C$5:$AT$510,3,)=0,0,(VLOOKUP($D96,$C$5:$AT$510,20,)/VLOOKUP($D96,$C$5:$AT$510,3,))*$E96)</f>
        <v>0</v>
      </c>
      <c r="W96" s="119">
        <f>IF(VLOOKUP($D96,$C$5:$AT$510,3,)=0,0,(VLOOKUP($D96,$C$5:$AT$510,21,)/VLOOKUP($D96,$C$5:$AT$510,3,))*$E96)</f>
        <v>0</v>
      </c>
      <c r="X96" s="119">
        <f>IF(VLOOKUP($D96,$C$5:$AT$510,3,)=0,0,(VLOOKUP($D96,$C$5:$AT$510,22,)/VLOOKUP($D96,$C$5:$AT$510,3,))*$E96)</f>
        <v>0</v>
      </c>
      <c r="Y96" s="119">
        <f>IF(VLOOKUP($D96,$C$5:$AT$510,3,)=0,0,(VLOOKUP($D96,$C$5:$AT$510,23,)/VLOOKUP($D96,$C$5:$AT$510,3,))*$E96)</f>
        <v>0</v>
      </c>
      <c r="Z96" s="119">
        <f>IF(VLOOKUP($D96,$C$5:$AT$510,3,)=0,0,(VLOOKUP($D96,$C$5:$AT$510,24,)/VLOOKUP($D96,$C$5:$AT$510,3,))*$E96)</f>
        <v>0</v>
      </c>
      <c r="AA96" s="119">
        <f>IF(VLOOKUP($D96,$C$5:$AT$510,3,)=0,0,(VLOOKUP($D96,$C$5:$AT$510,25,)/VLOOKUP($D96,$C$5:$AT$510,3,))*$E96)</f>
        <v>0</v>
      </c>
      <c r="AB96" s="119">
        <f>IF(VLOOKUP($D96,$C$5:$AT$510,3,)=0,0,(VLOOKUP($D96,$C$5:$AT$510,26,)/VLOOKUP($D96,$C$5:$AT$510,3,))*$E96)</f>
        <v>0</v>
      </c>
      <c r="AC96" s="119">
        <f>IF(VLOOKUP($D96,$C$5:$AT$510,3,)=0,0,(VLOOKUP($D96,$C$5:$AT$510,27,)/VLOOKUP($D96,$C$5:$AT$510,3,))*$E96)</f>
        <v>0</v>
      </c>
      <c r="AD96" s="119">
        <f>IF(VLOOKUP($D96,$C$5:$AT$510,3,)=0,0,(VLOOKUP($D96,$C$5:$AT$510,28,)/VLOOKUP($D96,$C$5:$AT$510,3,))*$E96)</f>
        <v>0</v>
      </c>
      <c r="AE96" s="119">
        <f>IF(VLOOKUP($D96,$C$5:$AT$510,3,)=0,0,(VLOOKUP($D96,$C$5:$AT$510,29,)/VLOOKUP($D96,$C$5:$AT$510,3,))*$E96)</f>
        <v>0</v>
      </c>
      <c r="AF96" s="119">
        <f>IF(VLOOKUP($D96,$C$5:$AT$510,3,)=0,0,(VLOOKUP($D96,$C$5:$AT$510,30,)/VLOOKUP($D96,$C$5:$AT$510,3,))*$E96)</f>
        <v>0</v>
      </c>
      <c r="AG96" s="120">
        <f>SUM(F96:AF96)</f>
        <v>46675781.953562662</v>
      </c>
      <c r="AH96" s="103" t="str">
        <f>IF(ABS(E96-AG96)&lt;0.01,"ok","err")</f>
        <v>ok</v>
      </c>
    </row>
    <row r="97" spans="1:34" x14ac:dyDescent="0.25">
      <c r="A97" s="133" t="s">
        <v>221</v>
      </c>
      <c r="C97" s="102" t="s">
        <v>255</v>
      </c>
      <c r="D97" s="102" t="s">
        <v>223</v>
      </c>
      <c r="E97" s="110">
        <f>'Func &amp; Classif'!P144</f>
        <v>18677642.732132934</v>
      </c>
      <c r="F97" s="119">
        <f>IF(VLOOKUP($D97,$C$5:$AT$510,3,)=0,0,(VLOOKUP($D97,$C$5:$AT$510,4,)/VLOOKUP($D97,$C$5:$AT$510,3,))*$E97)</f>
        <v>17669790.630690742</v>
      </c>
      <c r="G97" s="119">
        <f>IF(VLOOKUP($D97,$C$5:$AT$510,3,)=0,0,(VLOOKUP($D97,$C$5:$AT$510,5,)/VLOOKUP($D97,$C$5:$AT$510,3,))*$E97)</f>
        <v>37482.710347110376</v>
      </c>
      <c r="H97" s="119">
        <f>IF(VLOOKUP($D97,$C$5:$AT$510,3,)=0,0,(VLOOKUP($D97,$C$5:$AT$510,6,)/VLOOKUP($D97,$C$5:$AT$510,3,))*$E97)</f>
        <v>384381.5198340927</v>
      </c>
      <c r="I97" s="119">
        <f>IF(VLOOKUP($D97,$C$5:$AT$510,3,)=0,0,(VLOOKUP($D97,$C$5:$AT$510,7,)/VLOOKUP($D97,$C$5:$AT$510,3,))*$E97)</f>
        <v>44832.261395563393</v>
      </c>
      <c r="J97" s="119">
        <f>IF(VLOOKUP($D97,$C$5:$AT$510,3,)=0,0,(VLOOKUP($D97,$C$5:$AT$510,8,)/VLOOKUP($D97,$C$5:$AT$510,3,))*$E97)</f>
        <v>16903.967411441936</v>
      </c>
      <c r="K97" s="119">
        <f>IF(VLOOKUP($D97,$C$5:$AT$510,3,)=0,0,(VLOOKUP($D97,$C$5:$AT$510,9,)/VLOOKUP($D97,$C$5:$AT$510,3,))*$E97)</f>
        <v>229305.99271173408</v>
      </c>
      <c r="L97" s="119">
        <f>IF(VLOOKUP($D97,$C$5:$AT$510,3,)=0,0,(VLOOKUP($D97,$C$5:$AT$510,10,)/VLOOKUP($D97,$C$5:$AT$510,3,))*$E97)</f>
        <v>177859.13537256297</v>
      </c>
      <c r="M97" s="119">
        <f>IF(VLOOKUP($D97,$C$5:$AT$510,3,)=0,0,(VLOOKUP($D97,$C$5:$AT$510,11,)/VLOOKUP($D97,$C$5:$AT$510,3,))*$E97)</f>
        <v>113918.04125102176</v>
      </c>
      <c r="N97" s="119">
        <f>IF(VLOOKUP($D97,$C$5:$AT$510,3,)=0,0,(VLOOKUP($D97,$C$5:$AT$510,12,)/VLOOKUP($D97,$C$5:$AT$510,3,))*$E97)</f>
        <v>2204.8653145359049</v>
      </c>
      <c r="O97" s="119">
        <f>IF(VLOOKUP($D97,$C$5:$AT$510,3,)=0,0,(VLOOKUP($D97,$C$5:$AT$510,13,)/VLOOKUP($D97,$C$5:$AT$510,3,))*$E97)</f>
        <v>0</v>
      </c>
      <c r="P97" s="119">
        <f>IF(VLOOKUP($D97,$C$5:$AT$510,3,)=0,0,(VLOOKUP($D97,$C$5:$AT$510,14,)/VLOOKUP($D97,$C$5:$AT$510,3,))*$E97)</f>
        <v>963.60780413050657</v>
      </c>
      <c r="Q97" s="119">
        <f>IF(VLOOKUP($D97,$C$5:$AT$510,3,)=0,0,(VLOOKUP($D97,$C$5:$AT$510,15,)/VLOOKUP($D97,$C$5:$AT$510,3,))*$E97)</f>
        <v>0</v>
      </c>
      <c r="R97" s="119">
        <f>IF(VLOOKUP($D97,$C$5:$AT$510,3,)=0,0,(VLOOKUP($D97,$C$5:$AT$510,16,)/VLOOKUP($D97,$C$5:$AT$510,3,))*$E97)</f>
        <v>0</v>
      </c>
      <c r="S97" s="119">
        <f>IF(VLOOKUP($D97,$C$5:$AT$510,3,)=0,0,(VLOOKUP($D97,$C$5:$AT$510,17,)/VLOOKUP($D97,$C$5:$AT$510,3,))*$E97)</f>
        <v>0</v>
      </c>
      <c r="T97" s="119">
        <f>IF(VLOOKUP($D97,$C$5:$AT$510,3,)=0,0,(VLOOKUP($D97,$C$5:$AT$510,18,)/VLOOKUP($D97,$C$5:$AT$510,3,))*$E97)</f>
        <v>0</v>
      </c>
      <c r="U97" s="119">
        <f>IF(VLOOKUP($D97,$C$5:$AT$510,3,)=0,0,(VLOOKUP($D97,$C$5:$AT$510,19,)/VLOOKUP($D97,$C$5:$AT$510,3,))*$E97)</f>
        <v>0</v>
      </c>
      <c r="V97" s="119">
        <f>IF(VLOOKUP($D97,$C$5:$AT$510,3,)=0,0,(VLOOKUP($D97,$C$5:$AT$510,20,)/VLOOKUP($D97,$C$5:$AT$510,3,))*$E97)</f>
        <v>0</v>
      </c>
      <c r="W97" s="119">
        <f>IF(VLOOKUP($D97,$C$5:$AT$510,3,)=0,0,(VLOOKUP($D97,$C$5:$AT$510,21,)/VLOOKUP($D97,$C$5:$AT$510,3,))*$E97)</f>
        <v>0</v>
      </c>
      <c r="X97" s="119">
        <f>IF(VLOOKUP($D97,$C$5:$AT$510,3,)=0,0,(VLOOKUP($D97,$C$5:$AT$510,22,)/VLOOKUP($D97,$C$5:$AT$510,3,))*$E97)</f>
        <v>0</v>
      </c>
      <c r="Y97" s="119">
        <f>IF(VLOOKUP($D97,$C$5:$AT$510,3,)=0,0,(VLOOKUP($D97,$C$5:$AT$510,23,)/VLOOKUP($D97,$C$5:$AT$510,3,))*$E97)</f>
        <v>0</v>
      </c>
      <c r="Z97" s="119">
        <f>IF(VLOOKUP($D97,$C$5:$AT$510,3,)=0,0,(VLOOKUP($D97,$C$5:$AT$510,24,)/VLOOKUP($D97,$C$5:$AT$510,3,))*$E97)</f>
        <v>0</v>
      </c>
      <c r="AA97" s="119">
        <f>IF(VLOOKUP($D97,$C$5:$AT$510,3,)=0,0,(VLOOKUP($D97,$C$5:$AT$510,25,)/VLOOKUP($D97,$C$5:$AT$510,3,))*$E97)</f>
        <v>0</v>
      </c>
      <c r="AB97" s="119">
        <f>IF(VLOOKUP($D97,$C$5:$AT$510,3,)=0,0,(VLOOKUP($D97,$C$5:$AT$510,26,)/VLOOKUP($D97,$C$5:$AT$510,3,))*$E97)</f>
        <v>0</v>
      </c>
      <c r="AC97" s="119">
        <f>IF(VLOOKUP($D97,$C$5:$AT$510,3,)=0,0,(VLOOKUP($D97,$C$5:$AT$510,27,)/VLOOKUP($D97,$C$5:$AT$510,3,))*$E97)</f>
        <v>0</v>
      </c>
      <c r="AD97" s="119">
        <f>IF(VLOOKUP($D97,$C$5:$AT$510,3,)=0,0,(VLOOKUP($D97,$C$5:$AT$510,28,)/VLOOKUP($D97,$C$5:$AT$510,3,))*$E97)</f>
        <v>0</v>
      </c>
      <c r="AE97" s="119">
        <f>IF(VLOOKUP($D97,$C$5:$AT$510,3,)=0,0,(VLOOKUP($D97,$C$5:$AT$510,29,)/VLOOKUP($D97,$C$5:$AT$510,3,))*$E97)</f>
        <v>0</v>
      </c>
      <c r="AF97" s="119">
        <f>IF(VLOOKUP($D97,$C$5:$AT$510,3,)=0,0,(VLOOKUP($D97,$C$5:$AT$510,30,)/VLOOKUP($D97,$C$5:$AT$510,3,))*$E97)</f>
        <v>0</v>
      </c>
      <c r="AG97" s="120">
        <f>SUM(F97:AF97)</f>
        <v>18677642.732132938</v>
      </c>
      <c r="AH97" s="103" t="str">
        <f>IF(ABS(E97-AG97)&lt;0.01,"ok","err")</f>
        <v>ok</v>
      </c>
    </row>
    <row r="98" spans="1:34" x14ac:dyDescent="0.25">
      <c r="A98" s="102" t="s">
        <v>224</v>
      </c>
      <c r="E98" s="119">
        <f t="shared" ref="E98:T98" si="18">E96+E97</f>
        <v>65353424.685695589</v>
      </c>
      <c r="F98" s="119">
        <f t="shared" si="18"/>
        <v>51377954.690724149</v>
      </c>
      <c r="G98" s="119">
        <f t="shared" si="18"/>
        <v>137180.37666470639</v>
      </c>
      <c r="H98" s="119">
        <f t="shared" si="18"/>
        <v>2210486.4468786316</v>
      </c>
      <c r="I98" s="119">
        <f t="shared" si="18"/>
        <v>4864748.8106802274</v>
      </c>
      <c r="J98" s="119">
        <f t="shared" si="18"/>
        <v>849001.82056978194</v>
      </c>
      <c r="K98" s="119">
        <f t="shared" si="18"/>
        <v>265514.33084100136</v>
      </c>
      <c r="L98" s="119">
        <f t="shared" si="18"/>
        <v>1201017.3285458817</v>
      </c>
      <c r="M98" s="119">
        <f t="shared" si="18"/>
        <v>4401374.3580504265</v>
      </c>
      <c r="N98" s="119">
        <f t="shared" si="18"/>
        <v>38934.790357985716</v>
      </c>
      <c r="O98" s="119">
        <f t="shared" si="18"/>
        <v>0</v>
      </c>
      <c r="P98" s="119">
        <f t="shared" si="18"/>
        <v>7211.7323827996306</v>
      </c>
      <c r="Q98" s="119">
        <f t="shared" si="18"/>
        <v>0</v>
      </c>
      <c r="R98" s="119">
        <f t="shared" si="18"/>
        <v>0</v>
      </c>
      <c r="S98" s="119">
        <f t="shared" si="18"/>
        <v>0</v>
      </c>
      <c r="T98" s="119">
        <f t="shared" si="18"/>
        <v>0</v>
      </c>
      <c r="U98" s="119">
        <f t="shared" ref="U98:AF98" si="19">U96+U97</f>
        <v>0</v>
      </c>
      <c r="V98" s="119">
        <f t="shared" si="19"/>
        <v>0</v>
      </c>
      <c r="W98" s="119">
        <f t="shared" si="19"/>
        <v>0</v>
      </c>
      <c r="X98" s="119">
        <f t="shared" si="19"/>
        <v>0</v>
      </c>
      <c r="Y98" s="119">
        <f t="shared" si="19"/>
        <v>0</v>
      </c>
      <c r="Z98" s="119">
        <f t="shared" si="19"/>
        <v>0</v>
      </c>
      <c r="AA98" s="119">
        <f t="shared" si="19"/>
        <v>0</v>
      </c>
      <c r="AB98" s="119">
        <f t="shared" si="19"/>
        <v>0</v>
      </c>
      <c r="AC98" s="119">
        <f t="shared" si="19"/>
        <v>0</v>
      </c>
      <c r="AD98" s="119">
        <f t="shared" si="19"/>
        <v>0</v>
      </c>
      <c r="AE98" s="119">
        <f t="shared" si="19"/>
        <v>0</v>
      </c>
      <c r="AF98" s="119">
        <f t="shared" si="19"/>
        <v>0</v>
      </c>
      <c r="AG98" s="120">
        <f>SUM(F98:AF98)</f>
        <v>65353424.685695596</v>
      </c>
      <c r="AH98" s="103" t="str">
        <f>IF(ABS(E98-AG98)&lt;0.01,"ok","err")</f>
        <v>ok</v>
      </c>
    </row>
    <row r="99" spans="1:34" x14ac:dyDescent="0.25">
      <c r="E99" s="110"/>
    </row>
    <row r="100" spans="1:34" x14ac:dyDescent="0.25">
      <c r="A100" s="132" t="s">
        <v>3</v>
      </c>
      <c r="E100" s="110"/>
    </row>
    <row r="101" spans="1:34" x14ac:dyDescent="0.25">
      <c r="A101" s="133" t="s">
        <v>209</v>
      </c>
      <c r="C101" s="102" t="s">
        <v>256</v>
      </c>
      <c r="D101" s="102" t="s">
        <v>617</v>
      </c>
      <c r="E101" s="119">
        <f>'Func &amp; Classif'!R144</f>
        <v>0</v>
      </c>
      <c r="F101" s="119">
        <f>IF(VLOOKUP($D101,$C$5:$AT$510,3,)=0,0,(VLOOKUP($D101,$C$5:$AT$510,4,)/VLOOKUP($D101,$C$5:$AT$510,3,))*$E101)</f>
        <v>0</v>
      </c>
      <c r="G101" s="119">
        <f>IF(VLOOKUP($D101,$C$5:$AT$510,3,)=0,0,(VLOOKUP($D101,$C$5:$AT$510,5,)/VLOOKUP($D101,$C$5:$AT$510,3,))*$E101)</f>
        <v>0</v>
      </c>
      <c r="H101" s="119">
        <f>IF(VLOOKUP($D101,$C$5:$AT$510,3,)=0,0,(VLOOKUP($D101,$C$5:$AT$510,6,)/VLOOKUP($D101,$C$5:$AT$510,3,))*$E101)</f>
        <v>0</v>
      </c>
      <c r="I101" s="119">
        <f>IF(VLOOKUP($D101,$C$5:$AT$510,3,)=0,0,(VLOOKUP($D101,$C$5:$AT$510,7,)/VLOOKUP($D101,$C$5:$AT$510,3,))*$E101)</f>
        <v>0</v>
      </c>
      <c r="J101" s="119">
        <f>IF(VLOOKUP($D101,$C$5:$AT$510,3,)=0,0,(VLOOKUP($D101,$C$5:$AT$510,8,)/VLOOKUP($D101,$C$5:$AT$510,3,))*$E101)</f>
        <v>0</v>
      </c>
      <c r="K101" s="119">
        <f>IF(VLOOKUP($D101,$C$5:$AT$510,3,)=0,0,(VLOOKUP($D101,$C$5:$AT$510,9,)/VLOOKUP($D101,$C$5:$AT$510,3,))*$E101)</f>
        <v>0</v>
      </c>
      <c r="L101" s="119">
        <f>IF(VLOOKUP($D101,$C$5:$AT$510,3,)=0,0,(VLOOKUP($D101,$C$5:$AT$510,10,)/VLOOKUP($D101,$C$5:$AT$510,3,))*$E101)</f>
        <v>0</v>
      </c>
      <c r="M101" s="119">
        <f>IF(VLOOKUP($D101,$C$5:$AT$510,3,)=0,0,(VLOOKUP($D101,$C$5:$AT$510,11,)/VLOOKUP($D101,$C$5:$AT$510,3,))*$E101)</f>
        <v>0</v>
      </c>
      <c r="N101" s="119">
        <f>IF(VLOOKUP($D101,$C$5:$AT$510,3,)=0,0,(VLOOKUP($D101,$C$5:$AT$510,12,)/VLOOKUP($D101,$C$5:$AT$510,3,))*$E101)</f>
        <v>0</v>
      </c>
      <c r="O101" s="119">
        <f>IF(VLOOKUP($D101,$C$5:$AT$510,3,)=0,0,(VLOOKUP($D101,$C$5:$AT$510,13,)/VLOOKUP($D101,$C$5:$AT$510,3,))*$E101)</f>
        <v>0</v>
      </c>
      <c r="P101" s="119">
        <f>IF(VLOOKUP($D101,$C$5:$AT$510,3,)=0,0,(VLOOKUP($D101,$C$5:$AT$510,14,)/VLOOKUP($D101,$C$5:$AT$510,3,))*$E101)</f>
        <v>0</v>
      </c>
      <c r="Q101" s="119">
        <f>IF(VLOOKUP($D101,$C$5:$AT$510,3,)=0,0,(VLOOKUP($D101,$C$5:$AT$510,15,)/VLOOKUP($D101,$C$5:$AT$510,3,))*$E101)</f>
        <v>0</v>
      </c>
      <c r="R101" s="119">
        <f>IF(VLOOKUP($D101,$C$5:$AT$510,3,)=0,0,(VLOOKUP($D101,$C$5:$AT$510,16,)/VLOOKUP($D101,$C$5:$AT$510,3,))*$E101)</f>
        <v>0</v>
      </c>
      <c r="S101" s="119">
        <f>IF(VLOOKUP($D101,$C$5:$AT$510,3,)=0,0,(VLOOKUP($D101,$C$5:$AT$510,17,)/VLOOKUP($D101,$C$5:$AT$510,3,))*$E101)</f>
        <v>0</v>
      </c>
      <c r="T101" s="119">
        <f>IF(VLOOKUP($D101,$C$5:$AT$510,3,)=0,0,(VLOOKUP($D101,$C$5:$AT$510,18,)/VLOOKUP($D101,$C$5:$AT$510,3,))*$E101)</f>
        <v>0</v>
      </c>
      <c r="U101" s="119">
        <f>IF(VLOOKUP($D101,$C$5:$AT$510,3,)=0,0,(VLOOKUP($D101,$C$5:$AT$510,19,)/VLOOKUP($D101,$C$5:$AT$510,3,))*$E101)</f>
        <v>0</v>
      </c>
      <c r="V101" s="119">
        <f>IF(VLOOKUP($D101,$C$5:$AT$510,3,)=0,0,(VLOOKUP($D101,$C$5:$AT$510,20,)/VLOOKUP($D101,$C$5:$AT$510,3,))*$E101)</f>
        <v>0</v>
      </c>
      <c r="W101" s="119">
        <f>IF(VLOOKUP($D101,$C$5:$AT$510,3,)=0,0,(VLOOKUP($D101,$C$5:$AT$510,21,)/VLOOKUP($D101,$C$5:$AT$510,3,))*$E101)</f>
        <v>0</v>
      </c>
      <c r="X101" s="119">
        <f>IF(VLOOKUP($D101,$C$5:$AT$510,3,)=0,0,(VLOOKUP($D101,$C$5:$AT$510,22,)/VLOOKUP($D101,$C$5:$AT$510,3,))*$E101)</f>
        <v>0</v>
      </c>
      <c r="Y101" s="119">
        <f>IF(VLOOKUP($D101,$C$5:$AT$510,3,)=0,0,(VLOOKUP($D101,$C$5:$AT$510,23,)/VLOOKUP($D101,$C$5:$AT$510,3,))*$E101)</f>
        <v>0</v>
      </c>
      <c r="Z101" s="119">
        <f>IF(VLOOKUP($D101,$C$5:$AT$510,3,)=0,0,(VLOOKUP($D101,$C$5:$AT$510,24,)/VLOOKUP($D101,$C$5:$AT$510,3,))*$E101)</f>
        <v>0</v>
      </c>
      <c r="AA101" s="119">
        <f>IF(VLOOKUP($D101,$C$5:$AT$510,3,)=0,0,(VLOOKUP($D101,$C$5:$AT$510,25,)/VLOOKUP($D101,$C$5:$AT$510,3,))*$E101)</f>
        <v>0</v>
      </c>
      <c r="AB101" s="119">
        <f>IF(VLOOKUP($D101,$C$5:$AT$510,3,)=0,0,(VLOOKUP($D101,$C$5:$AT$510,26,)/VLOOKUP($D101,$C$5:$AT$510,3,))*$E101)</f>
        <v>0</v>
      </c>
      <c r="AC101" s="119">
        <f>IF(VLOOKUP($D101,$C$5:$AT$510,3,)=0,0,(VLOOKUP($D101,$C$5:$AT$510,27,)/VLOOKUP($D101,$C$5:$AT$510,3,))*$E101)</f>
        <v>0</v>
      </c>
      <c r="AD101" s="119">
        <f>IF(VLOOKUP($D101,$C$5:$AT$510,3,)=0,0,(VLOOKUP($D101,$C$5:$AT$510,28,)/VLOOKUP($D101,$C$5:$AT$510,3,))*$E101)</f>
        <v>0</v>
      </c>
      <c r="AE101" s="119">
        <f>IF(VLOOKUP($D101,$C$5:$AT$510,3,)=0,0,(VLOOKUP($D101,$C$5:$AT$510,29,)/VLOOKUP($D101,$C$5:$AT$510,3,))*$E101)</f>
        <v>0</v>
      </c>
      <c r="AF101" s="119">
        <f>IF(VLOOKUP($D101,$C$5:$AT$510,3,)=0,0,(VLOOKUP($D101,$C$5:$AT$510,30,)/VLOOKUP($D101,$C$5:$AT$510,3,))*$E101)</f>
        <v>0</v>
      </c>
      <c r="AG101" s="120">
        <f>SUM(F101:AF101)</f>
        <v>0</v>
      </c>
      <c r="AH101" s="103" t="str">
        <f>IF(ABS(E101-AG101)&lt;0.01,"ok","err")</f>
        <v>ok</v>
      </c>
    </row>
    <row r="102" spans="1:34" x14ac:dyDescent="0.25">
      <c r="A102" s="133" t="s">
        <v>221</v>
      </c>
      <c r="C102" s="102" t="s">
        <v>257</v>
      </c>
      <c r="D102" s="102" t="s">
        <v>698</v>
      </c>
      <c r="E102" s="110">
        <f>'Func &amp; Classif'!S144</f>
        <v>5721866.7112065936</v>
      </c>
      <c r="F102" s="119">
        <f>IF(VLOOKUP($D102,$C$5:$AT$510,3,)=0,0,(VLOOKUP($D102,$C$5:$AT$510,4,)/VLOOKUP($D102,$C$5:$AT$510,3,))*$E102)</f>
        <v>5387556.8229756076</v>
      </c>
      <c r="G102" s="119">
        <f>IF(VLOOKUP($D102,$C$5:$AT$510,3,)=0,0,(VLOOKUP($D102,$C$5:$AT$510,5,)/VLOOKUP($D102,$C$5:$AT$510,3,))*$E102)</f>
        <v>11428.558271847434</v>
      </c>
      <c r="H102" s="119">
        <f>IF(VLOOKUP($D102,$C$5:$AT$510,3,)=0,0,(VLOOKUP($D102,$C$5:$AT$510,6,)/VLOOKUP($D102,$C$5:$AT$510,3,))*$E102)</f>
        <v>117198.74463090603</v>
      </c>
      <c r="I102" s="119">
        <f>IF(VLOOKUP($D102,$C$5:$AT$510,3,)=0,0,(VLOOKUP($D102,$C$5:$AT$510,7,)/VLOOKUP($D102,$C$5:$AT$510,3,))*$E102)</f>
        <v>13669.45205064105</v>
      </c>
      <c r="J102" s="119">
        <f>IF(VLOOKUP($D102,$C$5:$AT$510,3,)=0,0,(VLOOKUP($D102,$C$5:$AT$510,8,)/VLOOKUP($D102,$C$5:$AT$510,3,))*$E102)</f>
        <v>5154.0556912253132</v>
      </c>
      <c r="K102" s="119">
        <f>IF(VLOOKUP($D102,$C$5:$AT$510,3,)=0,0,(VLOOKUP($D102,$C$5:$AT$510,9,)/VLOOKUP($D102,$C$5:$AT$510,3,))*$E102)</f>
        <v>69915.885898360764</v>
      </c>
      <c r="L102" s="119">
        <f>IF(VLOOKUP($D102,$C$5:$AT$510,3,)=0,0,(VLOOKUP($D102,$C$5:$AT$510,10,)/VLOOKUP($D102,$C$5:$AT$510,3,))*$E102)</f>
        <v>58367.24000053465</v>
      </c>
      <c r="M102" s="119">
        <f>IF(VLOOKUP($D102,$C$5:$AT$510,3,)=0,0,(VLOOKUP($D102,$C$5:$AT$510,11,)/VLOOKUP($D102,$C$5:$AT$510,3,))*$E102)</f>
        <v>57463.75007315242</v>
      </c>
      <c r="N102" s="119">
        <f>IF(VLOOKUP($D102,$C$5:$AT$510,3,)=0,0,(VLOOKUP($D102,$C$5:$AT$510,12,)/VLOOKUP($D102,$C$5:$AT$510,3,))*$E102)</f>
        <v>1112.201614319079</v>
      </c>
      <c r="O102" s="119">
        <f>IF(VLOOKUP($D102,$C$5:$AT$510,3,)=0,0,(VLOOKUP($D102,$C$5:$AT$510,13,)/VLOOKUP($D102,$C$5:$AT$510,3,))*$E102)</f>
        <v>0</v>
      </c>
      <c r="P102" s="119">
        <f>IF(VLOOKUP($D102,$C$5:$AT$510,3,)=0,0,(VLOOKUP($D102,$C$5:$AT$510,14,)/VLOOKUP($D102,$C$5:$AT$510,3,))*$E102)</f>
        <v>0</v>
      </c>
      <c r="Q102" s="119">
        <f>IF(VLOOKUP($D102,$C$5:$AT$510,3,)=0,0,(VLOOKUP($D102,$C$5:$AT$510,15,)/VLOOKUP($D102,$C$5:$AT$510,3,))*$E102)</f>
        <v>0</v>
      </c>
      <c r="R102" s="119">
        <f>IF(VLOOKUP($D102,$C$5:$AT$510,3,)=0,0,(VLOOKUP($D102,$C$5:$AT$510,16,)/VLOOKUP($D102,$C$5:$AT$510,3,))*$E102)</f>
        <v>0</v>
      </c>
      <c r="S102" s="119">
        <f>IF(VLOOKUP($D102,$C$5:$AT$510,3,)=0,0,(VLOOKUP($D102,$C$5:$AT$510,17,)/VLOOKUP($D102,$C$5:$AT$510,3,))*$E102)</f>
        <v>0</v>
      </c>
      <c r="T102" s="119">
        <f>IF(VLOOKUP($D102,$C$5:$AT$510,3,)=0,0,(VLOOKUP($D102,$C$5:$AT$510,18,)/VLOOKUP($D102,$C$5:$AT$510,3,))*$E102)</f>
        <v>0</v>
      </c>
      <c r="U102" s="119">
        <f>IF(VLOOKUP($D102,$C$5:$AT$510,3,)=0,0,(VLOOKUP($D102,$C$5:$AT$510,19,)/VLOOKUP($D102,$C$5:$AT$510,3,))*$E102)</f>
        <v>0</v>
      </c>
      <c r="V102" s="119">
        <f>IF(VLOOKUP($D102,$C$5:$AT$510,3,)=0,0,(VLOOKUP($D102,$C$5:$AT$510,20,)/VLOOKUP($D102,$C$5:$AT$510,3,))*$E102)</f>
        <v>0</v>
      </c>
      <c r="W102" s="119">
        <f>IF(VLOOKUP($D102,$C$5:$AT$510,3,)=0,0,(VLOOKUP($D102,$C$5:$AT$510,21,)/VLOOKUP($D102,$C$5:$AT$510,3,))*$E102)</f>
        <v>0</v>
      </c>
      <c r="X102" s="119">
        <f>IF(VLOOKUP($D102,$C$5:$AT$510,3,)=0,0,(VLOOKUP($D102,$C$5:$AT$510,22,)/VLOOKUP($D102,$C$5:$AT$510,3,))*$E102)</f>
        <v>0</v>
      </c>
      <c r="Y102" s="119">
        <f>IF(VLOOKUP($D102,$C$5:$AT$510,3,)=0,0,(VLOOKUP($D102,$C$5:$AT$510,23,)/VLOOKUP($D102,$C$5:$AT$510,3,))*$E102)</f>
        <v>0</v>
      </c>
      <c r="Z102" s="119">
        <f>IF(VLOOKUP($D102,$C$5:$AT$510,3,)=0,0,(VLOOKUP($D102,$C$5:$AT$510,24,)/VLOOKUP($D102,$C$5:$AT$510,3,))*$E102)</f>
        <v>0</v>
      </c>
      <c r="AA102" s="119">
        <f>IF(VLOOKUP($D102,$C$5:$AT$510,3,)=0,0,(VLOOKUP($D102,$C$5:$AT$510,25,)/VLOOKUP($D102,$C$5:$AT$510,3,))*$E102)</f>
        <v>0</v>
      </c>
      <c r="AB102" s="119">
        <f>IF(VLOOKUP($D102,$C$5:$AT$510,3,)=0,0,(VLOOKUP($D102,$C$5:$AT$510,26,)/VLOOKUP($D102,$C$5:$AT$510,3,))*$E102)</f>
        <v>0</v>
      </c>
      <c r="AC102" s="119">
        <f>IF(VLOOKUP($D102,$C$5:$AT$510,3,)=0,0,(VLOOKUP($D102,$C$5:$AT$510,27,)/VLOOKUP($D102,$C$5:$AT$510,3,))*$E102)</f>
        <v>0</v>
      </c>
      <c r="AD102" s="119">
        <f>IF(VLOOKUP($D102,$C$5:$AT$510,3,)=0,0,(VLOOKUP($D102,$C$5:$AT$510,28,)/VLOOKUP($D102,$C$5:$AT$510,3,))*$E102)</f>
        <v>0</v>
      </c>
      <c r="AE102" s="119">
        <f>IF(VLOOKUP($D102,$C$5:$AT$510,3,)=0,0,(VLOOKUP($D102,$C$5:$AT$510,29,)/VLOOKUP($D102,$C$5:$AT$510,3,))*$E102)</f>
        <v>0</v>
      </c>
      <c r="AF102" s="119">
        <f>IF(VLOOKUP($D102,$C$5:$AT$510,3,)=0,0,(VLOOKUP($D102,$C$5:$AT$510,30,)/VLOOKUP($D102,$C$5:$AT$510,3,))*$E102)</f>
        <v>0</v>
      </c>
      <c r="AG102" s="120">
        <f>SUM(F102:AF102)</f>
        <v>5721866.7112065954</v>
      </c>
      <c r="AH102" s="103" t="str">
        <f>IF(ABS(E102-AG102)&lt;0.01,"ok","err")</f>
        <v>ok</v>
      </c>
    </row>
    <row r="103" spans="1:34" x14ac:dyDescent="0.25">
      <c r="A103" s="102" t="s">
        <v>228</v>
      </c>
      <c r="E103" s="119">
        <f t="shared" ref="E103:T103" si="20">E101+E102</f>
        <v>5721866.7112065936</v>
      </c>
      <c r="F103" s="119">
        <f t="shared" si="20"/>
        <v>5387556.8229756076</v>
      </c>
      <c r="G103" s="119">
        <f t="shared" si="20"/>
        <v>11428.558271847434</v>
      </c>
      <c r="H103" s="119">
        <f t="shared" si="20"/>
        <v>117198.74463090603</v>
      </c>
      <c r="I103" s="119">
        <f t="shared" si="20"/>
        <v>13669.45205064105</v>
      </c>
      <c r="J103" s="119">
        <f t="shared" si="20"/>
        <v>5154.0556912253132</v>
      </c>
      <c r="K103" s="119">
        <f t="shared" si="20"/>
        <v>69915.885898360764</v>
      </c>
      <c r="L103" s="119">
        <f t="shared" si="20"/>
        <v>58367.24000053465</v>
      </c>
      <c r="M103" s="119">
        <f t="shared" si="20"/>
        <v>57463.75007315242</v>
      </c>
      <c r="N103" s="119">
        <f t="shared" si="20"/>
        <v>1112.201614319079</v>
      </c>
      <c r="O103" s="119">
        <f t="shared" si="20"/>
        <v>0</v>
      </c>
      <c r="P103" s="119">
        <f t="shared" si="20"/>
        <v>0</v>
      </c>
      <c r="Q103" s="119">
        <f t="shared" si="20"/>
        <v>0</v>
      </c>
      <c r="R103" s="119">
        <f t="shared" si="20"/>
        <v>0</v>
      </c>
      <c r="S103" s="119">
        <f t="shared" si="20"/>
        <v>0</v>
      </c>
      <c r="T103" s="119">
        <f t="shared" si="20"/>
        <v>0</v>
      </c>
      <c r="U103" s="119">
        <f t="shared" ref="U103:AF103" si="21">U101+U102</f>
        <v>0</v>
      </c>
      <c r="V103" s="119">
        <f t="shared" si="21"/>
        <v>0</v>
      </c>
      <c r="W103" s="119">
        <f t="shared" si="21"/>
        <v>0</v>
      </c>
      <c r="X103" s="119">
        <f t="shared" si="21"/>
        <v>0</v>
      </c>
      <c r="Y103" s="119">
        <f t="shared" si="21"/>
        <v>0</v>
      </c>
      <c r="Z103" s="119">
        <f t="shared" si="21"/>
        <v>0</v>
      </c>
      <c r="AA103" s="119">
        <f t="shared" si="21"/>
        <v>0</v>
      </c>
      <c r="AB103" s="119">
        <f t="shared" si="21"/>
        <v>0</v>
      </c>
      <c r="AC103" s="119">
        <f t="shared" si="21"/>
        <v>0</v>
      </c>
      <c r="AD103" s="119">
        <f t="shared" si="21"/>
        <v>0</v>
      </c>
      <c r="AE103" s="119">
        <f t="shared" si="21"/>
        <v>0</v>
      </c>
      <c r="AF103" s="119">
        <f t="shared" si="21"/>
        <v>0</v>
      </c>
      <c r="AG103" s="120">
        <f>SUM(F103:AF103)</f>
        <v>5721866.7112065954</v>
      </c>
      <c r="AH103" s="103" t="str">
        <f>IF(ABS(E103-AG103)&lt;0.01,"ok","err")</f>
        <v>ok</v>
      </c>
    </row>
    <row r="104" spans="1:34" x14ac:dyDescent="0.25">
      <c r="E104" s="110"/>
    </row>
    <row r="105" spans="1:34" x14ac:dyDescent="0.25">
      <c r="A105" s="132" t="s">
        <v>4</v>
      </c>
      <c r="E105" s="110"/>
    </row>
    <row r="106" spans="1:34" x14ac:dyDescent="0.25">
      <c r="A106" s="133" t="s">
        <v>221</v>
      </c>
      <c r="C106" s="102" t="s">
        <v>258</v>
      </c>
      <c r="D106" s="102" t="s">
        <v>230</v>
      </c>
      <c r="E106" s="119">
        <f>'Func &amp; Classif'!U144</f>
        <v>4546157.1712484462</v>
      </c>
      <c r="F106" s="119">
        <f>IF(VLOOKUP($D106,$C$5:$AT$510,3,)=0,0,(VLOOKUP($D106,$C$5:$AT$510,4,)/VLOOKUP($D106,$C$5:$AT$510,3,))*$E106)</f>
        <v>4099040.9985050792</v>
      </c>
      <c r="G106" s="119">
        <f>IF(VLOOKUP($D106,$C$5:$AT$510,3,)=0,0,(VLOOKUP($D106,$C$5:$AT$510,5,)/VLOOKUP($D106,$C$5:$AT$510,3,))*$E106)</f>
        <v>8695.2454422992705</v>
      </c>
      <c r="H106" s="119">
        <f>IF(VLOOKUP($D106,$C$5:$AT$510,3,)=0,0,(VLOOKUP($D106,$C$5:$AT$510,6,)/VLOOKUP($D106,$C$5:$AT$510,3,))*$E106)</f>
        <v>89168.889535735652</v>
      </c>
      <c r="I106" s="119">
        <f>IF(VLOOKUP($D106,$C$5:$AT$510,3,)=0,0,(VLOOKUP($D106,$C$5:$AT$510,7,)/VLOOKUP($D106,$C$5:$AT$510,3,))*$E106)</f>
        <v>10400.195529024617</v>
      </c>
      <c r="J106" s="119">
        <f>IF(VLOOKUP($D106,$C$5:$AT$510,3,)=0,0,(VLOOKUP($D106,$C$5:$AT$510,8,)/VLOOKUP($D106,$C$5:$AT$510,3,))*$E106)</f>
        <v>3921.3851994682987</v>
      </c>
      <c r="K106" s="119">
        <f>IF(VLOOKUP($D106,$C$5:$AT$510,3,)=0,0,(VLOOKUP($D106,$C$5:$AT$510,9,)/VLOOKUP($D106,$C$5:$AT$510,3,))*$E106)</f>
        <v>53194.442705830828</v>
      </c>
      <c r="L106" s="119">
        <f>IF(VLOOKUP($D106,$C$5:$AT$510,3,)=0,0,(VLOOKUP($D106,$C$5:$AT$510,10,)/VLOOKUP($D106,$C$5:$AT$510,3,))*$E106)</f>
        <v>170450.28867025994</v>
      </c>
      <c r="M106" s="119">
        <f>IF(VLOOKUP($D106,$C$5:$AT$510,3,)=0,0,(VLOOKUP($D106,$C$5:$AT$510,11,)/VLOOKUP($D106,$C$5:$AT$510,3,))*$E106)</f>
        <v>109172.70555326565</v>
      </c>
      <c r="N106" s="119">
        <f>IF(VLOOKUP($D106,$C$5:$AT$510,3,)=0,0,(VLOOKUP($D106,$C$5:$AT$510,12,)/VLOOKUP($D106,$C$5:$AT$510,3,))*$E106)</f>
        <v>2113.0201074825613</v>
      </c>
      <c r="O106" s="119">
        <f>IF(VLOOKUP($D106,$C$5:$AT$510,3,)=0,0,(VLOOKUP($D106,$C$5:$AT$510,13,)/VLOOKUP($D106,$C$5:$AT$510,3,))*$E106)</f>
        <v>0</v>
      </c>
      <c r="P106" s="119">
        <f>IF(VLOOKUP($D106,$C$5:$AT$510,3,)=0,0,(VLOOKUP($D106,$C$5:$AT$510,14,)/VLOOKUP($D106,$C$5:$AT$510,3,))*$E106)</f>
        <v>0</v>
      </c>
      <c r="Q106" s="119">
        <f>IF(VLOOKUP($D106,$C$5:$AT$510,3,)=0,0,(VLOOKUP($D106,$C$5:$AT$510,15,)/VLOOKUP($D106,$C$5:$AT$510,3,))*$E106)</f>
        <v>0</v>
      </c>
      <c r="R106" s="119">
        <f>IF(VLOOKUP($D106,$C$5:$AT$510,3,)=0,0,(VLOOKUP($D106,$C$5:$AT$510,16,)/VLOOKUP($D106,$C$5:$AT$510,3,))*$E106)</f>
        <v>0</v>
      </c>
      <c r="S106" s="119">
        <f>IF(VLOOKUP($D106,$C$5:$AT$510,3,)=0,0,(VLOOKUP($D106,$C$5:$AT$510,17,)/VLOOKUP($D106,$C$5:$AT$510,3,))*$E106)</f>
        <v>0</v>
      </c>
      <c r="T106" s="119">
        <f>IF(VLOOKUP($D106,$C$5:$AT$510,3,)=0,0,(VLOOKUP($D106,$C$5:$AT$510,18,)/VLOOKUP($D106,$C$5:$AT$510,3,))*$E106)</f>
        <v>0</v>
      </c>
      <c r="U106" s="119">
        <f>IF(VLOOKUP($D106,$C$5:$AT$510,3,)=0,0,(VLOOKUP($D106,$C$5:$AT$510,19,)/VLOOKUP($D106,$C$5:$AT$510,3,))*$E106)</f>
        <v>0</v>
      </c>
      <c r="V106" s="119">
        <f>IF(VLOOKUP($D106,$C$5:$AT$510,3,)=0,0,(VLOOKUP($D106,$C$5:$AT$510,20,)/VLOOKUP($D106,$C$5:$AT$510,3,))*$E106)</f>
        <v>0</v>
      </c>
      <c r="W106" s="119">
        <f>IF(VLOOKUP($D106,$C$5:$AT$510,3,)=0,0,(VLOOKUP($D106,$C$5:$AT$510,21,)/VLOOKUP($D106,$C$5:$AT$510,3,))*$E106)</f>
        <v>0</v>
      </c>
      <c r="X106" s="119">
        <f>IF(VLOOKUP($D106,$C$5:$AT$510,3,)=0,0,(VLOOKUP($D106,$C$5:$AT$510,22,)/VLOOKUP($D106,$C$5:$AT$510,3,))*$E106)</f>
        <v>0</v>
      </c>
      <c r="Y106" s="119">
        <f>IF(VLOOKUP($D106,$C$5:$AT$510,3,)=0,0,(VLOOKUP($D106,$C$5:$AT$510,23,)/VLOOKUP($D106,$C$5:$AT$510,3,))*$E106)</f>
        <v>0</v>
      </c>
      <c r="Z106" s="119">
        <f>IF(VLOOKUP($D106,$C$5:$AT$510,3,)=0,0,(VLOOKUP($D106,$C$5:$AT$510,24,)/VLOOKUP($D106,$C$5:$AT$510,3,))*$E106)</f>
        <v>0</v>
      </c>
      <c r="AA106" s="119">
        <f>IF(VLOOKUP($D106,$C$5:$AT$510,3,)=0,0,(VLOOKUP($D106,$C$5:$AT$510,25,)/VLOOKUP($D106,$C$5:$AT$510,3,))*$E106)</f>
        <v>0</v>
      </c>
      <c r="AB106" s="119">
        <f>IF(VLOOKUP($D106,$C$5:$AT$510,3,)=0,0,(VLOOKUP($D106,$C$5:$AT$510,26,)/VLOOKUP($D106,$C$5:$AT$510,3,))*$E106)</f>
        <v>0</v>
      </c>
      <c r="AC106" s="119">
        <f>IF(VLOOKUP($D106,$C$5:$AT$510,3,)=0,0,(VLOOKUP($D106,$C$5:$AT$510,27,)/VLOOKUP($D106,$C$5:$AT$510,3,))*$E106)</f>
        <v>0</v>
      </c>
      <c r="AD106" s="119">
        <f>IF(VLOOKUP($D106,$C$5:$AT$510,3,)=0,0,(VLOOKUP($D106,$C$5:$AT$510,28,)/VLOOKUP($D106,$C$5:$AT$510,3,))*$E106)</f>
        <v>0</v>
      </c>
      <c r="AE106" s="119">
        <f>IF(VLOOKUP($D106,$C$5:$AT$510,3,)=0,0,(VLOOKUP($D106,$C$5:$AT$510,29,)/VLOOKUP($D106,$C$5:$AT$510,3,))*$E106)</f>
        <v>0</v>
      </c>
      <c r="AF106" s="119">
        <f>IF(VLOOKUP($D106,$C$5:$AT$510,3,)=0,0,(VLOOKUP($D106,$C$5:$AT$510,30,)/VLOOKUP($D106,$C$5:$AT$510,3,))*$E106)</f>
        <v>0</v>
      </c>
      <c r="AG106" s="120">
        <f>SUM(F106:AF106)</f>
        <v>4546157.1712484453</v>
      </c>
      <c r="AH106" s="103" t="str">
        <f>IF(ABS(E106-AG106)&lt;0.01,"ok","err")</f>
        <v>ok</v>
      </c>
    </row>
    <row r="107" spans="1:34" x14ac:dyDescent="0.25">
      <c r="E107" s="110"/>
    </row>
    <row r="108" spans="1:34" x14ac:dyDescent="0.25">
      <c r="A108" s="132" t="s">
        <v>5</v>
      </c>
      <c r="E108" s="110"/>
    </row>
    <row r="109" spans="1:34" x14ac:dyDescent="0.25">
      <c r="A109" s="133" t="s">
        <v>221</v>
      </c>
      <c r="C109" s="102" t="s">
        <v>259</v>
      </c>
      <c r="D109" s="102" t="s">
        <v>232</v>
      </c>
      <c r="E109" s="119">
        <f>'Func &amp; Classif'!W144</f>
        <v>2564241.0601613987</v>
      </c>
      <c r="F109" s="119">
        <f>IF(VLOOKUP($D109,$C$5:$AT$510,3,)=0,0,(VLOOKUP($D109,$C$5:$AT$510,4,)/VLOOKUP($D109,$C$5:$AT$510,3,))*$E109)</f>
        <v>0</v>
      </c>
      <c r="G109" s="119">
        <f>IF(VLOOKUP($D109,$C$5:$AT$510,3,)=0,0,(VLOOKUP($D109,$C$5:$AT$510,5,)/VLOOKUP($D109,$C$5:$AT$510,3,))*$E109)</f>
        <v>0</v>
      </c>
      <c r="H109" s="119">
        <f>IF(VLOOKUP($D109,$C$5:$AT$510,3,)=0,0,(VLOOKUP($D109,$C$5:$AT$510,6,)/VLOOKUP($D109,$C$5:$AT$510,3,))*$E109)</f>
        <v>0</v>
      </c>
      <c r="I109" s="119">
        <f>IF(VLOOKUP($D109,$C$5:$AT$510,3,)=0,0,(VLOOKUP($D109,$C$5:$AT$510,7,)/VLOOKUP($D109,$C$5:$AT$510,3,))*$E109)</f>
        <v>0</v>
      </c>
      <c r="J109" s="119">
        <f>IF(VLOOKUP($D109,$C$5:$AT$510,3,)=0,0,(VLOOKUP($D109,$C$5:$AT$510,8,)/VLOOKUP($D109,$C$5:$AT$510,3,))*$E109)</f>
        <v>0</v>
      </c>
      <c r="K109" s="119">
        <f>IF(VLOOKUP($D109,$C$5:$AT$510,3,)=0,0,(VLOOKUP($D109,$C$5:$AT$510,9,)/VLOOKUP($D109,$C$5:$AT$510,3,))*$E109)</f>
        <v>0</v>
      </c>
      <c r="L109" s="119">
        <f>IF(VLOOKUP($D109,$C$5:$AT$510,3,)=0,0,(VLOOKUP($D109,$C$5:$AT$510,10,)/VLOOKUP($D109,$C$5:$AT$510,3,))*$E109)</f>
        <v>0</v>
      </c>
      <c r="M109" s="119">
        <f>IF(VLOOKUP($D109,$C$5:$AT$510,3,)=0,0,(VLOOKUP($D109,$C$5:$AT$510,11,)/VLOOKUP($D109,$C$5:$AT$510,3,))*$E109)</f>
        <v>0</v>
      </c>
      <c r="N109" s="119">
        <f>IF(VLOOKUP($D109,$C$5:$AT$510,3,)=0,0,(VLOOKUP($D109,$C$5:$AT$510,12,)/VLOOKUP($D109,$C$5:$AT$510,3,))*$E109)</f>
        <v>0</v>
      </c>
      <c r="O109" s="119">
        <f>IF(VLOOKUP($D109,$C$5:$AT$510,3,)=0,0,(VLOOKUP($D109,$C$5:$AT$510,13,)/VLOOKUP($D109,$C$5:$AT$510,3,))*$E109)</f>
        <v>0</v>
      </c>
      <c r="P109" s="119">
        <f>IF(VLOOKUP($D109,$C$5:$AT$510,3,)=0,0,(VLOOKUP($D109,$C$5:$AT$510,14,)/VLOOKUP($D109,$C$5:$AT$510,3,))*$E109)</f>
        <v>2564241.0601613987</v>
      </c>
      <c r="Q109" s="119">
        <f>IF(VLOOKUP($D109,$C$5:$AT$510,3,)=0,0,(VLOOKUP($D109,$C$5:$AT$510,15,)/VLOOKUP($D109,$C$5:$AT$510,3,))*$E109)</f>
        <v>0</v>
      </c>
      <c r="R109" s="119">
        <f>IF(VLOOKUP($D109,$C$5:$AT$510,3,)=0,0,(VLOOKUP($D109,$C$5:$AT$510,16,)/VLOOKUP($D109,$C$5:$AT$510,3,))*$E109)</f>
        <v>0</v>
      </c>
      <c r="S109" s="119">
        <f>IF(VLOOKUP($D109,$C$5:$AT$510,3,)=0,0,(VLOOKUP($D109,$C$5:$AT$510,17,)/VLOOKUP($D109,$C$5:$AT$510,3,))*$E109)</f>
        <v>0</v>
      </c>
      <c r="T109" s="119">
        <f>IF(VLOOKUP($D109,$C$5:$AT$510,3,)=0,0,(VLOOKUP($D109,$C$5:$AT$510,18,)/VLOOKUP($D109,$C$5:$AT$510,3,))*$E109)</f>
        <v>0</v>
      </c>
      <c r="U109" s="119">
        <f>IF(VLOOKUP($D109,$C$5:$AT$510,3,)=0,0,(VLOOKUP($D109,$C$5:$AT$510,19,)/VLOOKUP($D109,$C$5:$AT$510,3,))*$E109)</f>
        <v>0</v>
      </c>
      <c r="V109" s="119">
        <f>IF(VLOOKUP($D109,$C$5:$AT$510,3,)=0,0,(VLOOKUP($D109,$C$5:$AT$510,20,)/VLOOKUP($D109,$C$5:$AT$510,3,))*$E109)</f>
        <v>0</v>
      </c>
      <c r="W109" s="119">
        <f>IF(VLOOKUP($D109,$C$5:$AT$510,3,)=0,0,(VLOOKUP($D109,$C$5:$AT$510,21,)/VLOOKUP($D109,$C$5:$AT$510,3,))*$E109)</f>
        <v>0</v>
      </c>
      <c r="X109" s="119">
        <f>IF(VLOOKUP($D109,$C$5:$AT$510,3,)=0,0,(VLOOKUP($D109,$C$5:$AT$510,22,)/VLOOKUP($D109,$C$5:$AT$510,3,))*$E109)</f>
        <v>0</v>
      </c>
      <c r="Y109" s="119">
        <f>IF(VLOOKUP($D109,$C$5:$AT$510,3,)=0,0,(VLOOKUP($D109,$C$5:$AT$510,23,)/VLOOKUP($D109,$C$5:$AT$510,3,))*$E109)</f>
        <v>0</v>
      </c>
      <c r="Z109" s="119">
        <f>IF(VLOOKUP($D109,$C$5:$AT$510,3,)=0,0,(VLOOKUP($D109,$C$5:$AT$510,24,)/VLOOKUP($D109,$C$5:$AT$510,3,))*$E109)</f>
        <v>0</v>
      </c>
      <c r="AA109" s="119">
        <f>IF(VLOOKUP($D109,$C$5:$AT$510,3,)=0,0,(VLOOKUP($D109,$C$5:$AT$510,25,)/VLOOKUP($D109,$C$5:$AT$510,3,))*$E109)</f>
        <v>0</v>
      </c>
      <c r="AB109" s="119">
        <f>IF(VLOOKUP($D109,$C$5:$AT$510,3,)=0,0,(VLOOKUP($D109,$C$5:$AT$510,26,)/VLOOKUP($D109,$C$5:$AT$510,3,))*$E109)</f>
        <v>0</v>
      </c>
      <c r="AC109" s="119">
        <f>IF(VLOOKUP($D109,$C$5:$AT$510,3,)=0,0,(VLOOKUP($D109,$C$5:$AT$510,27,)/VLOOKUP($D109,$C$5:$AT$510,3,))*$E109)</f>
        <v>0</v>
      </c>
      <c r="AD109" s="119">
        <f>IF(VLOOKUP($D109,$C$5:$AT$510,3,)=0,0,(VLOOKUP($D109,$C$5:$AT$510,28,)/VLOOKUP($D109,$C$5:$AT$510,3,))*$E109)</f>
        <v>0</v>
      </c>
      <c r="AE109" s="119">
        <f>IF(VLOOKUP($D109,$C$5:$AT$510,3,)=0,0,(VLOOKUP($D109,$C$5:$AT$510,29,)/VLOOKUP($D109,$C$5:$AT$510,3,))*$E109)</f>
        <v>0</v>
      </c>
      <c r="AF109" s="119">
        <f>IF(VLOOKUP($D109,$C$5:$AT$510,3,)=0,0,(VLOOKUP($D109,$C$5:$AT$510,30,)/VLOOKUP($D109,$C$5:$AT$510,3,))*$E109)</f>
        <v>0</v>
      </c>
      <c r="AG109" s="120">
        <f>SUM(F109:AF109)</f>
        <v>2564241.0601613987</v>
      </c>
      <c r="AH109" s="103" t="str">
        <f>IF(ABS(E109-AG109)&lt;0.01,"ok","err")</f>
        <v>ok</v>
      </c>
    </row>
    <row r="110" spans="1:34" x14ac:dyDescent="0.25">
      <c r="E110" s="110"/>
    </row>
    <row r="111" spans="1:34" x14ac:dyDescent="0.25">
      <c r="A111" s="132" t="s">
        <v>545</v>
      </c>
      <c r="E111" s="110"/>
    </row>
    <row r="112" spans="1:34" x14ac:dyDescent="0.25">
      <c r="A112" s="133" t="s">
        <v>221</v>
      </c>
      <c r="C112" s="102" t="s">
        <v>260</v>
      </c>
      <c r="D112" s="102" t="s">
        <v>234</v>
      </c>
      <c r="E112" s="119">
        <f>'Func &amp; Classif'!Y144</f>
        <v>231421.11785534897</v>
      </c>
      <c r="F112" s="119">
        <f>IF(VLOOKUP($D112,$C$5:$AT$510,3,)=0,0,(VLOOKUP($D112,$C$5:$AT$510,4,)/VLOOKUP($D112,$C$5:$AT$510,3,))*$E112)</f>
        <v>218933.55380384516</v>
      </c>
      <c r="G112" s="119">
        <f>IF(VLOOKUP($D112,$C$5:$AT$510,3,)=0,0,(VLOOKUP($D112,$C$5:$AT$510,5,)/VLOOKUP($D112,$C$5:$AT$510,3,))*$E112)</f>
        <v>464.42106496947434</v>
      </c>
      <c r="H112" s="119">
        <f>IF(VLOOKUP($D112,$C$5:$AT$510,3,)=0,0,(VLOOKUP($D112,$C$5:$AT$510,6,)/VLOOKUP($D112,$C$5:$AT$510,3,))*$E112)</f>
        <v>4762.5924897850018</v>
      </c>
      <c r="I112" s="119">
        <f>IF(VLOOKUP($D112,$C$5:$AT$510,3,)=0,0,(VLOOKUP($D112,$C$5:$AT$510,7,)/VLOOKUP($D112,$C$5:$AT$510,3,))*$E112)</f>
        <v>555.48401888505759</v>
      </c>
      <c r="J112" s="119">
        <f>IF(VLOOKUP($D112,$C$5:$AT$510,3,)=0,0,(VLOOKUP($D112,$C$5:$AT$510,8,)/VLOOKUP($D112,$C$5:$AT$510,3,))*$E112)</f>
        <v>209.44479400584137</v>
      </c>
      <c r="K112" s="119">
        <f>IF(VLOOKUP($D112,$C$5:$AT$510,3,)=0,0,(VLOOKUP($D112,$C$5:$AT$510,9,)/VLOOKUP($D112,$C$5:$AT$510,3,))*$E112)</f>
        <v>2841.1641621661961</v>
      </c>
      <c r="L112" s="119">
        <f>IF(VLOOKUP($D112,$C$5:$AT$510,3,)=0,0,(VLOOKUP($D112,$C$5:$AT$510,10,)/VLOOKUP($D112,$C$5:$AT$510,3,))*$E112)</f>
        <v>2203.7234847571135</v>
      </c>
      <c r="M112" s="119">
        <f>IF(VLOOKUP($D112,$C$5:$AT$510,3,)=0,0,(VLOOKUP($D112,$C$5:$AT$510,11,)/VLOOKUP($D112,$C$5:$AT$510,3,))*$E112)</f>
        <v>1411.4757856915398</v>
      </c>
      <c r="N112" s="119">
        <f>IF(VLOOKUP($D112,$C$5:$AT$510,3,)=0,0,(VLOOKUP($D112,$C$5:$AT$510,12,)/VLOOKUP($D112,$C$5:$AT$510,3,))*$E112)</f>
        <v>27.318886174674962</v>
      </c>
      <c r="O112" s="119">
        <f>IF(VLOOKUP($D112,$C$5:$AT$510,3,)=0,0,(VLOOKUP($D112,$C$5:$AT$510,13,)/VLOOKUP($D112,$C$5:$AT$510,3,))*$E112)</f>
        <v>0</v>
      </c>
      <c r="P112" s="119">
        <f>IF(VLOOKUP($D112,$C$5:$AT$510,3,)=0,0,(VLOOKUP($D112,$C$5:$AT$510,14,)/VLOOKUP($D112,$C$5:$AT$510,3,))*$E112)</f>
        <v>11.939365068932021</v>
      </c>
      <c r="Q112" s="119">
        <f>IF(VLOOKUP($D112,$C$5:$AT$510,3,)=0,0,(VLOOKUP($D112,$C$5:$AT$510,15,)/VLOOKUP($D112,$C$5:$AT$510,3,))*$E112)</f>
        <v>0</v>
      </c>
      <c r="R112" s="119">
        <f>IF(VLOOKUP($D112,$C$5:$AT$510,3,)=0,0,(VLOOKUP($D112,$C$5:$AT$510,16,)/VLOOKUP($D112,$C$5:$AT$510,3,))*$E112)</f>
        <v>0</v>
      </c>
      <c r="S112" s="119">
        <f>IF(VLOOKUP($D112,$C$5:$AT$510,3,)=0,0,(VLOOKUP($D112,$C$5:$AT$510,17,)/VLOOKUP($D112,$C$5:$AT$510,3,))*$E112)</f>
        <v>0</v>
      </c>
      <c r="T112" s="119">
        <f>IF(VLOOKUP($D112,$C$5:$AT$510,3,)=0,0,(VLOOKUP($D112,$C$5:$AT$510,18,)/VLOOKUP($D112,$C$5:$AT$510,3,))*$E112)</f>
        <v>0</v>
      </c>
      <c r="U112" s="119">
        <f>IF(VLOOKUP($D112,$C$5:$AT$510,3,)=0,0,(VLOOKUP($D112,$C$5:$AT$510,19,)/VLOOKUP($D112,$C$5:$AT$510,3,))*$E112)</f>
        <v>0</v>
      </c>
      <c r="V112" s="119">
        <f>IF(VLOOKUP($D112,$C$5:$AT$510,3,)=0,0,(VLOOKUP($D112,$C$5:$AT$510,20,)/VLOOKUP($D112,$C$5:$AT$510,3,))*$E112)</f>
        <v>0</v>
      </c>
      <c r="W112" s="119">
        <f>IF(VLOOKUP($D112,$C$5:$AT$510,3,)=0,0,(VLOOKUP($D112,$C$5:$AT$510,21,)/VLOOKUP($D112,$C$5:$AT$510,3,))*$E112)</f>
        <v>0</v>
      </c>
      <c r="X112" s="119">
        <f>IF(VLOOKUP($D112,$C$5:$AT$510,3,)=0,0,(VLOOKUP($D112,$C$5:$AT$510,22,)/VLOOKUP($D112,$C$5:$AT$510,3,))*$E112)</f>
        <v>0</v>
      </c>
      <c r="Y112" s="119">
        <f>IF(VLOOKUP($D112,$C$5:$AT$510,3,)=0,0,(VLOOKUP($D112,$C$5:$AT$510,23,)/VLOOKUP($D112,$C$5:$AT$510,3,))*$E112)</f>
        <v>0</v>
      </c>
      <c r="Z112" s="119">
        <f>IF(VLOOKUP($D112,$C$5:$AT$510,3,)=0,0,(VLOOKUP($D112,$C$5:$AT$510,24,)/VLOOKUP($D112,$C$5:$AT$510,3,))*$E112)</f>
        <v>0</v>
      </c>
      <c r="AA112" s="119">
        <f>IF(VLOOKUP($D112,$C$5:$AT$510,3,)=0,0,(VLOOKUP($D112,$C$5:$AT$510,25,)/VLOOKUP($D112,$C$5:$AT$510,3,))*$E112)</f>
        <v>0</v>
      </c>
      <c r="AB112" s="119">
        <f>IF(VLOOKUP($D112,$C$5:$AT$510,3,)=0,0,(VLOOKUP($D112,$C$5:$AT$510,26,)/VLOOKUP($D112,$C$5:$AT$510,3,))*$E112)</f>
        <v>0</v>
      </c>
      <c r="AC112" s="119">
        <f>IF(VLOOKUP($D112,$C$5:$AT$510,3,)=0,0,(VLOOKUP($D112,$C$5:$AT$510,27,)/VLOOKUP($D112,$C$5:$AT$510,3,))*$E112)</f>
        <v>0</v>
      </c>
      <c r="AD112" s="119">
        <f>IF(VLOOKUP($D112,$C$5:$AT$510,3,)=0,0,(VLOOKUP($D112,$C$5:$AT$510,28,)/VLOOKUP($D112,$C$5:$AT$510,3,))*$E112)</f>
        <v>0</v>
      </c>
      <c r="AE112" s="119">
        <f>IF(VLOOKUP($D112,$C$5:$AT$510,3,)=0,0,(VLOOKUP($D112,$C$5:$AT$510,29,)/VLOOKUP($D112,$C$5:$AT$510,3,))*$E112)</f>
        <v>0</v>
      </c>
      <c r="AF112" s="119">
        <f>IF(VLOOKUP($D112,$C$5:$AT$510,3,)=0,0,(VLOOKUP($D112,$C$5:$AT$510,30,)/VLOOKUP($D112,$C$5:$AT$510,3,))*$E112)</f>
        <v>0</v>
      </c>
      <c r="AG112" s="120">
        <f>SUM(F112:AF112)</f>
        <v>231421.117855349</v>
      </c>
      <c r="AH112" s="103" t="str">
        <f>IF(ABS(E112-AG112)&lt;0.01,"ok","err")</f>
        <v>ok</v>
      </c>
    </row>
    <row r="113" spans="1:34" x14ac:dyDescent="0.25">
      <c r="E113" s="110"/>
    </row>
    <row r="114" spans="1:34" x14ac:dyDescent="0.25">
      <c r="A114" s="132" t="s">
        <v>470</v>
      </c>
      <c r="E114" s="110"/>
    </row>
    <row r="115" spans="1:34" x14ac:dyDescent="0.25">
      <c r="A115" s="133" t="s">
        <v>221</v>
      </c>
      <c r="C115" s="102" t="s">
        <v>257</v>
      </c>
      <c r="D115" s="102" t="s">
        <v>235</v>
      </c>
      <c r="E115" s="119">
        <f>'Func &amp; Classif'!AA144</f>
        <v>12164.285755706129</v>
      </c>
      <c r="F115" s="119">
        <f>IF(VLOOKUP($D115,$C$5:$AT$510,3,)=0,0,(VLOOKUP($D115,$C$5:$AT$510,4,)/VLOOKUP($D115,$C$5:$AT$510,3,))*$E115)</f>
        <v>11507.896663289233</v>
      </c>
      <c r="G115" s="119">
        <f>IF(VLOOKUP($D115,$C$5:$AT$510,3,)=0,0,(VLOOKUP($D115,$C$5:$AT$510,5,)/VLOOKUP($D115,$C$5:$AT$510,3,))*$E115)</f>
        <v>24.41156017917606</v>
      </c>
      <c r="H115" s="119">
        <f>IF(VLOOKUP($D115,$C$5:$AT$510,3,)=0,0,(VLOOKUP($D115,$C$5:$AT$510,6,)/VLOOKUP($D115,$C$5:$AT$510,3,))*$E115)</f>
        <v>250.33815634723689</v>
      </c>
      <c r="I115" s="119">
        <f>IF(VLOOKUP($D115,$C$5:$AT$510,3,)=0,0,(VLOOKUP($D115,$C$5:$AT$510,7,)/VLOOKUP($D115,$C$5:$AT$510,3,))*$E115)</f>
        <v>29.198140606465486</v>
      </c>
      <c r="J115" s="119">
        <f>IF(VLOOKUP($D115,$C$5:$AT$510,3,)=0,0,(VLOOKUP($D115,$C$5:$AT$510,8,)/VLOOKUP($D115,$C$5:$AT$510,3,))*$E115)</f>
        <v>11.009134982765676</v>
      </c>
      <c r="K115" s="119">
        <f>IF(VLOOKUP($D115,$C$5:$AT$510,3,)=0,0,(VLOOKUP($D115,$C$5:$AT$510,9,)/VLOOKUP($D115,$C$5:$AT$510,3,))*$E115)</f>
        <v>149.34130933143004</v>
      </c>
      <c r="L115" s="119">
        <f>IF(VLOOKUP($D115,$C$5:$AT$510,3,)=0,0,(VLOOKUP($D115,$C$5:$AT$510,10,)/VLOOKUP($D115,$C$5:$AT$510,3,))*$E115)</f>
        <v>115.83524634040405</v>
      </c>
      <c r="M115" s="119">
        <f>IF(VLOOKUP($D115,$C$5:$AT$510,3,)=0,0,(VLOOKUP($D115,$C$5:$AT$510,11,)/VLOOKUP($D115,$C$5:$AT$510,3,))*$E115)</f>
        <v>74.191996622986082</v>
      </c>
      <c r="N115" s="119">
        <f>IF(VLOOKUP($D115,$C$5:$AT$510,3,)=0,0,(VLOOKUP($D115,$C$5:$AT$510,12,)/VLOOKUP($D115,$C$5:$AT$510,3,))*$E115)</f>
        <v>1.4359741281868272</v>
      </c>
      <c r="O115" s="119">
        <f>IF(VLOOKUP($D115,$C$5:$AT$510,3,)=0,0,(VLOOKUP($D115,$C$5:$AT$510,13,)/VLOOKUP($D115,$C$5:$AT$510,3,))*$E115)</f>
        <v>0</v>
      </c>
      <c r="P115" s="119">
        <f>IF(VLOOKUP($D115,$C$5:$AT$510,3,)=0,0,(VLOOKUP($D115,$C$5:$AT$510,14,)/VLOOKUP($D115,$C$5:$AT$510,3,))*$E115)</f>
        <v>0.62757387824461341</v>
      </c>
      <c r="Q115" s="119">
        <f>IF(VLOOKUP($D115,$C$5:$AT$510,3,)=0,0,(VLOOKUP($D115,$C$5:$AT$510,15,)/VLOOKUP($D115,$C$5:$AT$510,3,))*$E115)</f>
        <v>0</v>
      </c>
      <c r="R115" s="119">
        <f>IF(VLOOKUP($D115,$C$5:$AT$510,3,)=0,0,(VLOOKUP($D115,$C$5:$AT$510,16,)/VLOOKUP($D115,$C$5:$AT$510,3,))*$E115)</f>
        <v>0</v>
      </c>
      <c r="S115" s="119">
        <f>IF(VLOOKUP($D115,$C$5:$AT$510,3,)=0,0,(VLOOKUP($D115,$C$5:$AT$510,17,)/VLOOKUP($D115,$C$5:$AT$510,3,))*$E115)</f>
        <v>0</v>
      </c>
      <c r="T115" s="119">
        <f>IF(VLOOKUP($D115,$C$5:$AT$510,3,)=0,0,(VLOOKUP($D115,$C$5:$AT$510,18,)/VLOOKUP($D115,$C$5:$AT$510,3,))*$E115)</f>
        <v>0</v>
      </c>
      <c r="U115" s="119">
        <f>IF(VLOOKUP($D115,$C$5:$AT$510,3,)=0,0,(VLOOKUP($D115,$C$5:$AT$510,19,)/VLOOKUP($D115,$C$5:$AT$510,3,))*$E115)</f>
        <v>0</v>
      </c>
      <c r="V115" s="119">
        <f>IF(VLOOKUP($D115,$C$5:$AT$510,3,)=0,0,(VLOOKUP($D115,$C$5:$AT$510,20,)/VLOOKUP($D115,$C$5:$AT$510,3,))*$E115)</f>
        <v>0</v>
      </c>
      <c r="W115" s="119">
        <f>IF(VLOOKUP($D115,$C$5:$AT$510,3,)=0,0,(VLOOKUP($D115,$C$5:$AT$510,21,)/VLOOKUP($D115,$C$5:$AT$510,3,))*$E115)</f>
        <v>0</v>
      </c>
      <c r="X115" s="119">
        <f>IF(VLOOKUP($D115,$C$5:$AT$510,3,)=0,0,(VLOOKUP($D115,$C$5:$AT$510,22,)/VLOOKUP($D115,$C$5:$AT$510,3,))*$E115)</f>
        <v>0</v>
      </c>
      <c r="Y115" s="119">
        <f>IF(VLOOKUP($D115,$C$5:$AT$510,3,)=0,0,(VLOOKUP($D115,$C$5:$AT$510,23,)/VLOOKUP($D115,$C$5:$AT$510,3,))*$E115)</f>
        <v>0</v>
      </c>
      <c r="Z115" s="119">
        <f>IF(VLOOKUP($D115,$C$5:$AT$510,3,)=0,0,(VLOOKUP($D115,$C$5:$AT$510,24,)/VLOOKUP($D115,$C$5:$AT$510,3,))*$E115)</f>
        <v>0</v>
      </c>
      <c r="AA115" s="119">
        <f>IF(VLOOKUP($D115,$C$5:$AT$510,3,)=0,0,(VLOOKUP($D115,$C$5:$AT$510,25,)/VLOOKUP($D115,$C$5:$AT$510,3,))*$E115)</f>
        <v>0</v>
      </c>
      <c r="AB115" s="119">
        <f>IF(VLOOKUP($D115,$C$5:$AT$510,3,)=0,0,(VLOOKUP($D115,$C$5:$AT$510,26,)/VLOOKUP($D115,$C$5:$AT$510,3,))*$E115)</f>
        <v>0</v>
      </c>
      <c r="AC115" s="119">
        <f>IF(VLOOKUP($D115,$C$5:$AT$510,3,)=0,0,(VLOOKUP($D115,$C$5:$AT$510,27,)/VLOOKUP($D115,$C$5:$AT$510,3,))*$E115)</f>
        <v>0</v>
      </c>
      <c r="AD115" s="119">
        <f>IF(VLOOKUP($D115,$C$5:$AT$510,3,)=0,0,(VLOOKUP($D115,$C$5:$AT$510,28,)/VLOOKUP($D115,$C$5:$AT$510,3,))*$E115)</f>
        <v>0</v>
      </c>
      <c r="AE115" s="119">
        <f>IF(VLOOKUP($D115,$C$5:$AT$510,3,)=0,0,(VLOOKUP($D115,$C$5:$AT$510,29,)/VLOOKUP($D115,$C$5:$AT$510,3,))*$E115)</f>
        <v>0</v>
      </c>
      <c r="AF115" s="119">
        <f>IF(VLOOKUP($D115,$C$5:$AT$510,3,)=0,0,(VLOOKUP($D115,$C$5:$AT$510,30,)/VLOOKUP($D115,$C$5:$AT$510,3,))*$E115)</f>
        <v>0</v>
      </c>
      <c r="AG115" s="120">
        <f>SUM(F115:AF115)</f>
        <v>12164.285755706129</v>
      </c>
      <c r="AH115" s="103" t="str">
        <f>IF(ABS(E115-AG115)&lt;0.01,"ok","err")</f>
        <v>ok</v>
      </c>
    </row>
    <row r="116" spans="1:34" x14ac:dyDescent="0.25">
      <c r="E116" s="110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</row>
    <row r="117" spans="1:34" x14ac:dyDescent="0.25">
      <c r="A117" s="102" t="s">
        <v>0</v>
      </c>
      <c r="C117" s="102" t="s">
        <v>261</v>
      </c>
      <c r="E117" s="119">
        <f>E87+E90+E93+E98+E103+E106+E109+E112+E115</f>
        <v>78429275.0319231</v>
      </c>
      <c r="F117" s="119">
        <f t="shared" ref="F117:R117" si="22">F87+F90+F93+F98+F103+F106+F109+F112+F115</f>
        <v>61094993.962671965</v>
      </c>
      <c r="G117" s="119">
        <f t="shared" si="22"/>
        <v>157793.01300400172</v>
      </c>
      <c r="H117" s="119">
        <f t="shared" si="22"/>
        <v>2421867.0116914054</v>
      </c>
      <c r="I117" s="119">
        <f t="shared" si="22"/>
        <v>4889403.1404193845</v>
      </c>
      <c r="J117" s="119">
        <f t="shared" si="22"/>
        <v>858297.71538946417</v>
      </c>
      <c r="K117" s="119">
        <f t="shared" si="22"/>
        <v>391615.16491669056</v>
      </c>
      <c r="L117" s="119">
        <f t="shared" si="22"/>
        <v>1432154.4159477737</v>
      </c>
      <c r="M117" s="119">
        <f t="shared" si="22"/>
        <v>4569496.4814591585</v>
      </c>
      <c r="N117" s="119">
        <f t="shared" si="22"/>
        <v>42188.766940090216</v>
      </c>
      <c r="O117" s="119">
        <f t="shared" si="22"/>
        <v>0</v>
      </c>
      <c r="P117" s="119">
        <f t="shared" si="22"/>
        <v>2571465.3594831452</v>
      </c>
      <c r="Q117" s="119">
        <f t="shared" si="22"/>
        <v>0</v>
      </c>
      <c r="R117" s="119">
        <f t="shared" si="22"/>
        <v>0</v>
      </c>
      <c r="S117" s="119">
        <f t="shared" ref="S117:AF117" si="23">S87+S93+S98+S103+S106+S109+S112+S115</f>
        <v>0</v>
      </c>
      <c r="T117" s="119">
        <f t="shared" si="23"/>
        <v>0</v>
      </c>
      <c r="U117" s="119">
        <f t="shared" si="23"/>
        <v>0</v>
      </c>
      <c r="V117" s="119">
        <f t="shared" si="23"/>
        <v>0</v>
      </c>
      <c r="W117" s="119">
        <f t="shared" si="23"/>
        <v>0</v>
      </c>
      <c r="X117" s="119">
        <f t="shared" si="23"/>
        <v>0</v>
      </c>
      <c r="Y117" s="119">
        <f t="shared" si="23"/>
        <v>0</v>
      </c>
      <c r="Z117" s="119">
        <f t="shared" si="23"/>
        <v>0</v>
      </c>
      <c r="AA117" s="119">
        <f t="shared" si="23"/>
        <v>0</v>
      </c>
      <c r="AB117" s="119">
        <f t="shared" si="23"/>
        <v>0</v>
      </c>
      <c r="AC117" s="119">
        <f t="shared" si="23"/>
        <v>0</v>
      </c>
      <c r="AD117" s="119">
        <f t="shared" si="23"/>
        <v>0</v>
      </c>
      <c r="AE117" s="119">
        <f t="shared" si="23"/>
        <v>0</v>
      </c>
      <c r="AF117" s="119">
        <f t="shared" si="23"/>
        <v>0</v>
      </c>
      <c r="AG117" s="120">
        <f>SUM(F117:AF117)</f>
        <v>78429275.031923085</v>
      </c>
      <c r="AH117" s="103" t="str">
        <f>IF(ABS(E117-AG117)&lt;0.01,"ok","err")</f>
        <v>ok</v>
      </c>
    </row>
    <row r="118" spans="1:34" x14ac:dyDescent="0.25">
      <c r="E118" s="121">
        <f>ROUND(E117/$E117, 4)</f>
        <v>1</v>
      </c>
      <c r="F118" s="121">
        <f t="shared" ref="F118:U118" si="24">ROUND(F117/$E117, 4)</f>
        <v>0.77900000000000003</v>
      </c>
      <c r="G118" s="121">
        <f t="shared" si="24"/>
        <v>2E-3</v>
      </c>
      <c r="H118" s="121">
        <f t="shared" si="24"/>
        <v>3.09E-2</v>
      </c>
      <c r="I118" s="121">
        <f t="shared" si="24"/>
        <v>6.2300000000000001E-2</v>
      </c>
      <c r="J118" s="121">
        <f t="shared" si="24"/>
        <v>1.09E-2</v>
      </c>
      <c r="K118" s="121">
        <f t="shared" si="24"/>
        <v>5.0000000000000001E-3</v>
      </c>
      <c r="L118" s="121">
        <f t="shared" si="24"/>
        <v>1.83E-2</v>
      </c>
      <c r="M118" s="121">
        <f t="shared" si="24"/>
        <v>5.8299999999999998E-2</v>
      </c>
      <c r="N118" s="121">
        <f t="shared" si="24"/>
        <v>5.0000000000000001E-4</v>
      </c>
      <c r="O118" s="121">
        <f t="shared" si="24"/>
        <v>0</v>
      </c>
      <c r="P118" s="121">
        <f t="shared" si="24"/>
        <v>3.2800000000000003E-2</v>
      </c>
      <c r="Q118" s="121">
        <f t="shared" si="24"/>
        <v>0</v>
      </c>
      <c r="R118" s="121">
        <f t="shared" si="24"/>
        <v>0</v>
      </c>
      <c r="S118" s="121">
        <f t="shared" si="24"/>
        <v>0</v>
      </c>
      <c r="T118" s="121">
        <f t="shared" si="24"/>
        <v>0</v>
      </c>
      <c r="U118" s="121">
        <f t="shared" si="24"/>
        <v>0</v>
      </c>
      <c r="AG118" s="134">
        <f>SUM(F118:AF118)</f>
        <v>1</v>
      </c>
      <c r="AH118" s="103" t="str">
        <f>IF(ABS(E118-AG118)&lt;0.01,"ok","err")</f>
        <v>ok</v>
      </c>
    </row>
    <row r="119" spans="1:34" x14ac:dyDescent="0.25">
      <c r="E119" s="120"/>
    </row>
    <row r="120" spans="1:34" x14ac:dyDescent="0.25">
      <c r="A120" s="131" t="s">
        <v>86</v>
      </c>
    </row>
    <row r="122" spans="1:34" x14ac:dyDescent="0.25">
      <c r="A122" s="132" t="s">
        <v>885</v>
      </c>
    </row>
    <row r="123" spans="1:34" x14ac:dyDescent="0.25">
      <c r="A123" s="133" t="s">
        <v>209</v>
      </c>
      <c r="C123" s="102" t="s">
        <v>262</v>
      </c>
      <c r="D123" s="102" t="s">
        <v>655</v>
      </c>
      <c r="E123" s="119">
        <f>'Func &amp; Classif'!H285</f>
        <v>15694350.815808589</v>
      </c>
      <c r="F123" s="119">
        <f>IF(VLOOKUP($D123,$C$5:$AT$510,3,)=0,0,(VLOOKUP($D123,$C$5:$AT$510,4,)/VLOOKUP($D123,$C$5:$AT$510,3,))*$E123)</f>
        <v>7743173.6875832081</v>
      </c>
      <c r="G123" s="119">
        <f>IF(VLOOKUP($D123,$C$5:$AT$510,3,)=0,0,(VLOOKUP($D123,$C$5:$AT$510,5,)/VLOOKUP($D123,$C$5:$AT$510,3,))*$E123)</f>
        <v>22755.867602221937</v>
      </c>
      <c r="H123" s="119">
        <f>IF(VLOOKUP($D123,$C$5:$AT$510,3,)=0,0,(VLOOKUP($D123,$C$5:$AT$510,6,)/VLOOKUP($D123,$C$5:$AT$510,3,))*$E123)</f>
        <v>198841.42629420088</v>
      </c>
      <c r="I123" s="119">
        <f>IF(VLOOKUP($D123,$C$5:$AT$510,3,)=0,0,(VLOOKUP($D123,$C$5:$AT$510,7,)/VLOOKUP($D123,$C$5:$AT$510,3,))*$E123)</f>
        <v>15616.169316864607</v>
      </c>
      <c r="J123" s="119">
        <f>IF(VLOOKUP($D123,$C$5:$AT$510,3,)=0,0,(VLOOKUP($D123,$C$5:$AT$510,8,)/VLOOKUP($D123,$C$5:$AT$510,3,))*$E123)</f>
        <v>8784.2159742759395</v>
      </c>
      <c r="K123" s="119">
        <f>IF(VLOOKUP($D123,$C$5:$AT$510,3,)=0,0,(VLOOKUP($D123,$C$5:$AT$510,9,)/VLOOKUP($D123,$C$5:$AT$510,3,))*$E123)</f>
        <v>23247.666659973642</v>
      </c>
      <c r="L123" s="119">
        <f>IF(VLOOKUP($D123,$C$5:$AT$510,3,)=0,0,(VLOOKUP($D123,$C$5:$AT$510,10,)/VLOOKUP($D123,$C$5:$AT$510,3,))*$E123)</f>
        <v>377755.40600039891</v>
      </c>
      <c r="M123" s="119">
        <f>IF(VLOOKUP($D123,$C$5:$AT$510,3,)=0,0,(VLOOKUP($D123,$C$5:$AT$510,11,)/VLOOKUP($D123,$C$5:$AT$510,3,))*$E123)</f>
        <v>1127697.4720058963</v>
      </c>
      <c r="N123" s="119">
        <f>IF(VLOOKUP($D123,$C$5:$AT$510,3,)=0,0,(VLOOKUP($D123,$C$5:$AT$510,12,)/VLOOKUP($D123,$C$5:$AT$510,3,))*$E123)</f>
        <v>11552.107178123659</v>
      </c>
      <c r="O123" s="119">
        <f>IF(VLOOKUP($D123,$C$5:$AT$510,3,)=0,0,(VLOOKUP($D123,$C$5:$AT$510,13,)/VLOOKUP($D123,$C$5:$AT$510,3,))*$E123)</f>
        <v>0</v>
      </c>
      <c r="P123" s="119">
        <f>IF(VLOOKUP($D123,$C$5:$AT$510,3,)=0,0,(VLOOKUP($D123,$C$5:$AT$510,14,)/VLOOKUP($D123,$C$5:$AT$510,3,))*$E123)</f>
        <v>2220.5734303652739</v>
      </c>
      <c r="Q123" s="119">
        <f>IF(VLOOKUP($D123,$C$5:$AT$510,3,)=0,0,(VLOOKUP($D123,$C$5:$AT$510,15,)/VLOOKUP($D123,$C$5:$AT$510,3,))*$E123)</f>
        <v>422686.03580617666</v>
      </c>
      <c r="R123" s="119">
        <f>IF(VLOOKUP($D123,$C$5:$AT$510,3,)=0,0,(VLOOKUP($D123,$C$5:$AT$510,16,)/VLOOKUP($D123,$C$5:$AT$510,3,))*$E123)</f>
        <v>856792.83688862051</v>
      </c>
      <c r="S123" s="119">
        <f>IF(VLOOKUP($D123,$C$5:$AT$510,3,)=0,0,(VLOOKUP($D123,$C$5:$AT$510,17,)/VLOOKUP($D123,$C$5:$AT$510,3,))*$E123)</f>
        <v>793231.35273418948</v>
      </c>
      <c r="T123" s="119">
        <f>IF(VLOOKUP($D123,$C$5:$AT$510,3,)=0,0,(VLOOKUP($D123,$C$5:$AT$510,18,)/VLOOKUP($D123,$C$5:$AT$510,3,))*$E123)</f>
        <v>3404408.2476148321</v>
      </c>
      <c r="U123" s="119">
        <f>IF(VLOOKUP($D123,$C$5:$AT$510,3,)=0,0,(VLOOKUP($D123,$C$5:$AT$510,19,)/VLOOKUP($D123,$C$5:$AT$510,3,))*$E123)</f>
        <v>685587.74080950522</v>
      </c>
      <c r="V123" s="119">
        <f>IF(VLOOKUP($D123,$C$5:$AT$510,3,)=0,0,(VLOOKUP($D123,$C$5:$AT$510,20,)/VLOOKUP($D123,$C$5:$AT$510,3,))*$E123)</f>
        <v>0</v>
      </c>
      <c r="W123" s="119">
        <f>IF(VLOOKUP($D123,$C$5:$AT$510,3,)=0,0,(VLOOKUP($D123,$C$5:$AT$510,21,)/VLOOKUP($D123,$C$5:$AT$510,3,))*$E123)</f>
        <v>0</v>
      </c>
      <c r="X123" s="119">
        <f>IF(VLOOKUP($D123,$C$5:$AT$510,3,)=0,0,(VLOOKUP($D123,$C$5:$AT$510,22,)/VLOOKUP($D123,$C$5:$AT$510,3,))*$E123)</f>
        <v>0</v>
      </c>
      <c r="Y123" s="119">
        <f>IF(VLOOKUP($D123,$C$5:$AT$510,3,)=0,0,(VLOOKUP($D123,$C$5:$AT$510,23,)/VLOOKUP($D123,$C$5:$AT$510,3,))*$E123)</f>
        <v>0</v>
      </c>
      <c r="Z123" s="119">
        <f>IF(VLOOKUP($D123,$C$5:$AT$510,3,)=0,0,(VLOOKUP($D123,$C$5:$AT$510,24,)/VLOOKUP($D123,$C$5:$AT$510,3,))*$E123)</f>
        <v>0</v>
      </c>
      <c r="AA123" s="119">
        <f>IF(VLOOKUP($D123,$C$5:$AT$510,3,)=0,0,(VLOOKUP($D123,$C$5:$AT$510,25,)/VLOOKUP($D123,$C$5:$AT$510,3,))*$E123)</f>
        <v>0</v>
      </c>
      <c r="AB123" s="119">
        <f>IF(VLOOKUP($D123,$C$5:$AT$510,3,)=0,0,(VLOOKUP($D123,$C$5:$AT$510,26,)/VLOOKUP($D123,$C$5:$AT$510,3,))*$E123)</f>
        <v>0</v>
      </c>
      <c r="AC123" s="119">
        <f>IF(VLOOKUP($D123,$C$5:$AT$510,3,)=0,0,(VLOOKUP($D123,$C$5:$AT$510,27,)/VLOOKUP($D123,$C$5:$AT$510,3,))*$E123)</f>
        <v>0</v>
      </c>
      <c r="AD123" s="119">
        <f>IF(VLOOKUP($D123,$C$5:$AT$510,3,)=0,0,(VLOOKUP($D123,$C$5:$AT$510,28,)/VLOOKUP($D123,$C$5:$AT$510,3,))*$E123)</f>
        <v>0</v>
      </c>
      <c r="AE123" s="119">
        <f>IF(VLOOKUP($D123,$C$5:$AT$510,3,)=0,0,(VLOOKUP($D123,$C$5:$AT$510,29,)/VLOOKUP($D123,$C$5:$AT$510,3,))*$E123)</f>
        <v>0</v>
      </c>
      <c r="AF123" s="119">
        <f>IF(VLOOKUP($D123,$C$5:$AT$510,3,)=0,0,(VLOOKUP($D123,$C$5:$AT$510,30,)/VLOOKUP($D123,$C$5:$AT$510,3,))*$E123)</f>
        <v>0</v>
      </c>
      <c r="AG123" s="120">
        <f>SUM(F123:AF123)</f>
        <v>15694350.805898855</v>
      </c>
      <c r="AH123" s="103" t="str">
        <f>IF(ABS(E123-AG123)&lt;0.01,"ok","err")</f>
        <v>ok</v>
      </c>
    </row>
    <row r="124" spans="1:34" x14ac:dyDescent="0.25">
      <c r="A124" s="133" t="s">
        <v>212</v>
      </c>
      <c r="C124" s="102" t="s">
        <v>263</v>
      </c>
      <c r="D124" s="102" t="s">
        <v>664</v>
      </c>
      <c r="E124" s="110">
        <f>'Func &amp; Classif'!I285</f>
        <v>64933156.164191425</v>
      </c>
      <c r="F124" s="119">
        <f>IF(VLOOKUP($D124,$C$5:$AT$510,3,)=0,0,(VLOOKUP($D124,$C$5:$AT$510,4,)/VLOOKUP($D124,$C$5:$AT$510,3,))*$E124)</f>
        <v>22696888.906735864</v>
      </c>
      <c r="G124" s="119">
        <f>IF(VLOOKUP($D124,$C$5:$AT$510,3,)=0,0,(VLOOKUP($D124,$C$5:$AT$510,5,)/VLOOKUP($D124,$C$5:$AT$510,3,))*$E124)</f>
        <v>66993.34829128049</v>
      </c>
      <c r="H124" s="119">
        <f>IF(VLOOKUP($D124,$C$5:$AT$510,3,)=0,0,(VLOOKUP($D124,$C$5:$AT$510,6,)/VLOOKUP($D124,$C$5:$AT$510,3,))*$E124)</f>
        <v>582459.69402642467</v>
      </c>
      <c r="I124" s="119">
        <f>IF(VLOOKUP($D124,$C$5:$AT$510,3,)=0,0,(VLOOKUP($D124,$C$5:$AT$510,7,)/VLOOKUP($D124,$C$5:$AT$510,3,))*$E124)</f>
        <v>58683.170773471698</v>
      </c>
      <c r="J124" s="119">
        <f>IF(VLOOKUP($D124,$C$5:$AT$510,3,)=0,0,(VLOOKUP($D124,$C$5:$AT$510,8,)/VLOOKUP($D124,$C$5:$AT$510,3,))*$E124)</f>
        <v>25730.687298825713</v>
      </c>
      <c r="K124" s="119">
        <f>IF(VLOOKUP($D124,$C$5:$AT$510,3,)=0,0,(VLOOKUP($D124,$C$5:$AT$510,9,)/VLOOKUP($D124,$C$5:$AT$510,3,))*$E124)</f>
        <v>67811.991377018174</v>
      </c>
      <c r="L124" s="119">
        <f>IF(VLOOKUP($D124,$C$5:$AT$510,3,)=0,0,(VLOOKUP($D124,$C$5:$AT$510,10,)/VLOOKUP($D124,$C$5:$AT$510,3,))*$E124)</f>
        <v>1327125.8476183505</v>
      </c>
      <c r="M124" s="119">
        <f>IF(VLOOKUP($D124,$C$5:$AT$510,3,)=0,0,(VLOOKUP($D124,$C$5:$AT$510,11,)/VLOOKUP($D124,$C$5:$AT$510,3,))*$E124)</f>
        <v>7428473.5758673847</v>
      </c>
      <c r="N124" s="119">
        <f>IF(VLOOKUP($D124,$C$5:$AT$510,3,)=0,0,(VLOOKUP($D124,$C$5:$AT$510,12,)/VLOOKUP($D124,$C$5:$AT$510,3,))*$E124)</f>
        <v>45621.26881253365</v>
      </c>
      <c r="O124" s="119">
        <f>IF(VLOOKUP($D124,$C$5:$AT$510,3,)=0,0,(VLOOKUP($D124,$C$5:$AT$510,13,)/VLOOKUP($D124,$C$5:$AT$510,3,))*$E124)</f>
        <v>0</v>
      </c>
      <c r="P124" s="119">
        <f>IF(VLOOKUP($D124,$C$5:$AT$510,3,)=0,0,(VLOOKUP($D124,$C$5:$AT$510,14,)/VLOOKUP($D124,$C$5:$AT$510,3,))*$E124)</f>
        <v>11704.887243595462</v>
      </c>
      <c r="Q124" s="119">
        <f>IF(VLOOKUP($D124,$C$5:$AT$510,3,)=0,0,(VLOOKUP($D124,$C$5:$AT$510,15,)/VLOOKUP($D124,$C$5:$AT$510,3,))*$E124)</f>
        <v>2396698.9641938233</v>
      </c>
      <c r="R124" s="119">
        <f>IF(VLOOKUP($D124,$C$5:$AT$510,3,)=0,0,(VLOOKUP($D124,$C$5:$AT$510,16,)/VLOOKUP($D124,$C$5:$AT$510,3,))*$E124)</f>
        <v>3710224.1631113798</v>
      </c>
      <c r="S124" s="119">
        <f>IF(VLOOKUP($D124,$C$5:$AT$510,3,)=0,0,(VLOOKUP($D124,$C$5:$AT$510,17,)/VLOOKUP($D124,$C$5:$AT$510,3,))*$E124)</f>
        <v>3388278.6472658105</v>
      </c>
      <c r="T124" s="119">
        <f>IF(VLOOKUP($D124,$C$5:$AT$510,3,)=0,0,(VLOOKUP($D124,$C$5:$AT$510,18,)/VLOOKUP($D124,$C$5:$AT$510,3,))*$E124)</f>
        <v>14125220.752385169</v>
      </c>
      <c r="U124" s="119">
        <f>IF(VLOOKUP($D124,$C$5:$AT$510,3,)=0,0,(VLOOKUP($D124,$C$5:$AT$510,19,)/VLOOKUP($D124,$C$5:$AT$510,3,))*$E124)</f>
        <v>9001240.2591904942</v>
      </c>
      <c r="V124" s="119">
        <f>IF(VLOOKUP($D124,$C$5:$AT$510,3,)=0,0,(VLOOKUP($D124,$C$5:$AT$510,20,)/VLOOKUP($D124,$C$5:$AT$510,3,))*$E124)</f>
        <v>0</v>
      </c>
      <c r="W124" s="119">
        <f>IF(VLOOKUP($D124,$C$5:$AT$510,3,)=0,0,(VLOOKUP($D124,$C$5:$AT$510,21,)/VLOOKUP($D124,$C$5:$AT$510,3,))*$E124)</f>
        <v>0</v>
      </c>
      <c r="X124" s="119">
        <f>IF(VLOOKUP($D124,$C$5:$AT$510,3,)=0,0,(VLOOKUP($D124,$C$5:$AT$510,22,)/VLOOKUP($D124,$C$5:$AT$510,3,))*$E124)</f>
        <v>0</v>
      </c>
      <c r="Y124" s="119">
        <f>IF(VLOOKUP($D124,$C$5:$AT$510,3,)=0,0,(VLOOKUP($D124,$C$5:$AT$510,23,)/VLOOKUP($D124,$C$5:$AT$510,3,))*$E124)</f>
        <v>0</v>
      </c>
      <c r="Z124" s="119">
        <f>IF(VLOOKUP($D124,$C$5:$AT$510,3,)=0,0,(VLOOKUP($D124,$C$5:$AT$510,24,)/VLOOKUP($D124,$C$5:$AT$510,3,))*$E124)</f>
        <v>0</v>
      </c>
      <c r="AA124" s="119">
        <f>IF(VLOOKUP($D124,$C$5:$AT$510,3,)=0,0,(VLOOKUP($D124,$C$5:$AT$510,25,)/VLOOKUP($D124,$C$5:$AT$510,3,))*$E124)</f>
        <v>0</v>
      </c>
      <c r="AB124" s="119">
        <f>IF(VLOOKUP($D124,$C$5:$AT$510,3,)=0,0,(VLOOKUP($D124,$C$5:$AT$510,26,)/VLOOKUP($D124,$C$5:$AT$510,3,))*$E124)</f>
        <v>0</v>
      </c>
      <c r="AC124" s="119">
        <f>IF(VLOOKUP($D124,$C$5:$AT$510,3,)=0,0,(VLOOKUP($D124,$C$5:$AT$510,27,)/VLOOKUP($D124,$C$5:$AT$510,3,))*$E124)</f>
        <v>0</v>
      </c>
      <c r="AD124" s="119">
        <f>IF(VLOOKUP($D124,$C$5:$AT$510,3,)=0,0,(VLOOKUP($D124,$C$5:$AT$510,28,)/VLOOKUP($D124,$C$5:$AT$510,3,))*$E124)</f>
        <v>0</v>
      </c>
      <c r="AE124" s="119">
        <f>IF(VLOOKUP($D124,$C$5:$AT$510,3,)=0,0,(VLOOKUP($D124,$C$5:$AT$510,29,)/VLOOKUP($D124,$C$5:$AT$510,3,))*$E124)</f>
        <v>0</v>
      </c>
      <c r="AF124" s="119">
        <f>IF(VLOOKUP($D124,$C$5:$AT$510,3,)=0,0,(VLOOKUP($D124,$C$5:$AT$510,30,)/VLOOKUP($D124,$C$5:$AT$510,3,))*$E124)</f>
        <v>0</v>
      </c>
      <c r="AG124" s="120">
        <f>SUM(F124:AF124)</f>
        <v>64933156.164191432</v>
      </c>
      <c r="AH124" s="103" t="str">
        <f>IF(ABS(E124-AG124)&lt;0.01,"ok","err")</f>
        <v>ok</v>
      </c>
    </row>
    <row r="125" spans="1:34" x14ac:dyDescent="0.25">
      <c r="A125" s="102" t="s">
        <v>215</v>
      </c>
      <c r="C125" s="102" t="s">
        <v>264</v>
      </c>
      <c r="E125" s="135">
        <f t="shared" ref="E125:T125" si="25">E123+E124</f>
        <v>80627506.980000019</v>
      </c>
      <c r="F125" s="136">
        <f t="shared" si="25"/>
        <v>30440062.594319072</v>
      </c>
      <c r="G125" s="136">
        <f t="shared" si="25"/>
        <v>89749.215893502434</v>
      </c>
      <c r="H125" s="136">
        <f t="shared" si="25"/>
        <v>781301.1203206256</v>
      </c>
      <c r="I125" s="136">
        <f t="shared" si="25"/>
        <v>74299.340090336307</v>
      </c>
      <c r="J125" s="136">
        <f t="shared" si="25"/>
        <v>34514.903273101649</v>
      </c>
      <c r="K125" s="136">
        <f t="shared" si="25"/>
        <v>91059.658036991808</v>
      </c>
      <c r="L125" s="136">
        <f t="shared" si="25"/>
        <v>1704881.2536187493</v>
      </c>
      <c r="M125" s="136">
        <f t="shared" si="25"/>
        <v>8556171.0478732809</v>
      </c>
      <c r="N125" s="136">
        <f t="shared" si="25"/>
        <v>57173.37599065731</v>
      </c>
      <c r="O125" s="136">
        <f t="shared" si="25"/>
        <v>0</v>
      </c>
      <c r="P125" s="136">
        <f t="shared" si="25"/>
        <v>13925.460673960735</v>
      </c>
      <c r="Q125" s="136">
        <f t="shared" si="25"/>
        <v>2819385</v>
      </c>
      <c r="R125" s="136">
        <f t="shared" si="25"/>
        <v>4567017</v>
      </c>
      <c r="S125" s="136">
        <f t="shared" si="25"/>
        <v>4181510</v>
      </c>
      <c r="T125" s="136">
        <f t="shared" si="25"/>
        <v>17529629</v>
      </c>
      <c r="U125" s="136">
        <f t="shared" ref="U125:AF125" si="26">U123+U124</f>
        <v>9686828</v>
      </c>
      <c r="V125" s="136">
        <f t="shared" si="26"/>
        <v>0</v>
      </c>
      <c r="W125" s="136">
        <f t="shared" si="26"/>
        <v>0</v>
      </c>
      <c r="X125" s="136">
        <f t="shared" si="26"/>
        <v>0</v>
      </c>
      <c r="Y125" s="136">
        <f t="shared" si="26"/>
        <v>0</v>
      </c>
      <c r="Z125" s="136">
        <f t="shared" si="26"/>
        <v>0</v>
      </c>
      <c r="AA125" s="136">
        <f t="shared" si="26"/>
        <v>0</v>
      </c>
      <c r="AB125" s="136">
        <f t="shared" si="26"/>
        <v>0</v>
      </c>
      <c r="AC125" s="136">
        <f t="shared" si="26"/>
        <v>0</v>
      </c>
      <c r="AD125" s="136">
        <f t="shared" si="26"/>
        <v>0</v>
      </c>
      <c r="AE125" s="136">
        <f t="shared" si="26"/>
        <v>0</v>
      </c>
      <c r="AF125" s="136">
        <f t="shared" si="26"/>
        <v>0</v>
      </c>
      <c r="AG125" s="137">
        <f>SUM(F125:AF125)</f>
        <v>80627506.970090285</v>
      </c>
      <c r="AH125" s="103" t="str">
        <f>IF(ABS(E125-AG125)&lt;0.01,"ok","err")</f>
        <v>ok</v>
      </c>
    </row>
    <row r="126" spans="1:34" x14ac:dyDescent="0.25">
      <c r="E126" s="110"/>
      <c r="F126" s="110"/>
      <c r="K126" s="120"/>
      <c r="L126" s="120"/>
      <c r="M126" s="120"/>
    </row>
    <row r="127" spans="1:34" x14ac:dyDescent="0.25">
      <c r="A127" s="132" t="s">
        <v>350</v>
      </c>
      <c r="E127" s="110"/>
      <c r="F127" s="110"/>
    </row>
    <row r="128" spans="1:34" x14ac:dyDescent="0.25">
      <c r="A128" s="133" t="s">
        <v>209</v>
      </c>
      <c r="C128" s="102" t="s">
        <v>877</v>
      </c>
      <c r="D128" s="102" t="s">
        <v>623</v>
      </c>
      <c r="E128" s="119">
        <f>'Func &amp; Classif'!K285</f>
        <v>0</v>
      </c>
      <c r="F128" s="119">
        <f>IF(VLOOKUP($D128,$C$5:$AT$510,3,)=0,0,(VLOOKUP($D128,$C$5:$AT$510,4,)/VLOOKUP($D128,$C$5:$AT$510,3,))*$E128)</f>
        <v>0</v>
      </c>
      <c r="G128" s="119">
        <f>IF(VLOOKUP($D128,$C$5:$AT$510,3,)=0,0,(VLOOKUP($D128,$C$5:$AT$510,5,)/VLOOKUP($D128,$C$5:$AT$510,3,))*$E128)</f>
        <v>0</v>
      </c>
      <c r="H128" s="119">
        <f>IF(VLOOKUP($D128,$C$5:$AT$510,3,)=0,0,(VLOOKUP($D128,$C$5:$AT$510,6,)/VLOOKUP($D128,$C$5:$AT$510,3,))*$E128)</f>
        <v>0</v>
      </c>
      <c r="I128" s="119">
        <f>IF(VLOOKUP($D128,$C$5:$AT$510,3,)=0,0,(VLOOKUP($D128,$C$5:$AT$510,7,)/VLOOKUP($D128,$C$5:$AT$510,3,))*$E128)</f>
        <v>0</v>
      </c>
      <c r="J128" s="119">
        <f>IF(VLOOKUP($D128,$C$5:$AT$510,3,)=0,0,(VLOOKUP($D128,$C$5:$AT$510,8,)/VLOOKUP($D128,$C$5:$AT$510,3,))*$E128)</f>
        <v>0</v>
      </c>
      <c r="K128" s="119">
        <f>IF(VLOOKUP($D128,$C$5:$AT$510,3,)=0,0,(VLOOKUP($D128,$C$5:$AT$510,9,)/VLOOKUP($D128,$C$5:$AT$510,3,))*$E128)</f>
        <v>0</v>
      </c>
      <c r="L128" s="119">
        <f>IF(VLOOKUP($D128,$C$5:$AT$510,3,)=0,0,(VLOOKUP($D128,$C$5:$AT$510,10,)/VLOOKUP($D128,$C$5:$AT$510,3,))*$E128)</f>
        <v>0</v>
      </c>
      <c r="M128" s="119">
        <f>IF(VLOOKUP($D128,$C$5:$AT$510,3,)=0,0,(VLOOKUP($D128,$C$5:$AT$510,11,)/VLOOKUP($D128,$C$5:$AT$510,3,))*$E128)</f>
        <v>0</v>
      </c>
      <c r="N128" s="119">
        <f>IF(VLOOKUP($D128,$C$5:$AT$510,3,)=0,0,(VLOOKUP($D128,$C$5:$AT$510,12,)/VLOOKUP($D128,$C$5:$AT$510,3,))*$E128)</f>
        <v>0</v>
      </c>
      <c r="O128" s="119">
        <f>IF(VLOOKUP($D128,$C$5:$AT$510,3,)=0,0,(VLOOKUP($D128,$C$5:$AT$510,13,)/VLOOKUP($D128,$C$5:$AT$510,3,))*$E128)</f>
        <v>0</v>
      </c>
      <c r="P128" s="119">
        <f>IF(VLOOKUP($D128,$C$5:$AT$510,3,)=0,0,(VLOOKUP($D128,$C$5:$AT$510,14,)/VLOOKUP($D128,$C$5:$AT$510,3,))*$E128)</f>
        <v>0</v>
      </c>
      <c r="Q128" s="119">
        <f>IF(VLOOKUP($D128,$C$5:$AT$510,3,)=0,0,(VLOOKUP($D128,$C$5:$AT$510,15,)/VLOOKUP($D128,$C$5:$AT$510,3,))*$E128)</f>
        <v>0</v>
      </c>
      <c r="R128" s="119">
        <f>IF(VLOOKUP($D128,$C$5:$AT$510,3,)=0,0,(VLOOKUP($D128,$C$5:$AT$510,16,)/VLOOKUP($D128,$C$5:$AT$510,3,))*$E128)</f>
        <v>0</v>
      </c>
      <c r="S128" s="119">
        <f>IF(VLOOKUP($D128,$C$5:$AT$510,3,)=0,0,(VLOOKUP($D128,$C$5:$AT$510,17,)/VLOOKUP($D128,$C$5:$AT$510,3,))*$E128)</f>
        <v>0</v>
      </c>
      <c r="T128" s="119">
        <f>IF(VLOOKUP($D128,$C$5:$AT$510,3,)=0,0,(VLOOKUP($D128,$C$5:$AT$510,18,)/VLOOKUP($D128,$C$5:$AT$510,3,))*$E128)</f>
        <v>0</v>
      </c>
      <c r="U128" s="119">
        <f>IF(VLOOKUP($D128,$C$5:$AT$510,3,)=0,0,(VLOOKUP($D128,$C$5:$AT$510,19,)/VLOOKUP($D128,$C$5:$AT$510,3,))*$E128)</f>
        <v>0</v>
      </c>
      <c r="V128" s="119">
        <f>IF(VLOOKUP($D128,$C$5:$AT$510,3,)=0,0,(VLOOKUP($D128,$C$5:$AT$510,20,)/VLOOKUP($D128,$C$5:$AT$510,3,))*$E128)</f>
        <v>0</v>
      </c>
      <c r="W128" s="119">
        <f>IF(VLOOKUP($D128,$C$5:$AT$510,3,)=0,0,(VLOOKUP($D128,$C$5:$AT$510,21,)/VLOOKUP($D128,$C$5:$AT$510,3,))*$E128)</f>
        <v>0</v>
      </c>
      <c r="X128" s="119">
        <f>IF(VLOOKUP($D128,$C$5:$AT$510,3,)=0,0,(VLOOKUP($D128,$C$5:$AT$510,22,)/VLOOKUP($D128,$C$5:$AT$510,3,))*$E128)</f>
        <v>0</v>
      </c>
      <c r="Y128" s="119">
        <f>IF(VLOOKUP($D128,$C$5:$AT$510,3,)=0,0,(VLOOKUP($D128,$C$5:$AT$510,23,)/VLOOKUP($D128,$C$5:$AT$510,3,))*$E128)</f>
        <v>0</v>
      </c>
      <c r="Z128" s="119">
        <f>IF(VLOOKUP($D128,$C$5:$AT$510,3,)=0,0,(VLOOKUP($D128,$C$5:$AT$510,24,)/VLOOKUP($D128,$C$5:$AT$510,3,))*$E128)</f>
        <v>0</v>
      </c>
      <c r="AA128" s="119">
        <f>IF(VLOOKUP($D128,$C$5:$AT$510,3,)=0,0,(VLOOKUP($D128,$C$5:$AT$510,25,)/VLOOKUP($D128,$C$5:$AT$510,3,))*$E128)</f>
        <v>0</v>
      </c>
      <c r="AB128" s="119">
        <f>IF(VLOOKUP($D128,$C$5:$AT$510,3,)=0,0,(VLOOKUP($D128,$C$5:$AT$510,26,)/VLOOKUP($D128,$C$5:$AT$510,3,))*$E128)</f>
        <v>0</v>
      </c>
      <c r="AC128" s="119">
        <f>IF(VLOOKUP($D128,$C$5:$AT$510,3,)=0,0,(VLOOKUP($D128,$C$5:$AT$510,27,)/VLOOKUP($D128,$C$5:$AT$510,3,))*$E128)</f>
        <v>0</v>
      </c>
      <c r="AD128" s="119">
        <f>IF(VLOOKUP($D128,$C$5:$AT$510,3,)=0,0,(VLOOKUP($D128,$C$5:$AT$510,28,)/VLOOKUP($D128,$C$5:$AT$510,3,))*$E128)</f>
        <v>0</v>
      </c>
      <c r="AE128" s="119">
        <f>IF(VLOOKUP($D128,$C$5:$AT$510,3,)=0,0,(VLOOKUP($D128,$C$5:$AT$510,29,)/VLOOKUP($D128,$C$5:$AT$510,3,))*$E128)</f>
        <v>0</v>
      </c>
      <c r="AF128" s="119">
        <f>IF(VLOOKUP($D128,$C$5:$AT$510,3,)=0,0,(VLOOKUP($D128,$C$5:$AT$510,30,)/VLOOKUP($D128,$C$5:$AT$510,3,))*$E128)</f>
        <v>0</v>
      </c>
      <c r="AG128" s="120">
        <f>SUM(F128:AF128)</f>
        <v>0</v>
      </c>
      <c r="AH128" s="103" t="str">
        <f>IF(ABS(E128-AG128)&lt;0.01,"ok","err")</f>
        <v>ok</v>
      </c>
    </row>
    <row r="129" spans="1:34" x14ac:dyDescent="0.25">
      <c r="E129" s="110"/>
    </row>
    <row r="130" spans="1:34" x14ac:dyDescent="0.25">
      <c r="A130" s="132" t="s">
        <v>1</v>
      </c>
      <c r="E130" s="110"/>
      <c r="F130" s="110"/>
    </row>
    <row r="131" spans="1:34" x14ac:dyDescent="0.25">
      <c r="A131" s="133" t="s">
        <v>209</v>
      </c>
      <c r="C131" s="102" t="s">
        <v>265</v>
      </c>
      <c r="D131" s="102" t="s">
        <v>630</v>
      </c>
      <c r="E131" s="119">
        <f>'Func &amp; Classif'!M285</f>
        <v>0</v>
      </c>
      <c r="F131" s="119">
        <f>IF(VLOOKUP($D131,$C$5:$AT$510,3,)=0,0,(VLOOKUP($D131,$C$5:$AT$510,4,)/VLOOKUP($D131,$C$5:$AT$510,3,))*$E131)</f>
        <v>0</v>
      </c>
      <c r="G131" s="119">
        <f>IF(VLOOKUP($D131,$C$5:$AT$510,3,)=0,0,(VLOOKUP($D131,$C$5:$AT$510,5,)/VLOOKUP($D131,$C$5:$AT$510,3,))*$E131)</f>
        <v>0</v>
      </c>
      <c r="H131" s="119">
        <f>IF(VLOOKUP($D131,$C$5:$AT$510,3,)=0,0,(VLOOKUP($D131,$C$5:$AT$510,6,)/VLOOKUP($D131,$C$5:$AT$510,3,))*$E131)</f>
        <v>0</v>
      </c>
      <c r="I131" s="119">
        <f>IF(VLOOKUP($D131,$C$5:$AT$510,3,)=0,0,(VLOOKUP($D131,$C$5:$AT$510,7,)/VLOOKUP($D131,$C$5:$AT$510,3,))*$E131)</f>
        <v>0</v>
      </c>
      <c r="J131" s="119">
        <f>IF(VLOOKUP($D131,$C$5:$AT$510,3,)=0,0,(VLOOKUP($D131,$C$5:$AT$510,8,)/VLOOKUP($D131,$C$5:$AT$510,3,))*$E131)</f>
        <v>0</v>
      </c>
      <c r="K131" s="119">
        <f>IF(VLOOKUP($D131,$C$5:$AT$510,3,)=0,0,(VLOOKUP($D131,$C$5:$AT$510,9,)/VLOOKUP($D131,$C$5:$AT$510,3,))*$E131)</f>
        <v>0</v>
      </c>
      <c r="L131" s="119">
        <f>IF(VLOOKUP($D131,$C$5:$AT$510,3,)=0,0,(VLOOKUP($D131,$C$5:$AT$510,10,)/VLOOKUP($D131,$C$5:$AT$510,3,))*$E131)</f>
        <v>0</v>
      </c>
      <c r="M131" s="119">
        <f>IF(VLOOKUP($D131,$C$5:$AT$510,3,)=0,0,(VLOOKUP($D131,$C$5:$AT$510,11,)/VLOOKUP($D131,$C$5:$AT$510,3,))*$E131)</f>
        <v>0</v>
      </c>
      <c r="N131" s="119">
        <f>IF(VLOOKUP($D131,$C$5:$AT$510,3,)=0,0,(VLOOKUP($D131,$C$5:$AT$510,12,)/VLOOKUP($D131,$C$5:$AT$510,3,))*$E131)</f>
        <v>0</v>
      </c>
      <c r="O131" s="119">
        <f>IF(VLOOKUP($D131,$C$5:$AT$510,3,)=0,0,(VLOOKUP($D131,$C$5:$AT$510,13,)/VLOOKUP($D131,$C$5:$AT$510,3,))*$E131)</f>
        <v>0</v>
      </c>
      <c r="P131" s="119">
        <f>IF(VLOOKUP($D131,$C$5:$AT$510,3,)=0,0,(VLOOKUP($D131,$C$5:$AT$510,14,)/VLOOKUP($D131,$C$5:$AT$510,3,))*$E131)</f>
        <v>0</v>
      </c>
      <c r="Q131" s="119">
        <f>IF(VLOOKUP($D131,$C$5:$AT$510,3,)=0,0,(VLOOKUP($D131,$C$5:$AT$510,15,)/VLOOKUP($D131,$C$5:$AT$510,3,))*$E131)</f>
        <v>0</v>
      </c>
      <c r="R131" s="119">
        <f>IF(VLOOKUP($D131,$C$5:$AT$510,3,)=0,0,(VLOOKUP($D131,$C$5:$AT$510,16,)/VLOOKUP($D131,$C$5:$AT$510,3,))*$E131)</f>
        <v>0</v>
      </c>
      <c r="S131" s="119">
        <f>IF(VLOOKUP($D131,$C$5:$AT$510,3,)=0,0,(VLOOKUP($D131,$C$5:$AT$510,17,)/VLOOKUP($D131,$C$5:$AT$510,3,))*$E131)</f>
        <v>0</v>
      </c>
      <c r="T131" s="119">
        <f>IF(VLOOKUP($D131,$C$5:$AT$510,3,)=0,0,(VLOOKUP($D131,$C$5:$AT$510,18,)/VLOOKUP($D131,$C$5:$AT$510,3,))*$E131)</f>
        <v>0</v>
      </c>
      <c r="U131" s="119">
        <f>IF(VLOOKUP($D131,$C$5:$AT$510,3,)=0,0,(VLOOKUP($D131,$C$5:$AT$510,19,)/VLOOKUP($D131,$C$5:$AT$510,3,))*$E131)</f>
        <v>0</v>
      </c>
      <c r="V131" s="119">
        <f>IF(VLOOKUP($D131,$C$5:$AT$510,3,)=0,0,(VLOOKUP($D131,$C$5:$AT$510,20,)/VLOOKUP($D131,$C$5:$AT$510,3,))*$E131)</f>
        <v>0</v>
      </c>
      <c r="W131" s="119">
        <f>IF(VLOOKUP($D131,$C$5:$AT$510,3,)=0,0,(VLOOKUP($D131,$C$5:$AT$510,21,)/VLOOKUP($D131,$C$5:$AT$510,3,))*$E131)</f>
        <v>0</v>
      </c>
      <c r="X131" s="119">
        <f>IF(VLOOKUP($D131,$C$5:$AT$510,3,)=0,0,(VLOOKUP($D131,$C$5:$AT$510,22,)/VLOOKUP($D131,$C$5:$AT$510,3,))*$E131)</f>
        <v>0</v>
      </c>
      <c r="Y131" s="119">
        <f>IF(VLOOKUP($D131,$C$5:$AT$510,3,)=0,0,(VLOOKUP($D131,$C$5:$AT$510,23,)/VLOOKUP($D131,$C$5:$AT$510,3,))*$E131)</f>
        <v>0</v>
      </c>
      <c r="Z131" s="119">
        <f>IF(VLOOKUP($D131,$C$5:$AT$510,3,)=0,0,(VLOOKUP($D131,$C$5:$AT$510,24,)/VLOOKUP($D131,$C$5:$AT$510,3,))*$E131)</f>
        <v>0</v>
      </c>
      <c r="AA131" s="119">
        <f>IF(VLOOKUP($D131,$C$5:$AT$510,3,)=0,0,(VLOOKUP($D131,$C$5:$AT$510,25,)/VLOOKUP($D131,$C$5:$AT$510,3,))*$E131)</f>
        <v>0</v>
      </c>
      <c r="AB131" s="119">
        <f>IF(VLOOKUP($D131,$C$5:$AT$510,3,)=0,0,(VLOOKUP($D131,$C$5:$AT$510,26,)/VLOOKUP($D131,$C$5:$AT$510,3,))*$E131)</f>
        <v>0</v>
      </c>
      <c r="AC131" s="119">
        <f>IF(VLOOKUP($D131,$C$5:$AT$510,3,)=0,0,(VLOOKUP($D131,$C$5:$AT$510,27,)/VLOOKUP($D131,$C$5:$AT$510,3,))*$E131)</f>
        <v>0</v>
      </c>
      <c r="AD131" s="119">
        <f>IF(VLOOKUP($D131,$C$5:$AT$510,3,)=0,0,(VLOOKUP($D131,$C$5:$AT$510,28,)/VLOOKUP($D131,$C$5:$AT$510,3,))*$E131)</f>
        <v>0</v>
      </c>
      <c r="AE131" s="119">
        <f>IF(VLOOKUP($D131,$C$5:$AT$510,3,)=0,0,(VLOOKUP($D131,$C$5:$AT$510,29,)/VLOOKUP($D131,$C$5:$AT$510,3,))*$E131)</f>
        <v>0</v>
      </c>
      <c r="AF131" s="119">
        <f>IF(VLOOKUP($D131,$C$5:$AT$510,3,)=0,0,(VLOOKUP($D131,$C$5:$AT$510,30,)/VLOOKUP($D131,$C$5:$AT$510,3,))*$E131)</f>
        <v>0</v>
      </c>
      <c r="AG131" s="120">
        <f>SUM(F131:AF131)</f>
        <v>0</v>
      </c>
      <c r="AH131" s="103" t="str">
        <f>IF(ABS(E131-AG131)&lt;0.01,"ok","err")</f>
        <v>ok</v>
      </c>
    </row>
    <row r="132" spans="1:34" x14ac:dyDescent="0.25">
      <c r="E132" s="110"/>
    </row>
    <row r="133" spans="1:34" x14ac:dyDescent="0.25">
      <c r="A133" s="132" t="s">
        <v>2</v>
      </c>
      <c r="E133" s="110"/>
    </row>
    <row r="134" spans="1:34" x14ac:dyDescent="0.25">
      <c r="A134" s="133" t="s">
        <v>209</v>
      </c>
      <c r="C134" s="102" t="s">
        <v>266</v>
      </c>
      <c r="D134" s="102" t="s">
        <v>627</v>
      </c>
      <c r="E134" s="119">
        <f>'Func &amp; Classif'!O285</f>
        <v>4636617.2318491898</v>
      </c>
      <c r="F134" s="119">
        <f>IF(VLOOKUP($D134,$C$5:$AT$510,3,)=0,0,(VLOOKUP($D134,$C$5:$AT$510,4,)/VLOOKUP($D134,$C$5:$AT$510,3,))*$E134)</f>
        <v>3348457.1183026764</v>
      </c>
      <c r="G134" s="119">
        <f>IF(VLOOKUP($D134,$C$5:$AT$510,3,)=0,0,(VLOOKUP($D134,$C$5:$AT$510,5,)/VLOOKUP($D134,$C$5:$AT$510,3,))*$E134)</f>
        <v>9903.6352102941673</v>
      </c>
      <c r="H134" s="119">
        <f>IF(VLOOKUP($D134,$C$5:$AT$510,3,)=0,0,(VLOOKUP($D134,$C$5:$AT$510,6,)/VLOOKUP($D134,$C$5:$AT$510,3,))*$E134)</f>
        <v>181399.20141719564</v>
      </c>
      <c r="I134" s="119">
        <f>IF(VLOOKUP($D134,$C$5:$AT$510,3,)=0,0,(VLOOKUP($D134,$C$5:$AT$510,7,)/VLOOKUP($D134,$C$5:$AT$510,3,))*$E134)</f>
        <v>478794.50955363322</v>
      </c>
      <c r="J134" s="119">
        <f>IF(VLOOKUP($D134,$C$5:$AT$510,3,)=0,0,(VLOOKUP($D134,$C$5:$AT$510,8,)/VLOOKUP($D134,$C$5:$AT$510,3,))*$E134)</f>
        <v>82657.838456291676</v>
      </c>
      <c r="K134" s="119">
        <f>IF(VLOOKUP($D134,$C$5:$AT$510,3,)=0,0,(VLOOKUP($D134,$C$5:$AT$510,9,)/VLOOKUP($D134,$C$5:$AT$510,3,))*$E134)</f>
        <v>3596.8161106290468</v>
      </c>
      <c r="L134" s="119">
        <f>IF(VLOOKUP($D134,$C$5:$AT$510,3,)=0,0,(VLOOKUP($D134,$C$5:$AT$510,10,)/VLOOKUP($D134,$C$5:$AT$510,3,))*$E134)</f>
        <v>101637.1383792745</v>
      </c>
      <c r="M134" s="119">
        <f>IF(VLOOKUP($D134,$C$5:$AT$510,3,)=0,0,(VLOOKUP($D134,$C$5:$AT$510,11,)/VLOOKUP($D134,$C$5:$AT$510,3,))*$E134)</f>
        <v>425901.67764196265</v>
      </c>
      <c r="N134" s="119">
        <f>IF(VLOOKUP($D134,$C$5:$AT$510,3,)=0,0,(VLOOKUP($D134,$C$5:$AT$510,12,)/VLOOKUP($D134,$C$5:$AT$510,3,))*$E134)</f>
        <v>3648.6288231961735</v>
      </c>
      <c r="O134" s="119">
        <f>IF(VLOOKUP($D134,$C$5:$AT$510,3,)=0,0,(VLOOKUP($D134,$C$5:$AT$510,13,)/VLOOKUP($D134,$C$5:$AT$510,3,))*$E134)</f>
        <v>0</v>
      </c>
      <c r="P134" s="119">
        <f>IF(VLOOKUP($D134,$C$5:$AT$510,3,)=0,0,(VLOOKUP($D134,$C$5:$AT$510,14,)/VLOOKUP($D134,$C$5:$AT$510,3,))*$E134)</f>
        <v>620.66795403706124</v>
      </c>
      <c r="Q134" s="119">
        <f>IF(VLOOKUP($D134,$C$5:$AT$510,3,)=0,0,(VLOOKUP($D134,$C$5:$AT$510,15,)/VLOOKUP($D134,$C$5:$AT$510,3,))*$E134)</f>
        <v>0</v>
      </c>
      <c r="R134" s="119">
        <f>IF(VLOOKUP($D134,$C$5:$AT$510,3,)=0,0,(VLOOKUP($D134,$C$5:$AT$510,16,)/VLOOKUP($D134,$C$5:$AT$510,3,))*$E134)</f>
        <v>0</v>
      </c>
      <c r="S134" s="119">
        <f>IF(VLOOKUP($D134,$C$5:$AT$510,3,)=0,0,(VLOOKUP($D134,$C$5:$AT$510,17,)/VLOOKUP($D134,$C$5:$AT$510,3,))*$E134)</f>
        <v>0</v>
      </c>
      <c r="T134" s="119">
        <f>IF(VLOOKUP($D134,$C$5:$AT$510,3,)=0,0,(VLOOKUP($D134,$C$5:$AT$510,18,)/VLOOKUP($D134,$C$5:$AT$510,3,))*$E134)</f>
        <v>0</v>
      </c>
      <c r="U134" s="119">
        <f>IF(VLOOKUP($D134,$C$5:$AT$510,3,)=0,0,(VLOOKUP($D134,$C$5:$AT$510,19,)/VLOOKUP($D134,$C$5:$AT$510,3,))*$E134)</f>
        <v>0</v>
      </c>
      <c r="V134" s="119">
        <f>IF(VLOOKUP($D134,$C$5:$AT$510,3,)=0,0,(VLOOKUP($D134,$C$5:$AT$510,20,)/VLOOKUP($D134,$C$5:$AT$510,3,))*$E134)</f>
        <v>0</v>
      </c>
      <c r="W134" s="119">
        <f>IF(VLOOKUP($D134,$C$5:$AT$510,3,)=0,0,(VLOOKUP($D134,$C$5:$AT$510,21,)/VLOOKUP($D134,$C$5:$AT$510,3,))*$E134)</f>
        <v>0</v>
      </c>
      <c r="X134" s="119">
        <f>IF(VLOOKUP($D134,$C$5:$AT$510,3,)=0,0,(VLOOKUP($D134,$C$5:$AT$510,22,)/VLOOKUP($D134,$C$5:$AT$510,3,))*$E134)</f>
        <v>0</v>
      </c>
      <c r="Y134" s="119">
        <f>IF(VLOOKUP($D134,$C$5:$AT$510,3,)=0,0,(VLOOKUP($D134,$C$5:$AT$510,23,)/VLOOKUP($D134,$C$5:$AT$510,3,))*$E134)</f>
        <v>0</v>
      </c>
      <c r="Z134" s="119">
        <f>IF(VLOOKUP($D134,$C$5:$AT$510,3,)=0,0,(VLOOKUP($D134,$C$5:$AT$510,24,)/VLOOKUP($D134,$C$5:$AT$510,3,))*$E134)</f>
        <v>0</v>
      </c>
      <c r="AA134" s="119">
        <f>IF(VLOOKUP($D134,$C$5:$AT$510,3,)=0,0,(VLOOKUP($D134,$C$5:$AT$510,25,)/VLOOKUP($D134,$C$5:$AT$510,3,))*$E134)</f>
        <v>0</v>
      </c>
      <c r="AB134" s="119">
        <f>IF(VLOOKUP($D134,$C$5:$AT$510,3,)=0,0,(VLOOKUP($D134,$C$5:$AT$510,26,)/VLOOKUP($D134,$C$5:$AT$510,3,))*$E134)</f>
        <v>0</v>
      </c>
      <c r="AC134" s="119">
        <f>IF(VLOOKUP($D134,$C$5:$AT$510,3,)=0,0,(VLOOKUP($D134,$C$5:$AT$510,27,)/VLOOKUP($D134,$C$5:$AT$510,3,))*$E134)</f>
        <v>0</v>
      </c>
      <c r="AD134" s="119">
        <f>IF(VLOOKUP($D134,$C$5:$AT$510,3,)=0,0,(VLOOKUP($D134,$C$5:$AT$510,28,)/VLOOKUP($D134,$C$5:$AT$510,3,))*$E134)</f>
        <v>0</v>
      </c>
      <c r="AE134" s="119">
        <f>IF(VLOOKUP($D134,$C$5:$AT$510,3,)=0,0,(VLOOKUP($D134,$C$5:$AT$510,29,)/VLOOKUP($D134,$C$5:$AT$510,3,))*$E134)</f>
        <v>0</v>
      </c>
      <c r="AF134" s="119">
        <f>IF(VLOOKUP($D134,$C$5:$AT$510,3,)=0,0,(VLOOKUP($D134,$C$5:$AT$510,30,)/VLOOKUP($D134,$C$5:$AT$510,3,))*$E134)</f>
        <v>0</v>
      </c>
      <c r="AG134" s="120">
        <f>SUM(F134:AF134)</f>
        <v>4636617.2318491908</v>
      </c>
      <c r="AH134" s="103" t="str">
        <f>IF(ABS(E134-AG134)&lt;0.01,"ok","err")</f>
        <v>ok</v>
      </c>
    </row>
    <row r="135" spans="1:34" x14ac:dyDescent="0.25">
      <c r="A135" s="133" t="s">
        <v>221</v>
      </c>
      <c r="C135" s="102" t="s">
        <v>267</v>
      </c>
      <c r="D135" s="102" t="s">
        <v>223</v>
      </c>
      <c r="E135" s="110">
        <f>'Func &amp; Classif'!P285</f>
        <v>1490189.8391654647</v>
      </c>
      <c r="F135" s="119">
        <f>IF(VLOOKUP($D135,$C$5:$AT$510,3,)=0,0,(VLOOKUP($D135,$C$5:$AT$510,4,)/VLOOKUP($D135,$C$5:$AT$510,3,))*$E135)</f>
        <v>1409778.6768742581</v>
      </c>
      <c r="G135" s="119">
        <f>IF(VLOOKUP($D135,$C$5:$AT$510,3,)=0,0,(VLOOKUP($D135,$C$5:$AT$510,5,)/VLOOKUP($D135,$C$5:$AT$510,3,))*$E135)</f>
        <v>2990.546232451009</v>
      </c>
      <c r="H135" s="119">
        <f>IF(VLOOKUP($D135,$C$5:$AT$510,3,)=0,0,(VLOOKUP($D135,$C$5:$AT$510,6,)/VLOOKUP($D135,$C$5:$AT$510,3,))*$E135)</f>
        <v>30667.758422977997</v>
      </c>
      <c r="I135" s="119">
        <f>IF(VLOOKUP($D135,$C$5:$AT$510,3,)=0,0,(VLOOKUP($D135,$C$5:$AT$510,7,)/VLOOKUP($D135,$C$5:$AT$510,3,))*$E135)</f>
        <v>3576.9278466570895</v>
      </c>
      <c r="J135" s="119">
        <f>IF(VLOOKUP($D135,$C$5:$AT$510,3,)=0,0,(VLOOKUP($D135,$C$5:$AT$510,8,)/VLOOKUP($D135,$C$5:$AT$510,3,))*$E135)</f>
        <v>1348.6777126739846</v>
      </c>
      <c r="K135" s="119">
        <f>IF(VLOOKUP($D135,$C$5:$AT$510,3,)=0,0,(VLOOKUP($D135,$C$5:$AT$510,9,)/VLOOKUP($D135,$C$5:$AT$510,3,))*$E135)</f>
        <v>18295.106363229701</v>
      </c>
      <c r="L135" s="119">
        <f>IF(VLOOKUP($D135,$C$5:$AT$510,3,)=0,0,(VLOOKUP($D135,$C$5:$AT$510,10,)/VLOOKUP($D135,$C$5:$AT$510,3,))*$E135)</f>
        <v>14190.435063787141</v>
      </c>
      <c r="M135" s="119">
        <f>IF(VLOOKUP($D135,$C$5:$AT$510,3,)=0,0,(VLOOKUP($D135,$C$5:$AT$510,11,)/VLOOKUP($D135,$C$5:$AT$510,3,))*$E135)</f>
        <v>9088.9150201942448</v>
      </c>
      <c r="N135" s="119">
        <f>IF(VLOOKUP($D135,$C$5:$AT$510,3,)=0,0,(VLOOKUP($D135,$C$5:$AT$510,12,)/VLOOKUP($D135,$C$5:$AT$510,3,))*$E135)</f>
        <v>175.91448426182407</v>
      </c>
      <c r="O135" s="119">
        <f>IF(VLOOKUP($D135,$C$5:$AT$510,3,)=0,0,(VLOOKUP($D135,$C$5:$AT$510,13,)/VLOOKUP($D135,$C$5:$AT$510,3,))*$E135)</f>
        <v>0</v>
      </c>
      <c r="P135" s="119">
        <f>IF(VLOOKUP($D135,$C$5:$AT$510,3,)=0,0,(VLOOKUP($D135,$C$5:$AT$510,14,)/VLOOKUP($D135,$C$5:$AT$510,3,))*$E135)</f>
        <v>76.881144973686077</v>
      </c>
      <c r="Q135" s="119">
        <f>IF(VLOOKUP($D135,$C$5:$AT$510,3,)=0,0,(VLOOKUP($D135,$C$5:$AT$510,15,)/VLOOKUP($D135,$C$5:$AT$510,3,))*$E135)</f>
        <v>0</v>
      </c>
      <c r="R135" s="119">
        <f>IF(VLOOKUP($D135,$C$5:$AT$510,3,)=0,0,(VLOOKUP($D135,$C$5:$AT$510,16,)/VLOOKUP($D135,$C$5:$AT$510,3,))*$E135)</f>
        <v>0</v>
      </c>
      <c r="S135" s="119">
        <f>IF(VLOOKUP($D135,$C$5:$AT$510,3,)=0,0,(VLOOKUP($D135,$C$5:$AT$510,17,)/VLOOKUP($D135,$C$5:$AT$510,3,))*$E135)</f>
        <v>0</v>
      </c>
      <c r="T135" s="119">
        <f>IF(VLOOKUP($D135,$C$5:$AT$510,3,)=0,0,(VLOOKUP($D135,$C$5:$AT$510,18,)/VLOOKUP($D135,$C$5:$AT$510,3,))*$E135)</f>
        <v>0</v>
      </c>
      <c r="U135" s="119">
        <f>IF(VLOOKUP($D135,$C$5:$AT$510,3,)=0,0,(VLOOKUP($D135,$C$5:$AT$510,19,)/VLOOKUP($D135,$C$5:$AT$510,3,))*$E135)</f>
        <v>0</v>
      </c>
      <c r="V135" s="119">
        <f>IF(VLOOKUP($D135,$C$5:$AT$510,3,)=0,0,(VLOOKUP($D135,$C$5:$AT$510,20,)/VLOOKUP($D135,$C$5:$AT$510,3,))*$E135)</f>
        <v>0</v>
      </c>
      <c r="W135" s="119">
        <f>IF(VLOOKUP($D135,$C$5:$AT$510,3,)=0,0,(VLOOKUP($D135,$C$5:$AT$510,21,)/VLOOKUP($D135,$C$5:$AT$510,3,))*$E135)</f>
        <v>0</v>
      </c>
      <c r="X135" s="119">
        <f>IF(VLOOKUP($D135,$C$5:$AT$510,3,)=0,0,(VLOOKUP($D135,$C$5:$AT$510,22,)/VLOOKUP($D135,$C$5:$AT$510,3,))*$E135)</f>
        <v>0</v>
      </c>
      <c r="Y135" s="119">
        <f>IF(VLOOKUP($D135,$C$5:$AT$510,3,)=0,0,(VLOOKUP($D135,$C$5:$AT$510,23,)/VLOOKUP($D135,$C$5:$AT$510,3,))*$E135)</f>
        <v>0</v>
      </c>
      <c r="Z135" s="119">
        <f>IF(VLOOKUP($D135,$C$5:$AT$510,3,)=0,0,(VLOOKUP($D135,$C$5:$AT$510,24,)/VLOOKUP($D135,$C$5:$AT$510,3,))*$E135)</f>
        <v>0</v>
      </c>
      <c r="AA135" s="119">
        <f>IF(VLOOKUP($D135,$C$5:$AT$510,3,)=0,0,(VLOOKUP($D135,$C$5:$AT$510,25,)/VLOOKUP($D135,$C$5:$AT$510,3,))*$E135)</f>
        <v>0</v>
      </c>
      <c r="AB135" s="119">
        <f>IF(VLOOKUP($D135,$C$5:$AT$510,3,)=0,0,(VLOOKUP($D135,$C$5:$AT$510,26,)/VLOOKUP($D135,$C$5:$AT$510,3,))*$E135)</f>
        <v>0</v>
      </c>
      <c r="AC135" s="119">
        <f>IF(VLOOKUP($D135,$C$5:$AT$510,3,)=0,0,(VLOOKUP($D135,$C$5:$AT$510,27,)/VLOOKUP($D135,$C$5:$AT$510,3,))*$E135)</f>
        <v>0</v>
      </c>
      <c r="AD135" s="119">
        <f>IF(VLOOKUP($D135,$C$5:$AT$510,3,)=0,0,(VLOOKUP($D135,$C$5:$AT$510,28,)/VLOOKUP($D135,$C$5:$AT$510,3,))*$E135)</f>
        <v>0</v>
      </c>
      <c r="AE135" s="119">
        <f>IF(VLOOKUP($D135,$C$5:$AT$510,3,)=0,0,(VLOOKUP($D135,$C$5:$AT$510,29,)/VLOOKUP($D135,$C$5:$AT$510,3,))*$E135)</f>
        <v>0</v>
      </c>
      <c r="AF135" s="119">
        <f>IF(VLOOKUP($D135,$C$5:$AT$510,3,)=0,0,(VLOOKUP($D135,$C$5:$AT$510,30,)/VLOOKUP($D135,$C$5:$AT$510,3,))*$E135)</f>
        <v>0</v>
      </c>
      <c r="AG135" s="120">
        <f>SUM(F135:AF135)</f>
        <v>1490189.8391654645</v>
      </c>
      <c r="AH135" s="103" t="str">
        <f>IF(ABS(E135-AG135)&lt;0.01,"ok","err")</f>
        <v>ok</v>
      </c>
    </row>
    <row r="136" spans="1:34" x14ac:dyDescent="0.25">
      <c r="A136" s="102" t="s">
        <v>224</v>
      </c>
      <c r="E136" s="119">
        <f t="shared" ref="E136:T136" si="27">E134+E135</f>
        <v>6126807.0710146548</v>
      </c>
      <c r="F136" s="119">
        <f t="shared" si="27"/>
        <v>4758235.7951769345</v>
      </c>
      <c r="G136" s="119">
        <f t="shared" si="27"/>
        <v>12894.181442745175</v>
      </c>
      <c r="H136" s="119">
        <f t="shared" si="27"/>
        <v>212066.95984017363</v>
      </c>
      <c r="I136" s="119">
        <f t="shared" si="27"/>
        <v>482371.43740029034</v>
      </c>
      <c r="J136" s="119">
        <f t="shared" si="27"/>
        <v>84006.516168965667</v>
      </c>
      <c r="K136" s="119">
        <f t="shared" si="27"/>
        <v>21891.922473858747</v>
      </c>
      <c r="L136" s="119">
        <f t="shared" si="27"/>
        <v>115827.57344306164</v>
      </c>
      <c r="M136" s="119">
        <f t="shared" si="27"/>
        <v>434990.59266215691</v>
      </c>
      <c r="N136" s="119">
        <f t="shared" si="27"/>
        <v>3824.5433074579973</v>
      </c>
      <c r="O136" s="119">
        <f t="shared" si="27"/>
        <v>0</v>
      </c>
      <c r="P136" s="119">
        <f t="shared" si="27"/>
        <v>697.54909901074734</v>
      </c>
      <c r="Q136" s="119">
        <f t="shared" si="27"/>
        <v>0</v>
      </c>
      <c r="R136" s="119">
        <f t="shared" si="27"/>
        <v>0</v>
      </c>
      <c r="S136" s="119">
        <f t="shared" si="27"/>
        <v>0</v>
      </c>
      <c r="T136" s="119">
        <f t="shared" si="27"/>
        <v>0</v>
      </c>
      <c r="U136" s="119">
        <f t="shared" ref="U136:AF136" si="28">U134+U135</f>
        <v>0</v>
      </c>
      <c r="V136" s="119">
        <f t="shared" si="28"/>
        <v>0</v>
      </c>
      <c r="W136" s="119">
        <f t="shared" si="28"/>
        <v>0</v>
      </c>
      <c r="X136" s="119">
        <f t="shared" si="28"/>
        <v>0</v>
      </c>
      <c r="Y136" s="119">
        <f t="shared" si="28"/>
        <v>0</v>
      </c>
      <c r="Z136" s="119">
        <f t="shared" si="28"/>
        <v>0</v>
      </c>
      <c r="AA136" s="119">
        <f t="shared" si="28"/>
        <v>0</v>
      </c>
      <c r="AB136" s="119">
        <f t="shared" si="28"/>
        <v>0</v>
      </c>
      <c r="AC136" s="119">
        <f t="shared" si="28"/>
        <v>0</v>
      </c>
      <c r="AD136" s="119">
        <f t="shared" si="28"/>
        <v>0</v>
      </c>
      <c r="AE136" s="119">
        <f t="shared" si="28"/>
        <v>0</v>
      </c>
      <c r="AF136" s="119">
        <f t="shared" si="28"/>
        <v>0</v>
      </c>
      <c r="AG136" s="120">
        <f>SUM(F136:AF136)</f>
        <v>6126807.0710146558</v>
      </c>
      <c r="AH136" s="103" t="str">
        <f>IF(ABS(E136-AG136)&lt;0.01,"ok","err")</f>
        <v>ok</v>
      </c>
    </row>
    <row r="137" spans="1:34" x14ac:dyDescent="0.25">
      <c r="E137" s="110"/>
    </row>
    <row r="138" spans="1:34" x14ac:dyDescent="0.25">
      <c r="A138" s="132" t="s">
        <v>3</v>
      </c>
      <c r="E138" s="110"/>
    </row>
    <row r="139" spans="1:34" x14ac:dyDescent="0.25">
      <c r="A139" s="133" t="s">
        <v>209</v>
      </c>
      <c r="C139" s="102" t="s">
        <v>268</v>
      </c>
      <c r="D139" s="102" t="s">
        <v>698</v>
      </c>
      <c r="E139" s="119">
        <f>'Func &amp; Classif'!R285</f>
        <v>0</v>
      </c>
      <c r="F139" s="119">
        <f>IF(VLOOKUP($D139,$C$5:$AT$510,3,)=0,0,(VLOOKUP($D139,$C$5:$AT$510,4,)/VLOOKUP($D139,$C$5:$AT$510,3,))*$E139)</f>
        <v>0</v>
      </c>
      <c r="G139" s="119">
        <f>IF(VLOOKUP($D139,$C$5:$AT$510,3,)=0,0,(VLOOKUP($D139,$C$5:$AT$510,5,)/VLOOKUP($D139,$C$5:$AT$510,3,))*$E139)</f>
        <v>0</v>
      </c>
      <c r="H139" s="119">
        <f>IF(VLOOKUP($D139,$C$5:$AT$510,3,)=0,0,(VLOOKUP($D139,$C$5:$AT$510,6,)/VLOOKUP($D139,$C$5:$AT$510,3,))*$E139)</f>
        <v>0</v>
      </c>
      <c r="I139" s="119">
        <f>IF(VLOOKUP($D139,$C$5:$AT$510,3,)=0,0,(VLOOKUP($D139,$C$5:$AT$510,7,)/VLOOKUP($D139,$C$5:$AT$510,3,))*$E139)</f>
        <v>0</v>
      </c>
      <c r="J139" s="119">
        <f>IF(VLOOKUP($D139,$C$5:$AT$510,3,)=0,0,(VLOOKUP($D139,$C$5:$AT$510,8,)/VLOOKUP($D139,$C$5:$AT$510,3,))*$E139)</f>
        <v>0</v>
      </c>
      <c r="K139" s="119">
        <f>IF(VLOOKUP($D139,$C$5:$AT$510,3,)=0,0,(VLOOKUP($D139,$C$5:$AT$510,9,)/VLOOKUP($D139,$C$5:$AT$510,3,))*$E139)</f>
        <v>0</v>
      </c>
      <c r="L139" s="119">
        <f>IF(VLOOKUP($D139,$C$5:$AT$510,3,)=0,0,(VLOOKUP($D139,$C$5:$AT$510,10,)/VLOOKUP($D139,$C$5:$AT$510,3,))*$E139)</f>
        <v>0</v>
      </c>
      <c r="M139" s="119">
        <f>IF(VLOOKUP($D139,$C$5:$AT$510,3,)=0,0,(VLOOKUP($D139,$C$5:$AT$510,11,)/VLOOKUP($D139,$C$5:$AT$510,3,))*$E139)</f>
        <v>0</v>
      </c>
      <c r="N139" s="119">
        <f>IF(VLOOKUP($D139,$C$5:$AT$510,3,)=0,0,(VLOOKUP($D139,$C$5:$AT$510,12,)/VLOOKUP($D139,$C$5:$AT$510,3,))*$E139)</f>
        <v>0</v>
      </c>
      <c r="O139" s="119">
        <f>IF(VLOOKUP($D139,$C$5:$AT$510,3,)=0,0,(VLOOKUP($D139,$C$5:$AT$510,13,)/VLOOKUP($D139,$C$5:$AT$510,3,))*$E139)</f>
        <v>0</v>
      </c>
      <c r="P139" s="119">
        <f>IF(VLOOKUP($D139,$C$5:$AT$510,3,)=0,0,(VLOOKUP($D139,$C$5:$AT$510,14,)/VLOOKUP($D139,$C$5:$AT$510,3,))*$E139)</f>
        <v>0</v>
      </c>
      <c r="Q139" s="119">
        <f>IF(VLOOKUP($D139,$C$5:$AT$510,3,)=0,0,(VLOOKUP($D139,$C$5:$AT$510,15,)/VLOOKUP($D139,$C$5:$AT$510,3,))*$E139)</f>
        <v>0</v>
      </c>
      <c r="R139" s="119">
        <f>IF(VLOOKUP($D139,$C$5:$AT$510,3,)=0,0,(VLOOKUP($D139,$C$5:$AT$510,16,)/VLOOKUP($D139,$C$5:$AT$510,3,))*$E139)</f>
        <v>0</v>
      </c>
      <c r="S139" s="119">
        <f>IF(VLOOKUP($D139,$C$5:$AT$510,3,)=0,0,(VLOOKUP($D139,$C$5:$AT$510,17,)/VLOOKUP($D139,$C$5:$AT$510,3,))*$E139)</f>
        <v>0</v>
      </c>
      <c r="T139" s="119">
        <f>IF(VLOOKUP($D139,$C$5:$AT$510,3,)=0,0,(VLOOKUP($D139,$C$5:$AT$510,18,)/VLOOKUP($D139,$C$5:$AT$510,3,))*$E139)</f>
        <v>0</v>
      </c>
      <c r="U139" s="119">
        <f>IF(VLOOKUP($D139,$C$5:$AT$510,3,)=0,0,(VLOOKUP($D139,$C$5:$AT$510,19,)/VLOOKUP($D139,$C$5:$AT$510,3,))*$E139)</f>
        <v>0</v>
      </c>
      <c r="V139" s="119">
        <f>IF(VLOOKUP($D139,$C$5:$AT$510,3,)=0,0,(VLOOKUP($D139,$C$5:$AT$510,20,)/VLOOKUP($D139,$C$5:$AT$510,3,))*$E139)</f>
        <v>0</v>
      </c>
      <c r="W139" s="119">
        <f>IF(VLOOKUP($D139,$C$5:$AT$510,3,)=0,0,(VLOOKUP($D139,$C$5:$AT$510,21,)/VLOOKUP($D139,$C$5:$AT$510,3,))*$E139)</f>
        <v>0</v>
      </c>
      <c r="X139" s="119">
        <f>IF(VLOOKUP($D139,$C$5:$AT$510,3,)=0,0,(VLOOKUP($D139,$C$5:$AT$510,22,)/VLOOKUP($D139,$C$5:$AT$510,3,))*$E139)</f>
        <v>0</v>
      </c>
      <c r="Y139" s="119">
        <f>IF(VLOOKUP($D139,$C$5:$AT$510,3,)=0,0,(VLOOKUP($D139,$C$5:$AT$510,23,)/VLOOKUP($D139,$C$5:$AT$510,3,))*$E139)</f>
        <v>0</v>
      </c>
      <c r="Z139" s="119">
        <f>IF(VLOOKUP($D139,$C$5:$AT$510,3,)=0,0,(VLOOKUP($D139,$C$5:$AT$510,24,)/VLOOKUP($D139,$C$5:$AT$510,3,))*$E139)</f>
        <v>0</v>
      </c>
      <c r="AA139" s="119">
        <f>IF(VLOOKUP($D139,$C$5:$AT$510,3,)=0,0,(VLOOKUP($D139,$C$5:$AT$510,25,)/VLOOKUP($D139,$C$5:$AT$510,3,))*$E139)</f>
        <v>0</v>
      </c>
      <c r="AB139" s="119">
        <f>IF(VLOOKUP($D139,$C$5:$AT$510,3,)=0,0,(VLOOKUP($D139,$C$5:$AT$510,26,)/VLOOKUP($D139,$C$5:$AT$510,3,))*$E139)</f>
        <v>0</v>
      </c>
      <c r="AC139" s="119">
        <f>IF(VLOOKUP($D139,$C$5:$AT$510,3,)=0,0,(VLOOKUP($D139,$C$5:$AT$510,27,)/VLOOKUP($D139,$C$5:$AT$510,3,))*$E139)</f>
        <v>0</v>
      </c>
      <c r="AD139" s="119">
        <f>IF(VLOOKUP($D139,$C$5:$AT$510,3,)=0,0,(VLOOKUP($D139,$C$5:$AT$510,28,)/VLOOKUP($D139,$C$5:$AT$510,3,))*$E139)</f>
        <v>0</v>
      </c>
      <c r="AE139" s="119">
        <f>IF(VLOOKUP($D139,$C$5:$AT$510,3,)=0,0,(VLOOKUP($D139,$C$5:$AT$510,29,)/VLOOKUP($D139,$C$5:$AT$510,3,))*$E139)</f>
        <v>0</v>
      </c>
      <c r="AF139" s="119">
        <f>IF(VLOOKUP($D139,$C$5:$AT$510,3,)=0,0,(VLOOKUP($D139,$C$5:$AT$510,30,)/VLOOKUP($D139,$C$5:$AT$510,3,))*$E139)</f>
        <v>0</v>
      </c>
      <c r="AG139" s="120">
        <f>SUM(F139:AF139)</f>
        <v>0</v>
      </c>
      <c r="AH139" s="103" t="str">
        <f>IF(ABS(E139-AG139)&lt;0.01,"ok","err")</f>
        <v>ok</v>
      </c>
    </row>
    <row r="140" spans="1:34" x14ac:dyDescent="0.25">
      <c r="A140" s="133" t="s">
        <v>221</v>
      </c>
      <c r="C140" s="102" t="s">
        <v>269</v>
      </c>
      <c r="D140" s="102" t="s">
        <v>698</v>
      </c>
      <c r="E140" s="110">
        <f>'Func &amp; Classif'!S285</f>
        <v>145199.55625374703</v>
      </c>
      <c r="F140" s="119">
        <f>IF(VLOOKUP($D140,$C$5:$AT$510,3,)=0,0,(VLOOKUP($D140,$C$5:$AT$510,4,)/VLOOKUP($D140,$C$5:$AT$510,3,))*$E140)</f>
        <v>136716.02284194849</v>
      </c>
      <c r="G140" s="119">
        <f>IF(VLOOKUP($D140,$C$5:$AT$510,3,)=0,0,(VLOOKUP($D140,$C$5:$AT$510,5,)/VLOOKUP($D140,$C$5:$AT$510,3,))*$E140)</f>
        <v>290.01402399714556</v>
      </c>
      <c r="H140" s="119">
        <f>IF(VLOOKUP($D140,$C$5:$AT$510,3,)=0,0,(VLOOKUP($D140,$C$5:$AT$510,6,)/VLOOKUP($D140,$C$5:$AT$510,3,))*$E140)</f>
        <v>2974.0653833432766</v>
      </c>
      <c r="I140" s="119">
        <f>IF(VLOOKUP($D140,$C$5:$AT$510,3,)=0,0,(VLOOKUP($D140,$C$5:$AT$510,7,)/VLOOKUP($D140,$C$5:$AT$510,3,))*$E140)</f>
        <v>346.87951889854668</v>
      </c>
      <c r="J140" s="119">
        <f>IF(VLOOKUP($D140,$C$5:$AT$510,3,)=0,0,(VLOOKUP($D140,$C$5:$AT$510,8,)/VLOOKUP($D140,$C$5:$AT$510,3,))*$E140)</f>
        <v>130.7906382732225</v>
      </c>
      <c r="K140" s="119">
        <f>IF(VLOOKUP($D140,$C$5:$AT$510,3,)=0,0,(VLOOKUP($D140,$C$5:$AT$510,9,)/VLOOKUP($D140,$C$5:$AT$510,3,))*$E140)</f>
        <v>1774.203440923714</v>
      </c>
      <c r="L140" s="119">
        <f>IF(VLOOKUP($D140,$C$5:$AT$510,3,)=0,0,(VLOOKUP($D140,$C$5:$AT$510,10,)/VLOOKUP($D140,$C$5:$AT$510,3,))*$E140)</f>
        <v>1481.1420425496854</v>
      </c>
      <c r="M140" s="119">
        <f>IF(VLOOKUP($D140,$C$5:$AT$510,3,)=0,0,(VLOOKUP($D140,$C$5:$AT$510,11,)/VLOOKUP($D140,$C$5:$AT$510,3,))*$E140)</f>
        <v>1458.2148505760076</v>
      </c>
      <c r="N140" s="119">
        <f>IF(VLOOKUP($D140,$C$5:$AT$510,3,)=0,0,(VLOOKUP($D140,$C$5:$AT$510,12,)/VLOOKUP($D140,$C$5:$AT$510,3,))*$E140)</f>
        <v>28.223513236954982</v>
      </c>
      <c r="O140" s="119">
        <f>IF(VLOOKUP($D140,$C$5:$AT$510,3,)=0,0,(VLOOKUP($D140,$C$5:$AT$510,13,)/VLOOKUP($D140,$C$5:$AT$510,3,))*$E140)</f>
        <v>0</v>
      </c>
      <c r="P140" s="119">
        <f>IF(VLOOKUP($D140,$C$5:$AT$510,3,)=0,0,(VLOOKUP($D140,$C$5:$AT$510,14,)/VLOOKUP($D140,$C$5:$AT$510,3,))*$E140)</f>
        <v>0</v>
      </c>
      <c r="Q140" s="119">
        <f>IF(VLOOKUP($D140,$C$5:$AT$510,3,)=0,0,(VLOOKUP($D140,$C$5:$AT$510,15,)/VLOOKUP($D140,$C$5:$AT$510,3,))*$E140)</f>
        <v>0</v>
      </c>
      <c r="R140" s="119">
        <f>IF(VLOOKUP($D140,$C$5:$AT$510,3,)=0,0,(VLOOKUP($D140,$C$5:$AT$510,16,)/VLOOKUP($D140,$C$5:$AT$510,3,))*$E140)</f>
        <v>0</v>
      </c>
      <c r="S140" s="119">
        <f>IF(VLOOKUP($D140,$C$5:$AT$510,3,)=0,0,(VLOOKUP($D140,$C$5:$AT$510,17,)/VLOOKUP($D140,$C$5:$AT$510,3,))*$E140)</f>
        <v>0</v>
      </c>
      <c r="T140" s="119">
        <f>IF(VLOOKUP($D140,$C$5:$AT$510,3,)=0,0,(VLOOKUP($D140,$C$5:$AT$510,18,)/VLOOKUP($D140,$C$5:$AT$510,3,))*$E140)</f>
        <v>0</v>
      </c>
      <c r="U140" s="119">
        <f>IF(VLOOKUP($D140,$C$5:$AT$510,3,)=0,0,(VLOOKUP($D140,$C$5:$AT$510,19,)/VLOOKUP($D140,$C$5:$AT$510,3,))*$E140)</f>
        <v>0</v>
      </c>
      <c r="V140" s="119">
        <f>IF(VLOOKUP($D140,$C$5:$AT$510,3,)=0,0,(VLOOKUP($D140,$C$5:$AT$510,20,)/VLOOKUP($D140,$C$5:$AT$510,3,))*$E140)</f>
        <v>0</v>
      </c>
      <c r="W140" s="119">
        <f>IF(VLOOKUP($D140,$C$5:$AT$510,3,)=0,0,(VLOOKUP($D140,$C$5:$AT$510,21,)/VLOOKUP($D140,$C$5:$AT$510,3,))*$E140)</f>
        <v>0</v>
      </c>
      <c r="X140" s="119">
        <f>IF(VLOOKUP($D140,$C$5:$AT$510,3,)=0,0,(VLOOKUP($D140,$C$5:$AT$510,22,)/VLOOKUP($D140,$C$5:$AT$510,3,))*$E140)</f>
        <v>0</v>
      </c>
      <c r="Y140" s="119">
        <f>IF(VLOOKUP($D140,$C$5:$AT$510,3,)=0,0,(VLOOKUP($D140,$C$5:$AT$510,23,)/VLOOKUP($D140,$C$5:$AT$510,3,))*$E140)</f>
        <v>0</v>
      </c>
      <c r="Z140" s="119">
        <f>IF(VLOOKUP($D140,$C$5:$AT$510,3,)=0,0,(VLOOKUP($D140,$C$5:$AT$510,24,)/VLOOKUP($D140,$C$5:$AT$510,3,))*$E140)</f>
        <v>0</v>
      </c>
      <c r="AA140" s="119">
        <f>IF(VLOOKUP($D140,$C$5:$AT$510,3,)=0,0,(VLOOKUP($D140,$C$5:$AT$510,25,)/VLOOKUP($D140,$C$5:$AT$510,3,))*$E140)</f>
        <v>0</v>
      </c>
      <c r="AB140" s="119">
        <f>IF(VLOOKUP($D140,$C$5:$AT$510,3,)=0,0,(VLOOKUP($D140,$C$5:$AT$510,26,)/VLOOKUP($D140,$C$5:$AT$510,3,))*$E140)</f>
        <v>0</v>
      </c>
      <c r="AC140" s="119">
        <f>IF(VLOOKUP($D140,$C$5:$AT$510,3,)=0,0,(VLOOKUP($D140,$C$5:$AT$510,27,)/VLOOKUP($D140,$C$5:$AT$510,3,))*$E140)</f>
        <v>0</v>
      </c>
      <c r="AD140" s="119">
        <f>IF(VLOOKUP($D140,$C$5:$AT$510,3,)=0,0,(VLOOKUP($D140,$C$5:$AT$510,28,)/VLOOKUP($D140,$C$5:$AT$510,3,))*$E140)</f>
        <v>0</v>
      </c>
      <c r="AE140" s="119">
        <f>IF(VLOOKUP($D140,$C$5:$AT$510,3,)=0,0,(VLOOKUP($D140,$C$5:$AT$510,29,)/VLOOKUP($D140,$C$5:$AT$510,3,))*$E140)</f>
        <v>0</v>
      </c>
      <c r="AF140" s="119">
        <f>IF(VLOOKUP($D140,$C$5:$AT$510,3,)=0,0,(VLOOKUP($D140,$C$5:$AT$510,30,)/VLOOKUP($D140,$C$5:$AT$510,3,))*$E140)</f>
        <v>0</v>
      </c>
      <c r="AG140" s="120">
        <f>SUM(F140:AF140)</f>
        <v>145199.55625374708</v>
      </c>
      <c r="AH140" s="103" t="str">
        <f>IF(ABS(E140-AG140)&lt;0.01,"ok","err")</f>
        <v>ok</v>
      </c>
    </row>
    <row r="141" spans="1:34" x14ac:dyDescent="0.25">
      <c r="A141" s="102" t="s">
        <v>228</v>
      </c>
      <c r="E141" s="119">
        <f t="shared" ref="E141:T141" si="29">E139+E140</f>
        <v>145199.55625374703</v>
      </c>
      <c r="F141" s="119">
        <f t="shared" si="29"/>
        <v>136716.02284194849</v>
      </c>
      <c r="G141" s="119">
        <f t="shared" si="29"/>
        <v>290.01402399714556</v>
      </c>
      <c r="H141" s="119">
        <f t="shared" si="29"/>
        <v>2974.0653833432766</v>
      </c>
      <c r="I141" s="119">
        <f t="shared" si="29"/>
        <v>346.87951889854668</v>
      </c>
      <c r="J141" s="119">
        <f t="shared" si="29"/>
        <v>130.7906382732225</v>
      </c>
      <c r="K141" s="119">
        <f t="shared" si="29"/>
        <v>1774.203440923714</v>
      </c>
      <c r="L141" s="119">
        <f t="shared" si="29"/>
        <v>1481.1420425496854</v>
      </c>
      <c r="M141" s="119">
        <f t="shared" si="29"/>
        <v>1458.2148505760076</v>
      </c>
      <c r="N141" s="119">
        <f t="shared" si="29"/>
        <v>28.223513236954982</v>
      </c>
      <c r="O141" s="119">
        <f t="shared" si="29"/>
        <v>0</v>
      </c>
      <c r="P141" s="119">
        <f t="shared" si="29"/>
        <v>0</v>
      </c>
      <c r="Q141" s="119">
        <f t="shared" si="29"/>
        <v>0</v>
      </c>
      <c r="R141" s="119">
        <f t="shared" si="29"/>
        <v>0</v>
      </c>
      <c r="S141" s="119">
        <f t="shared" si="29"/>
        <v>0</v>
      </c>
      <c r="T141" s="119">
        <f t="shared" si="29"/>
        <v>0</v>
      </c>
      <c r="U141" s="119">
        <f t="shared" ref="U141:AF141" si="30">U139+U140</f>
        <v>0</v>
      </c>
      <c r="V141" s="119">
        <f t="shared" si="30"/>
        <v>0</v>
      </c>
      <c r="W141" s="119">
        <f t="shared" si="30"/>
        <v>0</v>
      </c>
      <c r="X141" s="119">
        <f t="shared" si="30"/>
        <v>0</v>
      </c>
      <c r="Y141" s="119">
        <f t="shared" si="30"/>
        <v>0</v>
      </c>
      <c r="Z141" s="119">
        <f t="shared" si="30"/>
        <v>0</v>
      </c>
      <c r="AA141" s="119">
        <f t="shared" si="30"/>
        <v>0</v>
      </c>
      <c r="AB141" s="119">
        <f t="shared" si="30"/>
        <v>0</v>
      </c>
      <c r="AC141" s="119">
        <f t="shared" si="30"/>
        <v>0</v>
      </c>
      <c r="AD141" s="119">
        <f t="shared" si="30"/>
        <v>0</v>
      </c>
      <c r="AE141" s="119">
        <f t="shared" si="30"/>
        <v>0</v>
      </c>
      <c r="AF141" s="119">
        <f t="shared" si="30"/>
        <v>0</v>
      </c>
      <c r="AG141" s="120">
        <f>SUM(F141:AF141)</f>
        <v>145199.55625374708</v>
      </c>
      <c r="AH141" s="103" t="str">
        <f>IF(ABS(E141-AG141)&lt;0.01,"ok","err")</f>
        <v>ok</v>
      </c>
    </row>
    <row r="142" spans="1:34" x14ac:dyDescent="0.25">
      <c r="E142" s="110"/>
    </row>
    <row r="143" spans="1:34" x14ac:dyDescent="0.25">
      <c r="A143" s="132" t="s">
        <v>4</v>
      </c>
      <c r="E143" s="110"/>
    </row>
    <row r="144" spans="1:34" x14ac:dyDescent="0.25">
      <c r="A144" s="133" t="s">
        <v>221</v>
      </c>
      <c r="C144" s="102" t="s">
        <v>270</v>
      </c>
      <c r="D144" s="102" t="s">
        <v>230</v>
      </c>
      <c r="E144" s="119">
        <f>'Func &amp; Classif'!U285</f>
        <v>590495.54794240789</v>
      </c>
      <c r="F144" s="119">
        <f>IF(VLOOKUP($D144,$C$5:$AT$510,3,)=0,0,(VLOOKUP($D144,$C$5:$AT$510,4,)/VLOOKUP($D144,$C$5:$AT$510,3,))*$E144)</f>
        <v>532420.10103798367</v>
      </c>
      <c r="G144" s="119">
        <f>IF(VLOOKUP($D144,$C$5:$AT$510,3,)=0,0,(VLOOKUP($D144,$C$5:$AT$510,5,)/VLOOKUP($D144,$C$5:$AT$510,3,))*$E144)</f>
        <v>1129.4162362922038</v>
      </c>
      <c r="H144" s="119">
        <f>IF(VLOOKUP($D144,$C$5:$AT$510,3,)=0,0,(VLOOKUP($D144,$C$5:$AT$510,6,)/VLOOKUP($D144,$C$5:$AT$510,3,))*$E144)</f>
        <v>11582.052776094562</v>
      </c>
      <c r="I144" s="119">
        <f>IF(VLOOKUP($D144,$C$5:$AT$510,3,)=0,0,(VLOOKUP($D144,$C$5:$AT$510,7,)/VLOOKUP($D144,$C$5:$AT$510,3,))*$E144)</f>
        <v>1350.8704002710674</v>
      </c>
      <c r="J144" s="119">
        <f>IF(VLOOKUP($D144,$C$5:$AT$510,3,)=0,0,(VLOOKUP($D144,$C$5:$AT$510,8,)/VLOOKUP($D144,$C$5:$AT$510,3,))*$E144)</f>
        <v>509.34457715138609</v>
      </c>
      <c r="K144" s="119">
        <f>IF(VLOOKUP($D144,$C$5:$AT$510,3,)=0,0,(VLOOKUP($D144,$C$5:$AT$510,9,)/VLOOKUP($D144,$C$5:$AT$510,3,))*$E144)</f>
        <v>6909.3699161405411</v>
      </c>
      <c r="L144" s="119">
        <f>IF(VLOOKUP($D144,$C$5:$AT$510,3,)=0,0,(VLOOKUP($D144,$C$5:$AT$510,10,)/VLOOKUP($D144,$C$5:$AT$510,3,))*$E144)</f>
        <v>22139.607764077067</v>
      </c>
      <c r="M144" s="119">
        <f>IF(VLOOKUP($D144,$C$5:$AT$510,3,)=0,0,(VLOOKUP($D144,$C$5:$AT$510,11,)/VLOOKUP($D144,$C$5:$AT$510,3,))*$E144)</f>
        <v>14180.327286908865</v>
      </c>
      <c r="N144" s="119">
        <f>IF(VLOOKUP($D144,$C$5:$AT$510,3,)=0,0,(VLOOKUP($D144,$C$5:$AT$510,12,)/VLOOKUP($D144,$C$5:$AT$510,3,))*$E144)</f>
        <v>274.45794748855872</v>
      </c>
      <c r="O144" s="119">
        <f>IF(VLOOKUP($D144,$C$5:$AT$510,3,)=0,0,(VLOOKUP($D144,$C$5:$AT$510,13,)/VLOOKUP($D144,$C$5:$AT$510,3,))*$E144)</f>
        <v>0</v>
      </c>
      <c r="P144" s="119">
        <f>IF(VLOOKUP($D144,$C$5:$AT$510,3,)=0,0,(VLOOKUP($D144,$C$5:$AT$510,14,)/VLOOKUP($D144,$C$5:$AT$510,3,))*$E144)</f>
        <v>0</v>
      </c>
      <c r="Q144" s="119">
        <f>IF(VLOOKUP($D144,$C$5:$AT$510,3,)=0,0,(VLOOKUP($D144,$C$5:$AT$510,15,)/VLOOKUP($D144,$C$5:$AT$510,3,))*$E144)</f>
        <v>0</v>
      </c>
      <c r="R144" s="119">
        <f>IF(VLOOKUP($D144,$C$5:$AT$510,3,)=0,0,(VLOOKUP($D144,$C$5:$AT$510,16,)/VLOOKUP($D144,$C$5:$AT$510,3,))*$E144)</f>
        <v>0</v>
      </c>
      <c r="S144" s="119">
        <f>IF(VLOOKUP($D144,$C$5:$AT$510,3,)=0,0,(VLOOKUP($D144,$C$5:$AT$510,17,)/VLOOKUP($D144,$C$5:$AT$510,3,))*$E144)</f>
        <v>0</v>
      </c>
      <c r="T144" s="119">
        <f>IF(VLOOKUP($D144,$C$5:$AT$510,3,)=0,0,(VLOOKUP($D144,$C$5:$AT$510,18,)/VLOOKUP($D144,$C$5:$AT$510,3,))*$E144)</f>
        <v>0</v>
      </c>
      <c r="U144" s="119">
        <f>IF(VLOOKUP($D144,$C$5:$AT$510,3,)=0,0,(VLOOKUP($D144,$C$5:$AT$510,19,)/VLOOKUP($D144,$C$5:$AT$510,3,))*$E144)</f>
        <v>0</v>
      </c>
      <c r="V144" s="119">
        <f>IF(VLOOKUP($D144,$C$5:$AT$510,3,)=0,0,(VLOOKUP($D144,$C$5:$AT$510,20,)/VLOOKUP($D144,$C$5:$AT$510,3,))*$E144)</f>
        <v>0</v>
      </c>
      <c r="W144" s="119">
        <f>IF(VLOOKUP($D144,$C$5:$AT$510,3,)=0,0,(VLOOKUP($D144,$C$5:$AT$510,21,)/VLOOKUP($D144,$C$5:$AT$510,3,))*$E144)</f>
        <v>0</v>
      </c>
      <c r="X144" s="119">
        <f>IF(VLOOKUP($D144,$C$5:$AT$510,3,)=0,0,(VLOOKUP($D144,$C$5:$AT$510,22,)/VLOOKUP($D144,$C$5:$AT$510,3,))*$E144)</f>
        <v>0</v>
      </c>
      <c r="Y144" s="119">
        <f>IF(VLOOKUP($D144,$C$5:$AT$510,3,)=0,0,(VLOOKUP($D144,$C$5:$AT$510,23,)/VLOOKUP($D144,$C$5:$AT$510,3,))*$E144)</f>
        <v>0</v>
      </c>
      <c r="Z144" s="119">
        <f>IF(VLOOKUP($D144,$C$5:$AT$510,3,)=0,0,(VLOOKUP($D144,$C$5:$AT$510,24,)/VLOOKUP($D144,$C$5:$AT$510,3,))*$E144)</f>
        <v>0</v>
      </c>
      <c r="AA144" s="119">
        <f>IF(VLOOKUP($D144,$C$5:$AT$510,3,)=0,0,(VLOOKUP($D144,$C$5:$AT$510,25,)/VLOOKUP($D144,$C$5:$AT$510,3,))*$E144)</f>
        <v>0</v>
      </c>
      <c r="AB144" s="119">
        <f>IF(VLOOKUP($D144,$C$5:$AT$510,3,)=0,0,(VLOOKUP($D144,$C$5:$AT$510,26,)/VLOOKUP($D144,$C$5:$AT$510,3,))*$E144)</f>
        <v>0</v>
      </c>
      <c r="AC144" s="119">
        <f>IF(VLOOKUP($D144,$C$5:$AT$510,3,)=0,0,(VLOOKUP($D144,$C$5:$AT$510,27,)/VLOOKUP($D144,$C$5:$AT$510,3,))*$E144)</f>
        <v>0</v>
      </c>
      <c r="AD144" s="119">
        <f>IF(VLOOKUP($D144,$C$5:$AT$510,3,)=0,0,(VLOOKUP($D144,$C$5:$AT$510,28,)/VLOOKUP($D144,$C$5:$AT$510,3,))*$E144)</f>
        <v>0</v>
      </c>
      <c r="AE144" s="119">
        <f>IF(VLOOKUP($D144,$C$5:$AT$510,3,)=0,0,(VLOOKUP($D144,$C$5:$AT$510,29,)/VLOOKUP($D144,$C$5:$AT$510,3,))*$E144)</f>
        <v>0</v>
      </c>
      <c r="AF144" s="119">
        <f>IF(VLOOKUP($D144,$C$5:$AT$510,3,)=0,0,(VLOOKUP($D144,$C$5:$AT$510,30,)/VLOOKUP($D144,$C$5:$AT$510,3,))*$E144)</f>
        <v>0</v>
      </c>
      <c r="AG144" s="120">
        <f>SUM(F144:AF144)</f>
        <v>590495.54794240778</v>
      </c>
      <c r="AH144" s="103" t="str">
        <f>IF(ABS(E144-AG144)&lt;0.01,"ok","err")</f>
        <v>ok</v>
      </c>
    </row>
    <row r="145" spans="1:34" x14ac:dyDescent="0.25">
      <c r="E145" s="110"/>
    </row>
    <row r="146" spans="1:34" x14ac:dyDescent="0.25">
      <c r="A146" s="132" t="s">
        <v>5</v>
      </c>
      <c r="E146" s="110"/>
    </row>
    <row r="147" spans="1:34" x14ac:dyDescent="0.25">
      <c r="A147" s="133" t="s">
        <v>221</v>
      </c>
      <c r="C147" s="102" t="s">
        <v>271</v>
      </c>
      <c r="D147" s="102" t="s">
        <v>232</v>
      </c>
      <c r="E147" s="119">
        <f>'Func &amp; Classif'!W285</f>
        <v>19183.995900749382</v>
      </c>
      <c r="F147" s="119">
        <f>IF(VLOOKUP($D147,$C$5:$AT$510,3,)=0,0,(VLOOKUP($D147,$C$5:$AT$510,4,)/VLOOKUP($D147,$C$5:$AT$510,3,))*$E147)</f>
        <v>0</v>
      </c>
      <c r="G147" s="119">
        <f>IF(VLOOKUP($D147,$C$5:$AT$510,3,)=0,0,(VLOOKUP($D147,$C$5:$AT$510,5,)/VLOOKUP($D147,$C$5:$AT$510,3,))*$E147)</f>
        <v>0</v>
      </c>
      <c r="H147" s="119">
        <f>IF(VLOOKUP($D147,$C$5:$AT$510,3,)=0,0,(VLOOKUP($D147,$C$5:$AT$510,6,)/VLOOKUP($D147,$C$5:$AT$510,3,))*$E147)</f>
        <v>0</v>
      </c>
      <c r="I147" s="119">
        <f>IF(VLOOKUP($D147,$C$5:$AT$510,3,)=0,0,(VLOOKUP($D147,$C$5:$AT$510,7,)/VLOOKUP($D147,$C$5:$AT$510,3,))*$E147)</f>
        <v>0</v>
      </c>
      <c r="J147" s="119">
        <f>IF(VLOOKUP($D147,$C$5:$AT$510,3,)=0,0,(VLOOKUP($D147,$C$5:$AT$510,8,)/VLOOKUP($D147,$C$5:$AT$510,3,))*$E147)</f>
        <v>0</v>
      </c>
      <c r="K147" s="119">
        <f>IF(VLOOKUP($D147,$C$5:$AT$510,3,)=0,0,(VLOOKUP($D147,$C$5:$AT$510,9,)/VLOOKUP($D147,$C$5:$AT$510,3,))*$E147)</f>
        <v>0</v>
      </c>
      <c r="L147" s="119">
        <f>IF(VLOOKUP($D147,$C$5:$AT$510,3,)=0,0,(VLOOKUP($D147,$C$5:$AT$510,10,)/VLOOKUP($D147,$C$5:$AT$510,3,))*$E147)</f>
        <v>0</v>
      </c>
      <c r="M147" s="119">
        <f>IF(VLOOKUP($D147,$C$5:$AT$510,3,)=0,0,(VLOOKUP($D147,$C$5:$AT$510,11,)/VLOOKUP($D147,$C$5:$AT$510,3,))*$E147)</f>
        <v>0</v>
      </c>
      <c r="N147" s="119">
        <f>IF(VLOOKUP($D147,$C$5:$AT$510,3,)=0,0,(VLOOKUP($D147,$C$5:$AT$510,12,)/VLOOKUP($D147,$C$5:$AT$510,3,))*$E147)</f>
        <v>0</v>
      </c>
      <c r="O147" s="119">
        <f>IF(VLOOKUP($D147,$C$5:$AT$510,3,)=0,0,(VLOOKUP($D147,$C$5:$AT$510,13,)/VLOOKUP($D147,$C$5:$AT$510,3,))*$E147)</f>
        <v>0</v>
      </c>
      <c r="P147" s="119">
        <f>IF(VLOOKUP($D147,$C$5:$AT$510,3,)=0,0,(VLOOKUP($D147,$C$5:$AT$510,14,)/VLOOKUP($D147,$C$5:$AT$510,3,))*$E147)</f>
        <v>19183.995900749382</v>
      </c>
      <c r="Q147" s="119">
        <f>IF(VLOOKUP($D147,$C$5:$AT$510,3,)=0,0,(VLOOKUP($D147,$C$5:$AT$510,15,)/VLOOKUP($D147,$C$5:$AT$510,3,))*$E147)</f>
        <v>0</v>
      </c>
      <c r="R147" s="119">
        <f>IF(VLOOKUP($D147,$C$5:$AT$510,3,)=0,0,(VLOOKUP($D147,$C$5:$AT$510,16,)/VLOOKUP($D147,$C$5:$AT$510,3,))*$E147)</f>
        <v>0</v>
      </c>
      <c r="S147" s="119">
        <f>IF(VLOOKUP($D147,$C$5:$AT$510,3,)=0,0,(VLOOKUP($D147,$C$5:$AT$510,17,)/VLOOKUP($D147,$C$5:$AT$510,3,))*$E147)</f>
        <v>0</v>
      </c>
      <c r="T147" s="119">
        <f>IF(VLOOKUP($D147,$C$5:$AT$510,3,)=0,0,(VLOOKUP($D147,$C$5:$AT$510,18,)/VLOOKUP($D147,$C$5:$AT$510,3,))*$E147)</f>
        <v>0</v>
      </c>
      <c r="U147" s="119">
        <f>IF(VLOOKUP($D147,$C$5:$AT$510,3,)=0,0,(VLOOKUP($D147,$C$5:$AT$510,19,)/VLOOKUP($D147,$C$5:$AT$510,3,))*$E147)</f>
        <v>0</v>
      </c>
      <c r="V147" s="119">
        <f>IF(VLOOKUP($D147,$C$5:$AT$510,3,)=0,0,(VLOOKUP($D147,$C$5:$AT$510,20,)/VLOOKUP($D147,$C$5:$AT$510,3,))*$E147)</f>
        <v>0</v>
      </c>
      <c r="W147" s="119">
        <f>IF(VLOOKUP($D147,$C$5:$AT$510,3,)=0,0,(VLOOKUP($D147,$C$5:$AT$510,21,)/VLOOKUP($D147,$C$5:$AT$510,3,))*$E147)</f>
        <v>0</v>
      </c>
      <c r="X147" s="119">
        <f>IF(VLOOKUP($D147,$C$5:$AT$510,3,)=0,0,(VLOOKUP($D147,$C$5:$AT$510,22,)/VLOOKUP($D147,$C$5:$AT$510,3,))*$E147)</f>
        <v>0</v>
      </c>
      <c r="Y147" s="119">
        <f>IF(VLOOKUP($D147,$C$5:$AT$510,3,)=0,0,(VLOOKUP($D147,$C$5:$AT$510,23,)/VLOOKUP($D147,$C$5:$AT$510,3,))*$E147)</f>
        <v>0</v>
      </c>
      <c r="Z147" s="119">
        <f>IF(VLOOKUP($D147,$C$5:$AT$510,3,)=0,0,(VLOOKUP($D147,$C$5:$AT$510,24,)/VLOOKUP($D147,$C$5:$AT$510,3,))*$E147)</f>
        <v>0</v>
      </c>
      <c r="AA147" s="119">
        <f>IF(VLOOKUP($D147,$C$5:$AT$510,3,)=0,0,(VLOOKUP($D147,$C$5:$AT$510,25,)/VLOOKUP($D147,$C$5:$AT$510,3,))*$E147)</f>
        <v>0</v>
      </c>
      <c r="AB147" s="119">
        <f>IF(VLOOKUP($D147,$C$5:$AT$510,3,)=0,0,(VLOOKUP($D147,$C$5:$AT$510,26,)/VLOOKUP($D147,$C$5:$AT$510,3,))*$E147)</f>
        <v>0</v>
      </c>
      <c r="AC147" s="119">
        <f>IF(VLOOKUP($D147,$C$5:$AT$510,3,)=0,0,(VLOOKUP($D147,$C$5:$AT$510,27,)/VLOOKUP($D147,$C$5:$AT$510,3,))*$E147)</f>
        <v>0</v>
      </c>
      <c r="AD147" s="119">
        <f>IF(VLOOKUP($D147,$C$5:$AT$510,3,)=0,0,(VLOOKUP($D147,$C$5:$AT$510,28,)/VLOOKUP($D147,$C$5:$AT$510,3,))*$E147)</f>
        <v>0</v>
      </c>
      <c r="AE147" s="119">
        <f>IF(VLOOKUP($D147,$C$5:$AT$510,3,)=0,0,(VLOOKUP($D147,$C$5:$AT$510,29,)/VLOOKUP($D147,$C$5:$AT$510,3,))*$E147)</f>
        <v>0</v>
      </c>
      <c r="AF147" s="119">
        <f>IF(VLOOKUP($D147,$C$5:$AT$510,3,)=0,0,(VLOOKUP($D147,$C$5:$AT$510,30,)/VLOOKUP($D147,$C$5:$AT$510,3,))*$E147)</f>
        <v>0</v>
      </c>
      <c r="AG147" s="120">
        <f>SUM(F147:AF147)</f>
        <v>19183.995900749382</v>
      </c>
      <c r="AH147" s="103" t="str">
        <f>IF(ABS(E147-AG147)&lt;0.01,"ok","err")</f>
        <v>ok</v>
      </c>
    </row>
    <row r="148" spans="1:34" x14ac:dyDescent="0.25">
      <c r="E148" s="110"/>
    </row>
    <row r="149" spans="1:34" x14ac:dyDescent="0.25">
      <c r="A149" s="132" t="s">
        <v>545</v>
      </c>
      <c r="E149" s="110"/>
    </row>
    <row r="150" spans="1:34" x14ac:dyDescent="0.25">
      <c r="A150" s="133" t="s">
        <v>221</v>
      </c>
      <c r="C150" s="102" t="s">
        <v>272</v>
      </c>
      <c r="D150" s="102" t="s">
        <v>234</v>
      </c>
      <c r="E150" s="119">
        <f>'Func &amp; Classif'!Y285</f>
        <v>1851368.9428427918</v>
      </c>
      <c r="F150" s="119">
        <f>IF(VLOOKUP($D150,$C$5:$AT$510,3,)=0,0,(VLOOKUP($D150,$C$5:$AT$510,4,)/VLOOKUP($D150,$C$5:$AT$510,3,))*$E150)</f>
        <v>1751468.4304307613</v>
      </c>
      <c r="G150" s="119">
        <f>IF(VLOOKUP($D150,$C$5:$AT$510,3,)=0,0,(VLOOKUP($D150,$C$5:$AT$510,5,)/VLOOKUP($D150,$C$5:$AT$510,3,))*$E150)</f>
        <v>3715.3685197557948</v>
      </c>
      <c r="H150" s="119">
        <f>IF(VLOOKUP($D150,$C$5:$AT$510,3,)=0,0,(VLOOKUP($D150,$C$5:$AT$510,6,)/VLOOKUP($D150,$C$5:$AT$510,3,))*$E150)</f>
        <v>38100.739918280015</v>
      </c>
      <c r="I150" s="119">
        <f>IF(VLOOKUP($D150,$C$5:$AT$510,3,)=0,0,(VLOOKUP($D150,$C$5:$AT$510,7,)/VLOOKUP($D150,$C$5:$AT$510,3,))*$E150)</f>
        <v>4443.8721510804608</v>
      </c>
      <c r="J150" s="119">
        <f>IF(VLOOKUP($D150,$C$5:$AT$510,3,)=0,0,(VLOOKUP($D150,$C$5:$AT$510,8,)/VLOOKUP($D150,$C$5:$AT$510,3,))*$E150)</f>
        <v>1675.558352046731</v>
      </c>
      <c r="K150" s="119">
        <f>IF(VLOOKUP($D150,$C$5:$AT$510,3,)=0,0,(VLOOKUP($D150,$C$5:$AT$510,9,)/VLOOKUP($D150,$C$5:$AT$510,3,))*$E150)</f>
        <v>22729.313297329569</v>
      </c>
      <c r="L150" s="119">
        <f>IF(VLOOKUP($D150,$C$5:$AT$510,3,)=0,0,(VLOOKUP($D150,$C$5:$AT$510,10,)/VLOOKUP($D150,$C$5:$AT$510,3,))*$E150)</f>
        <v>17629.787878056908</v>
      </c>
      <c r="M150" s="119">
        <f>IF(VLOOKUP($D150,$C$5:$AT$510,3,)=0,0,(VLOOKUP($D150,$C$5:$AT$510,11,)/VLOOKUP($D150,$C$5:$AT$510,3,))*$E150)</f>
        <v>11291.806285532319</v>
      </c>
      <c r="N150" s="119">
        <f>IF(VLOOKUP($D150,$C$5:$AT$510,3,)=0,0,(VLOOKUP($D150,$C$5:$AT$510,12,)/VLOOKUP($D150,$C$5:$AT$510,3,))*$E150)</f>
        <v>218.55108939739969</v>
      </c>
      <c r="O150" s="119">
        <f>IF(VLOOKUP($D150,$C$5:$AT$510,3,)=0,0,(VLOOKUP($D150,$C$5:$AT$510,13,)/VLOOKUP($D150,$C$5:$AT$510,3,))*$E150)</f>
        <v>0</v>
      </c>
      <c r="P150" s="119">
        <f>IF(VLOOKUP($D150,$C$5:$AT$510,3,)=0,0,(VLOOKUP($D150,$C$5:$AT$510,14,)/VLOOKUP($D150,$C$5:$AT$510,3,))*$E150)</f>
        <v>95.514920551456171</v>
      </c>
      <c r="Q150" s="119">
        <f>IF(VLOOKUP($D150,$C$5:$AT$510,3,)=0,0,(VLOOKUP($D150,$C$5:$AT$510,15,)/VLOOKUP($D150,$C$5:$AT$510,3,))*$E150)</f>
        <v>0</v>
      </c>
      <c r="R150" s="119">
        <f>IF(VLOOKUP($D150,$C$5:$AT$510,3,)=0,0,(VLOOKUP($D150,$C$5:$AT$510,16,)/VLOOKUP($D150,$C$5:$AT$510,3,))*$E150)</f>
        <v>0</v>
      </c>
      <c r="S150" s="119">
        <f>IF(VLOOKUP($D150,$C$5:$AT$510,3,)=0,0,(VLOOKUP($D150,$C$5:$AT$510,17,)/VLOOKUP($D150,$C$5:$AT$510,3,))*$E150)</f>
        <v>0</v>
      </c>
      <c r="T150" s="119">
        <f>IF(VLOOKUP($D150,$C$5:$AT$510,3,)=0,0,(VLOOKUP($D150,$C$5:$AT$510,18,)/VLOOKUP($D150,$C$5:$AT$510,3,))*$E150)</f>
        <v>0</v>
      </c>
      <c r="U150" s="119">
        <f>IF(VLOOKUP($D150,$C$5:$AT$510,3,)=0,0,(VLOOKUP($D150,$C$5:$AT$510,19,)/VLOOKUP($D150,$C$5:$AT$510,3,))*$E150)</f>
        <v>0</v>
      </c>
      <c r="V150" s="119">
        <f>IF(VLOOKUP($D150,$C$5:$AT$510,3,)=0,0,(VLOOKUP($D150,$C$5:$AT$510,20,)/VLOOKUP($D150,$C$5:$AT$510,3,))*$E150)</f>
        <v>0</v>
      </c>
      <c r="W150" s="119">
        <f>IF(VLOOKUP($D150,$C$5:$AT$510,3,)=0,0,(VLOOKUP($D150,$C$5:$AT$510,21,)/VLOOKUP($D150,$C$5:$AT$510,3,))*$E150)</f>
        <v>0</v>
      </c>
      <c r="X150" s="119">
        <f>IF(VLOOKUP($D150,$C$5:$AT$510,3,)=0,0,(VLOOKUP($D150,$C$5:$AT$510,22,)/VLOOKUP($D150,$C$5:$AT$510,3,))*$E150)</f>
        <v>0</v>
      </c>
      <c r="Y150" s="119">
        <f>IF(VLOOKUP($D150,$C$5:$AT$510,3,)=0,0,(VLOOKUP($D150,$C$5:$AT$510,23,)/VLOOKUP($D150,$C$5:$AT$510,3,))*$E150)</f>
        <v>0</v>
      </c>
      <c r="Z150" s="119">
        <f>IF(VLOOKUP($D150,$C$5:$AT$510,3,)=0,0,(VLOOKUP($D150,$C$5:$AT$510,24,)/VLOOKUP($D150,$C$5:$AT$510,3,))*$E150)</f>
        <v>0</v>
      </c>
      <c r="AA150" s="119">
        <f>IF(VLOOKUP($D150,$C$5:$AT$510,3,)=0,0,(VLOOKUP($D150,$C$5:$AT$510,25,)/VLOOKUP($D150,$C$5:$AT$510,3,))*$E150)</f>
        <v>0</v>
      </c>
      <c r="AB150" s="119">
        <f>IF(VLOOKUP($D150,$C$5:$AT$510,3,)=0,0,(VLOOKUP($D150,$C$5:$AT$510,26,)/VLOOKUP($D150,$C$5:$AT$510,3,))*$E150)</f>
        <v>0</v>
      </c>
      <c r="AC150" s="119">
        <f>IF(VLOOKUP($D150,$C$5:$AT$510,3,)=0,0,(VLOOKUP($D150,$C$5:$AT$510,27,)/VLOOKUP($D150,$C$5:$AT$510,3,))*$E150)</f>
        <v>0</v>
      </c>
      <c r="AD150" s="119">
        <f>IF(VLOOKUP($D150,$C$5:$AT$510,3,)=0,0,(VLOOKUP($D150,$C$5:$AT$510,28,)/VLOOKUP($D150,$C$5:$AT$510,3,))*$E150)</f>
        <v>0</v>
      </c>
      <c r="AE150" s="119">
        <f>IF(VLOOKUP($D150,$C$5:$AT$510,3,)=0,0,(VLOOKUP($D150,$C$5:$AT$510,29,)/VLOOKUP($D150,$C$5:$AT$510,3,))*$E150)</f>
        <v>0</v>
      </c>
      <c r="AF150" s="119">
        <f>IF(VLOOKUP($D150,$C$5:$AT$510,3,)=0,0,(VLOOKUP($D150,$C$5:$AT$510,30,)/VLOOKUP($D150,$C$5:$AT$510,3,))*$E150)</f>
        <v>0</v>
      </c>
      <c r="AG150" s="120">
        <f>SUM(F150:AF150)</f>
        <v>1851368.942842792</v>
      </c>
      <c r="AH150" s="103" t="str">
        <f>IF(ABS(E150-AG150)&lt;0.01,"ok","err")</f>
        <v>ok</v>
      </c>
    </row>
    <row r="151" spans="1:34" x14ac:dyDescent="0.25">
      <c r="E151" s="110"/>
    </row>
    <row r="152" spans="1:34" x14ac:dyDescent="0.25">
      <c r="A152" s="132" t="s">
        <v>470</v>
      </c>
      <c r="E152" s="110"/>
    </row>
    <row r="153" spans="1:34" x14ac:dyDescent="0.25">
      <c r="A153" s="133" t="s">
        <v>221</v>
      </c>
      <c r="C153" s="102" t="s">
        <v>269</v>
      </c>
      <c r="D153" s="102" t="s">
        <v>235</v>
      </c>
      <c r="E153" s="119">
        <f>'Func &amp; Classif'!AA285</f>
        <v>97314.286045649031</v>
      </c>
      <c r="F153" s="119">
        <f>IF(VLOOKUP($D153,$C$5:$AT$510,3,)=0,0,(VLOOKUP($D153,$C$5:$AT$510,4,)/VLOOKUP($D153,$C$5:$AT$510,3,))*$E153)</f>
        <v>92063.173306313867</v>
      </c>
      <c r="G153" s="119">
        <f>IF(VLOOKUP($D153,$C$5:$AT$510,3,)=0,0,(VLOOKUP($D153,$C$5:$AT$510,5,)/VLOOKUP($D153,$C$5:$AT$510,3,))*$E153)</f>
        <v>195.29248143340848</v>
      </c>
      <c r="H153" s="119">
        <f>IF(VLOOKUP($D153,$C$5:$AT$510,3,)=0,0,(VLOOKUP($D153,$C$5:$AT$510,6,)/VLOOKUP($D153,$C$5:$AT$510,3,))*$E153)</f>
        <v>2002.7052507778951</v>
      </c>
      <c r="I153" s="119">
        <f>IF(VLOOKUP($D153,$C$5:$AT$510,3,)=0,0,(VLOOKUP($D153,$C$5:$AT$510,7,)/VLOOKUP($D153,$C$5:$AT$510,3,))*$E153)</f>
        <v>233.58512485172389</v>
      </c>
      <c r="J153" s="119">
        <f>IF(VLOOKUP($D153,$C$5:$AT$510,3,)=0,0,(VLOOKUP($D153,$C$5:$AT$510,8,)/VLOOKUP($D153,$C$5:$AT$510,3,))*$E153)</f>
        <v>88.073079862125411</v>
      </c>
      <c r="K153" s="119">
        <f>IF(VLOOKUP($D153,$C$5:$AT$510,3,)=0,0,(VLOOKUP($D153,$C$5:$AT$510,9,)/VLOOKUP($D153,$C$5:$AT$510,3,))*$E153)</f>
        <v>1194.7304746514403</v>
      </c>
      <c r="L153" s="119">
        <f>IF(VLOOKUP($D153,$C$5:$AT$510,3,)=0,0,(VLOOKUP($D153,$C$5:$AT$510,10,)/VLOOKUP($D153,$C$5:$AT$510,3,))*$E153)</f>
        <v>926.68197072323244</v>
      </c>
      <c r="M153" s="119">
        <f>IF(VLOOKUP($D153,$C$5:$AT$510,3,)=0,0,(VLOOKUP($D153,$C$5:$AT$510,11,)/VLOOKUP($D153,$C$5:$AT$510,3,))*$E153)</f>
        <v>593.53597298388866</v>
      </c>
      <c r="N153" s="119">
        <f>IF(VLOOKUP($D153,$C$5:$AT$510,3,)=0,0,(VLOOKUP($D153,$C$5:$AT$510,12,)/VLOOKUP($D153,$C$5:$AT$510,3,))*$E153)</f>
        <v>11.487793025494618</v>
      </c>
      <c r="O153" s="119">
        <f>IF(VLOOKUP($D153,$C$5:$AT$510,3,)=0,0,(VLOOKUP($D153,$C$5:$AT$510,13,)/VLOOKUP($D153,$C$5:$AT$510,3,))*$E153)</f>
        <v>0</v>
      </c>
      <c r="P153" s="119">
        <f>IF(VLOOKUP($D153,$C$5:$AT$510,3,)=0,0,(VLOOKUP($D153,$C$5:$AT$510,14,)/VLOOKUP($D153,$C$5:$AT$510,3,))*$E153)</f>
        <v>5.0205910259569073</v>
      </c>
      <c r="Q153" s="119">
        <f>IF(VLOOKUP($D153,$C$5:$AT$510,3,)=0,0,(VLOOKUP($D153,$C$5:$AT$510,15,)/VLOOKUP($D153,$C$5:$AT$510,3,))*$E153)</f>
        <v>0</v>
      </c>
      <c r="R153" s="119">
        <f>IF(VLOOKUP($D153,$C$5:$AT$510,3,)=0,0,(VLOOKUP($D153,$C$5:$AT$510,16,)/VLOOKUP($D153,$C$5:$AT$510,3,))*$E153)</f>
        <v>0</v>
      </c>
      <c r="S153" s="119">
        <f>IF(VLOOKUP($D153,$C$5:$AT$510,3,)=0,0,(VLOOKUP($D153,$C$5:$AT$510,17,)/VLOOKUP($D153,$C$5:$AT$510,3,))*$E153)</f>
        <v>0</v>
      </c>
      <c r="T153" s="119">
        <f>IF(VLOOKUP($D153,$C$5:$AT$510,3,)=0,0,(VLOOKUP($D153,$C$5:$AT$510,18,)/VLOOKUP($D153,$C$5:$AT$510,3,))*$E153)</f>
        <v>0</v>
      </c>
      <c r="U153" s="119">
        <f>IF(VLOOKUP($D153,$C$5:$AT$510,3,)=0,0,(VLOOKUP($D153,$C$5:$AT$510,19,)/VLOOKUP($D153,$C$5:$AT$510,3,))*$E153)</f>
        <v>0</v>
      </c>
      <c r="V153" s="119">
        <f>IF(VLOOKUP($D153,$C$5:$AT$510,3,)=0,0,(VLOOKUP($D153,$C$5:$AT$510,20,)/VLOOKUP($D153,$C$5:$AT$510,3,))*$E153)</f>
        <v>0</v>
      </c>
      <c r="W153" s="119">
        <f>IF(VLOOKUP($D153,$C$5:$AT$510,3,)=0,0,(VLOOKUP($D153,$C$5:$AT$510,21,)/VLOOKUP($D153,$C$5:$AT$510,3,))*$E153)</f>
        <v>0</v>
      </c>
      <c r="X153" s="119">
        <f>IF(VLOOKUP($D153,$C$5:$AT$510,3,)=0,0,(VLOOKUP($D153,$C$5:$AT$510,22,)/VLOOKUP($D153,$C$5:$AT$510,3,))*$E153)</f>
        <v>0</v>
      </c>
      <c r="Y153" s="119">
        <f>IF(VLOOKUP($D153,$C$5:$AT$510,3,)=0,0,(VLOOKUP($D153,$C$5:$AT$510,23,)/VLOOKUP($D153,$C$5:$AT$510,3,))*$E153)</f>
        <v>0</v>
      </c>
      <c r="Z153" s="119">
        <f>IF(VLOOKUP($D153,$C$5:$AT$510,3,)=0,0,(VLOOKUP($D153,$C$5:$AT$510,24,)/VLOOKUP($D153,$C$5:$AT$510,3,))*$E153)</f>
        <v>0</v>
      </c>
      <c r="AA153" s="119">
        <f>IF(VLOOKUP($D153,$C$5:$AT$510,3,)=0,0,(VLOOKUP($D153,$C$5:$AT$510,25,)/VLOOKUP($D153,$C$5:$AT$510,3,))*$E153)</f>
        <v>0</v>
      </c>
      <c r="AB153" s="119">
        <f>IF(VLOOKUP($D153,$C$5:$AT$510,3,)=0,0,(VLOOKUP($D153,$C$5:$AT$510,26,)/VLOOKUP($D153,$C$5:$AT$510,3,))*$E153)</f>
        <v>0</v>
      </c>
      <c r="AC153" s="119">
        <f>IF(VLOOKUP($D153,$C$5:$AT$510,3,)=0,0,(VLOOKUP($D153,$C$5:$AT$510,27,)/VLOOKUP($D153,$C$5:$AT$510,3,))*$E153)</f>
        <v>0</v>
      </c>
      <c r="AD153" s="119">
        <f>IF(VLOOKUP($D153,$C$5:$AT$510,3,)=0,0,(VLOOKUP($D153,$C$5:$AT$510,28,)/VLOOKUP($D153,$C$5:$AT$510,3,))*$E153)</f>
        <v>0</v>
      </c>
      <c r="AE153" s="119">
        <f>IF(VLOOKUP($D153,$C$5:$AT$510,3,)=0,0,(VLOOKUP($D153,$C$5:$AT$510,29,)/VLOOKUP($D153,$C$5:$AT$510,3,))*$E153)</f>
        <v>0</v>
      </c>
      <c r="AF153" s="119">
        <f>IF(VLOOKUP($D153,$C$5:$AT$510,3,)=0,0,(VLOOKUP($D153,$C$5:$AT$510,30,)/VLOOKUP($D153,$C$5:$AT$510,3,))*$E153)</f>
        <v>0</v>
      </c>
      <c r="AG153" s="120">
        <f>SUM(F153:AF153)</f>
        <v>97314.286045649031</v>
      </c>
      <c r="AH153" s="103" t="str">
        <f>IF(ABS(E153-AG153)&lt;0.01,"ok","err")</f>
        <v>ok</v>
      </c>
    </row>
    <row r="154" spans="1:34" x14ac:dyDescent="0.25">
      <c r="E154" s="110"/>
    </row>
    <row r="155" spans="1:34" x14ac:dyDescent="0.25">
      <c r="A155" s="102" t="s">
        <v>0</v>
      </c>
      <c r="C155" s="102" t="s">
        <v>273</v>
      </c>
      <c r="E155" s="119">
        <f>E125+E128+E131+E136+E141+E144+E147+E150+E153</f>
        <v>89457876.38000004</v>
      </c>
      <c r="F155" s="119">
        <f t="shared" ref="F155:R155" si="31">F125+F128+F131+F136+F141+F144+F147+F150+F153</f>
        <v>37710966.117113017</v>
      </c>
      <c r="G155" s="119">
        <f t="shared" si="31"/>
        <v>107973.48859772617</v>
      </c>
      <c r="H155" s="119">
        <f t="shared" si="31"/>
        <v>1048027.6434892949</v>
      </c>
      <c r="I155" s="119">
        <f t="shared" si="31"/>
        <v>563045.98468572833</v>
      </c>
      <c r="J155" s="119">
        <f t="shared" si="31"/>
        <v>120925.18608940077</v>
      </c>
      <c r="K155" s="119">
        <f t="shared" si="31"/>
        <v>145559.19763989581</v>
      </c>
      <c r="L155" s="119">
        <f t="shared" si="31"/>
        <v>1862886.0467172181</v>
      </c>
      <c r="M155" s="119">
        <f t="shared" si="31"/>
        <v>9018685.5249314401</v>
      </c>
      <c r="N155" s="119">
        <f t="shared" si="31"/>
        <v>61530.639641263719</v>
      </c>
      <c r="O155" s="119">
        <f t="shared" si="31"/>
        <v>0</v>
      </c>
      <c r="P155" s="119">
        <f t="shared" si="31"/>
        <v>33907.541185298272</v>
      </c>
      <c r="Q155" s="119">
        <f t="shared" si="31"/>
        <v>2819385</v>
      </c>
      <c r="R155" s="119">
        <f t="shared" si="31"/>
        <v>4567017</v>
      </c>
      <c r="S155" s="119">
        <f t="shared" ref="S155:AF155" si="32">S125+S131+S136+S141+S144+S147+S150+S153</f>
        <v>4181510</v>
      </c>
      <c r="T155" s="119">
        <f t="shared" si="32"/>
        <v>17529629</v>
      </c>
      <c r="U155" s="119">
        <f t="shared" si="32"/>
        <v>9686828</v>
      </c>
      <c r="V155" s="119">
        <f t="shared" si="32"/>
        <v>0</v>
      </c>
      <c r="W155" s="119">
        <f t="shared" si="32"/>
        <v>0</v>
      </c>
      <c r="X155" s="119">
        <f t="shared" si="32"/>
        <v>0</v>
      </c>
      <c r="Y155" s="119">
        <f t="shared" si="32"/>
        <v>0</v>
      </c>
      <c r="Z155" s="119">
        <f t="shared" si="32"/>
        <v>0</v>
      </c>
      <c r="AA155" s="119">
        <f t="shared" si="32"/>
        <v>0</v>
      </c>
      <c r="AB155" s="119">
        <f t="shared" si="32"/>
        <v>0</v>
      </c>
      <c r="AC155" s="119">
        <f t="shared" si="32"/>
        <v>0</v>
      </c>
      <c r="AD155" s="119">
        <f t="shared" si="32"/>
        <v>0</v>
      </c>
      <c r="AE155" s="119">
        <f t="shared" si="32"/>
        <v>0</v>
      </c>
      <c r="AF155" s="119">
        <f t="shared" si="32"/>
        <v>0</v>
      </c>
      <c r="AG155" s="120">
        <f>SUM(F155:AF155)</f>
        <v>89457876.370090276</v>
      </c>
      <c r="AH155" s="103" t="str">
        <f>IF(ABS(E155-AG155)&lt;0.01,"ok","err")</f>
        <v>ok</v>
      </c>
    </row>
    <row r="158" spans="1:34" x14ac:dyDescent="0.25">
      <c r="A158" s="131" t="s">
        <v>183</v>
      </c>
    </row>
    <row r="160" spans="1:34" x14ac:dyDescent="0.25">
      <c r="A160" s="132" t="s">
        <v>885</v>
      </c>
    </row>
    <row r="161" spans="1:34" x14ac:dyDescent="0.25">
      <c r="A161" s="133" t="s">
        <v>209</v>
      </c>
      <c r="C161" s="102" t="s">
        <v>274</v>
      </c>
      <c r="D161" s="102" t="s">
        <v>655</v>
      </c>
      <c r="E161" s="119">
        <f>'Func &amp; Classif'!H465</f>
        <v>0</v>
      </c>
      <c r="F161" s="119">
        <f>IF(VLOOKUP($D161,$C$5:$AT$510,3,)=0,0,(VLOOKUP($D161,$C$5:$AT$510,4,)/VLOOKUP($D161,$C$5:$AT$510,3,))*$E161)</f>
        <v>0</v>
      </c>
      <c r="G161" s="119">
        <f>IF(VLOOKUP($D161,$C$5:$AT$510,3,)=0,0,(VLOOKUP($D161,$C$5:$AT$510,5,)/VLOOKUP($D161,$C$5:$AT$510,3,))*$E161)</f>
        <v>0</v>
      </c>
      <c r="H161" s="119">
        <f>IF(VLOOKUP($D161,$C$5:$AT$510,3,)=0,0,(VLOOKUP($D161,$C$5:$AT$510,6,)/VLOOKUP($D161,$C$5:$AT$510,3,))*$E161)</f>
        <v>0</v>
      </c>
      <c r="I161" s="119">
        <f>IF(VLOOKUP($D161,$C$5:$AT$510,3,)=0,0,(VLOOKUP($D161,$C$5:$AT$510,7,)/VLOOKUP($D161,$C$5:$AT$510,3,))*$E161)</f>
        <v>0</v>
      </c>
      <c r="J161" s="119">
        <f>IF(VLOOKUP($D161,$C$5:$AT$510,3,)=0,0,(VLOOKUP($D161,$C$5:$AT$510,8,)/VLOOKUP($D161,$C$5:$AT$510,3,))*$E161)</f>
        <v>0</v>
      </c>
      <c r="K161" s="119">
        <f>IF(VLOOKUP($D161,$C$5:$AT$510,3,)=0,0,(VLOOKUP($D161,$C$5:$AT$510,9,)/VLOOKUP($D161,$C$5:$AT$510,3,))*$E161)</f>
        <v>0</v>
      </c>
      <c r="L161" s="119">
        <f>IF(VLOOKUP($D161,$C$5:$AT$510,3,)=0,0,(VLOOKUP($D161,$C$5:$AT$510,10,)/VLOOKUP($D161,$C$5:$AT$510,3,))*$E161)</f>
        <v>0</v>
      </c>
      <c r="M161" s="119">
        <f>IF(VLOOKUP($D161,$C$5:$AT$510,3,)=0,0,(VLOOKUP($D161,$C$5:$AT$510,11,)/VLOOKUP($D161,$C$5:$AT$510,3,))*$E161)</f>
        <v>0</v>
      </c>
      <c r="N161" s="119">
        <f>IF(VLOOKUP($D161,$C$5:$AT$510,3,)=0,0,(VLOOKUP($D161,$C$5:$AT$510,12,)/VLOOKUP($D161,$C$5:$AT$510,3,))*$E161)</f>
        <v>0</v>
      </c>
      <c r="O161" s="119">
        <f>IF(VLOOKUP($D161,$C$5:$AT$510,3,)=0,0,(VLOOKUP($D161,$C$5:$AT$510,13,)/VLOOKUP($D161,$C$5:$AT$510,3,))*$E161)</f>
        <v>0</v>
      </c>
      <c r="P161" s="119">
        <f>IF(VLOOKUP($D161,$C$5:$AT$510,3,)=0,0,(VLOOKUP($D161,$C$5:$AT$510,14,)/VLOOKUP($D161,$C$5:$AT$510,3,))*$E161)</f>
        <v>0</v>
      </c>
      <c r="Q161" s="119">
        <f>IF(VLOOKUP($D161,$C$5:$AT$510,3,)=0,0,(VLOOKUP($D161,$C$5:$AT$510,15,)/VLOOKUP($D161,$C$5:$AT$510,3,))*$E161)</f>
        <v>0</v>
      </c>
      <c r="R161" s="119">
        <f>IF(VLOOKUP($D161,$C$5:$AT$510,3,)=0,0,(VLOOKUP($D161,$C$5:$AT$510,16,)/VLOOKUP($D161,$C$5:$AT$510,3,))*$E161)</f>
        <v>0</v>
      </c>
      <c r="S161" s="119">
        <f>IF(VLOOKUP($D161,$C$5:$AT$510,3,)=0,0,(VLOOKUP($D161,$C$5:$AT$510,17,)/VLOOKUP($D161,$C$5:$AT$510,3,))*$E161)</f>
        <v>0</v>
      </c>
      <c r="T161" s="119">
        <f>IF(VLOOKUP($D161,$C$5:$AT$510,3,)=0,0,(VLOOKUP($D161,$C$5:$AT$510,18,)/VLOOKUP($D161,$C$5:$AT$510,3,))*$E161)</f>
        <v>0</v>
      </c>
      <c r="U161" s="119">
        <f>IF(VLOOKUP($D161,$C$5:$AT$510,3,)=0,0,(VLOOKUP($D161,$C$5:$AT$510,19,)/VLOOKUP($D161,$C$5:$AT$510,3,))*$E161)</f>
        <v>0</v>
      </c>
      <c r="V161" s="119">
        <f>IF(VLOOKUP($D161,$C$5:$AT$510,3,)=0,0,(VLOOKUP($D161,$C$5:$AT$510,20,)/VLOOKUP($D161,$C$5:$AT$510,3,))*$E161)</f>
        <v>0</v>
      </c>
      <c r="W161" s="119">
        <f>IF(VLOOKUP($D161,$C$5:$AT$510,3,)=0,0,(VLOOKUP($D161,$C$5:$AT$510,21,)/VLOOKUP($D161,$C$5:$AT$510,3,))*$E161)</f>
        <v>0</v>
      </c>
      <c r="X161" s="119">
        <f>IF(VLOOKUP($D161,$C$5:$AT$510,3,)=0,0,(VLOOKUP($D161,$C$5:$AT$510,22,)/VLOOKUP($D161,$C$5:$AT$510,3,))*$E161)</f>
        <v>0</v>
      </c>
      <c r="Y161" s="119">
        <f>IF(VLOOKUP($D161,$C$5:$AT$510,3,)=0,0,(VLOOKUP($D161,$C$5:$AT$510,23,)/VLOOKUP($D161,$C$5:$AT$510,3,))*$E161)</f>
        <v>0</v>
      </c>
      <c r="Z161" s="119">
        <f>IF(VLOOKUP($D161,$C$5:$AT$510,3,)=0,0,(VLOOKUP($D161,$C$5:$AT$510,24,)/VLOOKUP($D161,$C$5:$AT$510,3,))*$E161)</f>
        <v>0</v>
      </c>
      <c r="AA161" s="119">
        <f>IF(VLOOKUP($D161,$C$5:$AT$510,3,)=0,0,(VLOOKUP($D161,$C$5:$AT$510,25,)/VLOOKUP($D161,$C$5:$AT$510,3,))*$E161)</f>
        <v>0</v>
      </c>
      <c r="AB161" s="119">
        <f>IF(VLOOKUP($D161,$C$5:$AT$510,3,)=0,0,(VLOOKUP($D161,$C$5:$AT$510,26,)/VLOOKUP($D161,$C$5:$AT$510,3,))*$E161)</f>
        <v>0</v>
      </c>
      <c r="AC161" s="119">
        <f>IF(VLOOKUP($D161,$C$5:$AT$510,3,)=0,0,(VLOOKUP($D161,$C$5:$AT$510,27,)/VLOOKUP($D161,$C$5:$AT$510,3,))*$E161)</f>
        <v>0</v>
      </c>
      <c r="AD161" s="119">
        <f>IF(VLOOKUP($D161,$C$5:$AT$510,3,)=0,0,(VLOOKUP($D161,$C$5:$AT$510,28,)/VLOOKUP($D161,$C$5:$AT$510,3,))*$E161)</f>
        <v>0</v>
      </c>
      <c r="AE161" s="119">
        <f>IF(VLOOKUP($D161,$C$5:$AT$510,3,)=0,0,(VLOOKUP($D161,$C$5:$AT$510,29,)/VLOOKUP($D161,$C$5:$AT$510,3,))*$E161)</f>
        <v>0</v>
      </c>
      <c r="AF161" s="119">
        <f>IF(VLOOKUP($D161,$C$5:$AT$510,3,)=0,0,(VLOOKUP($D161,$C$5:$AT$510,30,)/VLOOKUP($D161,$C$5:$AT$510,3,))*$E161)</f>
        <v>0</v>
      </c>
      <c r="AG161" s="120">
        <f>SUM(F161:AF161)</f>
        <v>0</v>
      </c>
      <c r="AH161" s="103" t="str">
        <f>IF(ABS(E161-AG161)&lt;0.01,"ok","err")</f>
        <v>ok</v>
      </c>
    </row>
    <row r="162" spans="1:34" x14ac:dyDescent="0.25">
      <c r="A162" s="133" t="s">
        <v>212</v>
      </c>
      <c r="C162" s="102" t="s">
        <v>275</v>
      </c>
      <c r="D162" s="102" t="s">
        <v>664</v>
      </c>
      <c r="E162" s="110">
        <f>'Func &amp; Classif'!I465</f>
        <v>0</v>
      </c>
      <c r="F162" s="119">
        <f>IF(VLOOKUP($D162,$C$5:$AT$510,3,)=0,0,(VLOOKUP($D162,$C$5:$AT$510,4,)/VLOOKUP($D162,$C$5:$AT$510,3,))*$E162)</f>
        <v>0</v>
      </c>
      <c r="G162" s="119">
        <f>IF(VLOOKUP($D162,$C$5:$AT$510,3,)=0,0,(VLOOKUP($D162,$C$5:$AT$510,5,)/VLOOKUP($D162,$C$5:$AT$510,3,))*$E162)</f>
        <v>0</v>
      </c>
      <c r="H162" s="119">
        <f>IF(VLOOKUP($D162,$C$5:$AT$510,3,)=0,0,(VLOOKUP($D162,$C$5:$AT$510,6,)/VLOOKUP($D162,$C$5:$AT$510,3,))*$E162)</f>
        <v>0</v>
      </c>
      <c r="I162" s="119">
        <f>IF(VLOOKUP($D162,$C$5:$AT$510,3,)=0,0,(VLOOKUP($D162,$C$5:$AT$510,7,)/VLOOKUP($D162,$C$5:$AT$510,3,))*$E162)</f>
        <v>0</v>
      </c>
      <c r="J162" s="119">
        <f>IF(VLOOKUP($D162,$C$5:$AT$510,3,)=0,0,(VLOOKUP($D162,$C$5:$AT$510,8,)/VLOOKUP($D162,$C$5:$AT$510,3,))*$E162)</f>
        <v>0</v>
      </c>
      <c r="K162" s="119">
        <f>IF(VLOOKUP($D162,$C$5:$AT$510,3,)=0,0,(VLOOKUP($D162,$C$5:$AT$510,9,)/VLOOKUP($D162,$C$5:$AT$510,3,))*$E162)</f>
        <v>0</v>
      </c>
      <c r="L162" s="119">
        <f>IF(VLOOKUP($D162,$C$5:$AT$510,3,)=0,0,(VLOOKUP($D162,$C$5:$AT$510,10,)/VLOOKUP($D162,$C$5:$AT$510,3,))*$E162)</f>
        <v>0</v>
      </c>
      <c r="M162" s="119">
        <f>IF(VLOOKUP($D162,$C$5:$AT$510,3,)=0,0,(VLOOKUP($D162,$C$5:$AT$510,11,)/VLOOKUP($D162,$C$5:$AT$510,3,))*$E162)</f>
        <v>0</v>
      </c>
      <c r="N162" s="119">
        <f>IF(VLOOKUP($D162,$C$5:$AT$510,3,)=0,0,(VLOOKUP($D162,$C$5:$AT$510,12,)/VLOOKUP($D162,$C$5:$AT$510,3,))*$E162)</f>
        <v>0</v>
      </c>
      <c r="O162" s="119">
        <f>IF(VLOOKUP($D162,$C$5:$AT$510,3,)=0,0,(VLOOKUP($D162,$C$5:$AT$510,13,)/VLOOKUP($D162,$C$5:$AT$510,3,))*$E162)</f>
        <v>0</v>
      </c>
      <c r="P162" s="119">
        <f>IF(VLOOKUP($D162,$C$5:$AT$510,3,)=0,0,(VLOOKUP($D162,$C$5:$AT$510,14,)/VLOOKUP($D162,$C$5:$AT$510,3,))*$E162)</f>
        <v>0</v>
      </c>
      <c r="Q162" s="119">
        <f>IF(VLOOKUP($D162,$C$5:$AT$510,3,)=0,0,(VLOOKUP($D162,$C$5:$AT$510,15,)/VLOOKUP($D162,$C$5:$AT$510,3,))*$E162)</f>
        <v>0</v>
      </c>
      <c r="R162" s="119">
        <f>IF(VLOOKUP($D162,$C$5:$AT$510,3,)=0,0,(VLOOKUP($D162,$C$5:$AT$510,16,)/VLOOKUP($D162,$C$5:$AT$510,3,))*$E162)</f>
        <v>0</v>
      </c>
      <c r="S162" s="119">
        <f>IF(VLOOKUP($D162,$C$5:$AT$510,3,)=0,0,(VLOOKUP($D162,$C$5:$AT$510,17,)/VLOOKUP($D162,$C$5:$AT$510,3,))*$E162)</f>
        <v>0</v>
      </c>
      <c r="T162" s="119">
        <f>IF(VLOOKUP($D162,$C$5:$AT$510,3,)=0,0,(VLOOKUP($D162,$C$5:$AT$510,18,)/VLOOKUP($D162,$C$5:$AT$510,3,))*$E162)</f>
        <v>0</v>
      </c>
      <c r="U162" s="119">
        <f>IF(VLOOKUP($D162,$C$5:$AT$510,3,)=0,0,(VLOOKUP($D162,$C$5:$AT$510,19,)/VLOOKUP($D162,$C$5:$AT$510,3,))*$E162)</f>
        <v>0</v>
      </c>
      <c r="V162" s="119">
        <f>IF(VLOOKUP($D162,$C$5:$AT$510,3,)=0,0,(VLOOKUP($D162,$C$5:$AT$510,20,)/VLOOKUP($D162,$C$5:$AT$510,3,))*$E162)</f>
        <v>0</v>
      </c>
      <c r="W162" s="119">
        <f>IF(VLOOKUP($D162,$C$5:$AT$510,3,)=0,0,(VLOOKUP($D162,$C$5:$AT$510,21,)/VLOOKUP($D162,$C$5:$AT$510,3,))*$E162)</f>
        <v>0</v>
      </c>
      <c r="X162" s="119">
        <f>IF(VLOOKUP($D162,$C$5:$AT$510,3,)=0,0,(VLOOKUP($D162,$C$5:$AT$510,22,)/VLOOKUP($D162,$C$5:$AT$510,3,))*$E162)</f>
        <v>0</v>
      </c>
      <c r="Y162" s="119">
        <f>IF(VLOOKUP($D162,$C$5:$AT$510,3,)=0,0,(VLOOKUP($D162,$C$5:$AT$510,23,)/VLOOKUP($D162,$C$5:$AT$510,3,))*$E162)</f>
        <v>0</v>
      </c>
      <c r="Z162" s="119">
        <f>IF(VLOOKUP($D162,$C$5:$AT$510,3,)=0,0,(VLOOKUP($D162,$C$5:$AT$510,24,)/VLOOKUP($D162,$C$5:$AT$510,3,))*$E162)</f>
        <v>0</v>
      </c>
      <c r="AA162" s="119">
        <f>IF(VLOOKUP($D162,$C$5:$AT$510,3,)=0,0,(VLOOKUP($D162,$C$5:$AT$510,25,)/VLOOKUP($D162,$C$5:$AT$510,3,))*$E162)</f>
        <v>0</v>
      </c>
      <c r="AB162" s="119">
        <f>IF(VLOOKUP($D162,$C$5:$AT$510,3,)=0,0,(VLOOKUP($D162,$C$5:$AT$510,26,)/VLOOKUP($D162,$C$5:$AT$510,3,))*$E162)</f>
        <v>0</v>
      </c>
      <c r="AC162" s="119">
        <f>IF(VLOOKUP($D162,$C$5:$AT$510,3,)=0,0,(VLOOKUP($D162,$C$5:$AT$510,27,)/VLOOKUP($D162,$C$5:$AT$510,3,))*$E162)</f>
        <v>0</v>
      </c>
      <c r="AD162" s="119">
        <f>IF(VLOOKUP($D162,$C$5:$AT$510,3,)=0,0,(VLOOKUP($D162,$C$5:$AT$510,28,)/VLOOKUP($D162,$C$5:$AT$510,3,))*$E162)</f>
        <v>0</v>
      </c>
      <c r="AE162" s="119">
        <f>IF(VLOOKUP($D162,$C$5:$AT$510,3,)=0,0,(VLOOKUP($D162,$C$5:$AT$510,29,)/VLOOKUP($D162,$C$5:$AT$510,3,))*$E162)</f>
        <v>0</v>
      </c>
      <c r="AF162" s="119">
        <f>IF(VLOOKUP($D162,$C$5:$AT$510,3,)=0,0,(VLOOKUP($D162,$C$5:$AT$510,30,)/VLOOKUP($D162,$C$5:$AT$510,3,))*$E162)</f>
        <v>0</v>
      </c>
      <c r="AG162" s="120">
        <f>SUM(F162:AF162)</f>
        <v>0</v>
      </c>
      <c r="AH162" s="103" t="str">
        <f>IF(ABS(E162-AG162)&lt;0.01,"ok","err")</f>
        <v>ok</v>
      </c>
    </row>
    <row r="163" spans="1:34" x14ac:dyDescent="0.25">
      <c r="A163" s="102" t="s">
        <v>215</v>
      </c>
      <c r="C163" s="102" t="s">
        <v>276</v>
      </c>
      <c r="E163" s="110">
        <f t="shared" ref="E163:AF163" si="33">E161+E162</f>
        <v>0</v>
      </c>
      <c r="F163" s="119">
        <f t="shared" si="33"/>
        <v>0</v>
      </c>
      <c r="G163" s="119">
        <f t="shared" si="33"/>
        <v>0</v>
      </c>
      <c r="H163" s="119">
        <f t="shared" si="33"/>
        <v>0</v>
      </c>
      <c r="I163" s="119">
        <f t="shared" si="33"/>
        <v>0</v>
      </c>
      <c r="J163" s="119">
        <f t="shared" si="33"/>
        <v>0</v>
      </c>
      <c r="K163" s="119">
        <f t="shared" si="33"/>
        <v>0</v>
      </c>
      <c r="L163" s="119">
        <f t="shared" si="33"/>
        <v>0</v>
      </c>
      <c r="M163" s="119">
        <f t="shared" si="33"/>
        <v>0</v>
      </c>
      <c r="N163" s="119">
        <f t="shared" si="33"/>
        <v>0</v>
      </c>
      <c r="O163" s="119">
        <f t="shared" si="33"/>
        <v>0</v>
      </c>
      <c r="P163" s="119">
        <f t="shared" si="33"/>
        <v>0</v>
      </c>
      <c r="Q163" s="119">
        <f t="shared" si="33"/>
        <v>0</v>
      </c>
      <c r="R163" s="119">
        <f t="shared" si="33"/>
        <v>0</v>
      </c>
      <c r="S163" s="119">
        <f t="shared" si="33"/>
        <v>0</v>
      </c>
      <c r="T163" s="119">
        <f t="shared" si="33"/>
        <v>0</v>
      </c>
      <c r="U163" s="119">
        <f t="shared" si="33"/>
        <v>0</v>
      </c>
      <c r="V163" s="119">
        <f t="shared" si="33"/>
        <v>0</v>
      </c>
      <c r="W163" s="119">
        <f t="shared" si="33"/>
        <v>0</v>
      </c>
      <c r="X163" s="119">
        <f t="shared" si="33"/>
        <v>0</v>
      </c>
      <c r="Y163" s="119">
        <f t="shared" si="33"/>
        <v>0</v>
      </c>
      <c r="Z163" s="119">
        <f t="shared" si="33"/>
        <v>0</v>
      </c>
      <c r="AA163" s="119">
        <f t="shared" si="33"/>
        <v>0</v>
      </c>
      <c r="AB163" s="119">
        <f t="shared" si="33"/>
        <v>0</v>
      </c>
      <c r="AC163" s="119">
        <f t="shared" si="33"/>
        <v>0</v>
      </c>
      <c r="AD163" s="119">
        <f t="shared" si="33"/>
        <v>0</v>
      </c>
      <c r="AE163" s="119">
        <f t="shared" si="33"/>
        <v>0</v>
      </c>
      <c r="AF163" s="119">
        <f t="shared" si="33"/>
        <v>0</v>
      </c>
      <c r="AG163" s="120">
        <f>SUM(F163:AF163)</f>
        <v>0</v>
      </c>
      <c r="AH163" s="103" t="str">
        <f>IF(ABS(E163-AG163)&lt;0.01,"ok","err")</f>
        <v>ok</v>
      </c>
    </row>
    <row r="164" spans="1:34" x14ac:dyDescent="0.25">
      <c r="E164" s="110"/>
      <c r="F164" s="110"/>
    </row>
    <row r="165" spans="1:34" x14ac:dyDescent="0.25">
      <c r="A165" s="132" t="s">
        <v>350</v>
      </c>
      <c r="E165" s="110"/>
      <c r="F165" s="110"/>
    </row>
    <row r="166" spans="1:34" x14ac:dyDescent="0.25">
      <c r="A166" s="133" t="s">
        <v>209</v>
      </c>
      <c r="C166" s="102" t="s">
        <v>878</v>
      </c>
      <c r="D166" s="102" t="s">
        <v>623</v>
      </c>
      <c r="E166" s="119">
        <f>'Func &amp; Classif'!K465</f>
        <v>0</v>
      </c>
      <c r="F166" s="119">
        <f>IF(VLOOKUP($D166,$C$5:$AT$510,3,)=0,0,(VLOOKUP($D166,$C$5:$AT$510,4,)/VLOOKUP($D166,$C$5:$AT$510,3,))*$E166)</f>
        <v>0</v>
      </c>
      <c r="G166" s="119">
        <f>IF(VLOOKUP($D166,$C$5:$AT$510,3,)=0,0,(VLOOKUP($D166,$C$5:$AT$510,5,)/VLOOKUP($D166,$C$5:$AT$510,3,))*$E166)</f>
        <v>0</v>
      </c>
      <c r="H166" s="119">
        <f>IF(VLOOKUP($D166,$C$5:$AT$510,3,)=0,0,(VLOOKUP($D166,$C$5:$AT$510,6,)/VLOOKUP($D166,$C$5:$AT$510,3,))*$E166)</f>
        <v>0</v>
      </c>
      <c r="I166" s="119">
        <f>IF(VLOOKUP($D166,$C$5:$AT$510,3,)=0,0,(VLOOKUP($D166,$C$5:$AT$510,7,)/VLOOKUP($D166,$C$5:$AT$510,3,))*$E166)</f>
        <v>0</v>
      </c>
      <c r="J166" s="119">
        <f>IF(VLOOKUP($D166,$C$5:$AT$510,3,)=0,0,(VLOOKUP($D166,$C$5:$AT$510,8,)/VLOOKUP($D166,$C$5:$AT$510,3,))*$E166)</f>
        <v>0</v>
      </c>
      <c r="K166" s="119">
        <f>IF(VLOOKUP($D166,$C$5:$AT$510,3,)=0,0,(VLOOKUP($D166,$C$5:$AT$510,9,)/VLOOKUP($D166,$C$5:$AT$510,3,))*$E166)</f>
        <v>0</v>
      </c>
      <c r="L166" s="119">
        <f>IF(VLOOKUP($D166,$C$5:$AT$510,3,)=0,0,(VLOOKUP($D166,$C$5:$AT$510,10,)/VLOOKUP($D166,$C$5:$AT$510,3,))*$E166)</f>
        <v>0</v>
      </c>
      <c r="M166" s="119">
        <f>IF(VLOOKUP($D166,$C$5:$AT$510,3,)=0,0,(VLOOKUP($D166,$C$5:$AT$510,11,)/VLOOKUP($D166,$C$5:$AT$510,3,))*$E166)</f>
        <v>0</v>
      </c>
      <c r="N166" s="119">
        <f>IF(VLOOKUP($D166,$C$5:$AT$510,3,)=0,0,(VLOOKUP($D166,$C$5:$AT$510,12,)/VLOOKUP($D166,$C$5:$AT$510,3,))*$E166)</f>
        <v>0</v>
      </c>
      <c r="O166" s="119">
        <f>IF(VLOOKUP($D166,$C$5:$AT$510,3,)=0,0,(VLOOKUP($D166,$C$5:$AT$510,13,)/VLOOKUP($D166,$C$5:$AT$510,3,))*$E166)</f>
        <v>0</v>
      </c>
      <c r="P166" s="119">
        <f>IF(VLOOKUP($D166,$C$5:$AT$510,3,)=0,0,(VLOOKUP($D166,$C$5:$AT$510,14,)/VLOOKUP($D166,$C$5:$AT$510,3,))*$E166)</f>
        <v>0</v>
      </c>
      <c r="Q166" s="119">
        <f>IF(VLOOKUP($D166,$C$5:$AT$510,3,)=0,0,(VLOOKUP($D166,$C$5:$AT$510,15,)/VLOOKUP($D166,$C$5:$AT$510,3,))*$E166)</f>
        <v>0</v>
      </c>
      <c r="R166" s="119">
        <f>IF(VLOOKUP($D166,$C$5:$AT$510,3,)=0,0,(VLOOKUP($D166,$C$5:$AT$510,16,)/VLOOKUP($D166,$C$5:$AT$510,3,))*$E166)</f>
        <v>0</v>
      </c>
      <c r="S166" s="119">
        <f>IF(VLOOKUP($D166,$C$5:$AT$510,3,)=0,0,(VLOOKUP($D166,$C$5:$AT$510,17,)/VLOOKUP($D166,$C$5:$AT$510,3,))*$E166)</f>
        <v>0</v>
      </c>
      <c r="T166" s="119">
        <f>IF(VLOOKUP($D166,$C$5:$AT$510,3,)=0,0,(VLOOKUP($D166,$C$5:$AT$510,18,)/VLOOKUP($D166,$C$5:$AT$510,3,))*$E166)</f>
        <v>0</v>
      </c>
      <c r="U166" s="119">
        <f>IF(VLOOKUP($D166,$C$5:$AT$510,3,)=0,0,(VLOOKUP($D166,$C$5:$AT$510,19,)/VLOOKUP($D166,$C$5:$AT$510,3,))*$E166)</f>
        <v>0</v>
      </c>
      <c r="V166" s="119">
        <f>IF(VLOOKUP($D166,$C$5:$AT$510,3,)=0,0,(VLOOKUP($D166,$C$5:$AT$510,20,)/VLOOKUP($D166,$C$5:$AT$510,3,))*$E166)</f>
        <v>0</v>
      </c>
      <c r="W166" s="119">
        <f>IF(VLOOKUP($D166,$C$5:$AT$510,3,)=0,0,(VLOOKUP($D166,$C$5:$AT$510,21,)/VLOOKUP($D166,$C$5:$AT$510,3,))*$E166)</f>
        <v>0</v>
      </c>
      <c r="X166" s="119">
        <f>IF(VLOOKUP($D166,$C$5:$AT$510,3,)=0,0,(VLOOKUP($D166,$C$5:$AT$510,22,)/VLOOKUP($D166,$C$5:$AT$510,3,))*$E166)</f>
        <v>0</v>
      </c>
      <c r="Y166" s="119">
        <f>IF(VLOOKUP($D166,$C$5:$AT$510,3,)=0,0,(VLOOKUP($D166,$C$5:$AT$510,23,)/VLOOKUP($D166,$C$5:$AT$510,3,))*$E166)</f>
        <v>0</v>
      </c>
      <c r="Z166" s="119">
        <f>IF(VLOOKUP($D166,$C$5:$AT$510,3,)=0,0,(VLOOKUP($D166,$C$5:$AT$510,24,)/VLOOKUP($D166,$C$5:$AT$510,3,))*$E166)</f>
        <v>0</v>
      </c>
      <c r="AA166" s="119">
        <f>IF(VLOOKUP($D166,$C$5:$AT$510,3,)=0,0,(VLOOKUP($D166,$C$5:$AT$510,25,)/VLOOKUP($D166,$C$5:$AT$510,3,))*$E166)</f>
        <v>0</v>
      </c>
      <c r="AB166" s="119">
        <f>IF(VLOOKUP($D166,$C$5:$AT$510,3,)=0,0,(VLOOKUP($D166,$C$5:$AT$510,26,)/VLOOKUP($D166,$C$5:$AT$510,3,))*$E166)</f>
        <v>0</v>
      </c>
      <c r="AC166" s="119">
        <f>IF(VLOOKUP($D166,$C$5:$AT$510,3,)=0,0,(VLOOKUP($D166,$C$5:$AT$510,27,)/VLOOKUP($D166,$C$5:$AT$510,3,))*$E166)</f>
        <v>0</v>
      </c>
      <c r="AD166" s="119">
        <f>IF(VLOOKUP($D166,$C$5:$AT$510,3,)=0,0,(VLOOKUP($D166,$C$5:$AT$510,28,)/VLOOKUP($D166,$C$5:$AT$510,3,))*$E166)</f>
        <v>0</v>
      </c>
      <c r="AE166" s="119">
        <f>IF(VLOOKUP($D166,$C$5:$AT$510,3,)=0,0,(VLOOKUP($D166,$C$5:$AT$510,29,)/VLOOKUP($D166,$C$5:$AT$510,3,))*$E166)</f>
        <v>0</v>
      </c>
      <c r="AF166" s="119">
        <f>IF(VLOOKUP($D166,$C$5:$AT$510,3,)=0,0,(VLOOKUP($D166,$C$5:$AT$510,30,)/VLOOKUP($D166,$C$5:$AT$510,3,))*$E166)</f>
        <v>0</v>
      </c>
      <c r="AG166" s="120">
        <f>SUM(F166:AF166)</f>
        <v>0</v>
      </c>
      <c r="AH166" s="103" t="str">
        <f>IF(ABS(E166-AG166)&lt;0.01,"ok","err")</f>
        <v>ok</v>
      </c>
    </row>
    <row r="167" spans="1:34" x14ac:dyDescent="0.25">
      <c r="E167" s="110"/>
    </row>
    <row r="168" spans="1:34" x14ac:dyDescent="0.25">
      <c r="A168" s="132" t="s">
        <v>1</v>
      </c>
      <c r="E168" s="110"/>
      <c r="F168" s="110"/>
    </row>
    <row r="169" spans="1:34" x14ac:dyDescent="0.25">
      <c r="A169" s="133" t="s">
        <v>209</v>
      </c>
      <c r="C169" s="102" t="s">
        <v>277</v>
      </c>
      <c r="D169" s="102" t="s">
        <v>630</v>
      </c>
      <c r="E169" s="119">
        <f>'Func &amp; Classif'!M465</f>
        <v>0</v>
      </c>
      <c r="F169" s="119">
        <f>IF(VLOOKUP($D169,$C$5:$AT$510,3,)=0,0,(VLOOKUP($D169,$C$5:$AT$510,4,)/VLOOKUP($D169,$C$5:$AT$510,3,))*$E169)</f>
        <v>0</v>
      </c>
      <c r="G169" s="119">
        <f>IF(VLOOKUP($D169,$C$5:$AT$510,3,)=0,0,(VLOOKUP($D169,$C$5:$AT$510,5,)/VLOOKUP($D169,$C$5:$AT$510,3,))*$E169)</f>
        <v>0</v>
      </c>
      <c r="H169" s="119">
        <f>IF(VLOOKUP($D169,$C$5:$AT$510,3,)=0,0,(VLOOKUP($D169,$C$5:$AT$510,6,)/VLOOKUP($D169,$C$5:$AT$510,3,))*$E169)</f>
        <v>0</v>
      </c>
      <c r="I169" s="119">
        <f>IF(VLOOKUP($D169,$C$5:$AT$510,3,)=0,0,(VLOOKUP($D169,$C$5:$AT$510,7,)/VLOOKUP($D169,$C$5:$AT$510,3,))*$E169)</f>
        <v>0</v>
      </c>
      <c r="J169" s="119">
        <f>IF(VLOOKUP($D169,$C$5:$AT$510,3,)=0,0,(VLOOKUP($D169,$C$5:$AT$510,8,)/VLOOKUP($D169,$C$5:$AT$510,3,))*$E169)</f>
        <v>0</v>
      </c>
      <c r="K169" s="119">
        <f>IF(VLOOKUP($D169,$C$5:$AT$510,3,)=0,0,(VLOOKUP($D169,$C$5:$AT$510,9,)/VLOOKUP($D169,$C$5:$AT$510,3,))*$E169)</f>
        <v>0</v>
      </c>
      <c r="L169" s="119">
        <f>IF(VLOOKUP($D169,$C$5:$AT$510,3,)=0,0,(VLOOKUP($D169,$C$5:$AT$510,10,)/VLOOKUP($D169,$C$5:$AT$510,3,))*$E169)</f>
        <v>0</v>
      </c>
      <c r="M169" s="119">
        <f>IF(VLOOKUP($D169,$C$5:$AT$510,3,)=0,0,(VLOOKUP($D169,$C$5:$AT$510,11,)/VLOOKUP($D169,$C$5:$AT$510,3,))*$E169)</f>
        <v>0</v>
      </c>
      <c r="N169" s="119">
        <f>IF(VLOOKUP($D169,$C$5:$AT$510,3,)=0,0,(VLOOKUP($D169,$C$5:$AT$510,12,)/VLOOKUP($D169,$C$5:$AT$510,3,))*$E169)</f>
        <v>0</v>
      </c>
      <c r="O169" s="119">
        <f>IF(VLOOKUP($D169,$C$5:$AT$510,3,)=0,0,(VLOOKUP($D169,$C$5:$AT$510,13,)/VLOOKUP($D169,$C$5:$AT$510,3,))*$E169)</f>
        <v>0</v>
      </c>
      <c r="P169" s="119">
        <f>IF(VLOOKUP($D169,$C$5:$AT$510,3,)=0,0,(VLOOKUP($D169,$C$5:$AT$510,14,)/VLOOKUP($D169,$C$5:$AT$510,3,))*$E169)</f>
        <v>0</v>
      </c>
      <c r="Q169" s="119">
        <f>IF(VLOOKUP($D169,$C$5:$AT$510,3,)=0,0,(VLOOKUP($D169,$C$5:$AT$510,15,)/VLOOKUP($D169,$C$5:$AT$510,3,))*$E169)</f>
        <v>0</v>
      </c>
      <c r="R169" s="119">
        <f>IF(VLOOKUP($D169,$C$5:$AT$510,3,)=0,0,(VLOOKUP($D169,$C$5:$AT$510,16,)/VLOOKUP($D169,$C$5:$AT$510,3,))*$E169)</f>
        <v>0</v>
      </c>
      <c r="S169" s="119">
        <f>IF(VLOOKUP($D169,$C$5:$AT$510,3,)=0,0,(VLOOKUP($D169,$C$5:$AT$510,17,)/VLOOKUP($D169,$C$5:$AT$510,3,))*$E169)</f>
        <v>0</v>
      </c>
      <c r="T169" s="119">
        <f>IF(VLOOKUP($D169,$C$5:$AT$510,3,)=0,0,(VLOOKUP($D169,$C$5:$AT$510,18,)/VLOOKUP($D169,$C$5:$AT$510,3,))*$E169)</f>
        <v>0</v>
      </c>
      <c r="U169" s="119">
        <f>IF(VLOOKUP($D169,$C$5:$AT$510,3,)=0,0,(VLOOKUP($D169,$C$5:$AT$510,19,)/VLOOKUP($D169,$C$5:$AT$510,3,))*$E169)</f>
        <v>0</v>
      </c>
      <c r="V169" s="119">
        <f>IF(VLOOKUP($D169,$C$5:$AT$510,3,)=0,0,(VLOOKUP($D169,$C$5:$AT$510,20,)/VLOOKUP($D169,$C$5:$AT$510,3,))*$E169)</f>
        <v>0</v>
      </c>
      <c r="W169" s="119">
        <f>IF(VLOOKUP($D169,$C$5:$AT$510,3,)=0,0,(VLOOKUP($D169,$C$5:$AT$510,21,)/VLOOKUP($D169,$C$5:$AT$510,3,))*$E169)</f>
        <v>0</v>
      </c>
      <c r="X169" s="119">
        <f>IF(VLOOKUP($D169,$C$5:$AT$510,3,)=0,0,(VLOOKUP($D169,$C$5:$AT$510,22,)/VLOOKUP($D169,$C$5:$AT$510,3,))*$E169)</f>
        <v>0</v>
      </c>
      <c r="Y169" s="119">
        <f>IF(VLOOKUP($D169,$C$5:$AT$510,3,)=0,0,(VLOOKUP($D169,$C$5:$AT$510,23,)/VLOOKUP($D169,$C$5:$AT$510,3,))*$E169)</f>
        <v>0</v>
      </c>
      <c r="Z169" s="119">
        <f>IF(VLOOKUP($D169,$C$5:$AT$510,3,)=0,0,(VLOOKUP($D169,$C$5:$AT$510,24,)/VLOOKUP($D169,$C$5:$AT$510,3,))*$E169)</f>
        <v>0</v>
      </c>
      <c r="AA169" s="119">
        <f>IF(VLOOKUP($D169,$C$5:$AT$510,3,)=0,0,(VLOOKUP($D169,$C$5:$AT$510,25,)/VLOOKUP($D169,$C$5:$AT$510,3,))*$E169)</f>
        <v>0</v>
      </c>
      <c r="AB169" s="119">
        <f>IF(VLOOKUP($D169,$C$5:$AT$510,3,)=0,0,(VLOOKUP($D169,$C$5:$AT$510,26,)/VLOOKUP($D169,$C$5:$AT$510,3,))*$E169)</f>
        <v>0</v>
      </c>
      <c r="AC169" s="119">
        <f>IF(VLOOKUP($D169,$C$5:$AT$510,3,)=0,0,(VLOOKUP($D169,$C$5:$AT$510,27,)/VLOOKUP($D169,$C$5:$AT$510,3,))*$E169)</f>
        <v>0</v>
      </c>
      <c r="AD169" s="119">
        <f>IF(VLOOKUP($D169,$C$5:$AT$510,3,)=0,0,(VLOOKUP($D169,$C$5:$AT$510,28,)/VLOOKUP($D169,$C$5:$AT$510,3,))*$E169)</f>
        <v>0</v>
      </c>
      <c r="AE169" s="119">
        <f>IF(VLOOKUP($D169,$C$5:$AT$510,3,)=0,0,(VLOOKUP($D169,$C$5:$AT$510,29,)/VLOOKUP($D169,$C$5:$AT$510,3,))*$E169)</f>
        <v>0</v>
      </c>
      <c r="AF169" s="119">
        <f>IF(VLOOKUP($D169,$C$5:$AT$510,3,)=0,0,(VLOOKUP($D169,$C$5:$AT$510,30,)/VLOOKUP($D169,$C$5:$AT$510,3,))*$E169)</f>
        <v>0</v>
      </c>
      <c r="AG169" s="120">
        <f>SUM(F169:AF169)</f>
        <v>0</v>
      </c>
      <c r="AH169" s="103" t="str">
        <f>IF(ABS(E169-AG169)&lt;0.01,"ok","err")</f>
        <v>ok</v>
      </c>
    </row>
    <row r="170" spans="1:34" x14ac:dyDescent="0.25">
      <c r="E170" s="110"/>
    </row>
    <row r="171" spans="1:34" x14ac:dyDescent="0.25">
      <c r="A171" s="132" t="s">
        <v>2</v>
      </c>
      <c r="E171" s="110"/>
    </row>
    <row r="172" spans="1:34" x14ac:dyDescent="0.25">
      <c r="A172" s="133" t="s">
        <v>209</v>
      </c>
      <c r="C172" s="102" t="s">
        <v>278</v>
      </c>
      <c r="D172" s="102" t="s">
        <v>627</v>
      </c>
      <c r="E172" s="119">
        <f>'Func &amp; Classif'!O465</f>
        <v>1145659.4014119487</v>
      </c>
      <c r="F172" s="119">
        <f>IF(VLOOKUP($D172,$C$5:$AT$510,3,)=0,0,(VLOOKUP($D172,$C$5:$AT$510,4,)/VLOOKUP($D172,$C$5:$AT$510,3,))*$E172)</f>
        <v>827368.57195310493</v>
      </c>
      <c r="G172" s="119">
        <f>IF(VLOOKUP($D172,$C$5:$AT$510,3,)=0,0,(VLOOKUP($D172,$C$5:$AT$510,5,)/VLOOKUP($D172,$C$5:$AT$510,3,))*$E172)</f>
        <v>2447.0842037359184</v>
      </c>
      <c r="H172" s="119">
        <f>IF(VLOOKUP($D172,$C$5:$AT$510,3,)=0,0,(VLOOKUP($D172,$C$5:$AT$510,6,)/VLOOKUP($D172,$C$5:$AT$510,3,))*$E172)</f>
        <v>44821.836722835491</v>
      </c>
      <c r="I172" s="119">
        <f>IF(VLOOKUP($D172,$C$5:$AT$510,3,)=0,0,(VLOOKUP($D172,$C$5:$AT$510,7,)/VLOOKUP($D172,$C$5:$AT$510,3,))*$E172)</f>
        <v>118305.09265389036</v>
      </c>
      <c r="J172" s="119">
        <f>IF(VLOOKUP($D172,$C$5:$AT$510,3,)=0,0,(VLOOKUP($D172,$C$5:$AT$510,8,)/VLOOKUP($D172,$C$5:$AT$510,3,))*$E172)</f>
        <v>20423.883403045766</v>
      </c>
      <c r="K172" s="119">
        <f>IF(VLOOKUP($D172,$C$5:$AT$510,3,)=0,0,(VLOOKUP($D172,$C$5:$AT$510,9,)/VLOOKUP($D172,$C$5:$AT$510,3,))*$E172)</f>
        <v>888.73546946826286</v>
      </c>
      <c r="L172" s="119">
        <f>IF(VLOOKUP($D172,$C$5:$AT$510,3,)=0,0,(VLOOKUP($D172,$C$5:$AT$510,10,)/VLOOKUP($D172,$C$5:$AT$510,3,))*$E172)</f>
        <v>25113.468999981149</v>
      </c>
      <c r="M172" s="119">
        <f>IF(VLOOKUP($D172,$C$5:$AT$510,3,)=0,0,(VLOOKUP($D172,$C$5:$AT$510,11,)/VLOOKUP($D172,$C$5:$AT$510,3,))*$E172)</f>
        <v>105235.82962940304</v>
      </c>
      <c r="N172" s="119">
        <f>IF(VLOOKUP($D172,$C$5:$AT$510,3,)=0,0,(VLOOKUP($D172,$C$5:$AT$510,12,)/VLOOKUP($D172,$C$5:$AT$510,3,))*$E172)</f>
        <v>901.5378463514437</v>
      </c>
      <c r="O172" s="119">
        <f>IF(VLOOKUP($D172,$C$5:$AT$510,3,)=0,0,(VLOOKUP($D172,$C$5:$AT$510,13,)/VLOOKUP($D172,$C$5:$AT$510,3,))*$E172)</f>
        <v>0</v>
      </c>
      <c r="P172" s="119">
        <f>IF(VLOOKUP($D172,$C$5:$AT$510,3,)=0,0,(VLOOKUP($D172,$C$5:$AT$510,14,)/VLOOKUP($D172,$C$5:$AT$510,3,))*$E172)</f>
        <v>153.36053013245731</v>
      </c>
      <c r="Q172" s="119">
        <f>IF(VLOOKUP($D172,$C$5:$AT$510,3,)=0,0,(VLOOKUP($D172,$C$5:$AT$510,15,)/VLOOKUP($D172,$C$5:$AT$510,3,))*$E172)</f>
        <v>0</v>
      </c>
      <c r="R172" s="119">
        <f>IF(VLOOKUP($D172,$C$5:$AT$510,3,)=0,0,(VLOOKUP($D172,$C$5:$AT$510,16,)/VLOOKUP($D172,$C$5:$AT$510,3,))*$E172)</f>
        <v>0</v>
      </c>
      <c r="S172" s="119">
        <f>IF(VLOOKUP($D172,$C$5:$AT$510,3,)=0,0,(VLOOKUP($D172,$C$5:$AT$510,17,)/VLOOKUP($D172,$C$5:$AT$510,3,))*$E172)</f>
        <v>0</v>
      </c>
      <c r="T172" s="119">
        <f>IF(VLOOKUP($D172,$C$5:$AT$510,3,)=0,0,(VLOOKUP($D172,$C$5:$AT$510,18,)/VLOOKUP($D172,$C$5:$AT$510,3,))*$E172)</f>
        <v>0</v>
      </c>
      <c r="U172" s="119">
        <f>IF(VLOOKUP($D172,$C$5:$AT$510,3,)=0,0,(VLOOKUP($D172,$C$5:$AT$510,19,)/VLOOKUP($D172,$C$5:$AT$510,3,))*$E172)</f>
        <v>0</v>
      </c>
      <c r="V172" s="119">
        <f>IF(VLOOKUP($D172,$C$5:$AT$510,3,)=0,0,(VLOOKUP($D172,$C$5:$AT$510,20,)/VLOOKUP($D172,$C$5:$AT$510,3,))*$E172)</f>
        <v>0</v>
      </c>
      <c r="W172" s="119">
        <f>IF(VLOOKUP($D172,$C$5:$AT$510,3,)=0,0,(VLOOKUP($D172,$C$5:$AT$510,21,)/VLOOKUP($D172,$C$5:$AT$510,3,))*$E172)</f>
        <v>0</v>
      </c>
      <c r="X172" s="119">
        <f>IF(VLOOKUP($D172,$C$5:$AT$510,3,)=0,0,(VLOOKUP($D172,$C$5:$AT$510,22,)/VLOOKUP($D172,$C$5:$AT$510,3,))*$E172)</f>
        <v>0</v>
      </c>
      <c r="Y172" s="119">
        <f>IF(VLOOKUP($D172,$C$5:$AT$510,3,)=0,0,(VLOOKUP($D172,$C$5:$AT$510,23,)/VLOOKUP($D172,$C$5:$AT$510,3,))*$E172)</f>
        <v>0</v>
      </c>
      <c r="Z172" s="119">
        <f>IF(VLOOKUP($D172,$C$5:$AT$510,3,)=0,0,(VLOOKUP($D172,$C$5:$AT$510,24,)/VLOOKUP($D172,$C$5:$AT$510,3,))*$E172)</f>
        <v>0</v>
      </c>
      <c r="AA172" s="119">
        <f>IF(VLOOKUP($D172,$C$5:$AT$510,3,)=0,0,(VLOOKUP($D172,$C$5:$AT$510,25,)/VLOOKUP($D172,$C$5:$AT$510,3,))*$E172)</f>
        <v>0</v>
      </c>
      <c r="AB172" s="119">
        <f>IF(VLOOKUP($D172,$C$5:$AT$510,3,)=0,0,(VLOOKUP($D172,$C$5:$AT$510,26,)/VLOOKUP($D172,$C$5:$AT$510,3,))*$E172)</f>
        <v>0</v>
      </c>
      <c r="AC172" s="119">
        <f>IF(VLOOKUP($D172,$C$5:$AT$510,3,)=0,0,(VLOOKUP($D172,$C$5:$AT$510,27,)/VLOOKUP($D172,$C$5:$AT$510,3,))*$E172)</f>
        <v>0</v>
      </c>
      <c r="AD172" s="119">
        <f>IF(VLOOKUP($D172,$C$5:$AT$510,3,)=0,0,(VLOOKUP($D172,$C$5:$AT$510,28,)/VLOOKUP($D172,$C$5:$AT$510,3,))*$E172)</f>
        <v>0</v>
      </c>
      <c r="AE172" s="119">
        <f>IF(VLOOKUP($D172,$C$5:$AT$510,3,)=0,0,(VLOOKUP($D172,$C$5:$AT$510,29,)/VLOOKUP($D172,$C$5:$AT$510,3,))*$E172)</f>
        <v>0</v>
      </c>
      <c r="AF172" s="119">
        <f>IF(VLOOKUP($D172,$C$5:$AT$510,3,)=0,0,(VLOOKUP($D172,$C$5:$AT$510,30,)/VLOOKUP($D172,$C$5:$AT$510,3,))*$E172)</f>
        <v>0</v>
      </c>
      <c r="AG172" s="120">
        <f>SUM(F172:AF172)</f>
        <v>1145659.401411949</v>
      </c>
      <c r="AH172" s="103" t="str">
        <f>IF(ABS(E172-AG172)&lt;0.01,"ok","err")</f>
        <v>ok</v>
      </c>
    </row>
    <row r="173" spans="1:34" x14ac:dyDescent="0.25">
      <c r="A173" s="133" t="s">
        <v>221</v>
      </c>
      <c r="C173" s="102" t="s">
        <v>279</v>
      </c>
      <c r="D173" s="102" t="s">
        <v>223</v>
      </c>
      <c r="E173" s="110">
        <f>'Func &amp; Classif'!P465</f>
        <v>375354.79484042292</v>
      </c>
      <c r="F173" s="119">
        <f>IF(VLOOKUP($D173,$C$5:$AT$510,3,)=0,0,(VLOOKUP($D173,$C$5:$AT$510,4,)/VLOOKUP($D173,$C$5:$AT$510,3,))*$E173)</f>
        <v>355100.51949145214</v>
      </c>
      <c r="G173" s="119">
        <f>IF(VLOOKUP($D173,$C$5:$AT$510,3,)=0,0,(VLOOKUP($D173,$C$5:$AT$510,5,)/VLOOKUP($D173,$C$5:$AT$510,3,))*$E173)</f>
        <v>753.27038075301789</v>
      </c>
      <c r="H173" s="119">
        <f>IF(VLOOKUP($D173,$C$5:$AT$510,3,)=0,0,(VLOOKUP($D173,$C$5:$AT$510,6,)/VLOOKUP($D173,$C$5:$AT$510,3,))*$E173)</f>
        <v>7724.7139045848708</v>
      </c>
      <c r="I173" s="119">
        <f>IF(VLOOKUP($D173,$C$5:$AT$510,3,)=0,0,(VLOOKUP($D173,$C$5:$AT$510,7,)/VLOOKUP($D173,$C$5:$AT$510,3,))*$E173)</f>
        <v>900.97045541047248</v>
      </c>
      <c r="J173" s="119">
        <f>IF(VLOOKUP($D173,$C$5:$AT$510,3,)=0,0,(VLOOKUP($D173,$C$5:$AT$510,8,)/VLOOKUP($D173,$C$5:$AT$510,3,))*$E173)</f>
        <v>339.71017171214538</v>
      </c>
      <c r="K173" s="119">
        <f>IF(VLOOKUP($D173,$C$5:$AT$510,3,)=0,0,(VLOOKUP($D173,$C$5:$AT$510,9,)/VLOOKUP($D173,$C$5:$AT$510,3,))*$E173)</f>
        <v>4608.2423293125803</v>
      </c>
      <c r="L173" s="119">
        <f>IF(VLOOKUP($D173,$C$5:$AT$510,3,)=0,0,(VLOOKUP($D173,$C$5:$AT$510,10,)/VLOOKUP($D173,$C$5:$AT$510,3,))*$E173)</f>
        <v>3574.3418067103989</v>
      </c>
      <c r="M173" s="119">
        <f>IF(VLOOKUP($D173,$C$5:$AT$510,3,)=0,0,(VLOOKUP($D173,$C$5:$AT$510,11,)/VLOOKUP($D173,$C$5:$AT$510,3,))*$E173)</f>
        <v>2289.3511571905451</v>
      </c>
      <c r="N173" s="119">
        <f>IF(VLOOKUP($D173,$C$5:$AT$510,3,)=0,0,(VLOOKUP($D173,$C$5:$AT$510,12,)/VLOOKUP($D173,$C$5:$AT$510,3,))*$E173)</f>
        <v>44.310022397236352</v>
      </c>
      <c r="O173" s="119">
        <f>IF(VLOOKUP($D173,$C$5:$AT$510,3,)=0,0,(VLOOKUP($D173,$C$5:$AT$510,13,)/VLOOKUP($D173,$C$5:$AT$510,3,))*$E173)</f>
        <v>0</v>
      </c>
      <c r="P173" s="119">
        <f>IF(VLOOKUP($D173,$C$5:$AT$510,3,)=0,0,(VLOOKUP($D173,$C$5:$AT$510,14,)/VLOOKUP($D173,$C$5:$AT$510,3,))*$E173)</f>
        <v>19.365120899532926</v>
      </c>
      <c r="Q173" s="119">
        <f>IF(VLOOKUP($D173,$C$5:$AT$510,3,)=0,0,(VLOOKUP($D173,$C$5:$AT$510,15,)/VLOOKUP($D173,$C$5:$AT$510,3,))*$E173)</f>
        <v>0</v>
      </c>
      <c r="R173" s="119">
        <f>IF(VLOOKUP($D173,$C$5:$AT$510,3,)=0,0,(VLOOKUP($D173,$C$5:$AT$510,16,)/VLOOKUP($D173,$C$5:$AT$510,3,))*$E173)</f>
        <v>0</v>
      </c>
      <c r="S173" s="119">
        <f>IF(VLOOKUP($D173,$C$5:$AT$510,3,)=0,0,(VLOOKUP($D173,$C$5:$AT$510,17,)/VLOOKUP($D173,$C$5:$AT$510,3,))*$E173)</f>
        <v>0</v>
      </c>
      <c r="T173" s="119">
        <f>IF(VLOOKUP($D173,$C$5:$AT$510,3,)=0,0,(VLOOKUP($D173,$C$5:$AT$510,18,)/VLOOKUP($D173,$C$5:$AT$510,3,))*$E173)</f>
        <v>0</v>
      </c>
      <c r="U173" s="119">
        <f>IF(VLOOKUP($D173,$C$5:$AT$510,3,)=0,0,(VLOOKUP($D173,$C$5:$AT$510,19,)/VLOOKUP($D173,$C$5:$AT$510,3,))*$E173)</f>
        <v>0</v>
      </c>
      <c r="V173" s="119">
        <f>IF(VLOOKUP($D173,$C$5:$AT$510,3,)=0,0,(VLOOKUP($D173,$C$5:$AT$510,20,)/VLOOKUP($D173,$C$5:$AT$510,3,))*$E173)</f>
        <v>0</v>
      </c>
      <c r="W173" s="119">
        <f>IF(VLOOKUP($D173,$C$5:$AT$510,3,)=0,0,(VLOOKUP($D173,$C$5:$AT$510,21,)/VLOOKUP($D173,$C$5:$AT$510,3,))*$E173)</f>
        <v>0</v>
      </c>
      <c r="X173" s="119">
        <f>IF(VLOOKUP($D173,$C$5:$AT$510,3,)=0,0,(VLOOKUP($D173,$C$5:$AT$510,22,)/VLOOKUP($D173,$C$5:$AT$510,3,))*$E173)</f>
        <v>0</v>
      </c>
      <c r="Y173" s="119">
        <f>IF(VLOOKUP($D173,$C$5:$AT$510,3,)=0,0,(VLOOKUP($D173,$C$5:$AT$510,23,)/VLOOKUP($D173,$C$5:$AT$510,3,))*$E173)</f>
        <v>0</v>
      </c>
      <c r="Z173" s="119">
        <f>IF(VLOOKUP($D173,$C$5:$AT$510,3,)=0,0,(VLOOKUP($D173,$C$5:$AT$510,24,)/VLOOKUP($D173,$C$5:$AT$510,3,))*$E173)</f>
        <v>0</v>
      </c>
      <c r="AA173" s="119">
        <f>IF(VLOOKUP($D173,$C$5:$AT$510,3,)=0,0,(VLOOKUP($D173,$C$5:$AT$510,25,)/VLOOKUP($D173,$C$5:$AT$510,3,))*$E173)</f>
        <v>0</v>
      </c>
      <c r="AB173" s="119">
        <f>IF(VLOOKUP($D173,$C$5:$AT$510,3,)=0,0,(VLOOKUP($D173,$C$5:$AT$510,26,)/VLOOKUP($D173,$C$5:$AT$510,3,))*$E173)</f>
        <v>0</v>
      </c>
      <c r="AC173" s="119">
        <f>IF(VLOOKUP($D173,$C$5:$AT$510,3,)=0,0,(VLOOKUP($D173,$C$5:$AT$510,27,)/VLOOKUP($D173,$C$5:$AT$510,3,))*$E173)</f>
        <v>0</v>
      </c>
      <c r="AD173" s="119">
        <f>IF(VLOOKUP($D173,$C$5:$AT$510,3,)=0,0,(VLOOKUP($D173,$C$5:$AT$510,28,)/VLOOKUP($D173,$C$5:$AT$510,3,))*$E173)</f>
        <v>0</v>
      </c>
      <c r="AE173" s="119">
        <f>IF(VLOOKUP($D173,$C$5:$AT$510,3,)=0,0,(VLOOKUP($D173,$C$5:$AT$510,29,)/VLOOKUP($D173,$C$5:$AT$510,3,))*$E173)</f>
        <v>0</v>
      </c>
      <c r="AF173" s="119">
        <f>IF(VLOOKUP($D173,$C$5:$AT$510,3,)=0,0,(VLOOKUP($D173,$C$5:$AT$510,30,)/VLOOKUP($D173,$C$5:$AT$510,3,))*$E173)</f>
        <v>0</v>
      </c>
      <c r="AG173" s="120">
        <f>SUM(F173:AF173)</f>
        <v>375354.79484042304</v>
      </c>
      <c r="AH173" s="103" t="str">
        <f>IF(ABS(E173-AG173)&lt;0.01,"ok","err")</f>
        <v>ok</v>
      </c>
    </row>
    <row r="174" spans="1:34" x14ac:dyDescent="0.25">
      <c r="A174" s="102" t="s">
        <v>224</v>
      </c>
      <c r="E174" s="119">
        <f t="shared" ref="E174:AF174" si="34">E172+E173</f>
        <v>1521014.1962523717</v>
      </c>
      <c r="F174" s="119">
        <f t="shared" si="34"/>
        <v>1182469.0914445571</v>
      </c>
      <c r="G174" s="119">
        <f t="shared" si="34"/>
        <v>3200.3545844889363</v>
      </c>
      <c r="H174" s="119">
        <f t="shared" si="34"/>
        <v>52546.550627420365</v>
      </c>
      <c r="I174" s="119">
        <f t="shared" si="34"/>
        <v>119206.06310930083</v>
      </c>
      <c r="J174" s="119">
        <f t="shared" si="34"/>
        <v>20763.59357475791</v>
      </c>
      <c r="K174" s="119">
        <f t="shared" si="34"/>
        <v>5496.9777987808429</v>
      </c>
      <c r="L174" s="119">
        <f t="shared" si="34"/>
        <v>28687.810806691548</v>
      </c>
      <c r="M174" s="119">
        <f t="shared" si="34"/>
        <v>107525.18078659358</v>
      </c>
      <c r="N174" s="119">
        <f t="shared" si="34"/>
        <v>945.84786874868007</v>
      </c>
      <c r="O174" s="119">
        <f t="shared" si="34"/>
        <v>0</v>
      </c>
      <c r="P174" s="119">
        <f t="shared" si="34"/>
        <v>172.72565103199025</v>
      </c>
      <c r="Q174" s="119">
        <f t="shared" si="34"/>
        <v>0</v>
      </c>
      <c r="R174" s="119">
        <f t="shared" si="34"/>
        <v>0</v>
      </c>
      <c r="S174" s="119">
        <f t="shared" si="34"/>
        <v>0</v>
      </c>
      <c r="T174" s="119">
        <f t="shared" si="34"/>
        <v>0</v>
      </c>
      <c r="U174" s="119">
        <f t="shared" si="34"/>
        <v>0</v>
      </c>
      <c r="V174" s="119">
        <f t="shared" si="34"/>
        <v>0</v>
      </c>
      <c r="W174" s="119">
        <f t="shared" si="34"/>
        <v>0</v>
      </c>
      <c r="X174" s="119">
        <f t="shared" si="34"/>
        <v>0</v>
      </c>
      <c r="Y174" s="119">
        <f t="shared" si="34"/>
        <v>0</v>
      </c>
      <c r="Z174" s="119">
        <f t="shared" si="34"/>
        <v>0</v>
      </c>
      <c r="AA174" s="119">
        <f t="shared" si="34"/>
        <v>0</v>
      </c>
      <c r="AB174" s="119">
        <f t="shared" si="34"/>
        <v>0</v>
      </c>
      <c r="AC174" s="119">
        <f t="shared" si="34"/>
        <v>0</v>
      </c>
      <c r="AD174" s="119">
        <f t="shared" si="34"/>
        <v>0</v>
      </c>
      <c r="AE174" s="119">
        <f t="shared" si="34"/>
        <v>0</v>
      </c>
      <c r="AF174" s="119">
        <f t="shared" si="34"/>
        <v>0</v>
      </c>
      <c r="AG174" s="120">
        <f>SUM(F174:AF174)</f>
        <v>1521014.1962523721</v>
      </c>
      <c r="AH174" s="103" t="str">
        <f>IF(ABS(E174-AG174)&lt;0.01,"ok","err")</f>
        <v>ok</v>
      </c>
    </row>
    <row r="175" spans="1:34" x14ac:dyDescent="0.25">
      <c r="E175" s="110"/>
    </row>
    <row r="176" spans="1:34" x14ac:dyDescent="0.25">
      <c r="A176" s="132" t="s">
        <v>3</v>
      </c>
      <c r="E176" s="110"/>
    </row>
    <row r="177" spans="1:34" x14ac:dyDescent="0.25">
      <c r="A177" s="133" t="s">
        <v>209</v>
      </c>
      <c r="C177" s="102" t="s">
        <v>280</v>
      </c>
      <c r="D177" s="102" t="s">
        <v>698</v>
      </c>
      <c r="E177" s="119">
        <f>'Func &amp; Classif'!R465</f>
        <v>0</v>
      </c>
      <c r="F177" s="119">
        <f>IF(VLOOKUP($D177,$C$5:$AT$510,3,)=0,0,(VLOOKUP($D177,$C$5:$AT$510,4,)/VLOOKUP($D177,$C$5:$AT$510,3,))*$E177)</f>
        <v>0</v>
      </c>
      <c r="G177" s="119">
        <f>IF(VLOOKUP($D177,$C$5:$AT$510,3,)=0,0,(VLOOKUP($D177,$C$5:$AT$510,5,)/VLOOKUP($D177,$C$5:$AT$510,3,))*$E177)</f>
        <v>0</v>
      </c>
      <c r="H177" s="119">
        <f>IF(VLOOKUP($D177,$C$5:$AT$510,3,)=0,0,(VLOOKUP($D177,$C$5:$AT$510,6,)/VLOOKUP($D177,$C$5:$AT$510,3,))*$E177)</f>
        <v>0</v>
      </c>
      <c r="I177" s="119">
        <f>IF(VLOOKUP($D177,$C$5:$AT$510,3,)=0,0,(VLOOKUP($D177,$C$5:$AT$510,7,)/VLOOKUP($D177,$C$5:$AT$510,3,))*$E177)</f>
        <v>0</v>
      </c>
      <c r="J177" s="119">
        <f>IF(VLOOKUP($D177,$C$5:$AT$510,3,)=0,0,(VLOOKUP($D177,$C$5:$AT$510,8,)/VLOOKUP($D177,$C$5:$AT$510,3,))*$E177)</f>
        <v>0</v>
      </c>
      <c r="K177" s="119">
        <f>IF(VLOOKUP($D177,$C$5:$AT$510,3,)=0,0,(VLOOKUP($D177,$C$5:$AT$510,9,)/VLOOKUP($D177,$C$5:$AT$510,3,))*$E177)</f>
        <v>0</v>
      </c>
      <c r="L177" s="119">
        <f>IF(VLOOKUP($D177,$C$5:$AT$510,3,)=0,0,(VLOOKUP($D177,$C$5:$AT$510,10,)/VLOOKUP($D177,$C$5:$AT$510,3,))*$E177)</f>
        <v>0</v>
      </c>
      <c r="M177" s="119">
        <f>IF(VLOOKUP($D177,$C$5:$AT$510,3,)=0,0,(VLOOKUP($D177,$C$5:$AT$510,11,)/VLOOKUP($D177,$C$5:$AT$510,3,))*$E177)</f>
        <v>0</v>
      </c>
      <c r="N177" s="119">
        <f>IF(VLOOKUP($D177,$C$5:$AT$510,3,)=0,0,(VLOOKUP($D177,$C$5:$AT$510,12,)/VLOOKUP($D177,$C$5:$AT$510,3,))*$E177)</f>
        <v>0</v>
      </c>
      <c r="O177" s="119">
        <f>IF(VLOOKUP($D177,$C$5:$AT$510,3,)=0,0,(VLOOKUP($D177,$C$5:$AT$510,13,)/VLOOKUP($D177,$C$5:$AT$510,3,))*$E177)</f>
        <v>0</v>
      </c>
      <c r="P177" s="119">
        <f>IF(VLOOKUP($D177,$C$5:$AT$510,3,)=0,0,(VLOOKUP($D177,$C$5:$AT$510,14,)/VLOOKUP($D177,$C$5:$AT$510,3,))*$E177)</f>
        <v>0</v>
      </c>
      <c r="Q177" s="119">
        <f>IF(VLOOKUP($D177,$C$5:$AT$510,3,)=0,0,(VLOOKUP($D177,$C$5:$AT$510,15,)/VLOOKUP($D177,$C$5:$AT$510,3,))*$E177)</f>
        <v>0</v>
      </c>
      <c r="R177" s="119">
        <f>IF(VLOOKUP($D177,$C$5:$AT$510,3,)=0,0,(VLOOKUP($D177,$C$5:$AT$510,16,)/VLOOKUP($D177,$C$5:$AT$510,3,))*$E177)</f>
        <v>0</v>
      </c>
      <c r="S177" s="119">
        <f>IF(VLOOKUP($D177,$C$5:$AT$510,3,)=0,0,(VLOOKUP($D177,$C$5:$AT$510,17,)/VLOOKUP($D177,$C$5:$AT$510,3,))*$E177)</f>
        <v>0</v>
      </c>
      <c r="T177" s="119">
        <f>IF(VLOOKUP($D177,$C$5:$AT$510,3,)=0,0,(VLOOKUP($D177,$C$5:$AT$510,18,)/VLOOKUP($D177,$C$5:$AT$510,3,))*$E177)</f>
        <v>0</v>
      </c>
      <c r="U177" s="119">
        <f>IF(VLOOKUP($D177,$C$5:$AT$510,3,)=0,0,(VLOOKUP($D177,$C$5:$AT$510,19,)/VLOOKUP($D177,$C$5:$AT$510,3,))*$E177)</f>
        <v>0</v>
      </c>
      <c r="V177" s="119">
        <f>IF(VLOOKUP($D177,$C$5:$AT$510,3,)=0,0,(VLOOKUP($D177,$C$5:$AT$510,20,)/VLOOKUP($D177,$C$5:$AT$510,3,))*$E177)</f>
        <v>0</v>
      </c>
      <c r="W177" s="119">
        <f>IF(VLOOKUP($D177,$C$5:$AT$510,3,)=0,0,(VLOOKUP($D177,$C$5:$AT$510,21,)/VLOOKUP($D177,$C$5:$AT$510,3,))*$E177)</f>
        <v>0</v>
      </c>
      <c r="X177" s="119">
        <f>IF(VLOOKUP($D177,$C$5:$AT$510,3,)=0,0,(VLOOKUP($D177,$C$5:$AT$510,22,)/VLOOKUP($D177,$C$5:$AT$510,3,))*$E177)</f>
        <v>0</v>
      </c>
      <c r="Y177" s="119">
        <f>IF(VLOOKUP($D177,$C$5:$AT$510,3,)=0,0,(VLOOKUP($D177,$C$5:$AT$510,23,)/VLOOKUP($D177,$C$5:$AT$510,3,))*$E177)</f>
        <v>0</v>
      </c>
      <c r="Z177" s="119">
        <f>IF(VLOOKUP($D177,$C$5:$AT$510,3,)=0,0,(VLOOKUP($D177,$C$5:$AT$510,24,)/VLOOKUP($D177,$C$5:$AT$510,3,))*$E177)</f>
        <v>0</v>
      </c>
      <c r="AA177" s="119">
        <f>IF(VLOOKUP($D177,$C$5:$AT$510,3,)=0,0,(VLOOKUP($D177,$C$5:$AT$510,25,)/VLOOKUP($D177,$C$5:$AT$510,3,))*$E177)</f>
        <v>0</v>
      </c>
      <c r="AB177" s="119">
        <f>IF(VLOOKUP($D177,$C$5:$AT$510,3,)=0,0,(VLOOKUP($D177,$C$5:$AT$510,26,)/VLOOKUP($D177,$C$5:$AT$510,3,))*$E177)</f>
        <v>0</v>
      </c>
      <c r="AC177" s="119">
        <f>IF(VLOOKUP($D177,$C$5:$AT$510,3,)=0,0,(VLOOKUP($D177,$C$5:$AT$510,27,)/VLOOKUP($D177,$C$5:$AT$510,3,))*$E177)</f>
        <v>0</v>
      </c>
      <c r="AD177" s="119">
        <f>IF(VLOOKUP($D177,$C$5:$AT$510,3,)=0,0,(VLOOKUP($D177,$C$5:$AT$510,28,)/VLOOKUP($D177,$C$5:$AT$510,3,))*$E177)</f>
        <v>0</v>
      </c>
      <c r="AE177" s="119">
        <f>IF(VLOOKUP($D177,$C$5:$AT$510,3,)=0,0,(VLOOKUP($D177,$C$5:$AT$510,29,)/VLOOKUP($D177,$C$5:$AT$510,3,))*$E177)</f>
        <v>0</v>
      </c>
      <c r="AF177" s="119">
        <f>IF(VLOOKUP($D177,$C$5:$AT$510,3,)=0,0,(VLOOKUP($D177,$C$5:$AT$510,30,)/VLOOKUP($D177,$C$5:$AT$510,3,))*$E177)</f>
        <v>0</v>
      </c>
      <c r="AG177" s="120">
        <f>SUM(F177:AF177)</f>
        <v>0</v>
      </c>
      <c r="AH177" s="103" t="str">
        <f>IF(ABS(E177-AG177)&lt;0.01,"ok","err")</f>
        <v>ok</v>
      </c>
    </row>
    <row r="178" spans="1:34" x14ac:dyDescent="0.25">
      <c r="A178" s="133" t="s">
        <v>221</v>
      </c>
      <c r="C178" s="102" t="s">
        <v>281</v>
      </c>
      <c r="D178" s="102" t="s">
        <v>698</v>
      </c>
      <c r="E178" s="110">
        <f>'Func &amp; Classif'!S465</f>
        <v>39645.712468049038</v>
      </c>
      <c r="F178" s="119">
        <f>IF(VLOOKUP($D178,$C$5:$AT$510,3,)=0,0,(VLOOKUP($D178,$C$5:$AT$510,4,)/VLOOKUP($D178,$C$5:$AT$510,3,))*$E178)</f>
        <v>37329.343637214042</v>
      </c>
      <c r="G178" s="119">
        <f>IF(VLOOKUP($D178,$C$5:$AT$510,3,)=0,0,(VLOOKUP($D178,$C$5:$AT$510,5,)/VLOOKUP($D178,$C$5:$AT$510,3,))*$E178)</f>
        <v>79.186279240409135</v>
      </c>
      <c r="H178" s="119">
        <f>IF(VLOOKUP($D178,$C$5:$AT$510,3,)=0,0,(VLOOKUP($D178,$C$5:$AT$510,6,)/VLOOKUP($D178,$C$5:$AT$510,3,))*$E178)</f>
        <v>812.04753024968579</v>
      </c>
      <c r="I178" s="119">
        <f>IF(VLOOKUP($D178,$C$5:$AT$510,3,)=0,0,(VLOOKUP($D178,$C$5:$AT$510,7,)/VLOOKUP($D178,$C$5:$AT$510,3,))*$E178)</f>
        <v>94.713000660097208</v>
      </c>
      <c r="J178" s="119">
        <f>IF(VLOOKUP($D178,$C$5:$AT$510,3,)=0,0,(VLOOKUP($D178,$C$5:$AT$510,8,)/VLOOKUP($D178,$C$5:$AT$510,3,))*$E178)</f>
        <v>35.711459265282549</v>
      </c>
      <c r="K178" s="119">
        <f>IF(VLOOKUP($D178,$C$5:$AT$510,3,)=0,0,(VLOOKUP($D178,$C$5:$AT$510,9,)/VLOOKUP($D178,$C$5:$AT$510,3,))*$E178)</f>
        <v>484.43370829426766</v>
      </c>
      <c r="L178" s="119">
        <f>IF(VLOOKUP($D178,$C$5:$AT$510,3,)=0,0,(VLOOKUP($D178,$C$5:$AT$510,10,)/VLOOKUP($D178,$C$5:$AT$510,3,))*$E178)</f>
        <v>404.4153650211195</v>
      </c>
      <c r="M178" s="119">
        <f>IF(VLOOKUP($D178,$C$5:$AT$510,3,)=0,0,(VLOOKUP($D178,$C$5:$AT$510,11,)/VLOOKUP($D178,$C$5:$AT$510,3,))*$E178)</f>
        <v>398.15525731734863</v>
      </c>
      <c r="N178" s="119">
        <f>IF(VLOOKUP($D178,$C$5:$AT$510,3,)=0,0,(VLOOKUP($D178,$C$5:$AT$510,12,)/VLOOKUP($D178,$C$5:$AT$510,3,))*$E178)</f>
        <v>7.7062307867873923</v>
      </c>
      <c r="O178" s="119">
        <f>IF(VLOOKUP($D178,$C$5:$AT$510,3,)=0,0,(VLOOKUP($D178,$C$5:$AT$510,13,)/VLOOKUP($D178,$C$5:$AT$510,3,))*$E178)</f>
        <v>0</v>
      </c>
      <c r="P178" s="119">
        <f>IF(VLOOKUP($D178,$C$5:$AT$510,3,)=0,0,(VLOOKUP($D178,$C$5:$AT$510,14,)/VLOOKUP($D178,$C$5:$AT$510,3,))*$E178)</f>
        <v>0</v>
      </c>
      <c r="Q178" s="119">
        <f>IF(VLOOKUP($D178,$C$5:$AT$510,3,)=0,0,(VLOOKUP($D178,$C$5:$AT$510,15,)/VLOOKUP($D178,$C$5:$AT$510,3,))*$E178)</f>
        <v>0</v>
      </c>
      <c r="R178" s="119">
        <f>IF(VLOOKUP($D178,$C$5:$AT$510,3,)=0,0,(VLOOKUP($D178,$C$5:$AT$510,16,)/VLOOKUP($D178,$C$5:$AT$510,3,))*$E178)</f>
        <v>0</v>
      </c>
      <c r="S178" s="119">
        <f>IF(VLOOKUP($D178,$C$5:$AT$510,3,)=0,0,(VLOOKUP($D178,$C$5:$AT$510,17,)/VLOOKUP($D178,$C$5:$AT$510,3,))*$E178)</f>
        <v>0</v>
      </c>
      <c r="T178" s="119">
        <f>IF(VLOOKUP($D178,$C$5:$AT$510,3,)=0,0,(VLOOKUP($D178,$C$5:$AT$510,18,)/VLOOKUP($D178,$C$5:$AT$510,3,))*$E178)</f>
        <v>0</v>
      </c>
      <c r="U178" s="119">
        <f>IF(VLOOKUP($D178,$C$5:$AT$510,3,)=0,0,(VLOOKUP($D178,$C$5:$AT$510,19,)/VLOOKUP($D178,$C$5:$AT$510,3,))*$E178)</f>
        <v>0</v>
      </c>
      <c r="V178" s="119">
        <f>IF(VLOOKUP($D178,$C$5:$AT$510,3,)=0,0,(VLOOKUP($D178,$C$5:$AT$510,20,)/VLOOKUP($D178,$C$5:$AT$510,3,))*$E178)</f>
        <v>0</v>
      </c>
      <c r="W178" s="119">
        <f>IF(VLOOKUP($D178,$C$5:$AT$510,3,)=0,0,(VLOOKUP($D178,$C$5:$AT$510,21,)/VLOOKUP($D178,$C$5:$AT$510,3,))*$E178)</f>
        <v>0</v>
      </c>
      <c r="X178" s="119">
        <f>IF(VLOOKUP($D178,$C$5:$AT$510,3,)=0,0,(VLOOKUP($D178,$C$5:$AT$510,22,)/VLOOKUP($D178,$C$5:$AT$510,3,))*$E178)</f>
        <v>0</v>
      </c>
      <c r="Y178" s="119">
        <f>IF(VLOOKUP($D178,$C$5:$AT$510,3,)=0,0,(VLOOKUP($D178,$C$5:$AT$510,23,)/VLOOKUP($D178,$C$5:$AT$510,3,))*$E178)</f>
        <v>0</v>
      </c>
      <c r="Z178" s="119">
        <f>IF(VLOOKUP($D178,$C$5:$AT$510,3,)=0,0,(VLOOKUP($D178,$C$5:$AT$510,24,)/VLOOKUP($D178,$C$5:$AT$510,3,))*$E178)</f>
        <v>0</v>
      </c>
      <c r="AA178" s="119">
        <f>IF(VLOOKUP($D178,$C$5:$AT$510,3,)=0,0,(VLOOKUP($D178,$C$5:$AT$510,25,)/VLOOKUP($D178,$C$5:$AT$510,3,))*$E178)</f>
        <v>0</v>
      </c>
      <c r="AB178" s="119">
        <f>IF(VLOOKUP($D178,$C$5:$AT$510,3,)=0,0,(VLOOKUP($D178,$C$5:$AT$510,26,)/VLOOKUP($D178,$C$5:$AT$510,3,))*$E178)</f>
        <v>0</v>
      </c>
      <c r="AC178" s="119">
        <f>IF(VLOOKUP($D178,$C$5:$AT$510,3,)=0,0,(VLOOKUP($D178,$C$5:$AT$510,27,)/VLOOKUP($D178,$C$5:$AT$510,3,))*$E178)</f>
        <v>0</v>
      </c>
      <c r="AD178" s="119">
        <f>IF(VLOOKUP($D178,$C$5:$AT$510,3,)=0,0,(VLOOKUP($D178,$C$5:$AT$510,28,)/VLOOKUP($D178,$C$5:$AT$510,3,))*$E178)</f>
        <v>0</v>
      </c>
      <c r="AE178" s="119">
        <f>IF(VLOOKUP($D178,$C$5:$AT$510,3,)=0,0,(VLOOKUP($D178,$C$5:$AT$510,29,)/VLOOKUP($D178,$C$5:$AT$510,3,))*$E178)</f>
        <v>0</v>
      </c>
      <c r="AF178" s="119">
        <f>IF(VLOOKUP($D178,$C$5:$AT$510,3,)=0,0,(VLOOKUP($D178,$C$5:$AT$510,30,)/VLOOKUP($D178,$C$5:$AT$510,3,))*$E178)</f>
        <v>0</v>
      </c>
      <c r="AG178" s="120">
        <f>SUM(F178:AF178)</f>
        <v>39645.712468049038</v>
      </c>
      <c r="AH178" s="103" t="str">
        <f>IF(ABS(E178-AG178)&lt;0.01,"ok","err")</f>
        <v>ok</v>
      </c>
    </row>
    <row r="179" spans="1:34" x14ac:dyDescent="0.25">
      <c r="A179" s="102" t="s">
        <v>228</v>
      </c>
      <c r="E179" s="119">
        <f t="shared" ref="E179:AF179" si="35">E177+E178</f>
        <v>39645.712468049038</v>
      </c>
      <c r="F179" s="119">
        <f t="shared" si="35"/>
        <v>37329.343637214042</v>
      </c>
      <c r="G179" s="119">
        <f t="shared" si="35"/>
        <v>79.186279240409135</v>
      </c>
      <c r="H179" s="119">
        <f t="shared" si="35"/>
        <v>812.04753024968579</v>
      </c>
      <c r="I179" s="119">
        <f t="shared" si="35"/>
        <v>94.713000660097208</v>
      </c>
      <c r="J179" s="119">
        <f t="shared" si="35"/>
        <v>35.711459265282549</v>
      </c>
      <c r="K179" s="119">
        <f t="shared" si="35"/>
        <v>484.43370829426766</v>
      </c>
      <c r="L179" s="119">
        <f t="shared" si="35"/>
        <v>404.4153650211195</v>
      </c>
      <c r="M179" s="119">
        <f t="shared" si="35"/>
        <v>398.15525731734863</v>
      </c>
      <c r="N179" s="119">
        <f t="shared" si="35"/>
        <v>7.7062307867873923</v>
      </c>
      <c r="O179" s="119">
        <f t="shared" si="35"/>
        <v>0</v>
      </c>
      <c r="P179" s="119">
        <f t="shared" si="35"/>
        <v>0</v>
      </c>
      <c r="Q179" s="119">
        <f t="shared" si="35"/>
        <v>0</v>
      </c>
      <c r="R179" s="119">
        <f t="shared" si="35"/>
        <v>0</v>
      </c>
      <c r="S179" s="119">
        <f t="shared" si="35"/>
        <v>0</v>
      </c>
      <c r="T179" s="119">
        <f t="shared" si="35"/>
        <v>0</v>
      </c>
      <c r="U179" s="119">
        <f t="shared" si="35"/>
        <v>0</v>
      </c>
      <c r="V179" s="119">
        <f t="shared" si="35"/>
        <v>0</v>
      </c>
      <c r="W179" s="119">
        <f t="shared" si="35"/>
        <v>0</v>
      </c>
      <c r="X179" s="119">
        <f t="shared" si="35"/>
        <v>0</v>
      </c>
      <c r="Y179" s="119">
        <f t="shared" si="35"/>
        <v>0</v>
      </c>
      <c r="Z179" s="119">
        <f t="shared" si="35"/>
        <v>0</v>
      </c>
      <c r="AA179" s="119">
        <f t="shared" si="35"/>
        <v>0</v>
      </c>
      <c r="AB179" s="119">
        <f t="shared" si="35"/>
        <v>0</v>
      </c>
      <c r="AC179" s="119">
        <f t="shared" si="35"/>
        <v>0</v>
      </c>
      <c r="AD179" s="119">
        <f t="shared" si="35"/>
        <v>0</v>
      </c>
      <c r="AE179" s="119">
        <f t="shared" si="35"/>
        <v>0</v>
      </c>
      <c r="AF179" s="119">
        <f t="shared" si="35"/>
        <v>0</v>
      </c>
      <c r="AG179" s="120">
        <f>SUM(F179:AF179)</f>
        <v>39645.712468049038</v>
      </c>
      <c r="AH179" s="103" t="str">
        <f>IF(ABS(E179-AG179)&lt;0.01,"ok","err")</f>
        <v>ok</v>
      </c>
    </row>
    <row r="180" spans="1:34" x14ac:dyDescent="0.25">
      <c r="E180" s="110"/>
    </row>
    <row r="181" spans="1:34" x14ac:dyDescent="0.25">
      <c r="A181" s="132" t="s">
        <v>4</v>
      </c>
      <c r="E181" s="110"/>
    </row>
    <row r="182" spans="1:34" x14ac:dyDescent="0.25">
      <c r="A182" s="133" t="s">
        <v>221</v>
      </c>
      <c r="C182" s="102" t="s">
        <v>282</v>
      </c>
      <c r="D182" s="102" t="s">
        <v>230</v>
      </c>
      <c r="E182" s="119">
        <f>'Func &amp; Classif'!U465</f>
        <v>322618.22254467045</v>
      </c>
      <c r="F182" s="119">
        <f>IF(VLOOKUP($D182,$C$5:$AT$510,3,)=0,0,(VLOOKUP($D182,$C$5:$AT$510,4,)/VLOOKUP($D182,$C$5:$AT$510,3,))*$E182)</f>
        <v>290888.60575233505</v>
      </c>
      <c r="G182" s="119">
        <f>IF(VLOOKUP($D182,$C$5:$AT$510,3,)=0,0,(VLOOKUP($D182,$C$5:$AT$510,5,)/VLOOKUP($D182,$C$5:$AT$510,3,))*$E182)</f>
        <v>617.05843496252749</v>
      </c>
      <c r="H182" s="119">
        <f>IF(VLOOKUP($D182,$C$5:$AT$510,3,)=0,0,(VLOOKUP($D182,$C$5:$AT$510,6,)/VLOOKUP($D182,$C$5:$AT$510,3,))*$E182)</f>
        <v>6327.8737546157236</v>
      </c>
      <c r="I182" s="119">
        <f>IF(VLOOKUP($D182,$C$5:$AT$510,3,)=0,0,(VLOOKUP($D182,$C$5:$AT$510,7,)/VLOOKUP($D182,$C$5:$AT$510,3,))*$E182)</f>
        <v>738.05028495518002</v>
      </c>
      <c r="J182" s="119">
        <f>IF(VLOOKUP($D182,$C$5:$AT$510,3,)=0,0,(VLOOKUP($D182,$C$5:$AT$510,8,)/VLOOKUP($D182,$C$5:$AT$510,3,))*$E182)</f>
        <v>278.28125498310067</v>
      </c>
      <c r="K182" s="119">
        <f>IF(VLOOKUP($D182,$C$5:$AT$510,3,)=0,0,(VLOOKUP($D182,$C$5:$AT$510,9,)/VLOOKUP($D182,$C$5:$AT$510,3,))*$E182)</f>
        <v>3774.9457197707566</v>
      </c>
      <c r="L182" s="119">
        <f>IF(VLOOKUP($D182,$C$5:$AT$510,3,)=0,0,(VLOOKUP($D182,$C$5:$AT$510,10,)/VLOOKUP($D182,$C$5:$AT$510,3,))*$E182)</f>
        <v>12096.011442544126</v>
      </c>
      <c r="M182" s="119">
        <f>IF(VLOOKUP($D182,$C$5:$AT$510,3,)=0,0,(VLOOKUP($D182,$C$5:$AT$510,11,)/VLOOKUP($D182,$C$5:$AT$510,3,))*$E182)</f>
        <v>7747.4453454311551</v>
      </c>
      <c r="N182" s="119">
        <f>IF(VLOOKUP($D182,$C$5:$AT$510,3,)=0,0,(VLOOKUP($D182,$C$5:$AT$510,12,)/VLOOKUP($D182,$C$5:$AT$510,3,))*$E182)</f>
        <v>149.95055507286108</v>
      </c>
      <c r="O182" s="119">
        <f>IF(VLOOKUP($D182,$C$5:$AT$510,3,)=0,0,(VLOOKUP($D182,$C$5:$AT$510,13,)/VLOOKUP($D182,$C$5:$AT$510,3,))*$E182)</f>
        <v>0</v>
      </c>
      <c r="P182" s="119">
        <f>IF(VLOOKUP($D182,$C$5:$AT$510,3,)=0,0,(VLOOKUP($D182,$C$5:$AT$510,14,)/VLOOKUP($D182,$C$5:$AT$510,3,))*$E182)</f>
        <v>0</v>
      </c>
      <c r="Q182" s="119">
        <f>IF(VLOOKUP($D182,$C$5:$AT$510,3,)=0,0,(VLOOKUP($D182,$C$5:$AT$510,15,)/VLOOKUP($D182,$C$5:$AT$510,3,))*$E182)</f>
        <v>0</v>
      </c>
      <c r="R182" s="119">
        <f>IF(VLOOKUP($D182,$C$5:$AT$510,3,)=0,0,(VLOOKUP($D182,$C$5:$AT$510,16,)/VLOOKUP($D182,$C$5:$AT$510,3,))*$E182)</f>
        <v>0</v>
      </c>
      <c r="S182" s="119">
        <f>IF(VLOOKUP($D182,$C$5:$AT$510,3,)=0,0,(VLOOKUP($D182,$C$5:$AT$510,17,)/VLOOKUP($D182,$C$5:$AT$510,3,))*$E182)</f>
        <v>0</v>
      </c>
      <c r="T182" s="119">
        <f>IF(VLOOKUP($D182,$C$5:$AT$510,3,)=0,0,(VLOOKUP($D182,$C$5:$AT$510,18,)/VLOOKUP($D182,$C$5:$AT$510,3,))*$E182)</f>
        <v>0</v>
      </c>
      <c r="U182" s="119">
        <f>IF(VLOOKUP($D182,$C$5:$AT$510,3,)=0,0,(VLOOKUP($D182,$C$5:$AT$510,19,)/VLOOKUP($D182,$C$5:$AT$510,3,))*$E182)</f>
        <v>0</v>
      </c>
      <c r="V182" s="119">
        <f>IF(VLOOKUP($D182,$C$5:$AT$510,3,)=0,0,(VLOOKUP($D182,$C$5:$AT$510,20,)/VLOOKUP($D182,$C$5:$AT$510,3,))*$E182)</f>
        <v>0</v>
      </c>
      <c r="W182" s="119">
        <f>IF(VLOOKUP($D182,$C$5:$AT$510,3,)=0,0,(VLOOKUP($D182,$C$5:$AT$510,21,)/VLOOKUP($D182,$C$5:$AT$510,3,))*$E182)</f>
        <v>0</v>
      </c>
      <c r="X182" s="119">
        <f>IF(VLOOKUP($D182,$C$5:$AT$510,3,)=0,0,(VLOOKUP($D182,$C$5:$AT$510,22,)/VLOOKUP($D182,$C$5:$AT$510,3,))*$E182)</f>
        <v>0</v>
      </c>
      <c r="Y182" s="119">
        <f>IF(VLOOKUP($D182,$C$5:$AT$510,3,)=0,0,(VLOOKUP($D182,$C$5:$AT$510,23,)/VLOOKUP($D182,$C$5:$AT$510,3,))*$E182)</f>
        <v>0</v>
      </c>
      <c r="Z182" s="119">
        <f>IF(VLOOKUP($D182,$C$5:$AT$510,3,)=0,0,(VLOOKUP($D182,$C$5:$AT$510,24,)/VLOOKUP($D182,$C$5:$AT$510,3,))*$E182)</f>
        <v>0</v>
      </c>
      <c r="AA182" s="119">
        <f>IF(VLOOKUP($D182,$C$5:$AT$510,3,)=0,0,(VLOOKUP($D182,$C$5:$AT$510,25,)/VLOOKUP($D182,$C$5:$AT$510,3,))*$E182)</f>
        <v>0</v>
      </c>
      <c r="AB182" s="119">
        <f>IF(VLOOKUP($D182,$C$5:$AT$510,3,)=0,0,(VLOOKUP($D182,$C$5:$AT$510,26,)/VLOOKUP($D182,$C$5:$AT$510,3,))*$E182)</f>
        <v>0</v>
      </c>
      <c r="AC182" s="119">
        <f>IF(VLOOKUP($D182,$C$5:$AT$510,3,)=0,0,(VLOOKUP($D182,$C$5:$AT$510,27,)/VLOOKUP($D182,$C$5:$AT$510,3,))*$E182)</f>
        <v>0</v>
      </c>
      <c r="AD182" s="119">
        <f>IF(VLOOKUP($D182,$C$5:$AT$510,3,)=0,0,(VLOOKUP($D182,$C$5:$AT$510,28,)/VLOOKUP($D182,$C$5:$AT$510,3,))*$E182)</f>
        <v>0</v>
      </c>
      <c r="AE182" s="119">
        <f>IF(VLOOKUP($D182,$C$5:$AT$510,3,)=0,0,(VLOOKUP($D182,$C$5:$AT$510,29,)/VLOOKUP($D182,$C$5:$AT$510,3,))*$E182)</f>
        <v>0</v>
      </c>
      <c r="AF182" s="119">
        <f>IF(VLOOKUP($D182,$C$5:$AT$510,3,)=0,0,(VLOOKUP($D182,$C$5:$AT$510,30,)/VLOOKUP($D182,$C$5:$AT$510,3,))*$E182)</f>
        <v>0</v>
      </c>
      <c r="AG182" s="120">
        <f>SUM(F182:AF182)</f>
        <v>322618.22254467045</v>
      </c>
      <c r="AH182" s="103" t="str">
        <f>IF(ABS(E182-AG182)&lt;0.01,"ok","err")</f>
        <v>ok</v>
      </c>
    </row>
    <row r="183" spans="1:34" x14ac:dyDescent="0.25">
      <c r="E183" s="110"/>
    </row>
    <row r="184" spans="1:34" x14ac:dyDescent="0.25">
      <c r="A184" s="132" t="s">
        <v>5</v>
      </c>
      <c r="E184" s="110"/>
    </row>
    <row r="185" spans="1:34" x14ac:dyDescent="0.25">
      <c r="A185" s="133" t="s">
        <v>221</v>
      </c>
      <c r="C185" s="102" t="s">
        <v>283</v>
      </c>
      <c r="D185" s="102" t="s">
        <v>232</v>
      </c>
      <c r="E185" s="119">
        <f>'Func &amp; Classif'!W465</f>
        <v>6280.9155468982162</v>
      </c>
      <c r="F185" s="119">
        <f>IF(VLOOKUP($D185,$C$5:$AT$510,3,)=0,0,(VLOOKUP($D185,$C$5:$AT$510,4,)/VLOOKUP($D185,$C$5:$AT$510,3,))*$E185)</f>
        <v>0</v>
      </c>
      <c r="G185" s="119">
        <f>IF(VLOOKUP($D185,$C$5:$AT$510,3,)=0,0,(VLOOKUP($D185,$C$5:$AT$510,5,)/VLOOKUP($D185,$C$5:$AT$510,3,))*$E185)</f>
        <v>0</v>
      </c>
      <c r="H185" s="119">
        <f>IF(VLOOKUP($D185,$C$5:$AT$510,3,)=0,0,(VLOOKUP($D185,$C$5:$AT$510,6,)/VLOOKUP($D185,$C$5:$AT$510,3,))*$E185)</f>
        <v>0</v>
      </c>
      <c r="I185" s="119">
        <f>IF(VLOOKUP($D185,$C$5:$AT$510,3,)=0,0,(VLOOKUP($D185,$C$5:$AT$510,7,)/VLOOKUP($D185,$C$5:$AT$510,3,))*$E185)</f>
        <v>0</v>
      </c>
      <c r="J185" s="119">
        <f>IF(VLOOKUP($D185,$C$5:$AT$510,3,)=0,0,(VLOOKUP($D185,$C$5:$AT$510,8,)/VLOOKUP($D185,$C$5:$AT$510,3,))*$E185)</f>
        <v>0</v>
      </c>
      <c r="K185" s="119">
        <f>IF(VLOOKUP($D185,$C$5:$AT$510,3,)=0,0,(VLOOKUP($D185,$C$5:$AT$510,9,)/VLOOKUP($D185,$C$5:$AT$510,3,))*$E185)</f>
        <v>0</v>
      </c>
      <c r="L185" s="119">
        <f>IF(VLOOKUP($D185,$C$5:$AT$510,3,)=0,0,(VLOOKUP($D185,$C$5:$AT$510,10,)/VLOOKUP($D185,$C$5:$AT$510,3,))*$E185)</f>
        <v>0</v>
      </c>
      <c r="M185" s="119">
        <f>IF(VLOOKUP($D185,$C$5:$AT$510,3,)=0,0,(VLOOKUP($D185,$C$5:$AT$510,11,)/VLOOKUP($D185,$C$5:$AT$510,3,))*$E185)</f>
        <v>0</v>
      </c>
      <c r="N185" s="119">
        <f>IF(VLOOKUP($D185,$C$5:$AT$510,3,)=0,0,(VLOOKUP($D185,$C$5:$AT$510,12,)/VLOOKUP($D185,$C$5:$AT$510,3,))*$E185)</f>
        <v>0</v>
      </c>
      <c r="O185" s="119">
        <f>IF(VLOOKUP($D185,$C$5:$AT$510,3,)=0,0,(VLOOKUP($D185,$C$5:$AT$510,13,)/VLOOKUP($D185,$C$5:$AT$510,3,))*$E185)</f>
        <v>0</v>
      </c>
      <c r="P185" s="119">
        <f>IF(VLOOKUP($D185,$C$5:$AT$510,3,)=0,0,(VLOOKUP($D185,$C$5:$AT$510,14,)/VLOOKUP($D185,$C$5:$AT$510,3,))*$E185)</f>
        <v>6280.9155468982162</v>
      </c>
      <c r="Q185" s="119">
        <f>IF(VLOOKUP($D185,$C$5:$AT$510,3,)=0,0,(VLOOKUP($D185,$C$5:$AT$510,15,)/VLOOKUP($D185,$C$5:$AT$510,3,))*$E185)</f>
        <v>0</v>
      </c>
      <c r="R185" s="119">
        <f>IF(VLOOKUP($D185,$C$5:$AT$510,3,)=0,0,(VLOOKUP($D185,$C$5:$AT$510,16,)/VLOOKUP($D185,$C$5:$AT$510,3,))*$E185)</f>
        <v>0</v>
      </c>
      <c r="S185" s="119">
        <f>IF(VLOOKUP($D185,$C$5:$AT$510,3,)=0,0,(VLOOKUP($D185,$C$5:$AT$510,17,)/VLOOKUP($D185,$C$5:$AT$510,3,))*$E185)</f>
        <v>0</v>
      </c>
      <c r="T185" s="119">
        <f>IF(VLOOKUP($D185,$C$5:$AT$510,3,)=0,0,(VLOOKUP($D185,$C$5:$AT$510,18,)/VLOOKUP($D185,$C$5:$AT$510,3,))*$E185)</f>
        <v>0</v>
      </c>
      <c r="U185" s="119">
        <f>IF(VLOOKUP($D185,$C$5:$AT$510,3,)=0,0,(VLOOKUP($D185,$C$5:$AT$510,19,)/VLOOKUP($D185,$C$5:$AT$510,3,))*$E185)</f>
        <v>0</v>
      </c>
      <c r="V185" s="119">
        <f>IF(VLOOKUP($D185,$C$5:$AT$510,3,)=0,0,(VLOOKUP($D185,$C$5:$AT$510,20,)/VLOOKUP($D185,$C$5:$AT$510,3,))*$E185)</f>
        <v>0</v>
      </c>
      <c r="W185" s="119">
        <f>IF(VLOOKUP($D185,$C$5:$AT$510,3,)=0,0,(VLOOKUP($D185,$C$5:$AT$510,21,)/VLOOKUP($D185,$C$5:$AT$510,3,))*$E185)</f>
        <v>0</v>
      </c>
      <c r="X185" s="119">
        <f>IF(VLOOKUP($D185,$C$5:$AT$510,3,)=0,0,(VLOOKUP($D185,$C$5:$AT$510,22,)/VLOOKUP($D185,$C$5:$AT$510,3,))*$E185)</f>
        <v>0</v>
      </c>
      <c r="Y185" s="119">
        <f>IF(VLOOKUP($D185,$C$5:$AT$510,3,)=0,0,(VLOOKUP($D185,$C$5:$AT$510,23,)/VLOOKUP($D185,$C$5:$AT$510,3,))*$E185)</f>
        <v>0</v>
      </c>
      <c r="Z185" s="119">
        <f>IF(VLOOKUP($D185,$C$5:$AT$510,3,)=0,0,(VLOOKUP($D185,$C$5:$AT$510,24,)/VLOOKUP($D185,$C$5:$AT$510,3,))*$E185)</f>
        <v>0</v>
      </c>
      <c r="AA185" s="119">
        <f>IF(VLOOKUP($D185,$C$5:$AT$510,3,)=0,0,(VLOOKUP($D185,$C$5:$AT$510,25,)/VLOOKUP($D185,$C$5:$AT$510,3,))*$E185)</f>
        <v>0</v>
      </c>
      <c r="AB185" s="119">
        <f>IF(VLOOKUP($D185,$C$5:$AT$510,3,)=0,0,(VLOOKUP($D185,$C$5:$AT$510,26,)/VLOOKUP($D185,$C$5:$AT$510,3,))*$E185)</f>
        <v>0</v>
      </c>
      <c r="AC185" s="119">
        <f>IF(VLOOKUP($D185,$C$5:$AT$510,3,)=0,0,(VLOOKUP($D185,$C$5:$AT$510,27,)/VLOOKUP($D185,$C$5:$AT$510,3,))*$E185)</f>
        <v>0</v>
      </c>
      <c r="AD185" s="119">
        <f>IF(VLOOKUP($D185,$C$5:$AT$510,3,)=0,0,(VLOOKUP($D185,$C$5:$AT$510,28,)/VLOOKUP($D185,$C$5:$AT$510,3,))*$E185)</f>
        <v>0</v>
      </c>
      <c r="AE185" s="119">
        <f>IF(VLOOKUP($D185,$C$5:$AT$510,3,)=0,0,(VLOOKUP($D185,$C$5:$AT$510,29,)/VLOOKUP($D185,$C$5:$AT$510,3,))*$E185)</f>
        <v>0</v>
      </c>
      <c r="AF185" s="119">
        <f>IF(VLOOKUP($D185,$C$5:$AT$510,3,)=0,0,(VLOOKUP($D185,$C$5:$AT$510,30,)/VLOOKUP($D185,$C$5:$AT$510,3,))*$E185)</f>
        <v>0</v>
      </c>
      <c r="AG185" s="120">
        <f>SUM(F185:AF185)</f>
        <v>6280.9155468982162</v>
      </c>
      <c r="AH185" s="103" t="str">
        <f>IF(ABS(E185-AG185)&lt;0.01,"ok","err")</f>
        <v>ok</v>
      </c>
    </row>
    <row r="186" spans="1:34" x14ac:dyDescent="0.25">
      <c r="E186" s="110"/>
    </row>
    <row r="187" spans="1:34" x14ac:dyDescent="0.25">
      <c r="A187" s="132" t="s">
        <v>545</v>
      </c>
      <c r="E187" s="110"/>
    </row>
    <row r="188" spans="1:34" x14ac:dyDescent="0.25">
      <c r="A188" s="133" t="s">
        <v>221</v>
      </c>
      <c r="C188" s="102" t="s">
        <v>284</v>
      </c>
      <c r="D188" s="102" t="s">
        <v>234</v>
      </c>
      <c r="E188" s="119">
        <f>'Func &amp; Classif'!Y465</f>
        <v>628912.9461415367</v>
      </c>
      <c r="F188" s="119">
        <f>IF(VLOOKUP($D188,$C$5:$AT$510,3,)=0,0,(VLOOKUP($D188,$C$5:$AT$510,4,)/VLOOKUP($D188,$C$5:$AT$510,3,))*$E188)</f>
        <v>594976.58471288206</v>
      </c>
      <c r="G188" s="119">
        <f>IF(VLOOKUP($D188,$C$5:$AT$510,3,)=0,0,(VLOOKUP($D188,$C$5:$AT$510,5,)/VLOOKUP($D188,$C$5:$AT$510,3,))*$E188)</f>
        <v>1262.1165385723725</v>
      </c>
      <c r="H188" s="119">
        <f>IF(VLOOKUP($D188,$C$5:$AT$510,3,)=0,0,(VLOOKUP($D188,$C$5:$AT$510,6,)/VLOOKUP($D188,$C$5:$AT$510,3,))*$E188)</f>
        <v>12942.881366144135</v>
      </c>
      <c r="I188" s="119">
        <f>IF(VLOOKUP($D188,$C$5:$AT$510,3,)=0,0,(VLOOKUP($D188,$C$5:$AT$510,7,)/VLOOKUP($D188,$C$5:$AT$510,3,))*$E188)</f>
        <v>1509.5903696649946</v>
      </c>
      <c r="J188" s="119">
        <f>IF(VLOOKUP($D188,$C$5:$AT$510,3,)=0,0,(VLOOKUP($D188,$C$5:$AT$510,8,)/VLOOKUP($D188,$C$5:$AT$510,3,))*$E188)</f>
        <v>569.1898115130308</v>
      </c>
      <c r="K188" s="119">
        <f>IF(VLOOKUP($D188,$C$5:$AT$510,3,)=0,0,(VLOOKUP($D188,$C$5:$AT$510,9,)/VLOOKUP($D188,$C$5:$AT$510,3,))*$E188)</f>
        <v>7721.1835300898083</v>
      </c>
      <c r="L188" s="119">
        <f>IF(VLOOKUP($D188,$C$5:$AT$510,3,)=0,0,(VLOOKUP($D188,$C$5:$AT$510,10,)/VLOOKUP($D188,$C$5:$AT$510,3,))*$E188)</f>
        <v>5988.8667124414542</v>
      </c>
      <c r="M188" s="119">
        <f>IF(VLOOKUP($D188,$C$5:$AT$510,3,)=0,0,(VLOOKUP($D188,$C$5:$AT$510,11,)/VLOOKUP($D188,$C$5:$AT$510,3,))*$E188)</f>
        <v>3835.8443819356426</v>
      </c>
      <c r="N188" s="119">
        <f>IF(VLOOKUP($D188,$C$5:$AT$510,3,)=0,0,(VLOOKUP($D188,$C$5:$AT$510,12,)/VLOOKUP($D188,$C$5:$AT$510,3,))*$E188)</f>
        <v>74.24214932778662</v>
      </c>
      <c r="O188" s="119">
        <f>IF(VLOOKUP($D188,$C$5:$AT$510,3,)=0,0,(VLOOKUP($D188,$C$5:$AT$510,13,)/VLOOKUP($D188,$C$5:$AT$510,3,))*$E188)</f>
        <v>0</v>
      </c>
      <c r="P188" s="119">
        <f>IF(VLOOKUP($D188,$C$5:$AT$510,3,)=0,0,(VLOOKUP($D188,$C$5:$AT$510,14,)/VLOOKUP($D188,$C$5:$AT$510,3,))*$E188)</f>
        <v>32.44656896547712</v>
      </c>
      <c r="Q188" s="119">
        <f>IF(VLOOKUP($D188,$C$5:$AT$510,3,)=0,0,(VLOOKUP($D188,$C$5:$AT$510,15,)/VLOOKUP($D188,$C$5:$AT$510,3,))*$E188)</f>
        <v>0</v>
      </c>
      <c r="R188" s="119">
        <f>IF(VLOOKUP($D188,$C$5:$AT$510,3,)=0,0,(VLOOKUP($D188,$C$5:$AT$510,16,)/VLOOKUP($D188,$C$5:$AT$510,3,))*$E188)</f>
        <v>0</v>
      </c>
      <c r="S188" s="119">
        <f>IF(VLOOKUP($D188,$C$5:$AT$510,3,)=0,0,(VLOOKUP($D188,$C$5:$AT$510,17,)/VLOOKUP($D188,$C$5:$AT$510,3,))*$E188)</f>
        <v>0</v>
      </c>
      <c r="T188" s="119">
        <f>IF(VLOOKUP($D188,$C$5:$AT$510,3,)=0,0,(VLOOKUP($D188,$C$5:$AT$510,18,)/VLOOKUP($D188,$C$5:$AT$510,3,))*$E188)</f>
        <v>0</v>
      </c>
      <c r="U188" s="119">
        <f>IF(VLOOKUP($D188,$C$5:$AT$510,3,)=0,0,(VLOOKUP($D188,$C$5:$AT$510,19,)/VLOOKUP($D188,$C$5:$AT$510,3,))*$E188)</f>
        <v>0</v>
      </c>
      <c r="V188" s="119">
        <f>IF(VLOOKUP($D188,$C$5:$AT$510,3,)=0,0,(VLOOKUP($D188,$C$5:$AT$510,20,)/VLOOKUP($D188,$C$5:$AT$510,3,))*$E188)</f>
        <v>0</v>
      </c>
      <c r="W188" s="119">
        <f>IF(VLOOKUP($D188,$C$5:$AT$510,3,)=0,0,(VLOOKUP($D188,$C$5:$AT$510,21,)/VLOOKUP($D188,$C$5:$AT$510,3,))*$E188)</f>
        <v>0</v>
      </c>
      <c r="X188" s="119">
        <f>IF(VLOOKUP($D188,$C$5:$AT$510,3,)=0,0,(VLOOKUP($D188,$C$5:$AT$510,22,)/VLOOKUP($D188,$C$5:$AT$510,3,))*$E188)</f>
        <v>0</v>
      </c>
      <c r="Y188" s="119">
        <f>IF(VLOOKUP($D188,$C$5:$AT$510,3,)=0,0,(VLOOKUP($D188,$C$5:$AT$510,23,)/VLOOKUP($D188,$C$5:$AT$510,3,))*$E188)</f>
        <v>0</v>
      </c>
      <c r="Z188" s="119">
        <f>IF(VLOOKUP($D188,$C$5:$AT$510,3,)=0,0,(VLOOKUP($D188,$C$5:$AT$510,24,)/VLOOKUP($D188,$C$5:$AT$510,3,))*$E188)</f>
        <v>0</v>
      </c>
      <c r="AA188" s="119">
        <f>IF(VLOOKUP($D188,$C$5:$AT$510,3,)=0,0,(VLOOKUP($D188,$C$5:$AT$510,25,)/VLOOKUP($D188,$C$5:$AT$510,3,))*$E188)</f>
        <v>0</v>
      </c>
      <c r="AB188" s="119">
        <f>IF(VLOOKUP($D188,$C$5:$AT$510,3,)=0,0,(VLOOKUP($D188,$C$5:$AT$510,26,)/VLOOKUP($D188,$C$5:$AT$510,3,))*$E188)</f>
        <v>0</v>
      </c>
      <c r="AC188" s="119">
        <f>IF(VLOOKUP($D188,$C$5:$AT$510,3,)=0,0,(VLOOKUP($D188,$C$5:$AT$510,27,)/VLOOKUP($D188,$C$5:$AT$510,3,))*$E188)</f>
        <v>0</v>
      </c>
      <c r="AD188" s="119">
        <f>IF(VLOOKUP($D188,$C$5:$AT$510,3,)=0,0,(VLOOKUP($D188,$C$5:$AT$510,28,)/VLOOKUP($D188,$C$5:$AT$510,3,))*$E188)</f>
        <v>0</v>
      </c>
      <c r="AE188" s="119">
        <f>IF(VLOOKUP($D188,$C$5:$AT$510,3,)=0,0,(VLOOKUP($D188,$C$5:$AT$510,29,)/VLOOKUP($D188,$C$5:$AT$510,3,))*$E188)</f>
        <v>0</v>
      </c>
      <c r="AF188" s="119">
        <f>IF(VLOOKUP($D188,$C$5:$AT$510,3,)=0,0,(VLOOKUP($D188,$C$5:$AT$510,30,)/VLOOKUP($D188,$C$5:$AT$510,3,))*$E188)</f>
        <v>0</v>
      </c>
      <c r="AG188" s="120">
        <f>SUM(F188:AF188)</f>
        <v>628912.9461415367</v>
      </c>
      <c r="AH188" s="103" t="str">
        <f>IF(ABS(E188-AG188)&lt;0.01,"ok","err")</f>
        <v>ok</v>
      </c>
    </row>
    <row r="189" spans="1:34" x14ac:dyDescent="0.25">
      <c r="E189" s="110"/>
    </row>
    <row r="190" spans="1:34" x14ac:dyDescent="0.25">
      <c r="A190" s="132" t="s">
        <v>470</v>
      </c>
      <c r="E190" s="110"/>
    </row>
    <row r="191" spans="1:34" x14ac:dyDescent="0.25">
      <c r="A191" s="133" t="s">
        <v>221</v>
      </c>
      <c r="C191" s="102" t="s">
        <v>281</v>
      </c>
      <c r="D191" s="102" t="s">
        <v>235</v>
      </c>
      <c r="E191" s="119">
        <f>'Func &amp; Classif'!AA465</f>
        <v>41297.647046473678</v>
      </c>
      <c r="F191" s="119">
        <f>IF(VLOOKUP($D191,$C$5:$AT$510,3,)=0,0,(VLOOKUP($D191,$C$5:$AT$510,4,)/VLOOKUP($D191,$C$5:$AT$510,3,))*$E191)</f>
        <v>39069.211640714457</v>
      </c>
      <c r="G191" s="119">
        <f>IF(VLOOKUP($D191,$C$5:$AT$510,3,)=0,0,(VLOOKUP($D191,$C$5:$AT$510,5,)/VLOOKUP($D191,$C$5:$AT$510,3,))*$E191)</f>
        <v>82.877039916664046</v>
      </c>
      <c r="H191" s="119">
        <f>IF(VLOOKUP($D191,$C$5:$AT$510,3,)=0,0,(VLOOKUP($D191,$C$5:$AT$510,6,)/VLOOKUP($D191,$C$5:$AT$510,3,))*$E191)</f>
        <v>849.89591914539801</v>
      </c>
      <c r="I191" s="119">
        <f>IF(VLOOKUP($D191,$C$5:$AT$510,3,)=0,0,(VLOOKUP($D191,$C$5:$AT$510,7,)/VLOOKUP($D191,$C$5:$AT$510,3,))*$E191)</f>
        <v>99.127439900323665</v>
      </c>
      <c r="J191" s="119">
        <f>IF(VLOOKUP($D191,$C$5:$AT$510,3,)=0,0,(VLOOKUP($D191,$C$5:$AT$510,8,)/VLOOKUP($D191,$C$5:$AT$510,3,))*$E191)</f>
        <v>37.375919962417122</v>
      </c>
      <c r="K191" s="119">
        <f>IF(VLOOKUP($D191,$C$5:$AT$510,3,)=0,0,(VLOOKUP($D191,$C$5:$AT$510,9,)/VLOOKUP($D191,$C$5:$AT$510,3,))*$E191)</f>
        <v>507.01247949018006</v>
      </c>
      <c r="L191" s="119">
        <f>IF(VLOOKUP($D191,$C$5:$AT$510,3,)=0,0,(VLOOKUP($D191,$C$5:$AT$510,10,)/VLOOKUP($D191,$C$5:$AT$510,3,))*$E191)</f>
        <v>393.25967960456273</v>
      </c>
      <c r="M191" s="119">
        <f>IF(VLOOKUP($D191,$C$5:$AT$510,3,)=0,0,(VLOOKUP($D191,$C$5:$AT$510,11,)/VLOOKUP($D191,$C$5:$AT$510,3,))*$E191)</f>
        <v>251.88119974672409</v>
      </c>
      <c r="N191" s="119">
        <f>IF(VLOOKUP($D191,$C$5:$AT$510,3,)=0,0,(VLOOKUP($D191,$C$5:$AT$510,12,)/VLOOKUP($D191,$C$5:$AT$510,3,))*$E191)</f>
        <v>4.8751199950978856</v>
      </c>
      <c r="O191" s="119">
        <f>IF(VLOOKUP($D191,$C$5:$AT$510,3,)=0,0,(VLOOKUP($D191,$C$5:$AT$510,13,)/VLOOKUP($D191,$C$5:$AT$510,3,))*$E191)</f>
        <v>0</v>
      </c>
      <c r="P191" s="119">
        <f>IF(VLOOKUP($D191,$C$5:$AT$510,3,)=0,0,(VLOOKUP($D191,$C$5:$AT$510,14,)/VLOOKUP($D191,$C$5:$AT$510,3,))*$E191)</f>
        <v>2.1306079978575947</v>
      </c>
      <c r="Q191" s="119">
        <f>IF(VLOOKUP($D191,$C$5:$AT$510,3,)=0,0,(VLOOKUP($D191,$C$5:$AT$510,15,)/VLOOKUP($D191,$C$5:$AT$510,3,))*$E191)</f>
        <v>0</v>
      </c>
      <c r="R191" s="119">
        <f>IF(VLOOKUP($D191,$C$5:$AT$510,3,)=0,0,(VLOOKUP($D191,$C$5:$AT$510,16,)/VLOOKUP($D191,$C$5:$AT$510,3,))*$E191)</f>
        <v>0</v>
      </c>
      <c r="S191" s="119">
        <f>IF(VLOOKUP($D191,$C$5:$AT$510,3,)=0,0,(VLOOKUP($D191,$C$5:$AT$510,17,)/VLOOKUP($D191,$C$5:$AT$510,3,))*$E191)</f>
        <v>0</v>
      </c>
      <c r="T191" s="119">
        <f>IF(VLOOKUP($D191,$C$5:$AT$510,3,)=0,0,(VLOOKUP($D191,$C$5:$AT$510,18,)/VLOOKUP($D191,$C$5:$AT$510,3,))*$E191)</f>
        <v>0</v>
      </c>
      <c r="U191" s="119">
        <f>IF(VLOOKUP($D191,$C$5:$AT$510,3,)=0,0,(VLOOKUP($D191,$C$5:$AT$510,19,)/VLOOKUP($D191,$C$5:$AT$510,3,))*$E191)</f>
        <v>0</v>
      </c>
      <c r="V191" s="119">
        <f>IF(VLOOKUP($D191,$C$5:$AT$510,3,)=0,0,(VLOOKUP($D191,$C$5:$AT$510,20,)/VLOOKUP($D191,$C$5:$AT$510,3,))*$E191)</f>
        <v>0</v>
      </c>
      <c r="W191" s="119">
        <f>IF(VLOOKUP($D191,$C$5:$AT$510,3,)=0,0,(VLOOKUP($D191,$C$5:$AT$510,21,)/VLOOKUP($D191,$C$5:$AT$510,3,))*$E191)</f>
        <v>0</v>
      </c>
      <c r="X191" s="119">
        <f>IF(VLOOKUP($D191,$C$5:$AT$510,3,)=0,0,(VLOOKUP($D191,$C$5:$AT$510,22,)/VLOOKUP($D191,$C$5:$AT$510,3,))*$E191)</f>
        <v>0</v>
      </c>
      <c r="Y191" s="119">
        <f>IF(VLOOKUP($D191,$C$5:$AT$510,3,)=0,0,(VLOOKUP($D191,$C$5:$AT$510,23,)/VLOOKUP($D191,$C$5:$AT$510,3,))*$E191)</f>
        <v>0</v>
      </c>
      <c r="Z191" s="119">
        <f>IF(VLOOKUP($D191,$C$5:$AT$510,3,)=0,0,(VLOOKUP($D191,$C$5:$AT$510,24,)/VLOOKUP($D191,$C$5:$AT$510,3,))*$E191)</f>
        <v>0</v>
      </c>
      <c r="AA191" s="119">
        <f>IF(VLOOKUP($D191,$C$5:$AT$510,3,)=0,0,(VLOOKUP($D191,$C$5:$AT$510,25,)/VLOOKUP($D191,$C$5:$AT$510,3,))*$E191)</f>
        <v>0</v>
      </c>
      <c r="AB191" s="119">
        <f>IF(VLOOKUP($D191,$C$5:$AT$510,3,)=0,0,(VLOOKUP($D191,$C$5:$AT$510,26,)/VLOOKUP($D191,$C$5:$AT$510,3,))*$E191)</f>
        <v>0</v>
      </c>
      <c r="AC191" s="119">
        <f>IF(VLOOKUP($D191,$C$5:$AT$510,3,)=0,0,(VLOOKUP($D191,$C$5:$AT$510,27,)/VLOOKUP($D191,$C$5:$AT$510,3,))*$E191)</f>
        <v>0</v>
      </c>
      <c r="AD191" s="119">
        <f>IF(VLOOKUP($D191,$C$5:$AT$510,3,)=0,0,(VLOOKUP($D191,$C$5:$AT$510,28,)/VLOOKUP($D191,$C$5:$AT$510,3,))*$E191)</f>
        <v>0</v>
      </c>
      <c r="AE191" s="119">
        <f>IF(VLOOKUP($D191,$C$5:$AT$510,3,)=0,0,(VLOOKUP($D191,$C$5:$AT$510,29,)/VLOOKUP($D191,$C$5:$AT$510,3,))*$E191)</f>
        <v>0</v>
      </c>
      <c r="AF191" s="119">
        <f>IF(VLOOKUP($D191,$C$5:$AT$510,3,)=0,0,(VLOOKUP($D191,$C$5:$AT$510,30,)/VLOOKUP($D191,$C$5:$AT$510,3,))*$E191)</f>
        <v>0</v>
      </c>
      <c r="AG191" s="120">
        <f>SUM(F191:AF191)</f>
        <v>41297.647046473685</v>
      </c>
      <c r="AH191" s="103" t="str">
        <f>IF(ABS(E191-AG191)&lt;0.01,"ok","err")</f>
        <v>ok</v>
      </c>
    </row>
    <row r="192" spans="1:34" x14ac:dyDescent="0.25">
      <c r="E192" s="110"/>
    </row>
    <row r="193" spans="1:34" x14ac:dyDescent="0.25">
      <c r="A193" s="102" t="s">
        <v>0</v>
      </c>
      <c r="C193" s="102" t="s">
        <v>285</v>
      </c>
      <c r="E193" s="119">
        <f t="shared" ref="E193:R193" si="36">E163+E166+E169+E174+E179+E182+E185+E188+E191</f>
        <v>2559769.64</v>
      </c>
      <c r="F193" s="119">
        <f t="shared" si="36"/>
        <v>2144732.8371877028</v>
      </c>
      <c r="G193" s="119">
        <f t="shared" si="36"/>
        <v>5241.5928771809095</v>
      </c>
      <c r="H193" s="119">
        <f t="shared" si="36"/>
        <v>73479.249197575307</v>
      </c>
      <c r="I193" s="119">
        <f t="shared" si="36"/>
        <v>121647.54420448143</v>
      </c>
      <c r="J193" s="119">
        <f t="shared" si="36"/>
        <v>21684.152020481743</v>
      </c>
      <c r="K193" s="119">
        <f t="shared" si="36"/>
        <v>17984.553236425854</v>
      </c>
      <c r="L193" s="119">
        <f t="shared" si="36"/>
        <v>47570.364006302814</v>
      </c>
      <c r="M193" s="119">
        <f t="shared" si="36"/>
        <v>119758.50697102447</v>
      </c>
      <c r="N193" s="119">
        <f t="shared" si="36"/>
        <v>1182.6219239312131</v>
      </c>
      <c r="O193" s="119">
        <f t="shared" si="36"/>
        <v>0</v>
      </c>
      <c r="P193" s="119">
        <f t="shared" si="36"/>
        <v>6488.2183748935413</v>
      </c>
      <c r="Q193" s="119">
        <f t="shared" si="36"/>
        <v>0</v>
      </c>
      <c r="R193" s="119">
        <f t="shared" si="36"/>
        <v>0</v>
      </c>
      <c r="S193" s="119">
        <f t="shared" ref="S193:AF193" si="37">S163+S169+S174+S179+S182+S185+S188+S191</f>
        <v>0</v>
      </c>
      <c r="T193" s="119">
        <f t="shared" si="37"/>
        <v>0</v>
      </c>
      <c r="U193" s="119">
        <f t="shared" si="37"/>
        <v>0</v>
      </c>
      <c r="V193" s="119">
        <f t="shared" si="37"/>
        <v>0</v>
      </c>
      <c r="W193" s="119">
        <f t="shared" si="37"/>
        <v>0</v>
      </c>
      <c r="X193" s="119">
        <f t="shared" si="37"/>
        <v>0</v>
      </c>
      <c r="Y193" s="119">
        <f t="shared" si="37"/>
        <v>0</v>
      </c>
      <c r="Z193" s="119">
        <f t="shared" si="37"/>
        <v>0</v>
      </c>
      <c r="AA193" s="119">
        <f t="shared" si="37"/>
        <v>0</v>
      </c>
      <c r="AB193" s="119">
        <f t="shared" si="37"/>
        <v>0</v>
      </c>
      <c r="AC193" s="119">
        <f t="shared" si="37"/>
        <v>0</v>
      </c>
      <c r="AD193" s="119">
        <f t="shared" si="37"/>
        <v>0</v>
      </c>
      <c r="AE193" s="119">
        <f t="shared" si="37"/>
        <v>0</v>
      </c>
      <c r="AF193" s="119">
        <f t="shared" si="37"/>
        <v>0</v>
      </c>
      <c r="AG193" s="120">
        <f>SUM(F193:AF193)</f>
        <v>2559769.64</v>
      </c>
      <c r="AH193" s="103" t="str">
        <f>IF(ABS(E193-AG193)&lt;0.01,"ok","err")</f>
        <v>ok</v>
      </c>
    </row>
    <row r="194" spans="1:34" x14ac:dyDescent="0.25">
      <c r="F194" s="138">
        <f>F193/$E193</f>
        <v>0.83786165898416654</v>
      </c>
      <c r="G194" s="138">
        <f>G193/$E193</f>
        <v>2.0476814769866984E-3</v>
      </c>
      <c r="H194" s="138">
        <f>H193/$E193</f>
        <v>2.8705414756608844E-2</v>
      </c>
      <c r="I194" s="138">
        <f>I193/$E193</f>
        <v>4.7522848268675234E-2</v>
      </c>
      <c r="J194" s="138">
        <f>J193/$E193</f>
        <v>8.4711341527129533E-3</v>
      </c>
    </row>
    <row r="196" spans="1:34" x14ac:dyDescent="0.25">
      <c r="A196" s="131" t="s">
        <v>185</v>
      </c>
    </row>
    <row r="198" spans="1:34" x14ac:dyDescent="0.25">
      <c r="A198" s="132" t="s">
        <v>885</v>
      </c>
    </row>
    <row r="199" spans="1:34" x14ac:dyDescent="0.25">
      <c r="A199" s="133" t="s">
        <v>209</v>
      </c>
      <c r="C199" s="102" t="s">
        <v>286</v>
      </c>
      <c r="D199" s="102" t="s">
        <v>655</v>
      </c>
      <c r="E199" s="119">
        <f>'Func &amp; Classif'!H312</f>
        <v>0</v>
      </c>
      <c r="F199" s="119">
        <f>IF(VLOOKUP($D199,$C$5:$AT$510,3,)=0,0,(VLOOKUP($D199,$C$5:$AT$510,4,)/VLOOKUP($D199,$C$5:$AT$510,3,))*$E199)</f>
        <v>0</v>
      </c>
      <c r="G199" s="119">
        <f>IF(VLOOKUP($D199,$C$5:$AT$510,3,)=0,0,(VLOOKUP($D199,$C$5:$AT$510,5,)/VLOOKUP($D199,$C$5:$AT$510,3,))*$E199)</f>
        <v>0</v>
      </c>
      <c r="H199" s="119">
        <f>IF(VLOOKUP($D199,$C$5:$AT$510,3,)=0,0,(VLOOKUP($D199,$C$5:$AT$510,6,)/VLOOKUP($D199,$C$5:$AT$510,3,))*$E199)</f>
        <v>0</v>
      </c>
      <c r="I199" s="119">
        <f>IF(VLOOKUP($D199,$C$5:$AT$510,3,)=0,0,(VLOOKUP($D199,$C$5:$AT$510,7,)/VLOOKUP($D199,$C$5:$AT$510,3,))*$E199)</f>
        <v>0</v>
      </c>
      <c r="J199" s="119">
        <f>IF(VLOOKUP($D199,$C$5:$AT$510,3,)=0,0,(VLOOKUP($D199,$C$5:$AT$510,8,)/VLOOKUP($D199,$C$5:$AT$510,3,))*$E199)</f>
        <v>0</v>
      </c>
      <c r="K199" s="119">
        <f>IF(VLOOKUP($D199,$C$5:$AT$510,3,)=0,0,(VLOOKUP($D199,$C$5:$AT$510,9,)/VLOOKUP($D199,$C$5:$AT$510,3,))*$E199)</f>
        <v>0</v>
      </c>
      <c r="L199" s="119">
        <f>IF(VLOOKUP($D199,$C$5:$AT$510,3,)=0,0,(VLOOKUP($D199,$C$5:$AT$510,10,)/VLOOKUP($D199,$C$5:$AT$510,3,))*$E199)</f>
        <v>0</v>
      </c>
      <c r="M199" s="119">
        <f>IF(VLOOKUP($D199,$C$5:$AT$510,3,)=0,0,(VLOOKUP($D199,$C$5:$AT$510,11,)/VLOOKUP($D199,$C$5:$AT$510,3,))*$E199)</f>
        <v>0</v>
      </c>
      <c r="N199" s="119">
        <f>IF(VLOOKUP($D199,$C$5:$AT$510,3,)=0,0,(VLOOKUP($D199,$C$5:$AT$510,12,)/VLOOKUP($D199,$C$5:$AT$510,3,))*$E199)</f>
        <v>0</v>
      </c>
      <c r="O199" s="119">
        <f>IF(VLOOKUP($D199,$C$5:$AT$510,3,)=0,0,(VLOOKUP($D199,$C$5:$AT$510,13,)/VLOOKUP($D199,$C$5:$AT$510,3,))*$E199)</f>
        <v>0</v>
      </c>
      <c r="P199" s="119">
        <f>IF(VLOOKUP($D199,$C$5:$AT$510,3,)=0,0,(VLOOKUP($D199,$C$5:$AT$510,14,)/VLOOKUP($D199,$C$5:$AT$510,3,))*$E199)</f>
        <v>0</v>
      </c>
      <c r="Q199" s="119">
        <f>IF(VLOOKUP($D199,$C$5:$AT$510,3,)=0,0,(VLOOKUP($D199,$C$5:$AT$510,15,)/VLOOKUP($D199,$C$5:$AT$510,3,))*$E199)</f>
        <v>0</v>
      </c>
      <c r="R199" s="119">
        <f>IF(VLOOKUP($D199,$C$5:$AT$510,3,)=0,0,(VLOOKUP($D199,$C$5:$AT$510,16,)/VLOOKUP($D199,$C$5:$AT$510,3,))*$E199)</f>
        <v>0</v>
      </c>
      <c r="S199" s="119">
        <f>IF(VLOOKUP($D199,$C$5:$AT$510,3,)=0,0,(VLOOKUP($D199,$C$5:$AT$510,17,)/VLOOKUP($D199,$C$5:$AT$510,3,))*$E199)</f>
        <v>0</v>
      </c>
      <c r="T199" s="119">
        <f>IF(VLOOKUP($D199,$C$5:$AT$510,3,)=0,0,(VLOOKUP($D199,$C$5:$AT$510,18,)/VLOOKUP($D199,$C$5:$AT$510,3,))*$E199)</f>
        <v>0</v>
      </c>
      <c r="U199" s="119">
        <f>IF(VLOOKUP($D199,$C$5:$AT$510,3,)=0,0,(VLOOKUP($D199,$C$5:$AT$510,19,)/VLOOKUP($D199,$C$5:$AT$510,3,))*$E199)</f>
        <v>0</v>
      </c>
      <c r="V199" s="119">
        <f>IF(VLOOKUP($D199,$C$5:$AT$510,3,)=0,0,(VLOOKUP($D199,$C$5:$AT$510,20,)/VLOOKUP($D199,$C$5:$AT$510,3,))*$E199)</f>
        <v>0</v>
      </c>
      <c r="W199" s="119">
        <f>IF(VLOOKUP($D199,$C$5:$AT$510,3,)=0,0,(VLOOKUP($D199,$C$5:$AT$510,21,)/VLOOKUP($D199,$C$5:$AT$510,3,))*$E199)</f>
        <v>0</v>
      </c>
      <c r="X199" s="119">
        <f>IF(VLOOKUP($D199,$C$5:$AT$510,3,)=0,0,(VLOOKUP($D199,$C$5:$AT$510,22,)/VLOOKUP($D199,$C$5:$AT$510,3,))*$E199)</f>
        <v>0</v>
      </c>
      <c r="Y199" s="119">
        <f>IF(VLOOKUP($D199,$C$5:$AT$510,3,)=0,0,(VLOOKUP($D199,$C$5:$AT$510,23,)/VLOOKUP($D199,$C$5:$AT$510,3,))*$E199)</f>
        <v>0</v>
      </c>
      <c r="Z199" s="119">
        <f>IF(VLOOKUP($D199,$C$5:$AT$510,3,)=0,0,(VLOOKUP($D199,$C$5:$AT$510,24,)/VLOOKUP($D199,$C$5:$AT$510,3,))*$E199)</f>
        <v>0</v>
      </c>
      <c r="AA199" s="119">
        <f>IF(VLOOKUP($D199,$C$5:$AT$510,3,)=0,0,(VLOOKUP($D199,$C$5:$AT$510,25,)/VLOOKUP($D199,$C$5:$AT$510,3,))*$E199)</f>
        <v>0</v>
      </c>
      <c r="AB199" s="119">
        <f>IF(VLOOKUP($D199,$C$5:$AT$510,3,)=0,0,(VLOOKUP($D199,$C$5:$AT$510,26,)/VLOOKUP($D199,$C$5:$AT$510,3,))*$E199)</f>
        <v>0</v>
      </c>
      <c r="AC199" s="119">
        <f>IF(VLOOKUP($D199,$C$5:$AT$510,3,)=0,0,(VLOOKUP($D199,$C$5:$AT$510,27,)/VLOOKUP($D199,$C$5:$AT$510,3,))*$E199)</f>
        <v>0</v>
      </c>
      <c r="AD199" s="119">
        <f>IF(VLOOKUP($D199,$C$5:$AT$510,3,)=0,0,(VLOOKUP($D199,$C$5:$AT$510,28,)/VLOOKUP($D199,$C$5:$AT$510,3,))*$E199)</f>
        <v>0</v>
      </c>
      <c r="AE199" s="119">
        <f>IF(VLOOKUP($D199,$C$5:$AT$510,3,)=0,0,(VLOOKUP($D199,$C$5:$AT$510,29,)/VLOOKUP($D199,$C$5:$AT$510,3,))*$E199)</f>
        <v>0</v>
      </c>
      <c r="AF199" s="119">
        <f>IF(VLOOKUP($D199,$C$5:$AT$510,3,)=0,0,(VLOOKUP($D199,$C$5:$AT$510,30,)/VLOOKUP($D199,$C$5:$AT$510,3,))*$E199)</f>
        <v>0</v>
      </c>
      <c r="AG199" s="120">
        <f>SUM(F199:AF199)</f>
        <v>0</v>
      </c>
      <c r="AH199" s="103" t="str">
        <f>IF(ABS(E199-AG199)&lt;0.01,"ok","err")</f>
        <v>ok</v>
      </c>
    </row>
    <row r="200" spans="1:34" x14ac:dyDescent="0.25">
      <c r="A200" s="133" t="s">
        <v>212</v>
      </c>
      <c r="C200" s="102" t="s">
        <v>287</v>
      </c>
      <c r="D200" s="102" t="s">
        <v>664</v>
      </c>
      <c r="E200" s="110">
        <f>'Func &amp; Classif'!I312</f>
        <v>0</v>
      </c>
      <c r="F200" s="119">
        <f>IF(VLOOKUP($D200,$C$5:$AT$510,3,)=0,0,(VLOOKUP($D200,$C$5:$AT$510,4,)/VLOOKUP($D200,$C$5:$AT$510,3,))*$E200)</f>
        <v>0</v>
      </c>
      <c r="G200" s="119">
        <f>IF(VLOOKUP($D200,$C$5:$AT$510,3,)=0,0,(VLOOKUP($D200,$C$5:$AT$510,5,)/VLOOKUP($D200,$C$5:$AT$510,3,))*$E200)</f>
        <v>0</v>
      </c>
      <c r="H200" s="119">
        <f>IF(VLOOKUP($D200,$C$5:$AT$510,3,)=0,0,(VLOOKUP($D200,$C$5:$AT$510,6,)/VLOOKUP($D200,$C$5:$AT$510,3,))*$E200)</f>
        <v>0</v>
      </c>
      <c r="I200" s="119">
        <f>IF(VLOOKUP($D200,$C$5:$AT$510,3,)=0,0,(VLOOKUP($D200,$C$5:$AT$510,7,)/VLOOKUP($D200,$C$5:$AT$510,3,))*$E200)</f>
        <v>0</v>
      </c>
      <c r="J200" s="119">
        <f>IF(VLOOKUP($D200,$C$5:$AT$510,3,)=0,0,(VLOOKUP($D200,$C$5:$AT$510,8,)/VLOOKUP($D200,$C$5:$AT$510,3,))*$E200)</f>
        <v>0</v>
      </c>
      <c r="K200" s="119">
        <f>IF(VLOOKUP($D200,$C$5:$AT$510,3,)=0,0,(VLOOKUP($D200,$C$5:$AT$510,9,)/VLOOKUP($D200,$C$5:$AT$510,3,))*$E200)</f>
        <v>0</v>
      </c>
      <c r="L200" s="119">
        <f>IF(VLOOKUP($D200,$C$5:$AT$510,3,)=0,0,(VLOOKUP($D200,$C$5:$AT$510,10,)/VLOOKUP($D200,$C$5:$AT$510,3,))*$E200)</f>
        <v>0</v>
      </c>
      <c r="M200" s="119">
        <f>IF(VLOOKUP($D200,$C$5:$AT$510,3,)=0,0,(VLOOKUP($D200,$C$5:$AT$510,11,)/VLOOKUP($D200,$C$5:$AT$510,3,))*$E200)</f>
        <v>0</v>
      </c>
      <c r="N200" s="119">
        <f>IF(VLOOKUP($D200,$C$5:$AT$510,3,)=0,0,(VLOOKUP($D200,$C$5:$AT$510,12,)/VLOOKUP($D200,$C$5:$AT$510,3,))*$E200)</f>
        <v>0</v>
      </c>
      <c r="O200" s="119">
        <f>IF(VLOOKUP($D200,$C$5:$AT$510,3,)=0,0,(VLOOKUP($D200,$C$5:$AT$510,13,)/VLOOKUP($D200,$C$5:$AT$510,3,))*$E200)</f>
        <v>0</v>
      </c>
      <c r="P200" s="119">
        <f>IF(VLOOKUP($D200,$C$5:$AT$510,3,)=0,0,(VLOOKUP($D200,$C$5:$AT$510,14,)/VLOOKUP($D200,$C$5:$AT$510,3,))*$E200)</f>
        <v>0</v>
      </c>
      <c r="Q200" s="119">
        <f>IF(VLOOKUP($D200,$C$5:$AT$510,3,)=0,0,(VLOOKUP($D200,$C$5:$AT$510,15,)/VLOOKUP($D200,$C$5:$AT$510,3,))*$E200)</f>
        <v>0</v>
      </c>
      <c r="R200" s="119">
        <f>IF(VLOOKUP($D200,$C$5:$AT$510,3,)=0,0,(VLOOKUP($D200,$C$5:$AT$510,16,)/VLOOKUP($D200,$C$5:$AT$510,3,))*$E200)</f>
        <v>0</v>
      </c>
      <c r="S200" s="119">
        <f>IF(VLOOKUP($D200,$C$5:$AT$510,3,)=0,0,(VLOOKUP($D200,$C$5:$AT$510,17,)/VLOOKUP($D200,$C$5:$AT$510,3,))*$E200)</f>
        <v>0</v>
      </c>
      <c r="T200" s="119">
        <f>IF(VLOOKUP($D200,$C$5:$AT$510,3,)=0,0,(VLOOKUP($D200,$C$5:$AT$510,18,)/VLOOKUP($D200,$C$5:$AT$510,3,))*$E200)</f>
        <v>0</v>
      </c>
      <c r="U200" s="119">
        <f>IF(VLOOKUP($D200,$C$5:$AT$510,3,)=0,0,(VLOOKUP($D200,$C$5:$AT$510,19,)/VLOOKUP($D200,$C$5:$AT$510,3,))*$E200)</f>
        <v>0</v>
      </c>
      <c r="V200" s="119">
        <f>IF(VLOOKUP($D200,$C$5:$AT$510,3,)=0,0,(VLOOKUP($D200,$C$5:$AT$510,20,)/VLOOKUP($D200,$C$5:$AT$510,3,))*$E200)</f>
        <v>0</v>
      </c>
      <c r="W200" s="119">
        <f>IF(VLOOKUP($D200,$C$5:$AT$510,3,)=0,0,(VLOOKUP($D200,$C$5:$AT$510,21,)/VLOOKUP($D200,$C$5:$AT$510,3,))*$E200)</f>
        <v>0</v>
      </c>
      <c r="X200" s="119">
        <f>IF(VLOOKUP($D200,$C$5:$AT$510,3,)=0,0,(VLOOKUP($D200,$C$5:$AT$510,22,)/VLOOKUP($D200,$C$5:$AT$510,3,))*$E200)</f>
        <v>0</v>
      </c>
      <c r="Y200" s="119">
        <f>IF(VLOOKUP($D200,$C$5:$AT$510,3,)=0,0,(VLOOKUP($D200,$C$5:$AT$510,23,)/VLOOKUP($D200,$C$5:$AT$510,3,))*$E200)</f>
        <v>0</v>
      </c>
      <c r="Z200" s="119">
        <f>IF(VLOOKUP($D200,$C$5:$AT$510,3,)=0,0,(VLOOKUP($D200,$C$5:$AT$510,24,)/VLOOKUP($D200,$C$5:$AT$510,3,))*$E200)</f>
        <v>0</v>
      </c>
      <c r="AA200" s="119">
        <f>IF(VLOOKUP($D200,$C$5:$AT$510,3,)=0,0,(VLOOKUP($D200,$C$5:$AT$510,25,)/VLOOKUP($D200,$C$5:$AT$510,3,))*$E200)</f>
        <v>0</v>
      </c>
      <c r="AB200" s="119">
        <f>IF(VLOOKUP($D200,$C$5:$AT$510,3,)=0,0,(VLOOKUP($D200,$C$5:$AT$510,26,)/VLOOKUP($D200,$C$5:$AT$510,3,))*$E200)</f>
        <v>0</v>
      </c>
      <c r="AC200" s="119">
        <f>IF(VLOOKUP($D200,$C$5:$AT$510,3,)=0,0,(VLOOKUP($D200,$C$5:$AT$510,27,)/VLOOKUP($D200,$C$5:$AT$510,3,))*$E200)</f>
        <v>0</v>
      </c>
      <c r="AD200" s="119">
        <f>IF(VLOOKUP($D200,$C$5:$AT$510,3,)=0,0,(VLOOKUP($D200,$C$5:$AT$510,28,)/VLOOKUP($D200,$C$5:$AT$510,3,))*$E200)</f>
        <v>0</v>
      </c>
      <c r="AE200" s="119">
        <f>IF(VLOOKUP($D200,$C$5:$AT$510,3,)=0,0,(VLOOKUP($D200,$C$5:$AT$510,29,)/VLOOKUP($D200,$C$5:$AT$510,3,))*$E200)</f>
        <v>0</v>
      </c>
      <c r="AF200" s="119">
        <f>IF(VLOOKUP($D200,$C$5:$AT$510,3,)=0,0,(VLOOKUP($D200,$C$5:$AT$510,30,)/VLOOKUP($D200,$C$5:$AT$510,3,))*$E200)</f>
        <v>0</v>
      </c>
      <c r="AG200" s="120">
        <f>SUM(F200:AF200)</f>
        <v>0</v>
      </c>
      <c r="AH200" s="103" t="str">
        <f>IF(ABS(E200-AG200)&lt;0.01,"ok","err")</f>
        <v>ok</v>
      </c>
    </row>
    <row r="201" spans="1:34" x14ac:dyDescent="0.25">
      <c r="A201" s="102" t="s">
        <v>215</v>
      </c>
      <c r="C201" s="102" t="s">
        <v>288</v>
      </c>
      <c r="E201" s="110">
        <f t="shared" ref="E201:T201" si="38">E199+E200</f>
        <v>0</v>
      </c>
      <c r="F201" s="119">
        <f t="shared" si="38"/>
        <v>0</v>
      </c>
      <c r="G201" s="119">
        <f t="shared" si="38"/>
        <v>0</v>
      </c>
      <c r="H201" s="119">
        <f t="shared" si="38"/>
        <v>0</v>
      </c>
      <c r="I201" s="119">
        <f t="shared" si="38"/>
        <v>0</v>
      </c>
      <c r="J201" s="119">
        <f t="shared" si="38"/>
        <v>0</v>
      </c>
      <c r="K201" s="119">
        <f t="shared" si="38"/>
        <v>0</v>
      </c>
      <c r="L201" s="119">
        <f t="shared" si="38"/>
        <v>0</v>
      </c>
      <c r="M201" s="119">
        <f t="shared" si="38"/>
        <v>0</v>
      </c>
      <c r="N201" s="119">
        <f t="shared" si="38"/>
        <v>0</v>
      </c>
      <c r="O201" s="119">
        <f t="shared" si="38"/>
        <v>0</v>
      </c>
      <c r="P201" s="119">
        <f t="shared" si="38"/>
        <v>0</v>
      </c>
      <c r="Q201" s="119">
        <f t="shared" si="38"/>
        <v>0</v>
      </c>
      <c r="R201" s="119">
        <f t="shared" si="38"/>
        <v>0</v>
      </c>
      <c r="S201" s="119">
        <f t="shared" si="38"/>
        <v>0</v>
      </c>
      <c r="T201" s="119">
        <f t="shared" si="38"/>
        <v>0</v>
      </c>
      <c r="U201" s="119">
        <f t="shared" ref="U201:AF201" si="39">U199+U200</f>
        <v>0</v>
      </c>
      <c r="V201" s="119">
        <f t="shared" si="39"/>
        <v>0</v>
      </c>
      <c r="W201" s="119">
        <f t="shared" si="39"/>
        <v>0</v>
      </c>
      <c r="X201" s="119">
        <f t="shared" si="39"/>
        <v>0</v>
      </c>
      <c r="Y201" s="119">
        <f t="shared" si="39"/>
        <v>0</v>
      </c>
      <c r="Z201" s="119">
        <f t="shared" si="39"/>
        <v>0</v>
      </c>
      <c r="AA201" s="119">
        <f t="shared" si="39"/>
        <v>0</v>
      </c>
      <c r="AB201" s="119">
        <f t="shared" si="39"/>
        <v>0</v>
      </c>
      <c r="AC201" s="119">
        <f t="shared" si="39"/>
        <v>0</v>
      </c>
      <c r="AD201" s="119">
        <f t="shared" si="39"/>
        <v>0</v>
      </c>
      <c r="AE201" s="119">
        <f t="shared" si="39"/>
        <v>0</v>
      </c>
      <c r="AF201" s="119">
        <f t="shared" si="39"/>
        <v>0</v>
      </c>
      <c r="AG201" s="120">
        <f>SUM(F201:AF201)</f>
        <v>0</v>
      </c>
      <c r="AH201" s="103" t="str">
        <f>IF(ABS(E201-AG201)&lt;0.01,"ok","err")</f>
        <v>ok</v>
      </c>
    </row>
    <row r="202" spans="1:34" x14ac:dyDescent="0.25">
      <c r="E202" s="110"/>
      <c r="F202" s="110"/>
    </row>
    <row r="203" spans="1:34" x14ac:dyDescent="0.25">
      <c r="A203" s="132" t="s">
        <v>350</v>
      </c>
      <c r="E203" s="110"/>
      <c r="F203" s="110"/>
    </row>
    <row r="204" spans="1:34" x14ac:dyDescent="0.25">
      <c r="A204" s="133" t="s">
        <v>209</v>
      </c>
      <c r="C204" s="102" t="s">
        <v>879</v>
      </c>
      <c r="D204" s="102" t="s">
        <v>597</v>
      </c>
      <c r="E204" s="119">
        <f>'Func &amp; Classif'!K312</f>
        <v>0</v>
      </c>
      <c r="F204" s="119">
        <f>IF(VLOOKUP($D204,$C$5:$AT$510,3,)=0,0,(VLOOKUP($D204,$C$5:$AT$510,4,)/VLOOKUP($D204,$C$5:$AT$510,3,))*$E204)</f>
        <v>0</v>
      </c>
      <c r="G204" s="119">
        <f>IF(VLOOKUP($D204,$C$5:$AT$510,3,)=0,0,(VLOOKUP($D204,$C$5:$AT$510,5,)/VLOOKUP($D204,$C$5:$AT$510,3,))*$E204)</f>
        <v>0</v>
      </c>
      <c r="H204" s="119">
        <f>IF(VLOOKUP($D204,$C$5:$AT$510,3,)=0,0,(VLOOKUP($D204,$C$5:$AT$510,6,)/VLOOKUP($D204,$C$5:$AT$510,3,))*$E204)</f>
        <v>0</v>
      </c>
      <c r="I204" s="119">
        <f>IF(VLOOKUP($D204,$C$5:$AT$510,3,)=0,0,(VLOOKUP($D204,$C$5:$AT$510,7,)/VLOOKUP($D204,$C$5:$AT$510,3,))*$E204)</f>
        <v>0</v>
      </c>
      <c r="J204" s="119">
        <f>IF(VLOOKUP($D204,$C$5:$AT$510,3,)=0,0,(VLOOKUP($D204,$C$5:$AT$510,8,)/VLOOKUP($D204,$C$5:$AT$510,3,))*$E204)</f>
        <v>0</v>
      </c>
      <c r="K204" s="119">
        <f>IF(VLOOKUP($D204,$C$5:$AT$510,3,)=0,0,(VLOOKUP($D204,$C$5:$AT$510,9,)/VLOOKUP($D204,$C$5:$AT$510,3,))*$E204)</f>
        <v>0</v>
      </c>
      <c r="L204" s="119">
        <f>IF(VLOOKUP($D204,$C$5:$AT$510,3,)=0,0,(VLOOKUP($D204,$C$5:$AT$510,10,)/VLOOKUP($D204,$C$5:$AT$510,3,))*$E204)</f>
        <v>0</v>
      </c>
      <c r="M204" s="119">
        <f>IF(VLOOKUP($D204,$C$5:$AT$510,3,)=0,0,(VLOOKUP($D204,$C$5:$AT$510,11,)/VLOOKUP($D204,$C$5:$AT$510,3,))*$E204)</f>
        <v>0</v>
      </c>
      <c r="N204" s="119">
        <f>IF(VLOOKUP($D204,$C$5:$AT$510,3,)=0,0,(VLOOKUP($D204,$C$5:$AT$510,12,)/VLOOKUP($D204,$C$5:$AT$510,3,))*$E204)</f>
        <v>0</v>
      </c>
      <c r="O204" s="119">
        <f>IF(VLOOKUP($D204,$C$5:$AT$510,3,)=0,0,(VLOOKUP($D204,$C$5:$AT$510,13,)/VLOOKUP($D204,$C$5:$AT$510,3,))*$E204)</f>
        <v>0</v>
      </c>
      <c r="P204" s="119">
        <f>IF(VLOOKUP($D204,$C$5:$AT$510,3,)=0,0,(VLOOKUP($D204,$C$5:$AT$510,14,)/VLOOKUP($D204,$C$5:$AT$510,3,))*$E204)</f>
        <v>0</v>
      </c>
      <c r="Q204" s="119">
        <f>IF(VLOOKUP($D204,$C$5:$AT$510,3,)=0,0,(VLOOKUP($D204,$C$5:$AT$510,15,)/VLOOKUP($D204,$C$5:$AT$510,3,))*$E204)</f>
        <v>0</v>
      </c>
      <c r="R204" s="119">
        <f>IF(VLOOKUP($D204,$C$5:$AT$510,3,)=0,0,(VLOOKUP($D204,$C$5:$AT$510,16,)/VLOOKUP($D204,$C$5:$AT$510,3,))*$E204)</f>
        <v>0</v>
      </c>
      <c r="S204" s="119">
        <f>IF(VLOOKUP($D204,$C$5:$AT$510,3,)=0,0,(VLOOKUP($D204,$C$5:$AT$510,17,)/VLOOKUP($D204,$C$5:$AT$510,3,))*$E204)</f>
        <v>0</v>
      </c>
      <c r="T204" s="119">
        <f>IF(VLOOKUP($D204,$C$5:$AT$510,3,)=0,0,(VLOOKUP($D204,$C$5:$AT$510,18,)/VLOOKUP($D204,$C$5:$AT$510,3,))*$E204)</f>
        <v>0</v>
      </c>
      <c r="U204" s="119">
        <f>IF(VLOOKUP($D204,$C$5:$AT$510,3,)=0,0,(VLOOKUP($D204,$C$5:$AT$510,19,)/VLOOKUP($D204,$C$5:$AT$510,3,))*$E204)</f>
        <v>0</v>
      </c>
      <c r="V204" s="119">
        <f>IF(VLOOKUP($D204,$C$5:$AT$510,3,)=0,0,(VLOOKUP($D204,$C$5:$AT$510,20,)/VLOOKUP($D204,$C$5:$AT$510,3,))*$E204)</f>
        <v>0</v>
      </c>
      <c r="W204" s="119">
        <f>IF(VLOOKUP($D204,$C$5:$AT$510,3,)=0,0,(VLOOKUP($D204,$C$5:$AT$510,21,)/VLOOKUP($D204,$C$5:$AT$510,3,))*$E204)</f>
        <v>0</v>
      </c>
      <c r="X204" s="119">
        <f>IF(VLOOKUP($D204,$C$5:$AT$510,3,)=0,0,(VLOOKUP($D204,$C$5:$AT$510,22,)/VLOOKUP($D204,$C$5:$AT$510,3,))*$E204)</f>
        <v>0</v>
      </c>
      <c r="Y204" s="119">
        <f>IF(VLOOKUP($D204,$C$5:$AT$510,3,)=0,0,(VLOOKUP($D204,$C$5:$AT$510,23,)/VLOOKUP($D204,$C$5:$AT$510,3,))*$E204)</f>
        <v>0</v>
      </c>
      <c r="Z204" s="119">
        <f>IF(VLOOKUP($D204,$C$5:$AT$510,3,)=0,0,(VLOOKUP($D204,$C$5:$AT$510,24,)/VLOOKUP($D204,$C$5:$AT$510,3,))*$E204)</f>
        <v>0</v>
      </c>
      <c r="AA204" s="119">
        <f>IF(VLOOKUP($D204,$C$5:$AT$510,3,)=0,0,(VLOOKUP($D204,$C$5:$AT$510,25,)/VLOOKUP($D204,$C$5:$AT$510,3,))*$E204)</f>
        <v>0</v>
      </c>
      <c r="AB204" s="119">
        <f>IF(VLOOKUP($D204,$C$5:$AT$510,3,)=0,0,(VLOOKUP($D204,$C$5:$AT$510,26,)/VLOOKUP($D204,$C$5:$AT$510,3,))*$E204)</f>
        <v>0</v>
      </c>
      <c r="AC204" s="119">
        <f>IF(VLOOKUP($D204,$C$5:$AT$510,3,)=0,0,(VLOOKUP($D204,$C$5:$AT$510,27,)/VLOOKUP($D204,$C$5:$AT$510,3,))*$E204)</f>
        <v>0</v>
      </c>
      <c r="AD204" s="119">
        <f>IF(VLOOKUP($D204,$C$5:$AT$510,3,)=0,0,(VLOOKUP($D204,$C$5:$AT$510,28,)/VLOOKUP($D204,$C$5:$AT$510,3,))*$E204)</f>
        <v>0</v>
      </c>
      <c r="AE204" s="119">
        <f>IF(VLOOKUP($D204,$C$5:$AT$510,3,)=0,0,(VLOOKUP($D204,$C$5:$AT$510,29,)/VLOOKUP($D204,$C$5:$AT$510,3,))*$E204)</f>
        <v>0</v>
      </c>
      <c r="AF204" s="119">
        <f>IF(VLOOKUP($D204,$C$5:$AT$510,3,)=0,0,(VLOOKUP($D204,$C$5:$AT$510,30,)/VLOOKUP($D204,$C$5:$AT$510,3,))*$E204)</f>
        <v>0</v>
      </c>
      <c r="AG204" s="120">
        <f>SUM(F204:AF204)</f>
        <v>0</v>
      </c>
      <c r="AH204" s="103" t="str">
        <f>IF(ABS(E204-AG204)&lt;0.01,"ok","err")</f>
        <v>ok</v>
      </c>
    </row>
    <row r="205" spans="1:34" x14ac:dyDescent="0.25">
      <c r="E205" s="110"/>
    </row>
    <row r="206" spans="1:34" x14ac:dyDescent="0.25">
      <c r="A206" s="132" t="s">
        <v>1</v>
      </c>
      <c r="E206" s="110"/>
      <c r="F206" s="110"/>
    </row>
    <row r="207" spans="1:34" x14ac:dyDescent="0.25">
      <c r="A207" s="133" t="s">
        <v>209</v>
      </c>
      <c r="C207" s="102" t="s">
        <v>289</v>
      </c>
      <c r="D207" s="102" t="s">
        <v>613</v>
      </c>
      <c r="E207" s="119">
        <f>'Func &amp; Classif'!M312</f>
        <v>0</v>
      </c>
      <c r="F207" s="119">
        <f>IF(VLOOKUP($D207,$C$5:$AT$510,3,)=0,0,(VLOOKUP($D207,$C$5:$AT$510,4,)/VLOOKUP($D207,$C$5:$AT$510,3,))*$E207)</f>
        <v>0</v>
      </c>
      <c r="G207" s="119">
        <f>IF(VLOOKUP($D207,$C$5:$AT$510,3,)=0,0,(VLOOKUP($D207,$C$5:$AT$510,5,)/VLOOKUP($D207,$C$5:$AT$510,3,))*$E207)</f>
        <v>0</v>
      </c>
      <c r="H207" s="119">
        <f>IF(VLOOKUP($D207,$C$5:$AT$510,3,)=0,0,(VLOOKUP($D207,$C$5:$AT$510,6,)/VLOOKUP($D207,$C$5:$AT$510,3,))*$E207)</f>
        <v>0</v>
      </c>
      <c r="I207" s="119">
        <f>IF(VLOOKUP($D207,$C$5:$AT$510,3,)=0,0,(VLOOKUP($D207,$C$5:$AT$510,7,)/VLOOKUP($D207,$C$5:$AT$510,3,))*$E207)</f>
        <v>0</v>
      </c>
      <c r="J207" s="119">
        <f>IF(VLOOKUP($D207,$C$5:$AT$510,3,)=0,0,(VLOOKUP($D207,$C$5:$AT$510,8,)/VLOOKUP($D207,$C$5:$AT$510,3,))*$E207)</f>
        <v>0</v>
      </c>
      <c r="K207" s="119">
        <f>IF(VLOOKUP($D207,$C$5:$AT$510,3,)=0,0,(VLOOKUP($D207,$C$5:$AT$510,9,)/VLOOKUP($D207,$C$5:$AT$510,3,))*$E207)</f>
        <v>0</v>
      </c>
      <c r="L207" s="119">
        <f>IF(VLOOKUP($D207,$C$5:$AT$510,3,)=0,0,(VLOOKUP($D207,$C$5:$AT$510,10,)/VLOOKUP($D207,$C$5:$AT$510,3,))*$E207)</f>
        <v>0</v>
      </c>
      <c r="M207" s="119">
        <f>IF(VLOOKUP($D207,$C$5:$AT$510,3,)=0,0,(VLOOKUP($D207,$C$5:$AT$510,11,)/VLOOKUP($D207,$C$5:$AT$510,3,))*$E207)</f>
        <v>0</v>
      </c>
      <c r="N207" s="119">
        <f>IF(VLOOKUP($D207,$C$5:$AT$510,3,)=0,0,(VLOOKUP($D207,$C$5:$AT$510,12,)/VLOOKUP($D207,$C$5:$AT$510,3,))*$E207)</f>
        <v>0</v>
      </c>
      <c r="O207" s="119">
        <f>IF(VLOOKUP($D207,$C$5:$AT$510,3,)=0,0,(VLOOKUP($D207,$C$5:$AT$510,13,)/VLOOKUP($D207,$C$5:$AT$510,3,))*$E207)</f>
        <v>0</v>
      </c>
      <c r="P207" s="119">
        <f>IF(VLOOKUP($D207,$C$5:$AT$510,3,)=0,0,(VLOOKUP($D207,$C$5:$AT$510,14,)/VLOOKUP($D207,$C$5:$AT$510,3,))*$E207)</f>
        <v>0</v>
      </c>
      <c r="Q207" s="119">
        <f>IF(VLOOKUP($D207,$C$5:$AT$510,3,)=0,0,(VLOOKUP($D207,$C$5:$AT$510,15,)/VLOOKUP($D207,$C$5:$AT$510,3,))*$E207)</f>
        <v>0</v>
      </c>
      <c r="R207" s="119">
        <f>IF(VLOOKUP($D207,$C$5:$AT$510,3,)=0,0,(VLOOKUP($D207,$C$5:$AT$510,16,)/VLOOKUP($D207,$C$5:$AT$510,3,))*$E207)</f>
        <v>0</v>
      </c>
      <c r="S207" s="119">
        <f>IF(VLOOKUP($D207,$C$5:$AT$510,3,)=0,0,(VLOOKUP($D207,$C$5:$AT$510,17,)/VLOOKUP($D207,$C$5:$AT$510,3,))*$E207)</f>
        <v>0</v>
      </c>
      <c r="T207" s="119">
        <f>IF(VLOOKUP($D207,$C$5:$AT$510,3,)=0,0,(VLOOKUP($D207,$C$5:$AT$510,18,)/VLOOKUP($D207,$C$5:$AT$510,3,))*$E207)</f>
        <v>0</v>
      </c>
      <c r="U207" s="119">
        <f>IF(VLOOKUP($D207,$C$5:$AT$510,3,)=0,0,(VLOOKUP($D207,$C$5:$AT$510,19,)/VLOOKUP($D207,$C$5:$AT$510,3,))*$E207)</f>
        <v>0</v>
      </c>
      <c r="V207" s="119">
        <f>IF(VLOOKUP($D207,$C$5:$AT$510,3,)=0,0,(VLOOKUP($D207,$C$5:$AT$510,20,)/VLOOKUP($D207,$C$5:$AT$510,3,))*$E207)</f>
        <v>0</v>
      </c>
      <c r="W207" s="119">
        <f>IF(VLOOKUP($D207,$C$5:$AT$510,3,)=0,0,(VLOOKUP($D207,$C$5:$AT$510,21,)/VLOOKUP($D207,$C$5:$AT$510,3,))*$E207)</f>
        <v>0</v>
      </c>
      <c r="X207" s="119">
        <f>IF(VLOOKUP($D207,$C$5:$AT$510,3,)=0,0,(VLOOKUP($D207,$C$5:$AT$510,22,)/VLOOKUP($D207,$C$5:$AT$510,3,))*$E207)</f>
        <v>0</v>
      </c>
      <c r="Y207" s="119">
        <f>IF(VLOOKUP($D207,$C$5:$AT$510,3,)=0,0,(VLOOKUP($D207,$C$5:$AT$510,23,)/VLOOKUP($D207,$C$5:$AT$510,3,))*$E207)</f>
        <v>0</v>
      </c>
      <c r="Z207" s="119">
        <f>IF(VLOOKUP($D207,$C$5:$AT$510,3,)=0,0,(VLOOKUP($D207,$C$5:$AT$510,24,)/VLOOKUP($D207,$C$5:$AT$510,3,))*$E207)</f>
        <v>0</v>
      </c>
      <c r="AA207" s="119">
        <f>IF(VLOOKUP($D207,$C$5:$AT$510,3,)=0,0,(VLOOKUP($D207,$C$5:$AT$510,25,)/VLOOKUP($D207,$C$5:$AT$510,3,))*$E207)</f>
        <v>0</v>
      </c>
      <c r="AB207" s="119">
        <f>IF(VLOOKUP($D207,$C$5:$AT$510,3,)=0,0,(VLOOKUP($D207,$C$5:$AT$510,26,)/VLOOKUP($D207,$C$5:$AT$510,3,))*$E207)</f>
        <v>0</v>
      </c>
      <c r="AC207" s="119">
        <f>IF(VLOOKUP($D207,$C$5:$AT$510,3,)=0,0,(VLOOKUP($D207,$C$5:$AT$510,27,)/VLOOKUP($D207,$C$5:$AT$510,3,))*$E207)</f>
        <v>0</v>
      </c>
      <c r="AD207" s="119">
        <f>IF(VLOOKUP($D207,$C$5:$AT$510,3,)=0,0,(VLOOKUP($D207,$C$5:$AT$510,28,)/VLOOKUP($D207,$C$5:$AT$510,3,))*$E207)</f>
        <v>0</v>
      </c>
      <c r="AE207" s="119">
        <f>IF(VLOOKUP($D207,$C$5:$AT$510,3,)=0,0,(VLOOKUP($D207,$C$5:$AT$510,29,)/VLOOKUP($D207,$C$5:$AT$510,3,))*$E207)</f>
        <v>0</v>
      </c>
      <c r="AF207" s="119">
        <f>IF(VLOOKUP($D207,$C$5:$AT$510,3,)=0,0,(VLOOKUP($D207,$C$5:$AT$510,30,)/VLOOKUP($D207,$C$5:$AT$510,3,))*$E207)</f>
        <v>0</v>
      </c>
      <c r="AG207" s="120">
        <f>SUM(F207:AF207)</f>
        <v>0</v>
      </c>
      <c r="AH207" s="103" t="str">
        <f>IF(ABS(E207-AG207)&lt;0.01,"ok","err")</f>
        <v>ok</v>
      </c>
    </row>
    <row r="208" spans="1:34" x14ac:dyDescent="0.25">
      <c r="E208" s="110"/>
    </row>
    <row r="209" spans="1:34" x14ac:dyDescent="0.25">
      <c r="A209" s="132" t="s">
        <v>2</v>
      </c>
      <c r="E209" s="110"/>
    </row>
    <row r="210" spans="1:34" x14ac:dyDescent="0.25">
      <c r="A210" s="133" t="s">
        <v>209</v>
      </c>
      <c r="C210" s="102" t="s">
        <v>290</v>
      </c>
      <c r="D210" s="102" t="s">
        <v>605</v>
      </c>
      <c r="E210" s="119">
        <f>'Func &amp; Classif'!O312</f>
        <v>2470225.8963953699</v>
      </c>
      <c r="F210" s="119">
        <f>IF(VLOOKUP($D210,$C$5:$AT$510,3,)=0,0,(VLOOKUP($D210,$C$5:$AT$510,4,)/VLOOKUP($D210,$C$5:$AT$510,3,))*$E210)</f>
        <v>1783939.6855499849</v>
      </c>
      <c r="G210" s="119">
        <f>IF(VLOOKUP($D210,$C$5:$AT$510,3,)=0,0,(VLOOKUP($D210,$C$5:$AT$510,5,)/VLOOKUP($D210,$C$5:$AT$510,3,))*$E210)</f>
        <v>5276.3070449023808</v>
      </c>
      <c r="H210" s="119">
        <f>IF(VLOOKUP($D210,$C$5:$AT$510,3,)=0,0,(VLOOKUP($D210,$C$5:$AT$510,6,)/VLOOKUP($D210,$C$5:$AT$510,3,))*$E210)</f>
        <v>96643.087518243323</v>
      </c>
      <c r="I210" s="119">
        <f>IF(VLOOKUP($D210,$C$5:$AT$510,3,)=0,0,(VLOOKUP($D210,$C$5:$AT$510,7,)/VLOOKUP($D210,$C$5:$AT$510,3,))*$E210)</f>
        <v>255084.80372868842</v>
      </c>
      <c r="J210" s="119">
        <f>IF(VLOOKUP($D210,$C$5:$AT$510,3,)=0,0,(VLOOKUP($D210,$C$5:$AT$510,8,)/VLOOKUP($D210,$C$5:$AT$510,3,))*$E210)</f>
        <v>44037.176865118032</v>
      </c>
      <c r="K210" s="119">
        <f>IF(VLOOKUP($D210,$C$5:$AT$510,3,)=0,0,(VLOOKUP($D210,$C$5:$AT$510,9,)/VLOOKUP($D210,$C$5:$AT$510,3,))*$E210)</f>
        <v>1916.2565846532952</v>
      </c>
      <c r="L210" s="119">
        <f>IF(VLOOKUP($D210,$C$5:$AT$510,3,)=0,0,(VLOOKUP($D210,$C$5:$AT$510,10,)/VLOOKUP($D210,$C$5:$AT$510,3,))*$E210)</f>
        <v>54148.677517611788</v>
      </c>
      <c r="M210" s="119">
        <f>IF(VLOOKUP($D210,$C$5:$AT$510,3,)=0,0,(VLOOKUP($D210,$C$5:$AT$510,11,)/VLOOKUP($D210,$C$5:$AT$510,3,))*$E210)</f>
        <v>226905.37105428003</v>
      </c>
      <c r="N210" s="119">
        <f>IF(VLOOKUP($D210,$C$5:$AT$510,3,)=0,0,(VLOOKUP($D210,$C$5:$AT$510,12,)/VLOOKUP($D210,$C$5:$AT$510,3,))*$E210)</f>
        <v>1943.8605678906094</v>
      </c>
      <c r="O210" s="119">
        <f>IF(VLOOKUP($D210,$C$5:$AT$510,3,)=0,0,(VLOOKUP($D210,$C$5:$AT$510,13,)/VLOOKUP($D210,$C$5:$AT$510,3,))*$E210)</f>
        <v>0</v>
      </c>
      <c r="P210" s="119">
        <f>IF(VLOOKUP($D210,$C$5:$AT$510,3,)=0,0,(VLOOKUP($D210,$C$5:$AT$510,14,)/VLOOKUP($D210,$C$5:$AT$510,3,))*$E210)</f>
        <v>330.66996399735336</v>
      </c>
      <c r="Q210" s="119">
        <f>IF(VLOOKUP($D210,$C$5:$AT$510,3,)=0,0,(VLOOKUP($D210,$C$5:$AT$510,15,)/VLOOKUP($D210,$C$5:$AT$510,3,))*$E210)</f>
        <v>0</v>
      </c>
      <c r="R210" s="119">
        <f>IF(VLOOKUP($D210,$C$5:$AT$510,3,)=0,0,(VLOOKUP($D210,$C$5:$AT$510,16,)/VLOOKUP($D210,$C$5:$AT$510,3,))*$E210)</f>
        <v>0</v>
      </c>
      <c r="S210" s="119">
        <f>IF(VLOOKUP($D210,$C$5:$AT$510,3,)=0,0,(VLOOKUP($D210,$C$5:$AT$510,17,)/VLOOKUP($D210,$C$5:$AT$510,3,))*$E210)</f>
        <v>0</v>
      </c>
      <c r="T210" s="119">
        <f>IF(VLOOKUP($D210,$C$5:$AT$510,3,)=0,0,(VLOOKUP($D210,$C$5:$AT$510,18,)/VLOOKUP($D210,$C$5:$AT$510,3,))*$E210)</f>
        <v>0</v>
      </c>
      <c r="U210" s="119">
        <f>IF(VLOOKUP($D210,$C$5:$AT$510,3,)=0,0,(VLOOKUP($D210,$C$5:$AT$510,19,)/VLOOKUP($D210,$C$5:$AT$510,3,))*$E210)</f>
        <v>0</v>
      </c>
      <c r="V210" s="119">
        <f>IF(VLOOKUP($D210,$C$5:$AT$510,3,)=0,0,(VLOOKUP($D210,$C$5:$AT$510,20,)/VLOOKUP($D210,$C$5:$AT$510,3,))*$E210)</f>
        <v>0</v>
      </c>
      <c r="W210" s="119">
        <f>IF(VLOOKUP($D210,$C$5:$AT$510,3,)=0,0,(VLOOKUP($D210,$C$5:$AT$510,21,)/VLOOKUP($D210,$C$5:$AT$510,3,))*$E210)</f>
        <v>0</v>
      </c>
      <c r="X210" s="119">
        <f>IF(VLOOKUP($D210,$C$5:$AT$510,3,)=0,0,(VLOOKUP($D210,$C$5:$AT$510,22,)/VLOOKUP($D210,$C$5:$AT$510,3,))*$E210)</f>
        <v>0</v>
      </c>
      <c r="Y210" s="119">
        <f>IF(VLOOKUP($D210,$C$5:$AT$510,3,)=0,0,(VLOOKUP($D210,$C$5:$AT$510,23,)/VLOOKUP($D210,$C$5:$AT$510,3,))*$E210)</f>
        <v>0</v>
      </c>
      <c r="Z210" s="119">
        <f>IF(VLOOKUP($D210,$C$5:$AT$510,3,)=0,0,(VLOOKUP($D210,$C$5:$AT$510,24,)/VLOOKUP($D210,$C$5:$AT$510,3,))*$E210)</f>
        <v>0</v>
      </c>
      <c r="AA210" s="119">
        <f>IF(VLOOKUP($D210,$C$5:$AT$510,3,)=0,0,(VLOOKUP($D210,$C$5:$AT$510,25,)/VLOOKUP($D210,$C$5:$AT$510,3,))*$E210)</f>
        <v>0</v>
      </c>
      <c r="AB210" s="119">
        <f>IF(VLOOKUP($D210,$C$5:$AT$510,3,)=0,0,(VLOOKUP($D210,$C$5:$AT$510,26,)/VLOOKUP($D210,$C$5:$AT$510,3,))*$E210)</f>
        <v>0</v>
      </c>
      <c r="AC210" s="119">
        <f>IF(VLOOKUP($D210,$C$5:$AT$510,3,)=0,0,(VLOOKUP($D210,$C$5:$AT$510,27,)/VLOOKUP($D210,$C$5:$AT$510,3,))*$E210)</f>
        <v>0</v>
      </c>
      <c r="AD210" s="119">
        <f>IF(VLOOKUP($D210,$C$5:$AT$510,3,)=0,0,(VLOOKUP($D210,$C$5:$AT$510,28,)/VLOOKUP($D210,$C$5:$AT$510,3,))*$E210)</f>
        <v>0</v>
      </c>
      <c r="AE210" s="119">
        <f>IF(VLOOKUP($D210,$C$5:$AT$510,3,)=0,0,(VLOOKUP($D210,$C$5:$AT$510,29,)/VLOOKUP($D210,$C$5:$AT$510,3,))*$E210)</f>
        <v>0</v>
      </c>
      <c r="AF210" s="119">
        <f>IF(VLOOKUP($D210,$C$5:$AT$510,3,)=0,0,(VLOOKUP($D210,$C$5:$AT$510,30,)/VLOOKUP($D210,$C$5:$AT$510,3,))*$E210)</f>
        <v>0</v>
      </c>
      <c r="AG210" s="120">
        <f>SUM(F210:AF210)</f>
        <v>2470225.8963953704</v>
      </c>
      <c r="AH210" s="103" t="str">
        <f>IF(ABS(E210-AG210)&lt;0.01,"ok","err")</f>
        <v>ok</v>
      </c>
    </row>
    <row r="211" spans="1:34" x14ac:dyDescent="0.25">
      <c r="A211" s="133" t="s">
        <v>221</v>
      </c>
      <c r="C211" s="102" t="s">
        <v>291</v>
      </c>
      <c r="D211" s="102" t="s">
        <v>223</v>
      </c>
      <c r="E211" s="110">
        <f>'Func &amp; Classif'!P312</f>
        <v>990924.49731444614</v>
      </c>
      <c r="F211" s="119">
        <f>IF(VLOOKUP($D211,$C$5:$AT$510,3,)=0,0,(VLOOKUP($D211,$C$5:$AT$510,4,)/VLOOKUP($D211,$C$5:$AT$510,3,))*$E211)</f>
        <v>937453.86660842318</v>
      </c>
      <c r="G211" s="119">
        <f>IF(VLOOKUP($D211,$C$5:$AT$510,3,)=0,0,(VLOOKUP($D211,$C$5:$AT$510,5,)/VLOOKUP($D211,$C$5:$AT$510,3,))*$E211)</f>
        <v>1988.6094000927369</v>
      </c>
      <c r="H211" s="119">
        <f>IF(VLOOKUP($D211,$C$5:$AT$510,3,)=0,0,(VLOOKUP($D211,$C$5:$AT$510,6,)/VLOOKUP($D211,$C$5:$AT$510,3,))*$E211)</f>
        <v>20392.994436245128</v>
      </c>
      <c r="I211" s="119">
        <f>IF(VLOOKUP($D211,$C$5:$AT$510,3,)=0,0,(VLOOKUP($D211,$C$5:$AT$510,7,)/VLOOKUP($D211,$C$5:$AT$510,3,))*$E211)</f>
        <v>2378.5328118756265</v>
      </c>
      <c r="J211" s="119">
        <f>IF(VLOOKUP($D211,$C$5:$AT$510,3,)=0,0,(VLOOKUP($D211,$C$5:$AT$510,8,)/VLOOKUP($D211,$C$5:$AT$510,3,))*$E211)</f>
        <v>896.82384710064616</v>
      </c>
      <c r="K211" s="119">
        <f>IF(VLOOKUP($D211,$C$5:$AT$510,3,)=0,0,(VLOOKUP($D211,$C$5:$AT$510,9,)/VLOOKUP($D211,$C$5:$AT$510,3,))*$E211)</f>
        <v>12165.610447626155</v>
      </c>
      <c r="L211" s="119">
        <f>IF(VLOOKUP($D211,$C$5:$AT$510,3,)=0,0,(VLOOKUP($D211,$C$5:$AT$510,10,)/VLOOKUP($D211,$C$5:$AT$510,3,))*$E211)</f>
        <v>9436.1465651459275</v>
      </c>
      <c r="M211" s="119">
        <f>IF(VLOOKUP($D211,$C$5:$AT$510,3,)=0,0,(VLOOKUP($D211,$C$5:$AT$510,11,)/VLOOKUP($D211,$C$5:$AT$510,3,))*$E211)</f>
        <v>6043.8128826347893</v>
      </c>
      <c r="N211" s="119">
        <f>IF(VLOOKUP($D211,$C$5:$AT$510,3,)=0,0,(VLOOKUP($D211,$C$5:$AT$510,12,)/VLOOKUP($D211,$C$5:$AT$510,3,))*$E211)</f>
        <v>116.97702353486689</v>
      </c>
      <c r="O211" s="119">
        <f>IF(VLOOKUP($D211,$C$5:$AT$510,3,)=0,0,(VLOOKUP($D211,$C$5:$AT$510,13,)/VLOOKUP($D211,$C$5:$AT$510,3,))*$E211)</f>
        <v>0</v>
      </c>
      <c r="P211" s="119">
        <f>IF(VLOOKUP($D211,$C$5:$AT$510,3,)=0,0,(VLOOKUP($D211,$C$5:$AT$510,14,)/VLOOKUP($D211,$C$5:$AT$510,3,))*$E211)</f>
        <v>51.123291767089974</v>
      </c>
      <c r="Q211" s="119">
        <f>IF(VLOOKUP($D211,$C$5:$AT$510,3,)=0,0,(VLOOKUP($D211,$C$5:$AT$510,15,)/VLOOKUP($D211,$C$5:$AT$510,3,))*$E211)</f>
        <v>0</v>
      </c>
      <c r="R211" s="119">
        <f>IF(VLOOKUP($D211,$C$5:$AT$510,3,)=0,0,(VLOOKUP($D211,$C$5:$AT$510,16,)/VLOOKUP($D211,$C$5:$AT$510,3,))*$E211)</f>
        <v>0</v>
      </c>
      <c r="S211" s="119">
        <f>IF(VLOOKUP($D211,$C$5:$AT$510,3,)=0,0,(VLOOKUP($D211,$C$5:$AT$510,17,)/VLOOKUP($D211,$C$5:$AT$510,3,))*$E211)</f>
        <v>0</v>
      </c>
      <c r="T211" s="119">
        <f>IF(VLOOKUP($D211,$C$5:$AT$510,3,)=0,0,(VLOOKUP($D211,$C$5:$AT$510,18,)/VLOOKUP($D211,$C$5:$AT$510,3,))*$E211)</f>
        <v>0</v>
      </c>
      <c r="U211" s="119">
        <f>IF(VLOOKUP($D211,$C$5:$AT$510,3,)=0,0,(VLOOKUP($D211,$C$5:$AT$510,19,)/VLOOKUP($D211,$C$5:$AT$510,3,))*$E211)</f>
        <v>0</v>
      </c>
      <c r="V211" s="119">
        <f>IF(VLOOKUP($D211,$C$5:$AT$510,3,)=0,0,(VLOOKUP($D211,$C$5:$AT$510,20,)/VLOOKUP($D211,$C$5:$AT$510,3,))*$E211)</f>
        <v>0</v>
      </c>
      <c r="W211" s="119">
        <f>IF(VLOOKUP($D211,$C$5:$AT$510,3,)=0,0,(VLOOKUP($D211,$C$5:$AT$510,21,)/VLOOKUP($D211,$C$5:$AT$510,3,))*$E211)</f>
        <v>0</v>
      </c>
      <c r="X211" s="119">
        <f>IF(VLOOKUP($D211,$C$5:$AT$510,3,)=0,0,(VLOOKUP($D211,$C$5:$AT$510,22,)/VLOOKUP($D211,$C$5:$AT$510,3,))*$E211)</f>
        <v>0</v>
      </c>
      <c r="Y211" s="119">
        <f>IF(VLOOKUP($D211,$C$5:$AT$510,3,)=0,0,(VLOOKUP($D211,$C$5:$AT$510,23,)/VLOOKUP($D211,$C$5:$AT$510,3,))*$E211)</f>
        <v>0</v>
      </c>
      <c r="Z211" s="119">
        <f>IF(VLOOKUP($D211,$C$5:$AT$510,3,)=0,0,(VLOOKUP($D211,$C$5:$AT$510,24,)/VLOOKUP($D211,$C$5:$AT$510,3,))*$E211)</f>
        <v>0</v>
      </c>
      <c r="AA211" s="119">
        <f>IF(VLOOKUP($D211,$C$5:$AT$510,3,)=0,0,(VLOOKUP($D211,$C$5:$AT$510,25,)/VLOOKUP($D211,$C$5:$AT$510,3,))*$E211)</f>
        <v>0</v>
      </c>
      <c r="AB211" s="119">
        <f>IF(VLOOKUP($D211,$C$5:$AT$510,3,)=0,0,(VLOOKUP($D211,$C$5:$AT$510,26,)/VLOOKUP($D211,$C$5:$AT$510,3,))*$E211)</f>
        <v>0</v>
      </c>
      <c r="AC211" s="119">
        <f>IF(VLOOKUP($D211,$C$5:$AT$510,3,)=0,0,(VLOOKUP($D211,$C$5:$AT$510,27,)/VLOOKUP($D211,$C$5:$AT$510,3,))*$E211)</f>
        <v>0</v>
      </c>
      <c r="AD211" s="119">
        <f>IF(VLOOKUP($D211,$C$5:$AT$510,3,)=0,0,(VLOOKUP($D211,$C$5:$AT$510,28,)/VLOOKUP($D211,$C$5:$AT$510,3,))*$E211)</f>
        <v>0</v>
      </c>
      <c r="AE211" s="119">
        <f>IF(VLOOKUP($D211,$C$5:$AT$510,3,)=0,0,(VLOOKUP($D211,$C$5:$AT$510,29,)/VLOOKUP($D211,$C$5:$AT$510,3,))*$E211)</f>
        <v>0</v>
      </c>
      <c r="AF211" s="119">
        <f>IF(VLOOKUP($D211,$C$5:$AT$510,3,)=0,0,(VLOOKUP($D211,$C$5:$AT$510,30,)/VLOOKUP($D211,$C$5:$AT$510,3,))*$E211)</f>
        <v>0</v>
      </c>
      <c r="AG211" s="120">
        <f>SUM(F211:AF211)</f>
        <v>990924.49731444614</v>
      </c>
      <c r="AH211" s="103" t="str">
        <f>IF(ABS(E211-AG211)&lt;0.01,"ok","err")</f>
        <v>ok</v>
      </c>
    </row>
    <row r="212" spans="1:34" x14ac:dyDescent="0.25">
      <c r="A212" s="102" t="s">
        <v>224</v>
      </c>
      <c r="E212" s="119">
        <f t="shared" ref="E212:T212" si="40">E210+E211</f>
        <v>3461150.393709816</v>
      </c>
      <c r="F212" s="119">
        <f t="shared" si="40"/>
        <v>2721393.5521584079</v>
      </c>
      <c r="G212" s="119">
        <f t="shared" si="40"/>
        <v>7264.9164449951177</v>
      </c>
      <c r="H212" s="119">
        <f t="shared" si="40"/>
        <v>117036.08195448844</v>
      </c>
      <c r="I212" s="119">
        <f t="shared" si="40"/>
        <v>257463.33654056405</v>
      </c>
      <c r="J212" s="119">
        <f t="shared" si="40"/>
        <v>44934.00071221868</v>
      </c>
      <c r="K212" s="119">
        <f t="shared" si="40"/>
        <v>14081.86703227945</v>
      </c>
      <c r="L212" s="119">
        <f t="shared" si="40"/>
        <v>63584.824082757717</v>
      </c>
      <c r="M212" s="119">
        <f t="shared" si="40"/>
        <v>232949.18393691481</v>
      </c>
      <c r="N212" s="119">
        <f t="shared" si="40"/>
        <v>2060.8375914254761</v>
      </c>
      <c r="O212" s="119">
        <f t="shared" si="40"/>
        <v>0</v>
      </c>
      <c r="P212" s="119">
        <f t="shared" si="40"/>
        <v>381.79325576444336</v>
      </c>
      <c r="Q212" s="119">
        <f t="shared" si="40"/>
        <v>0</v>
      </c>
      <c r="R212" s="119">
        <f t="shared" si="40"/>
        <v>0</v>
      </c>
      <c r="S212" s="119">
        <f t="shared" si="40"/>
        <v>0</v>
      </c>
      <c r="T212" s="119">
        <f t="shared" si="40"/>
        <v>0</v>
      </c>
      <c r="U212" s="119">
        <f t="shared" ref="U212:AF212" si="41">U210+U211</f>
        <v>0</v>
      </c>
      <c r="V212" s="119">
        <f t="shared" si="41"/>
        <v>0</v>
      </c>
      <c r="W212" s="119">
        <f t="shared" si="41"/>
        <v>0</v>
      </c>
      <c r="X212" s="119">
        <f t="shared" si="41"/>
        <v>0</v>
      </c>
      <c r="Y212" s="119">
        <f t="shared" si="41"/>
        <v>0</v>
      </c>
      <c r="Z212" s="119">
        <f t="shared" si="41"/>
        <v>0</v>
      </c>
      <c r="AA212" s="119">
        <f t="shared" si="41"/>
        <v>0</v>
      </c>
      <c r="AB212" s="119">
        <f t="shared" si="41"/>
        <v>0</v>
      </c>
      <c r="AC212" s="119">
        <f t="shared" si="41"/>
        <v>0</v>
      </c>
      <c r="AD212" s="119">
        <f t="shared" si="41"/>
        <v>0</v>
      </c>
      <c r="AE212" s="119">
        <f t="shared" si="41"/>
        <v>0</v>
      </c>
      <c r="AF212" s="119">
        <f t="shared" si="41"/>
        <v>0</v>
      </c>
      <c r="AG212" s="120">
        <f>SUM(F212:AF212)</f>
        <v>3461150.393709816</v>
      </c>
      <c r="AH212" s="103" t="str">
        <f>IF(ABS(E212-AG212)&lt;0.01,"ok","err")</f>
        <v>ok</v>
      </c>
    </row>
    <row r="213" spans="1:34" x14ac:dyDescent="0.25">
      <c r="E213" s="110"/>
    </row>
    <row r="214" spans="1:34" x14ac:dyDescent="0.25">
      <c r="A214" s="132" t="s">
        <v>3</v>
      </c>
      <c r="E214" s="110"/>
    </row>
    <row r="215" spans="1:34" x14ac:dyDescent="0.25">
      <c r="A215" s="133" t="s">
        <v>209</v>
      </c>
      <c r="C215" s="102" t="s">
        <v>292</v>
      </c>
      <c r="D215" s="102" t="s">
        <v>698</v>
      </c>
      <c r="E215" s="119">
        <f>'Func &amp; Classif'!R312</f>
        <v>0</v>
      </c>
      <c r="F215" s="119">
        <f>IF(VLOOKUP($D215,$C$5:$AT$510,3,)=0,0,(VLOOKUP($D215,$C$5:$AT$510,4,)/VLOOKUP($D215,$C$5:$AT$510,3,))*$E215)</f>
        <v>0</v>
      </c>
      <c r="G215" s="119">
        <f>IF(VLOOKUP($D215,$C$5:$AT$510,3,)=0,0,(VLOOKUP($D215,$C$5:$AT$510,5,)/VLOOKUP($D215,$C$5:$AT$510,3,))*$E215)</f>
        <v>0</v>
      </c>
      <c r="H215" s="119">
        <f>IF(VLOOKUP($D215,$C$5:$AT$510,3,)=0,0,(VLOOKUP($D215,$C$5:$AT$510,6,)/VLOOKUP($D215,$C$5:$AT$510,3,))*$E215)</f>
        <v>0</v>
      </c>
      <c r="I215" s="119">
        <f>IF(VLOOKUP($D215,$C$5:$AT$510,3,)=0,0,(VLOOKUP($D215,$C$5:$AT$510,7,)/VLOOKUP($D215,$C$5:$AT$510,3,))*$E215)</f>
        <v>0</v>
      </c>
      <c r="J215" s="119">
        <f>IF(VLOOKUP($D215,$C$5:$AT$510,3,)=0,0,(VLOOKUP($D215,$C$5:$AT$510,8,)/VLOOKUP($D215,$C$5:$AT$510,3,))*$E215)</f>
        <v>0</v>
      </c>
      <c r="K215" s="119">
        <f>IF(VLOOKUP($D215,$C$5:$AT$510,3,)=0,0,(VLOOKUP($D215,$C$5:$AT$510,9,)/VLOOKUP($D215,$C$5:$AT$510,3,))*$E215)</f>
        <v>0</v>
      </c>
      <c r="L215" s="119">
        <f>IF(VLOOKUP($D215,$C$5:$AT$510,3,)=0,0,(VLOOKUP($D215,$C$5:$AT$510,10,)/VLOOKUP($D215,$C$5:$AT$510,3,))*$E215)</f>
        <v>0</v>
      </c>
      <c r="M215" s="119">
        <f>IF(VLOOKUP($D215,$C$5:$AT$510,3,)=0,0,(VLOOKUP($D215,$C$5:$AT$510,11,)/VLOOKUP($D215,$C$5:$AT$510,3,))*$E215)</f>
        <v>0</v>
      </c>
      <c r="N215" s="119">
        <f>IF(VLOOKUP($D215,$C$5:$AT$510,3,)=0,0,(VLOOKUP($D215,$C$5:$AT$510,12,)/VLOOKUP($D215,$C$5:$AT$510,3,))*$E215)</f>
        <v>0</v>
      </c>
      <c r="O215" s="119">
        <f>IF(VLOOKUP($D215,$C$5:$AT$510,3,)=0,0,(VLOOKUP($D215,$C$5:$AT$510,13,)/VLOOKUP($D215,$C$5:$AT$510,3,))*$E215)</f>
        <v>0</v>
      </c>
      <c r="P215" s="119">
        <f>IF(VLOOKUP($D215,$C$5:$AT$510,3,)=0,0,(VLOOKUP($D215,$C$5:$AT$510,14,)/VLOOKUP($D215,$C$5:$AT$510,3,))*$E215)</f>
        <v>0</v>
      </c>
      <c r="Q215" s="119">
        <f>IF(VLOOKUP($D215,$C$5:$AT$510,3,)=0,0,(VLOOKUP($D215,$C$5:$AT$510,15,)/VLOOKUP($D215,$C$5:$AT$510,3,))*$E215)</f>
        <v>0</v>
      </c>
      <c r="R215" s="119">
        <f>IF(VLOOKUP($D215,$C$5:$AT$510,3,)=0,0,(VLOOKUP($D215,$C$5:$AT$510,16,)/VLOOKUP($D215,$C$5:$AT$510,3,))*$E215)</f>
        <v>0</v>
      </c>
      <c r="S215" s="119">
        <f>IF(VLOOKUP($D215,$C$5:$AT$510,3,)=0,0,(VLOOKUP($D215,$C$5:$AT$510,17,)/VLOOKUP($D215,$C$5:$AT$510,3,))*$E215)</f>
        <v>0</v>
      </c>
      <c r="T215" s="119">
        <f>IF(VLOOKUP($D215,$C$5:$AT$510,3,)=0,0,(VLOOKUP($D215,$C$5:$AT$510,18,)/VLOOKUP($D215,$C$5:$AT$510,3,))*$E215)</f>
        <v>0</v>
      </c>
      <c r="U215" s="119">
        <f>IF(VLOOKUP($D215,$C$5:$AT$510,3,)=0,0,(VLOOKUP($D215,$C$5:$AT$510,19,)/VLOOKUP($D215,$C$5:$AT$510,3,))*$E215)</f>
        <v>0</v>
      </c>
      <c r="V215" s="119">
        <f>IF(VLOOKUP($D215,$C$5:$AT$510,3,)=0,0,(VLOOKUP($D215,$C$5:$AT$510,20,)/VLOOKUP($D215,$C$5:$AT$510,3,))*$E215)</f>
        <v>0</v>
      </c>
      <c r="W215" s="119">
        <f>IF(VLOOKUP($D215,$C$5:$AT$510,3,)=0,0,(VLOOKUP($D215,$C$5:$AT$510,21,)/VLOOKUP($D215,$C$5:$AT$510,3,))*$E215)</f>
        <v>0</v>
      </c>
      <c r="X215" s="119">
        <f>IF(VLOOKUP($D215,$C$5:$AT$510,3,)=0,0,(VLOOKUP($D215,$C$5:$AT$510,22,)/VLOOKUP($D215,$C$5:$AT$510,3,))*$E215)</f>
        <v>0</v>
      </c>
      <c r="Y215" s="119">
        <f>IF(VLOOKUP($D215,$C$5:$AT$510,3,)=0,0,(VLOOKUP($D215,$C$5:$AT$510,23,)/VLOOKUP($D215,$C$5:$AT$510,3,))*$E215)</f>
        <v>0</v>
      </c>
      <c r="Z215" s="119">
        <f>IF(VLOOKUP($D215,$C$5:$AT$510,3,)=0,0,(VLOOKUP($D215,$C$5:$AT$510,24,)/VLOOKUP($D215,$C$5:$AT$510,3,))*$E215)</f>
        <v>0</v>
      </c>
      <c r="AA215" s="119">
        <f>IF(VLOOKUP($D215,$C$5:$AT$510,3,)=0,0,(VLOOKUP($D215,$C$5:$AT$510,25,)/VLOOKUP($D215,$C$5:$AT$510,3,))*$E215)</f>
        <v>0</v>
      </c>
      <c r="AB215" s="119">
        <f>IF(VLOOKUP($D215,$C$5:$AT$510,3,)=0,0,(VLOOKUP($D215,$C$5:$AT$510,26,)/VLOOKUP($D215,$C$5:$AT$510,3,))*$E215)</f>
        <v>0</v>
      </c>
      <c r="AC215" s="119">
        <f>IF(VLOOKUP($D215,$C$5:$AT$510,3,)=0,0,(VLOOKUP($D215,$C$5:$AT$510,27,)/VLOOKUP($D215,$C$5:$AT$510,3,))*$E215)</f>
        <v>0</v>
      </c>
      <c r="AD215" s="119">
        <f>IF(VLOOKUP($D215,$C$5:$AT$510,3,)=0,0,(VLOOKUP($D215,$C$5:$AT$510,28,)/VLOOKUP($D215,$C$5:$AT$510,3,))*$E215)</f>
        <v>0</v>
      </c>
      <c r="AE215" s="119">
        <f>IF(VLOOKUP($D215,$C$5:$AT$510,3,)=0,0,(VLOOKUP($D215,$C$5:$AT$510,29,)/VLOOKUP($D215,$C$5:$AT$510,3,))*$E215)</f>
        <v>0</v>
      </c>
      <c r="AF215" s="119">
        <f>IF(VLOOKUP($D215,$C$5:$AT$510,3,)=0,0,(VLOOKUP($D215,$C$5:$AT$510,30,)/VLOOKUP($D215,$C$5:$AT$510,3,))*$E215)</f>
        <v>0</v>
      </c>
      <c r="AG215" s="120">
        <f>SUM(F215:AF215)</f>
        <v>0</v>
      </c>
      <c r="AH215" s="103" t="str">
        <f>IF(ABS(E215-AG215)&lt;0.01,"ok","err")</f>
        <v>ok</v>
      </c>
    </row>
    <row r="216" spans="1:34" x14ac:dyDescent="0.25">
      <c r="A216" s="133" t="s">
        <v>221</v>
      </c>
      <c r="C216" s="102" t="s">
        <v>293</v>
      </c>
      <c r="D216" s="102" t="s">
        <v>698</v>
      </c>
      <c r="E216" s="110">
        <f>'Func &amp; Classif'!S312</f>
        <v>305653.55486429675</v>
      </c>
      <c r="F216" s="119">
        <f>IF(VLOOKUP($D216,$C$5:$AT$510,3,)=0,0,(VLOOKUP($D216,$C$5:$AT$510,4,)/VLOOKUP($D216,$C$5:$AT$510,3,))*$E216)</f>
        <v>287795.22105097049</v>
      </c>
      <c r="G216" s="119">
        <f>IF(VLOOKUP($D216,$C$5:$AT$510,3,)=0,0,(VLOOKUP($D216,$C$5:$AT$510,5,)/VLOOKUP($D216,$C$5:$AT$510,3,))*$E216)</f>
        <v>610.49647590048653</v>
      </c>
      <c r="H216" s="119">
        <f>IF(VLOOKUP($D216,$C$5:$AT$510,3,)=0,0,(VLOOKUP($D216,$C$5:$AT$510,6,)/VLOOKUP($D216,$C$5:$AT$510,3,))*$E216)</f>
        <v>6260.5815077638117</v>
      </c>
      <c r="I216" s="119">
        <f>IF(VLOOKUP($D216,$C$5:$AT$510,3,)=0,0,(VLOOKUP($D216,$C$5:$AT$510,7,)/VLOOKUP($D216,$C$5:$AT$510,3,))*$E216)</f>
        <v>730.20166725352306</v>
      </c>
      <c r="J216" s="119">
        <f>IF(VLOOKUP($D216,$C$5:$AT$510,3,)=0,0,(VLOOKUP($D216,$C$5:$AT$510,8,)/VLOOKUP($D216,$C$5:$AT$510,3,))*$E216)</f>
        <v>275.32194011198408</v>
      </c>
      <c r="K216" s="119">
        <f>IF(VLOOKUP($D216,$C$5:$AT$510,3,)=0,0,(VLOOKUP($D216,$C$5:$AT$510,9,)/VLOOKUP($D216,$C$5:$AT$510,3,))*$E216)</f>
        <v>3734.8019702147408</v>
      </c>
      <c r="L216" s="119">
        <f>IF(VLOOKUP($D216,$C$5:$AT$510,3,)=0,0,(VLOOKUP($D216,$C$5:$AT$510,10,)/VLOOKUP($D216,$C$5:$AT$510,3,))*$E216)</f>
        <v>3117.8905930891506</v>
      </c>
      <c r="M216" s="119">
        <f>IF(VLOOKUP($D216,$C$5:$AT$510,3,)=0,0,(VLOOKUP($D216,$C$5:$AT$510,11,)/VLOOKUP($D216,$C$5:$AT$510,3,))*$E216)</f>
        <v>3069.627513568686</v>
      </c>
      <c r="N216" s="119">
        <f>IF(VLOOKUP($D216,$C$5:$AT$510,3,)=0,0,(VLOOKUP($D216,$C$5:$AT$510,12,)/VLOOKUP($D216,$C$5:$AT$510,3,))*$E216)</f>
        <v>59.41214542391004</v>
      </c>
      <c r="O216" s="119">
        <f>IF(VLOOKUP($D216,$C$5:$AT$510,3,)=0,0,(VLOOKUP($D216,$C$5:$AT$510,13,)/VLOOKUP($D216,$C$5:$AT$510,3,))*$E216)</f>
        <v>0</v>
      </c>
      <c r="P216" s="119">
        <f>IF(VLOOKUP($D216,$C$5:$AT$510,3,)=0,0,(VLOOKUP($D216,$C$5:$AT$510,14,)/VLOOKUP($D216,$C$5:$AT$510,3,))*$E216)</f>
        <v>0</v>
      </c>
      <c r="Q216" s="119">
        <f>IF(VLOOKUP($D216,$C$5:$AT$510,3,)=0,0,(VLOOKUP($D216,$C$5:$AT$510,15,)/VLOOKUP($D216,$C$5:$AT$510,3,))*$E216)</f>
        <v>0</v>
      </c>
      <c r="R216" s="119">
        <f>IF(VLOOKUP($D216,$C$5:$AT$510,3,)=0,0,(VLOOKUP($D216,$C$5:$AT$510,16,)/VLOOKUP($D216,$C$5:$AT$510,3,))*$E216)</f>
        <v>0</v>
      </c>
      <c r="S216" s="119">
        <f>IF(VLOOKUP($D216,$C$5:$AT$510,3,)=0,0,(VLOOKUP($D216,$C$5:$AT$510,17,)/VLOOKUP($D216,$C$5:$AT$510,3,))*$E216)</f>
        <v>0</v>
      </c>
      <c r="T216" s="119">
        <f>IF(VLOOKUP($D216,$C$5:$AT$510,3,)=0,0,(VLOOKUP($D216,$C$5:$AT$510,18,)/VLOOKUP($D216,$C$5:$AT$510,3,))*$E216)</f>
        <v>0</v>
      </c>
      <c r="U216" s="119">
        <f>IF(VLOOKUP($D216,$C$5:$AT$510,3,)=0,0,(VLOOKUP($D216,$C$5:$AT$510,19,)/VLOOKUP($D216,$C$5:$AT$510,3,))*$E216)</f>
        <v>0</v>
      </c>
      <c r="V216" s="119">
        <f>IF(VLOOKUP($D216,$C$5:$AT$510,3,)=0,0,(VLOOKUP($D216,$C$5:$AT$510,20,)/VLOOKUP($D216,$C$5:$AT$510,3,))*$E216)</f>
        <v>0</v>
      </c>
      <c r="W216" s="119">
        <f>IF(VLOOKUP($D216,$C$5:$AT$510,3,)=0,0,(VLOOKUP($D216,$C$5:$AT$510,21,)/VLOOKUP($D216,$C$5:$AT$510,3,))*$E216)</f>
        <v>0</v>
      </c>
      <c r="X216" s="119">
        <f>IF(VLOOKUP($D216,$C$5:$AT$510,3,)=0,0,(VLOOKUP($D216,$C$5:$AT$510,22,)/VLOOKUP($D216,$C$5:$AT$510,3,))*$E216)</f>
        <v>0</v>
      </c>
      <c r="Y216" s="119">
        <f>IF(VLOOKUP($D216,$C$5:$AT$510,3,)=0,0,(VLOOKUP($D216,$C$5:$AT$510,23,)/VLOOKUP($D216,$C$5:$AT$510,3,))*$E216)</f>
        <v>0</v>
      </c>
      <c r="Z216" s="119">
        <f>IF(VLOOKUP($D216,$C$5:$AT$510,3,)=0,0,(VLOOKUP($D216,$C$5:$AT$510,24,)/VLOOKUP($D216,$C$5:$AT$510,3,))*$E216)</f>
        <v>0</v>
      </c>
      <c r="AA216" s="119">
        <f>IF(VLOOKUP($D216,$C$5:$AT$510,3,)=0,0,(VLOOKUP($D216,$C$5:$AT$510,25,)/VLOOKUP($D216,$C$5:$AT$510,3,))*$E216)</f>
        <v>0</v>
      </c>
      <c r="AB216" s="119">
        <f>IF(VLOOKUP($D216,$C$5:$AT$510,3,)=0,0,(VLOOKUP($D216,$C$5:$AT$510,26,)/VLOOKUP($D216,$C$5:$AT$510,3,))*$E216)</f>
        <v>0</v>
      </c>
      <c r="AC216" s="119">
        <f>IF(VLOOKUP($D216,$C$5:$AT$510,3,)=0,0,(VLOOKUP($D216,$C$5:$AT$510,27,)/VLOOKUP($D216,$C$5:$AT$510,3,))*$E216)</f>
        <v>0</v>
      </c>
      <c r="AD216" s="119">
        <f>IF(VLOOKUP($D216,$C$5:$AT$510,3,)=0,0,(VLOOKUP($D216,$C$5:$AT$510,28,)/VLOOKUP($D216,$C$5:$AT$510,3,))*$E216)</f>
        <v>0</v>
      </c>
      <c r="AE216" s="119">
        <f>IF(VLOOKUP($D216,$C$5:$AT$510,3,)=0,0,(VLOOKUP($D216,$C$5:$AT$510,29,)/VLOOKUP($D216,$C$5:$AT$510,3,))*$E216)</f>
        <v>0</v>
      </c>
      <c r="AF216" s="119">
        <f>IF(VLOOKUP($D216,$C$5:$AT$510,3,)=0,0,(VLOOKUP($D216,$C$5:$AT$510,30,)/VLOOKUP($D216,$C$5:$AT$510,3,))*$E216)</f>
        <v>0</v>
      </c>
      <c r="AG216" s="120">
        <f>SUM(F216:AF216)</f>
        <v>305653.55486429681</v>
      </c>
      <c r="AH216" s="103" t="str">
        <f>IF(ABS(E216-AG216)&lt;0.01,"ok","err")</f>
        <v>ok</v>
      </c>
    </row>
    <row r="217" spans="1:34" x14ac:dyDescent="0.25">
      <c r="A217" s="102" t="s">
        <v>228</v>
      </c>
      <c r="E217" s="119">
        <f t="shared" ref="E217:T217" si="42">E215+E216</f>
        <v>305653.55486429675</v>
      </c>
      <c r="F217" s="119">
        <f t="shared" si="42"/>
        <v>287795.22105097049</v>
      </c>
      <c r="G217" s="119">
        <f t="shared" si="42"/>
        <v>610.49647590048653</v>
      </c>
      <c r="H217" s="119">
        <f t="shared" si="42"/>
        <v>6260.5815077638117</v>
      </c>
      <c r="I217" s="119">
        <f t="shared" si="42"/>
        <v>730.20166725352306</v>
      </c>
      <c r="J217" s="119">
        <f t="shared" si="42"/>
        <v>275.32194011198408</v>
      </c>
      <c r="K217" s="119">
        <f t="shared" si="42"/>
        <v>3734.8019702147408</v>
      </c>
      <c r="L217" s="119">
        <f t="shared" si="42"/>
        <v>3117.8905930891506</v>
      </c>
      <c r="M217" s="119">
        <f t="shared" si="42"/>
        <v>3069.627513568686</v>
      </c>
      <c r="N217" s="119">
        <f t="shared" si="42"/>
        <v>59.41214542391004</v>
      </c>
      <c r="O217" s="119">
        <f t="shared" si="42"/>
        <v>0</v>
      </c>
      <c r="P217" s="119">
        <f t="shared" si="42"/>
        <v>0</v>
      </c>
      <c r="Q217" s="119">
        <f t="shared" si="42"/>
        <v>0</v>
      </c>
      <c r="R217" s="119">
        <f t="shared" si="42"/>
        <v>0</v>
      </c>
      <c r="S217" s="119">
        <f t="shared" si="42"/>
        <v>0</v>
      </c>
      <c r="T217" s="119">
        <f t="shared" si="42"/>
        <v>0</v>
      </c>
      <c r="U217" s="119">
        <f t="shared" ref="U217:AF217" si="43">U215+U216</f>
        <v>0</v>
      </c>
      <c r="V217" s="119">
        <f t="shared" si="43"/>
        <v>0</v>
      </c>
      <c r="W217" s="119">
        <f t="shared" si="43"/>
        <v>0</v>
      </c>
      <c r="X217" s="119">
        <f t="shared" si="43"/>
        <v>0</v>
      </c>
      <c r="Y217" s="119">
        <f t="shared" si="43"/>
        <v>0</v>
      </c>
      <c r="Z217" s="119">
        <f t="shared" si="43"/>
        <v>0</v>
      </c>
      <c r="AA217" s="119">
        <f t="shared" si="43"/>
        <v>0</v>
      </c>
      <c r="AB217" s="119">
        <f t="shared" si="43"/>
        <v>0</v>
      </c>
      <c r="AC217" s="119">
        <f t="shared" si="43"/>
        <v>0</v>
      </c>
      <c r="AD217" s="119">
        <f t="shared" si="43"/>
        <v>0</v>
      </c>
      <c r="AE217" s="119">
        <f t="shared" si="43"/>
        <v>0</v>
      </c>
      <c r="AF217" s="119">
        <f t="shared" si="43"/>
        <v>0</v>
      </c>
      <c r="AG217" s="120">
        <f>SUM(F217:AF217)</f>
        <v>305653.55486429681</v>
      </c>
      <c r="AH217" s="103" t="str">
        <f>IF(ABS(E217-AG217)&lt;0.01,"ok","err")</f>
        <v>ok</v>
      </c>
    </row>
    <row r="218" spans="1:34" x14ac:dyDescent="0.25">
      <c r="E218" s="110"/>
    </row>
    <row r="219" spans="1:34" x14ac:dyDescent="0.25">
      <c r="A219" s="132" t="s">
        <v>4</v>
      </c>
      <c r="E219" s="110"/>
    </row>
    <row r="220" spans="1:34" x14ac:dyDescent="0.25">
      <c r="A220" s="133" t="s">
        <v>221</v>
      </c>
      <c r="C220" s="102" t="s">
        <v>294</v>
      </c>
      <c r="D220" s="102" t="s">
        <v>230</v>
      </c>
      <c r="E220" s="119">
        <f>'Func &amp; Classif'!U312</f>
        <v>239666.21649777424</v>
      </c>
      <c r="F220" s="119">
        <f>IF(VLOOKUP($D220,$C$5:$AT$510,3,)=0,0,(VLOOKUP($D220,$C$5:$AT$510,4,)/VLOOKUP($D220,$C$5:$AT$510,3,))*$E220)</f>
        <v>216094.95896755107</v>
      </c>
      <c r="G220" s="119">
        <f>IF(VLOOKUP($D220,$C$5:$AT$510,3,)=0,0,(VLOOKUP($D220,$C$5:$AT$510,5,)/VLOOKUP($D220,$C$5:$AT$510,3,))*$E220)</f>
        <v>458.39958852612529</v>
      </c>
      <c r="H220" s="119">
        <f>IF(VLOOKUP($D220,$C$5:$AT$510,3,)=0,0,(VLOOKUP($D220,$C$5:$AT$510,6,)/VLOOKUP($D220,$C$5:$AT$510,3,))*$E220)</f>
        <v>4700.8428391992848</v>
      </c>
      <c r="I220" s="119">
        <f>IF(VLOOKUP($D220,$C$5:$AT$510,3,)=0,0,(VLOOKUP($D220,$C$5:$AT$510,7,)/VLOOKUP($D220,$C$5:$AT$510,3,))*$E220)</f>
        <v>548.28186078614988</v>
      </c>
      <c r="J220" s="119">
        <f>IF(VLOOKUP($D220,$C$5:$AT$510,3,)=0,0,(VLOOKUP($D220,$C$5:$AT$510,8,)/VLOOKUP($D220,$C$5:$AT$510,3,))*$E220)</f>
        <v>206.72922619805652</v>
      </c>
      <c r="K220" s="119">
        <f>IF(VLOOKUP($D220,$C$5:$AT$510,3,)=0,0,(VLOOKUP($D220,$C$5:$AT$510,9,)/VLOOKUP($D220,$C$5:$AT$510,3,))*$E220)</f>
        <v>2804.3268945127666</v>
      </c>
      <c r="L220" s="119">
        <f>IF(VLOOKUP($D220,$C$5:$AT$510,3,)=0,0,(VLOOKUP($D220,$C$5:$AT$510,10,)/VLOOKUP($D220,$C$5:$AT$510,3,))*$E220)</f>
        <v>8985.8696582054727</v>
      </c>
      <c r="M220" s="119">
        <f>IF(VLOOKUP($D220,$C$5:$AT$510,3,)=0,0,(VLOOKUP($D220,$C$5:$AT$510,11,)/VLOOKUP($D220,$C$5:$AT$510,3,))*$E220)</f>
        <v>5755.4123843878024</v>
      </c>
      <c r="N220" s="119">
        <f>IF(VLOOKUP($D220,$C$5:$AT$510,3,)=0,0,(VLOOKUP($D220,$C$5:$AT$510,12,)/VLOOKUP($D220,$C$5:$AT$510,3,))*$E220)</f>
        <v>111.39507840750586</v>
      </c>
      <c r="O220" s="119">
        <f>IF(VLOOKUP($D220,$C$5:$AT$510,3,)=0,0,(VLOOKUP($D220,$C$5:$AT$510,13,)/VLOOKUP($D220,$C$5:$AT$510,3,))*$E220)</f>
        <v>0</v>
      </c>
      <c r="P220" s="119">
        <f>IF(VLOOKUP($D220,$C$5:$AT$510,3,)=0,0,(VLOOKUP($D220,$C$5:$AT$510,14,)/VLOOKUP($D220,$C$5:$AT$510,3,))*$E220)</f>
        <v>0</v>
      </c>
      <c r="Q220" s="119">
        <f>IF(VLOOKUP($D220,$C$5:$AT$510,3,)=0,0,(VLOOKUP($D220,$C$5:$AT$510,15,)/VLOOKUP($D220,$C$5:$AT$510,3,))*$E220)</f>
        <v>0</v>
      </c>
      <c r="R220" s="119">
        <f>IF(VLOOKUP($D220,$C$5:$AT$510,3,)=0,0,(VLOOKUP($D220,$C$5:$AT$510,16,)/VLOOKUP($D220,$C$5:$AT$510,3,))*$E220)</f>
        <v>0</v>
      </c>
      <c r="S220" s="119">
        <f>IF(VLOOKUP($D220,$C$5:$AT$510,3,)=0,0,(VLOOKUP($D220,$C$5:$AT$510,17,)/VLOOKUP($D220,$C$5:$AT$510,3,))*$E220)</f>
        <v>0</v>
      </c>
      <c r="T220" s="119">
        <f>IF(VLOOKUP($D220,$C$5:$AT$510,3,)=0,0,(VLOOKUP($D220,$C$5:$AT$510,18,)/VLOOKUP($D220,$C$5:$AT$510,3,))*$E220)</f>
        <v>0</v>
      </c>
      <c r="U220" s="119">
        <f>IF(VLOOKUP($D220,$C$5:$AT$510,3,)=0,0,(VLOOKUP($D220,$C$5:$AT$510,19,)/VLOOKUP($D220,$C$5:$AT$510,3,))*$E220)</f>
        <v>0</v>
      </c>
      <c r="V220" s="119">
        <f>IF(VLOOKUP($D220,$C$5:$AT$510,3,)=0,0,(VLOOKUP($D220,$C$5:$AT$510,20,)/VLOOKUP($D220,$C$5:$AT$510,3,))*$E220)</f>
        <v>0</v>
      </c>
      <c r="W220" s="119">
        <f>IF(VLOOKUP($D220,$C$5:$AT$510,3,)=0,0,(VLOOKUP($D220,$C$5:$AT$510,21,)/VLOOKUP($D220,$C$5:$AT$510,3,))*$E220)</f>
        <v>0</v>
      </c>
      <c r="X220" s="119">
        <f>IF(VLOOKUP($D220,$C$5:$AT$510,3,)=0,0,(VLOOKUP($D220,$C$5:$AT$510,22,)/VLOOKUP($D220,$C$5:$AT$510,3,))*$E220)</f>
        <v>0</v>
      </c>
      <c r="Y220" s="119">
        <f>IF(VLOOKUP($D220,$C$5:$AT$510,3,)=0,0,(VLOOKUP($D220,$C$5:$AT$510,23,)/VLOOKUP($D220,$C$5:$AT$510,3,))*$E220)</f>
        <v>0</v>
      </c>
      <c r="Z220" s="119">
        <f>IF(VLOOKUP($D220,$C$5:$AT$510,3,)=0,0,(VLOOKUP($D220,$C$5:$AT$510,24,)/VLOOKUP($D220,$C$5:$AT$510,3,))*$E220)</f>
        <v>0</v>
      </c>
      <c r="AA220" s="119">
        <f>IF(VLOOKUP($D220,$C$5:$AT$510,3,)=0,0,(VLOOKUP($D220,$C$5:$AT$510,25,)/VLOOKUP($D220,$C$5:$AT$510,3,))*$E220)</f>
        <v>0</v>
      </c>
      <c r="AB220" s="119">
        <f>IF(VLOOKUP($D220,$C$5:$AT$510,3,)=0,0,(VLOOKUP($D220,$C$5:$AT$510,26,)/VLOOKUP($D220,$C$5:$AT$510,3,))*$E220)</f>
        <v>0</v>
      </c>
      <c r="AC220" s="119">
        <f>IF(VLOOKUP($D220,$C$5:$AT$510,3,)=0,0,(VLOOKUP($D220,$C$5:$AT$510,27,)/VLOOKUP($D220,$C$5:$AT$510,3,))*$E220)</f>
        <v>0</v>
      </c>
      <c r="AD220" s="119">
        <f>IF(VLOOKUP($D220,$C$5:$AT$510,3,)=0,0,(VLOOKUP($D220,$C$5:$AT$510,28,)/VLOOKUP($D220,$C$5:$AT$510,3,))*$E220)</f>
        <v>0</v>
      </c>
      <c r="AE220" s="119">
        <f>IF(VLOOKUP($D220,$C$5:$AT$510,3,)=0,0,(VLOOKUP($D220,$C$5:$AT$510,29,)/VLOOKUP($D220,$C$5:$AT$510,3,))*$E220)</f>
        <v>0</v>
      </c>
      <c r="AF220" s="119">
        <f>IF(VLOOKUP($D220,$C$5:$AT$510,3,)=0,0,(VLOOKUP($D220,$C$5:$AT$510,30,)/VLOOKUP($D220,$C$5:$AT$510,3,))*$E220)</f>
        <v>0</v>
      </c>
      <c r="AG220" s="120">
        <f>SUM(F220:AF220)</f>
        <v>239666.21649777427</v>
      </c>
      <c r="AH220" s="103" t="str">
        <f>IF(ABS(E220-AG220)&lt;0.01,"ok","err")</f>
        <v>ok</v>
      </c>
    </row>
    <row r="221" spans="1:34" x14ac:dyDescent="0.25">
      <c r="E221" s="110"/>
    </row>
    <row r="222" spans="1:34" x14ac:dyDescent="0.25">
      <c r="A222" s="132" t="s">
        <v>5</v>
      </c>
      <c r="E222" s="110"/>
    </row>
    <row r="223" spans="1:34" x14ac:dyDescent="0.25">
      <c r="A223" s="133" t="s">
        <v>221</v>
      </c>
      <c r="C223" s="102" t="s">
        <v>295</v>
      </c>
      <c r="D223" s="102" t="s">
        <v>232</v>
      </c>
      <c r="E223" s="119">
        <f>'Func &amp; Classif'!W312</f>
        <v>137285.29492811221</v>
      </c>
      <c r="F223" s="119">
        <f>IF(VLOOKUP($D223,$C$5:$AT$510,3,)=0,0,(VLOOKUP($D223,$C$5:$AT$510,4,)/VLOOKUP($D223,$C$5:$AT$510,3,))*$E223)</f>
        <v>0</v>
      </c>
      <c r="G223" s="119">
        <f>IF(VLOOKUP($D223,$C$5:$AT$510,3,)=0,0,(VLOOKUP($D223,$C$5:$AT$510,5,)/VLOOKUP($D223,$C$5:$AT$510,3,))*$E223)</f>
        <v>0</v>
      </c>
      <c r="H223" s="119">
        <f>IF(VLOOKUP($D223,$C$5:$AT$510,3,)=0,0,(VLOOKUP($D223,$C$5:$AT$510,6,)/VLOOKUP($D223,$C$5:$AT$510,3,))*$E223)</f>
        <v>0</v>
      </c>
      <c r="I223" s="119">
        <f>IF(VLOOKUP($D223,$C$5:$AT$510,3,)=0,0,(VLOOKUP($D223,$C$5:$AT$510,7,)/VLOOKUP($D223,$C$5:$AT$510,3,))*$E223)</f>
        <v>0</v>
      </c>
      <c r="J223" s="119">
        <f>IF(VLOOKUP($D223,$C$5:$AT$510,3,)=0,0,(VLOOKUP($D223,$C$5:$AT$510,8,)/VLOOKUP($D223,$C$5:$AT$510,3,))*$E223)</f>
        <v>0</v>
      </c>
      <c r="K223" s="119">
        <f>IF(VLOOKUP($D223,$C$5:$AT$510,3,)=0,0,(VLOOKUP($D223,$C$5:$AT$510,9,)/VLOOKUP($D223,$C$5:$AT$510,3,))*$E223)</f>
        <v>0</v>
      </c>
      <c r="L223" s="119">
        <f>IF(VLOOKUP($D223,$C$5:$AT$510,3,)=0,0,(VLOOKUP($D223,$C$5:$AT$510,10,)/VLOOKUP($D223,$C$5:$AT$510,3,))*$E223)</f>
        <v>0</v>
      </c>
      <c r="M223" s="119">
        <f>IF(VLOOKUP($D223,$C$5:$AT$510,3,)=0,0,(VLOOKUP($D223,$C$5:$AT$510,11,)/VLOOKUP($D223,$C$5:$AT$510,3,))*$E223)</f>
        <v>0</v>
      </c>
      <c r="N223" s="119">
        <f>IF(VLOOKUP($D223,$C$5:$AT$510,3,)=0,0,(VLOOKUP($D223,$C$5:$AT$510,12,)/VLOOKUP($D223,$C$5:$AT$510,3,))*$E223)</f>
        <v>0</v>
      </c>
      <c r="O223" s="119">
        <f>IF(VLOOKUP($D223,$C$5:$AT$510,3,)=0,0,(VLOOKUP($D223,$C$5:$AT$510,13,)/VLOOKUP($D223,$C$5:$AT$510,3,))*$E223)</f>
        <v>0</v>
      </c>
      <c r="P223" s="119">
        <f>IF(VLOOKUP($D223,$C$5:$AT$510,3,)=0,0,(VLOOKUP($D223,$C$5:$AT$510,14,)/VLOOKUP($D223,$C$5:$AT$510,3,))*$E223)</f>
        <v>137285.29492811221</v>
      </c>
      <c r="Q223" s="119">
        <f>IF(VLOOKUP($D223,$C$5:$AT$510,3,)=0,0,(VLOOKUP($D223,$C$5:$AT$510,15,)/VLOOKUP($D223,$C$5:$AT$510,3,))*$E223)</f>
        <v>0</v>
      </c>
      <c r="R223" s="119">
        <f>IF(VLOOKUP($D223,$C$5:$AT$510,3,)=0,0,(VLOOKUP($D223,$C$5:$AT$510,16,)/VLOOKUP($D223,$C$5:$AT$510,3,))*$E223)</f>
        <v>0</v>
      </c>
      <c r="S223" s="119">
        <f>IF(VLOOKUP($D223,$C$5:$AT$510,3,)=0,0,(VLOOKUP($D223,$C$5:$AT$510,17,)/VLOOKUP($D223,$C$5:$AT$510,3,))*$E223)</f>
        <v>0</v>
      </c>
      <c r="T223" s="119">
        <f>IF(VLOOKUP($D223,$C$5:$AT$510,3,)=0,0,(VLOOKUP($D223,$C$5:$AT$510,18,)/VLOOKUP($D223,$C$5:$AT$510,3,))*$E223)</f>
        <v>0</v>
      </c>
      <c r="U223" s="119">
        <f>IF(VLOOKUP($D223,$C$5:$AT$510,3,)=0,0,(VLOOKUP($D223,$C$5:$AT$510,19,)/VLOOKUP($D223,$C$5:$AT$510,3,))*$E223)</f>
        <v>0</v>
      </c>
      <c r="V223" s="119">
        <f>IF(VLOOKUP($D223,$C$5:$AT$510,3,)=0,0,(VLOOKUP($D223,$C$5:$AT$510,20,)/VLOOKUP($D223,$C$5:$AT$510,3,))*$E223)</f>
        <v>0</v>
      </c>
      <c r="W223" s="119">
        <f>IF(VLOOKUP($D223,$C$5:$AT$510,3,)=0,0,(VLOOKUP($D223,$C$5:$AT$510,21,)/VLOOKUP($D223,$C$5:$AT$510,3,))*$E223)</f>
        <v>0</v>
      </c>
      <c r="X223" s="119">
        <f>IF(VLOOKUP($D223,$C$5:$AT$510,3,)=0,0,(VLOOKUP($D223,$C$5:$AT$510,22,)/VLOOKUP($D223,$C$5:$AT$510,3,))*$E223)</f>
        <v>0</v>
      </c>
      <c r="Y223" s="119">
        <f>IF(VLOOKUP($D223,$C$5:$AT$510,3,)=0,0,(VLOOKUP($D223,$C$5:$AT$510,23,)/VLOOKUP($D223,$C$5:$AT$510,3,))*$E223)</f>
        <v>0</v>
      </c>
      <c r="Z223" s="119">
        <f>IF(VLOOKUP($D223,$C$5:$AT$510,3,)=0,0,(VLOOKUP($D223,$C$5:$AT$510,24,)/VLOOKUP($D223,$C$5:$AT$510,3,))*$E223)</f>
        <v>0</v>
      </c>
      <c r="AA223" s="119">
        <f>IF(VLOOKUP($D223,$C$5:$AT$510,3,)=0,0,(VLOOKUP($D223,$C$5:$AT$510,25,)/VLOOKUP($D223,$C$5:$AT$510,3,))*$E223)</f>
        <v>0</v>
      </c>
      <c r="AB223" s="119">
        <f>IF(VLOOKUP($D223,$C$5:$AT$510,3,)=0,0,(VLOOKUP($D223,$C$5:$AT$510,26,)/VLOOKUP($D223,$C$5:$AT$510,3,))*$E223)</f>
        <v>0</v>
      </c>
      <c r="AC223" s="119">
        <f>IF(VLOOKUP($D223,$C$5:$AT$510,3,)=0,0,(VLOOKUP($D223,$C$5:$AT$510,27,)/VLOOKUP($D223,$C$5:$AT$510,3,))*$E223)</f>
        <v>0</v>
      </c>
      <c r="AD223" s="119">
        <f>IF(VLOOKUP($D223,$C$5:$AT$510,3,)=0,0,(VLOOKUP($D223,$C$5:$AT$510,28,)/VLOOKUP($D223,$C$5:$AT$510,3,))*$E223)</f>
        <v>0</v>
      </c>
      <c r="AE223" s="119">
        <f>IF(VLOOKUP($D223,$C$5:$AT$510,3,)=0,0,(VLOOKUP($D223,$C$5:$AT$510,29,)/VLOOKUP($D223,$C$5:$AT$510,3,))*$E223)</f>
        <v>0</v>
      </c>
      <c r="AF223" s="119">
        <f>IF(VLOOKUP($D223,$C$5:$AT$510,3,)=0,0,(VLOOKUP($D223,$C$5:$AT$510,30,)/VLOOKUP($D223,$C$5:$AT$510,3,))*$E223)</f>
        <v>0</v>
      </c>
      <c r="AG223" s="120">
        <f>SUM(F223:AF223)</f>
        <v>137285.29492811221</v>
      </c>
      <c r="AH223" s="103" t="str">
        <f>IF(ABS(E223-AG223)&lt;0.01,"ok","err")</f>
        <v>ok</v>
      </c>
    </row>
    <row r="224" spans="1:34" x14ac:dyDescent="0.25">
      <c r="E224" s="110"/>
    </row>
    <row r="225" spans="1:34" x14ac:dyDescent="0.25">
      <c r="A225" s="132" t="s">
        <v>545</v>
      </c>
      <c r="E225" s="110"/>
    </row>
    <row r="226" spans="1:34" x14ac:dyDescent="0.25">
      <c r="A226" s="133" t="s">
        <v>221</v>
      </c>
      <c r="C226" s="102" t="s">
        <v>296</v>
      </c>
      <c r="D226" s="102" t="s">
        <v>234</v>
      </c>
      <c r="E226" s="119">
        <f>'Func &amp; Classif'!Y312</f>
        <v>0</v>
      </c>
      <c r="F226" s="119">
        <f>IF(VLOOKUP($D226,$C$5:$AT$510,3,)=0,0,(VLOOKUP($D226,$C$5:$AT$510,4,)/VLOOKUP($D226,$C$5:$AT$510,3,))*$E226)</f>
        <v>0</v>
      </c>
      <c r="G226" s="119">
        <f>IF(VLOOKUP($D226,$C$5:$AT$510,3,)=0,0,(VLOOKUP($D226,$C$5:$AT$510,5,)/VLOOKUP($D226,$C$5:$AT$510,3,))*$E226)</f>
        <v>0</v>
      </c>
      <c r="H226" s="119">
        <f>IF(VLOOKUP($D226,$C$5:$AT$510,3,)=0,0,(VLOOKUP($D226,$C$5:$AT$510,6,)/VLOOKUP($D226,$C$5:$AT$510,3,))*$E226)</f>
        <v>0</v>
      </c>
      <c r="I226" s="119">
        <f>IF(VLOOKUP($D226,$C$5:$AT$510,3,)=0,0,(VLOOKUP($D226,$C$5:$AT$510,7,)/VLOOKUP($D226,$C$5:$AT$510,3,))*$E226)</f>
        <v>0</v>
      </c>
      <c r="J226" s="119">
        <f>IF(VLOOKUP($D226,$C$5:$AT$510,3,)=0,0,(VLOOKUP($D226,$C$5:$AT$510,8,)/VLOOKUP($D226,$C$5:$AT$510,3,))*$E226)</f>
        <v>0</v>
      </c>
      <c r="K226" s="119">
        <f>IF(VLOOKUP($D226,$C$5:$AT$510,3,)=0,0,(VLOOKUP($D226,$C$5:$AT$510,9,)/VLOOKUP($D226,$C$5:$AT$510,3,))*$E226)</f>
        <v>0</v>
      </c>
      <c r="L226" s="119">
        <f>IF(VLOOKUP($D226,$C$5:$AT$510,3,)=0,0,(VLOOKUP($D226,$C$5:$AT$510,10,)/VLOOKUP($D226,$C$5:$AT$510,3,))*$E226)</f>
        <v>0</v>
      </c>
      <c r="M226" s="119">
        <f>IF(VLOOKUP($D226,$C$5:$AT$510,3,)=0,0,(VLOOKUP($D226,$C$5:$AT$510,11,)/VLOOKUP($D226,$C$5:$AT$510,3,))*$E226)</f>
        <v>0</v>
      </c>
      <c r="N226" s="119">
        <f>IF(VLOOKUP($D226,$C$5:$AT$510,3,)=0,0,(VLOOKUP($D226,$C$5:$AT$510,12,)/VLOOKUP($D226,$C$5:$AT$510,3,))*$E226)</f>
        <v>0</v>
      </c>
      <c r="O226" s="119">
        <f>IF(VLOOKUP($D226,$C$5:$AT$510,3,)=0,0,(VLOOKUP($D226,$C$5:$AT$510,13,)/VLOOKUP($D226,$C$5:$AT$510,3,))*$E226)</f>
        <v>0</v>
      </c>
      <c r="P226" s="119">
        <f>IF(VLOOKUP($D226,$C$5:$AT$510,3,)=0,0,(VLOOKUP($D226,$C$5:$AT$510,14,)/VLOOKUP($D226,$C$5:$AT$510,3,))*$E226)</f>
        <v>0</v>
      </c>
      <c r="Q226" s="119">
        <f>IF(VLOOKUP($D226,$C$5:$AT$510,3,)=0,0,(VLOOKUP($D226,$C$5:$AT$510,15,)/VLOOKUP($D226,$C$5:$AT$510,3,))*$E226)</f>
        <v>0</v>
      </c>
      <c r="R226" s="119">
        <f>IF(VLOOKUP($D226,$C$5:$AT$510,3,)=0,0,(VLOOKUP($D226,$C$5:$AT$510,16,)/VLOOKUP($D226,$C$5:$AT$510,3,))*$E226)</f>
        <v>0</v>
      </c>
      <c r="S226" s="119">
        <f>IF(VLOOKUP($D226,$C$5:$AT$510,3,)=0,0,(VLOOKUP($D226,$C$5:$AT$510,17,)/VLOOKUP($D226,$C$5:$AT$510,3,))*$E226)</f>
        <v>0</v>
      </c>
      <c r="T226" s="119">
        <f>IF(VLOOKUP($D226,$C$5:$AT$510,3,)=0,0,(VLOOKUP($D226,$C$5:$AT$510,18,)/VLOOKUP($D226,$C$5:$AT$510,3,))*$E226)</f>
        <v>0</v>
      </c>
      <c r="U226" s="119">
        <f>IF(VLOOKUP($D226,$C$5:$AT$510,3,)=0,0,(VLOOKUP($D226,$C$5:$AT$510,19,)/VLOOKUP($D226,$C$5:$AT$510,3,))*$E226)</f>
        <v>0</v>
      </c>
      <c r="V226" s="119">
        <f>IF(VLOOKUP($D226,$C$5:$AT$510,3,)=0,0,(VLOOKUP($D226,$C$5:$AT$510,20,)/VLOOKUP($D226,$C$5:$AT$510,3,))*$E226)</f>
        <v>0</v>
      </c>
      <c r="W226" s="119">
        <f>IF(VLOOKUP($D226,$C$5:$AT$510,3,)=0,0,(VLOOKUP($D226,$C$5:$AT$510,21,)/VLOOKUP($D226,$C$5:$AT$510,3,))*$E226)</f>
        <v>0</v>
      </c>
      <c r="X226" s="119">
        <f>IF(VLOOKUP($D226,$C$5:$AT$510,3,)=0,0,(VLOOKUP($D226,$C$5:$AT$510,22,)/VLOOKUP($D226,$C$5:$AT$510,3,))*$E226)</f>
        <v>0</v>
      </c>
      <c r="Y226" s="119">
        <f>IF(VLOOKUP($D226,$C$5:$AT$510,3,)=0,0,(VLOOKUP($D226,$C$5:$AT$510,23,)/VLOOKUP($D226,$C$5:$AT$510,3,))*$E226)</f>
        <v>0</v>
      </c>
      <c r="Z226" s="119">
        <f>IF(VLOOKUP($D226,$C$5:$AT$510,3,)=0,0,(VLOOKUP($D226,$C$5:$AT$510,24,)/VLOOKUP($D226,$C$5:$AT$510,3,))*$E226)</f>
        <v>0</v>
      </c>
      <c r="AA226" s="119">
        <f>IF(VLOOKUP($D226,$C$5:$AT$510,3,)=0,0,(VLOOKUP($D226,$C$5:$AT$510,25,)/VLOOKUP($D226,$C$5:$AT$510,3,))*$E226)</f>
        <v>0</v>
      </c>
      <c r="AB226" s="119">
        <f>IF(VLOOKUP($D226,$C$5:$AT$510,3,)=0,0,(VLOOKUP($D226,$C$5:$AT$510,26,)/VLOOKUP($D226,$C$5:$AT$510,3,))*$E226)</f>
        <v>0</v>
      </c>
      <c r="AC226" s="119">
        <f>IF(VLOOKUP($D226,$C$5:$AT$510,3,)=0,0,(VLOOKUP($D226,$C$5:$AT$510,27,)/VLOOKUP($D226,$C$5:$AT$510,3,))*$E226)</f>
        <v>0</v>
      </c>
      <c r="AD226" s="119">
        <f>IF(VLOOKUP($D226,$C$5:$AT$510,3,)=0,0,(VLOOKUP($D226,$C$5:$AT$510,28,)/VLOOKUP($D226,$C$5:$AT$510,3,))*$E226)</f>
        <v>0</v>
      </c>
      <c r="AE226" s="119">
        <f>IF(VLOOKUP($D226,$C$5:$AT$510,3,)=0,0,(VLOOKUP($D226,$C$5:$AT$510,29,)/VLOOKUP($D226,$C$5:$AT$510,3,))*$E226)</f>
        <v>0</v>
      </c>
      <c r="AF226" s="119">
        <f>IF(VLOOKUP($D226,$C$5:$AT$510,3,)=0,0,(VLOOKUP($D226,$C$5:$AT$510,30,)/VLOOKUP($D226,$C$5:$AT$510,3,))*$E226)</f>
        <v>0</v>
      </c>
      <c r="AG226" s="120">
        <f>SUM(F226:AF226)</f>
        <v>0</v>
      </c>
      <c r="AH226" s="103" t="str">
        <f>IF(ABS(E226-AG226)&lt;0.01,"ok","err")</f>
        <v>ok</v>
      </c>
    </row>
    <row r="227" spans="1:34" x14ac:dyDescent="0.25">
      <c r="E227" s="110"/>
    </row>
    <row r="228" spans="1:34" x14ac:dyDescent="0.25">
      <c r="A228" s="132" t="s">
        <v>470</v>
      </c>
      <c r="E228" s="110"/>
    </row>
    <row r="229" spans="1:34" x14ac:dyDescent="0.25">
      <c r="A229" s="133" t="s">
        <v>221</v>
      </c>
      <c r="C229" s="102" t="s">
        <v>293</v>
      </c>
      <c r="D229" s="102" t="s">
        <v>235</v>
      </c>
      <c r="E229" s="119">
        <f>'Func &amp; Classif'!AA312</f>
        <v>0</v>
      </c>
      <c r="F229" s="119">
        <f>IF(VLOOKUP($D229,$C$5:$AT$510,3,)=0,0,(VLOOKUP($D229,$C$5:$AT$510,4,)/VLOOKUP($D229,$C$5:$AT$510,3,))*$E229)</f>
        <v>0</v>
      </c>
      <c r="G229" s="119">
        <f>IF(VLOOKUP($D229,$C$5:$AT$510,3,)=0,0,(VLOOKUP($D229,$C$5:$AT$510,5,)/VLOOKUP($D229,$C$5:$AT$510,3,))*$E229)</f>
        <v>0</v>
      </c>
      <c r="H229" s="119">
        <f>IF(VLOOKUP($D229,$C$5:$AT$510,3,)=0,0,(VLOOKUP($D229,$C$5:$AT$510,6,)/VLOOKUP($D229,$C$5:$AT$510,3,))*$E229)</f>
        <v>0</v>
      </c>
      <c r="I229" s="119">
        <f>IF(VLOOKUP($D229,$C$5:$AT$510,3,)=0,0,(VLOOKUP($D229,$C$5:$AT$510,7,)/VLOOKUP($D229,$C$5:$AT$510,3,))*$E229)</f>
        <v>0</v>
      </c>
      <c r="J229" s="119">
        <f>IF(VLOOKUP($D229,$C$5:$AT$510,3,)=0,0,(VLOOKUP($D229,$C$5:$AT$510,8,)/VLOOKUP($D229,$C$5:$AT$510,3,))*$E229)</f>
        <v>0</v>
      </c>
      <c r="K229" s="119">
        <f>IF(VLOOKUP($D229,$C$5:$AT$510,3,)=0,0,(VLOOKUP($D229,$C$5:$AT$510,9,)/VLOOKUP($D229,$C$5:$AT$510,3,))*$E229)</f>
        <v>0</v>
      </c>
      <c r="L229" s="119">
        <f>IF(VLOOKUP($D229,$C$5:$AT$510,3,)=0,0,(VLOOKUP($D229,$C$5:$AT$510,10,)/VLOOKUP($D229,$C$5:$AT$510,3,))*$E229)</f>
        <v>0</v>
      </c>
      <c r="M229" s="119">
        <f>IF(VLOOKUP($D229,$C$5:$AT$510,3,)=0,0,(VLOOKUP($D229,$C$5:$AT$510,11,)/VLOOKUP($D229,$C$5:$AT$510,3,))*$E229)</f>
        <v>0</v>
      </c>
      <c r="N229" s="119">
        <f>IF(VLOOKUP($D229,$C$5:$AT$510,3,)=0,0,(VLOOKUP($D229,$C$5:$AT$510,12,)/VLOOKUP($D229,$C$5:$AT$510,3,))*$E229)</f>
        <v>0</v>
      </c>
      <c r="O229" s="119">
        <f>IF(VLOOKUP($D229,$C$5:$AT$510,3,)=0,0,(VLOOKUP($D229,$C$5:$AT$510,13,)/VLOOKUP($D229,$C$5:$AT$510,3,))*$E229)</f>
        <v>0</v>
      </c>
      <c r="P229" s="119">
        <f>IF(VLOOKUP($D229,$C$5:$AT$510,3,)=0,0,(VLOOKUP($D229,$C$5:$AT$510,14,)/VLOOKUP($D229,$C$5:$AT$510,3,))*$E229)</f>
        <v>0</v>
      </c>
      <c r="Q229" s="119">
        <f>IF(VLOOKUP($D229,$C$5:$AT$510,3,)=0,0,(VLOOKUP($D229,$C$5:$AT$510,15,)/VLOOKUP($D229,$C$5:$AT$510,3,))*$E229)</f>
        <v>0</v>
      </c>
      <c r="R229" s="119">
        <f>IF(VLOOKUP($D229,$C$5:$AT$510,3,)=0,0,(VLOOKUP($D229,$C$5:$AT$510,16,)/VLOOKUP($D229,$C$5:$AT$510,3,))*$E229)</f>
        <v>0</v>
      </c>
      <c r="S229" s="119">
        <f>IF(VLOOKUP($D229,$C$5:$AT$510,3,)=0,0,(VLOOKUP($D229,$C$5:$AT$510,17,)/VLOOKUP($D229,$C$5:$AT$510,3,))*$E229)</f>
        <v>0</v>
      </c>
      <c r="T229" s="119">
        <f>IF(VLOOKUP($D229,$C$5:$AT$510,3,)=0,0,(VLOOKUP($D229,$C$5:$AT$510,18,)/VLOOKUP($D229,$C$5:$AT$510,3,))*$E229)</f>
        <v>0</v>
      </c>
      <c r="U229" s="119">
        <f>IF(VLOOKUP($D229,$C$5:$AT$510,3,)=0,0,(VLOOKUP($D229,$C$5:$AT$510,19,)/VLOOKUP($D229,$C$5:$AT$510,3,))*$E229)</f>
        <v>0</v>
      </c>
      <c r="V229" s="119">
        <f>IF(VLOOKUP($D229,$C$5:$AT$510,3,)=0,0,(VLOOKUP($D229,$C$5:$AT$510,20,)/VLOOKUP($D229,$C$5:$AT$510,3,))*$E229)</f>
        <v>0</v>
      </c>
      <c r="W229" s="119">
        <f>IF(VLOOKUP($D229,$C$5:$AT$510,3,)=0,0,(VLOOKUP($D229,$C$5:$AT$510,21,)/VLOOKUP($D229,$C$5:$AT$510,3,))*$E229)</f>
        <v>0</v>
      </c>
      <c r="X229" s="119">
        <f>IF(VLOOKUP($D229,$C$5:$AT$510,3,)=0,0,(VLOOKUP($D229,$C$5:$AT$510,22,)/VLOOKUP($D229,$C$5:$AT$510,3,))*$E229)</f>
        <v>0</v>
      </c>
      <c r="Y229" s="119">
        <f>IF(VLOOKUP($D229,$C$5:$AT$510,3,)=0,0,(VLOOKUP($D229,$C$5:$AT$510,23,)/VLOOKUP($D229,$C$5:$AT$510,3,))*$E229)</f>
        <v>0</v>
      </c>
      <c r="Z229" s="119">
        <f>IF(VLOOKUP($D229,$C$5:$AT$510,3,)=0,0,(VLOOKUP($D229,$C$5:$AT$510,24,)/VLOOKUP($D229,$C$5:$AT$510,3,))*$E229)</f>
        <v>0</v>
      </c>
      <c r="AA229" s="119">
        <f>IF(VLOOKUP($D229,$C$5:$AT$510,3,)=0,0,(VLOOKUP($D229,$C$5:$AT$510,25,)/VLOOKUP($D229,$C$5:$AT$510,3,))*$E229)</f>
        <v>0</v>
      </c>
      <c r="AB229" s="119">
        <f>IF(VLOOKUP($D229,$C$5:$AT$510,3,)=0,0,(VLOOKUP($D229,$C$5:$AT$510,26,)/VLOOKUP($D229,$C$5:$AT$510,3,))*$E229)</f>
        <v>0</v>
      </c>
      <c r="AC229" s="119">
        <f>IF(VLOOKUP($D229,$C$5:$AT$510,3,)=0,0,(VLOOKUP($D229,$C$5:$AT$510,27,)/VLOOKUP($D229,$C$5:$AT$510,3,))*$E229)</f>
        <v>0</v>
      </c>
      <c r="AD229" s="119">
        <f>IF(VLOOKUP($D229,$C$5:$AT$510,3,)=0,0,(VLOOKUP($D229,$C$5:$AT$510,28,)/VLOOKUP($D229,$C$5:$AT$510,3,))*$E229)</f>
        <v>0</v>
      </c>
      <c r="AE229" s="119">
        <f>IF(VLOOKUP($D229,$C$5:$AT$510,3,)=0,0,(VLOOKUP($D229,$C$5:$AT$510,29,)/VLOOKUP($D229,$C$5:$AT$510,3,))*$E229)</f>
        <v>0</v>
      </c>
      <c r="AF229" s="119">
        <f>IF(VLOOKUP($D229,$C$5:$AT$510,3,)=0,0,(VLOOKUP($D229,$C$5:$AT$510,30,)/VLOOKUP($D229,$C$5:$AT$510,3,))*$E229)</f>
        <v>0</v>
      </c>
      <c r="AG229" s="120">
        <f>SUM(F229:AF229)</f>
        <v>0</v>
      </c>
      <c r="AH229" s="103" t="str">
        <f>IF(ABS(E229-AG229)&lt;0.01,"ok","err")</f>
        <v>ok</v>
      </c>
    </row>
    <row r="230" spans="1:34" x14ac:dyDescent="0.25">
      <c r="E230" s="110"/>
    </row>
    <row r="231" spans="1:34" x14ac:dyDescent="0.25">
      <c r="A231" s="102" t="s">
        <v>0</v>
      </c>
      <c r="C231" s="102" t="s">
        <v>297</v>
      </c>
      <c r="E231" s="119">
        <f>E201+E204+E207+E212+E217+E220+E223+E226+E229</f>
        <v>4143755.459999999</v>
      </c>
      <c r="F231" s="119">
        <f t="shared" ref="F231:R231" si="44">F201+F204+F207+F212+F217+F220+F223+F226+F229</f>
        <v>3225283.7321769292</v>
      </c>
      <c r="G231" s="119">
        <f t="shared" si="44"/>
        <v>8333.8125094217285</v>
      </c>
      <c r="H231" s="119">
        <f t="shared" si="44"/>
        <v>127997.50630145153</v>
      </c>
      <c r="I231" s="119">
        <f t="shared" si="44"/>
        <v>258741.8200686037</v>
      </c>
      <c r="J231" s="119">
        <f t="shared" si="44"/>
        <v>45416.05187852872</v>
      </c>
      <c r="K231" s="119">
        <f t="shared" si="44"/>
        <v>20620.995897006957</v>
      </c>
      <c r="L231" s="119">
        <f t="shared" si="44"/>
        <v>75688.584334052342</v>
      </c>
      <c r="M231" s="119">
        <f t="shared" si="44"/>
        <v>241774.22383487129</v>
      </c>
      <c r="N231" s="119">
        <f t="shared" si="44"/>
        <v>2231.6448152568923</v>
      </c>
      <c r="O231" s="119">
        <f t="shared" si="44"/>
        <v>0</v>
      </c>
      <c r="P231" s="119">
        <f t="shared" si="44"/>
        <v>137667.08818387665</v>
      </c>
      <c r="Q231" s="119">
        <f t="shared" si="44"/>
        <v>0</v>
      </c>
      <c r="R231" s="119">
        <f t="shared" si="44"/>
        <v>0</v>
      </c>
      <c r="S231" s="119">
        <f t="shared" ref="S231:AF231" si="45">S201+S207+S212+S217+S220+S223+S226+S229</f>
        <v>0</v>
      </c>
      <c r="T231" s="119">
        <f t="shared" si="45"/>
        <v>0</v>
      </c>
      <c r="U231" s="119">
        <f t="shared" si="45"/>
        <v>0</v>
      </c>
      <c r="V231" s="119">
        <f t="shared" si="45"/>
        <v>0</v>
      </c>
      <c r="W231" s="119">
        <f t="shared" si="45"/>
        <v>0</v>
      </c>
      <c r="X231" s="119">
        <f t="shared" si="45"/>
        <v>0</v>
      </c>
      <c r="Y231" s="119">
        <f t="shared" si="45"/>
        <v>0</v>
      </c>
      <c r="Z231" s="119">
        <f t="shared" si="45"/>
        <v>0</v>
      </c>
      <c r="AA231" s="119">
        <f t="shared" si="45"/>
        <v>0</v>
      </c>
      <c r="AB231" s="119">
        <f t="shared" si="45"/>
        <v>0</v>
      </c>
      <c r="AC231" s="119">
        <f t="shared" si="45"/>
        <v>0</v>
      </c>
      <c r="AD231" s="119">
        <f t="shared" si="45"/>
        <v>0</v>
      </c>
      <c r="AE231" s="119">
        <f t="shared" si="45"/>
        <v>0</v>
      </c>
      <c r="AF231" s="119">
        <f t="shared" si="45"/>
        <v>0</v>
      </c>
      <c r="AG231" s="120">
        <f>SUM(F231:AF231)</f>
        <v>4143755.459999999</v>
      </c>
      <c r="AH231" s="103" t="str">
        <f>IF(ABS(E231-AG231)&lt;0.01,"ok","err")</f>
        <v>ok</v>
      </c>
    </row>
    <row r="234" spans="1:34" x14ac:dyDescent="0.25">
      <c r="A234" s="131" t="s">
        <v>188</v>
      </c>
    </row>
    <row r="236" spans="1:34" x14ac:dyDescent="0.25">
      <c r="A236" s="132" t="s">
        <v>885</v>
      </c>
    </row>
    <row r="237" spans="1:34" x14ac:dyDescent="0.25">
      <c r="A237" s="133" t="s">
        <v>209</v>
      </c>
      <c r="C237" s="102" t="s">
        <v>298</v>
      </c>
      <c r="D237" s="102" t="s">
        <v>655</v>
      </c>
      <c r="E237" s="119">
        <f>'Func &amp; Classif'!H314</f>
        <v>0</v>
      </c>
      <c r="F237" s="119">
        <f>IF(VLOOKUP($D237,$C$5:$AT$510,3,)=0,0,(VLOOKUP($D237,$C$5:$AT$510,4,)/VLOOKUP($D237,$C$5:$AT$510,3,))*$E237)</f>
        <v>0</v>
      </c>
      <c r="G237" s="119">
        <f>IF(VLOOKUP($D237,$C$5:$AT$510,3,)=0,0,(VLOOKUP($D237,$C$5:$AT$510,5,)/VLOOKUP($D237,$C$5:$AT$510,3,))*$E237)</f>
        <v>0</v>
      </c>
      <c r="H237" s="119">
        <f>IF(VLOOKUP($D237,$C$5:$AT$510,3,)=0,0,(VLOOKUP($D237,$C$5:$AT$510,6,)/VLOOKUP($D237,$C$5:$AT$510,3,))*$E237)</f>
        <v>0</v>
      </c>
      <c r="I237" s="119">
        <f>IF(VLOOKUP($D237,$C$5:$AT$510,3,)=0,0,(VLOOKUP($D237,$C$5:$AT$510,7,)/VLOOKUP($D237,$C$5:$AT$510,3,))*$E237)</f>
        <v>0</v>
      </c>
      <c r="J237" s="119">
        <f>IF(VLOOKUP($D237,$C$5:$AT$510,3,)=0,0,(VLOOKUP($D237,$C$5:$AT$510,8,)/VLOOKUP($D237,$C$5:$AT$510,3,))*$E237)</f>
        <v>0</v>
      </c>
      <c r="K237" s="119">
        <f>IF(VLOOKUP($D237,$C$5:$AT$510,3,)=0,0,(VLOOKUP($D237,$C$5:$AT$510,9,)/VLOOKUP($D237,$C$5:$AT$510,3,))*$E237)</f>
        <v>0</v>
      </c>
      <c r="L237" s="119">
        <f>IF(VLOOKUP($D237,$C$5:$AT$510,3,)=0,0,(VLOOKUP($D237,$C$5:$AT$510,10,)/VLOOKUP($D237,$C$5:$AT$510,3,))*$E237)</f>
        <v>0</v>
      </c>
      <c r="M237" s="119">
        <f>IF(VLOOKUP($D237,$C$5:$AT$510,3,)=0,0,(VLOOKUP($D237,$C$5:$AT$510,11,)/VLOOKUP($D237,$C$5:$AT$510,3,))*$E237)</f>
        <v>0</v>
      </c>
      <c r="N237" s="119">
        <f>IF(VLOOKUP($D237,$C$5:$AT$510,3,)=0,0,(VLOOKUP($D237,$C$5:$AT$510,12,)/VLOOKUP($D237,$C$5:$AT$510,3,))*$E237)</f>
        <v>0</v>
      </c>
      <c r="O237" s="119">
        <f>IF(VLOOKUP($D237,$C$5:$AT$510,3,)=0,0,(VLOOKUP($D237,$C$5:$AT$510,13,)/VLOOKUP($D237,$C$5:$AT$510,3,))*$E237)</f>
        <v>0</v>
      </c>
      <c r="P237" s="119">
        <f>IF(VLOOKUP($D237,$C$5:$AT$510,3,)=0,0,(VLOOKUP($D237,$C$5:$AT$510,14,)/VLOOKUP($D237,$C$5:$AT$510,3,))*$E237)</f>
        <v>0</v>
      </c>
      <c r="Q237" s="119">
        <f>IF(VLOOKUP($D237,$C$5:$AT$510,3,)=0,0,(VLOOKUP($D237,$C$5:$AT$510,15,)/VLOOKUP($D237,$C$5:$AT$510,3,))*$E237)</f>
        <v>0</v>
      </c>
      <c r="R237" s="119">
        <f>IF(VLOOKUP($D237,$C$5:$AT$510,3,)=0,0,(VLOOKUP($D237,$C$5:$AT$510,16,)/VLOOKUP($D237,$C$5:$AT$510,3,))*$E237)</f>
        <v>0</v>
      </c>
      <c r="S237" s="119">
        <f>IF(VLOOKUP($D237,$C$5:$AT$510,3,)=0,0,(VLOOKUP($D237,$C$5:$AT$510,17,)/VLOOKUP($D237,$C$5:$AT$510,3,))*$E237)</f>
        <v>0</v>
      </c>
      <c r="T237" s="119">
        <f>IF(VLOOKUP($D237,$C$5:$AT$510,3,)=0,0,(VLOOKUP($D237,$C$5:$AT$510,18,)/VLOOKUP($D237,$C$5:$AT$510,3,))*$E237)</f>
        <v>0</v>
      </c>
      <c r="U237" s="119">
        <f>IF(VLOOKUP($D237,$C$5:$AT$510,3,)=0,0,(VLOOKUP($D237,$C$5:$AT$510,19,)/VLOOKUP($D237,$C$5:$AT$510,3,))*$E237)</f>
        <v>0</v>
      </c>
      <c r="V237" s="119">
        <f>IF(VLOOKUP($D237,$C$5:$AT$510,3,)=0,0,(VLOOKUP($D237,$C$5:$AT$510,20,)/VLOOKUP($D237,$C$5:$AT$510,3,))*$E237)</f>
        <v>0</v>
      </c>
      <c r="W237" s="119">
        <f>IF(VLOOKUP($D237,$C$5:$AT$510,3,)=0,0,(VLOOKUP($D237,$C$5:$AT$510,21,)/VLOOKUP($D237,$C$5:$AT$510,3,))*$E237)</f>
        <v>0</v>
      </c>
      <c r="X237" s="119">
        <f>IF(VLOOKUP($D237,$C$5:$AT$510,3,)=0,0,(VLOOKUP($D237,$C$5:$AT$510,22,)/VLOOKUP($D237,$C$5:$AT$510,3,))*$E237)</f>
        <v>0</v>
      </c>
      <c r="Y237" s="119">
        <f>IF(VLOOKUP($D237,$C$5:$AT$510,3,)=0,0,(VLOOKUP($D237,$C$5:$AT$510,23,)/VLOOKUP($D237,$C$5:$AT$510,3,))*$E237)</f>
        <v>0</v>
      </c>
      <c r="Z237" s="119">
        <f>IF(VLOOKUP($D237,$C$5:$AT$510,3,)=0,0,(VLOOKUP($D237,$C$5:$AT$510,24,)/VLOOKUP($D237,$C$5:$AT$510,3,))*$E237)</f>
        <v>0</v>
      </c>
      <c r="AA237" s="119">
        <f>IF(VLOOKUP($D237,$C$5:$AT$510,3,)=0,0,(VLOOKUP($D237,$C$5:$AT$510,25,)/VLOOKUP($D237,$C$5:$AT$510,3,))*$E237)</f>
        <v>0</v>
      </c>
      <c r="AB237" s="119">
        <f>IF(VLOOKUP($D237,$C$5:$AT$510,3,)=0,0,(VLOOKUP($D237,$C$5:$AT$510,26,)/VLOOKUP($D237,$C$5:$AT$510,3,))*$E237)</f>
        <v>0</v>
      </c>
      <c r="AC237" s="119">
        <f>IF(VLOOKUP($D237,$C$5:$AT$510,3,)=0,0,(VLOOKUP($D237,$C$5:$AT$510,27,)/VLOOKUP($D237,$C$5:$AT$510,3,))*$E237)</f>
        <v>0</v>
      </c>
      <c r="AD237" s="119">
        <f>IF(VLOOKUP($D237,$C$5:$AT$510,3,)=0,0,(VLOOKUP($D237,$C$5:$AT$510,28,)/VLOOKUP($D237,$C$5:$AT$510,3,))*$E237)</f>
        <v>0</v>
      </c>
      <c r="AE237" s="119">
        <f>IF(VLOOKUP($D237,$C$5:$AT$510,3,)=0,0,(VLOOKUP($D237,$C$5:$AT$510,29,)/VLOOKUP($D237,$C$5:$AT$510,3,))*$E237)</f>
        <v>0</v>
      </c>
      <c r="AF237" s="119">
        <f>IF(VLOOKUP($D237,$C$5:$AT$510,3,)=0,0,(VLOOKUP($D237,$C$5:$AT$510,30,)/VLOOKUP($D237,$C$5:$AT$510,3,))*$E237)</f>
        <v>0</v>
      </c>
      <c r="AG237" s="120">
        <f>SUM(F237:AF237)</f>
        <v>0</v>
      </c>
      <c r="AH237" s="103" t="str">
        <f>IF(ABS(E237-AG237)&lt;0.01,"ok","err")</f>
        <v>ok</v>
      </c>
    </row>
    <row r="238" spans="1:34" x14ac:dyDescent="0.25">
      <c r="A238" s="133" t="s">
        <v>212</v>
      </c>
      <c r="C238" s="102" t="s">
        <v>299</v>
      </c>
      <c r="D238" s="102" t="s">
        <v>664</v>
      </c>
      <c r="E238" s="110">
        <f>'Func &amp; Classif'!I314</f>
        <v>0</v>
      </c>
      <c r="F238" s="119">
        <f>IF(VLOOKUP($D238,$C$5:$AT$510,3,)=0,0,(VLOOKUP($D238,$C$5:$AT$510,4,)/VLOOKUP($D238,$C$5:$AT$510,3,))*$E238)</f>
        <v>0</v>
      </c>
      <c r="G238" s="119">
        <f>IF(VLOOKUP($D238,$C$5:$AT$510,3,)=0,0,(VLOOKUP($D238,$C$5:$AT$510,5,)/VLOOKUP($D238,$C$5:$AT$510,3,))*$E238)</f>
        <v>0</v>
      </c>
      <c r="H238" s="119">
        <f>IF(VLOOKUP($D238,$C$5:$AT$510,3,)=0,0,(VLOOKUP($D238,$C$5:$AT$510,6,)/VLOOKUP($D238,$C$5:$AT$510,3,))*$E238)</f>
        <v>0</v>
      </c>
      <c r="I238" s="119">
        <f>IF(VLOOKUP($D238,$C$5:$AT$510,3,)=0,0,(VLOOKUP($D238,$C$5:$AT$510,7,)/VLOOKUP($D238,$C$5:$AT$510,3,))*$E238)</f>
        <v>0</v>
      </c>
      <c r="J238" s="119">
        <f>IF(VLOOKUP($D238,$C$5:$AT$510,3,)=0,0,(VLOOKUP($D238,$C$5:$AT$510,8,)/VLOOKUP($D238,$C$5:$AT$510,3,))*$E238)</f>
        <v>0</v>
      </c>
      <c r="K238" s="119">
        <f>IF(VLOOKUP($D238,$C$5:$AT$510,3,)=0,0,(VLOOKUP($D238,$C$5:$AT$510,9,)/VLOOKUP($D238,$C$5:$AT$510,3,))*$E238)</f>
        <v>0</v>
      </c>
      <c r="L238" s="119">
        <f>IF(VLOOKUP($D238,$C$5:$AT$510,3,)=0,0,(VLOOKUP($D238,$C$5:$AT$510,10,)/VLOOKUP($D238,$C$5:$AT$510,3,))*$E238)</f>
        <v>0</v>
      </c>
      <c r="M238" s="119">
        <f>IF(VLOOKUP($D238,$C$5:$AT$510,3,)=0,0,(VLOOKUP($D238,$C$5:$AT$510,11,)/VLOOKUP($D238,$C$5:$AT$510,3,))*$E238)</f>
        <v>0</v>
      </c>
      <c r="N238" s="119">
        <f>IF(VLOOKUP($D238,$C$5:$AT$510,3,)=0,0,(VLOOKUP($D238,$C$5:$AT$510,12,)/VLOOKUP($D238,$C$5:$AT$510,3,))*$E238)</f>
        <v>0</v>
      </c>
      <c r="O238" s="119">
        <f>IF(VLOOKUP($D238,$C$5:$AT$510,3,)=0,0,(VLOOKUP($D238,$C$5:$AT$510,13,)/VLOOKUP($D238,$C$5:$AT$510,3,))*$E238)</f>
        <v>0</v>
      </c>
      <c r="P238" s="119">
        <f>IF(VLOOKUP($D238,$C$5:$AT$510,3,)=0,0,(VLOOKUP($D238,$C$5:$AT$510,14,)/VLOOKUP($D238,$C$5:$AT$510,3,))*$E238)</f>
        <v>0</v>
      </c>
      <c r="Q238" s="119">
        <f>IF(VLOOKUP($D238,$C$5:$AT$510,3,)=0,0,(VLOOKUP($D238,$C$5:$AT$510,15,)/VLOOKUP($D238,$C$5:$AT$510,3,))*$E238)</f>
        <v>0</v>
      </c>
      <c r="R238" s="119">
        <f>IF(VLOOKUP($D238,$C$5:$AT$510,3,)=0,0,(VLOOKUP($D238,$C$5:$AT$510,16,)/VLOOKUP($D238,$C$5:$AT$510,3,))*$E238)</f>
        <v>0</v>
      </c>
      <c r="S238" s="119">
        <f>IF(VLOOKUP($D238,$C$5:$AT$510,3,)=0,0,(VLOOKUP($D238,$C$5:$AT$510,17,)/VLOOKUP($D238,$C$5:$AT$510,3,))*$E238)</f>
        <v>0</v>
      </c>
      <c r="T238" s="119">
        <f>IF(VLOOKUP($D238,$C$5:$AT$510,3,)=0,0,(VLOOKUP($D238,$C$5:$AT$510,18,)/VLOOKUP($D238,$C$5:$AT$510,3,))*$E238)</f>
        <v>0</v>
      </c>
      <c r="U238" s="119">
        <f>IF(VLOOKUP($D238,$C$5:$AT$510,3,)=0,0,(VLOOKUP($D238,$C$5:$AT$510,19,)/VLOOKUP($D238,$C$5:$AT$510,3,))*$E238)</f>
        <v>0</v>
      </c>
      <c r="V238" s="119">
        <f>IF(VLOOKUP($D238,$C$5:$AT$510,3,)=0,0,(VLOOKUP($D238,$C$5:$AT$510,20,)/VLOOKUP($D238,$C$5:$AT$510,3,))*$E238)</f>
        <v>0</v>
      </c>
      <c r="W238" s="119">
        <f>IF(VLOOKUP($D238,$C$5:$AT$510,3,)=0,0,(VLOOKUP($D238,$C$5:$AT$510,21,)/VLOOKUP($D238,$C$5:$AT$510,3,))*$E238)</f>
        <v>0</v>
      </c>
      <c r="X238" s="119">
        <f>IF(VLOOKUP($D238,$C$5:$AT$510,3,)=0,0,(VLOOKUP($D238,$C$5:$AT$510,22,)/VLOOKUP($D238,$C$5:$AT$510,3,))*$E238)</f>
        <v>0</v>
      </c>
      <c r="Y238" s="119">
        <f>IF(VLOOKUP($D238,$C$5:$AT$510,3,)=0,0,(VLOOKUP($D238,$C$5:$AT$510,23,)/VLOOKUP($D238,$C$5:$AT$510,3,))*$E238)</f>
        <v>0</v>
      </c>
      <c r="Z238" s="119">
        <f>IF(VLOOKUP($D238,$C$5:$AT$510,3,)=0,0,(VLOOKUP($D238,$C$5:$AT$510,24,)/VLOOKUP($D238,$C$5:$AT$510,3,))*$E238)</f>
        <v>0</v>
      </c>
      <c r="AA238" s="119">
        <f>IF(VLOOKUP($D238,$C$5:$AT$510,3,)=0,0,(VLOOKUP($D238,$C$5:$AT$510,25,)/VLOOKUP($D238,$C$5:$AT$510,3,))*$E238)</f>
        <v>0</v>
      </c>
      <c r="AB238" s="119">
        <f>IF(VLOOKUP($D238,$C$5:$AT$510,3,)=0,0,(VLOOKUP($D238,$C$5:$AT$510,26,)/VLOOKUP($D238,$C$5:$AT$510,3,))*$E238)</f>
        <v>0</v>
      </c>
      <c r="AC238" s="119">
        <f>IF(VLOOKUP($D238,$C$5:$AT$510,3,)=0,0,(VLOOKUP($D238,$C$5:$AT$510,27,)/VLOOKUP($D238,$C$5:$AT$510,3,))*$E238)</f>
        <v>0</v>
      </c>
      <c r="AD238" s="119">
        <f>IF(VLOOKUP($D238,$C$5:$AT$510,3,)=0,0,(VLOOKUP($D238,$C$5:$AT$510,28,)/VLOOKUP($D238,$C$5:$AT$510,3,))*$E238)</f>
        <v>0</v>
      </c>
      <c r="AE238" s="119">
        <f>IF(VLOOKUP($D238,$C$5:$AT$510,3,)=0,0,(VLOOKUP($D238,$C$5:$AT$510,29,)/VLOOKUP($D238,$C$5:$AT$510,3,))*$E238)</f>
        <v>0</v>
      </c>
      <c r="AF238" s="119">
        <f>IF(VLOOKUP($D238,$C$5:$AT$510,3,)=0,0,(VLOOKUP($D238,$C$5:$AT$510,30,)/VLOOKUP($D238,$C$5:$AT$510,3,))*$E238)</f>
        <v>0</v>
      </c>
      <c r="AG238" s="120">
        <f>SUM(F238:AF238)</f>
        <v>0</v>
      </c>
      <c r="AH238" s="103" t="str">
        <f>IF(ABS(E238-AG238)&lt;0.01,"ok","err")</f>
        <v>ok</v>
      </c>
    </row>
    <row r="239" spans="1:34" x14ac:dyDescent="0.25">
      <c r="A239" s="102" t="s">
        <v>215</v>
      </c>
      <c r="C239" s="102" t="s">
        <v>300</v>
      </c>
      <c r="E239" s="110">
        <f t="shared" ref="E239:T239" si="46">E237+E238</f>
        <v>0</v>
      </c>
      <c r="F239" s="119">
        <f t="shared" si="46"/>
        <v>0</v>
      </c>
      <c r="G239" s="119">
        <f t="shared" si="46"/>
        <v>0</v>
      </c>
      <c r="H239" s="119">
        <f t="shared" si="46"/>
        <v>0</v>
      </c>
      <c r="I239" s="119">
        <f t="shared" si="46"/>
        <v>0</v>
      </c>
      <c r="J239" s="119">
        <f t="shared" si="46"/>
        <v>0</v>
      </c>
      <c r="K239" s="119">
        <f t="shared" si="46"/>
        <v>0</v>
      </c>
      <c r="L239" s="119">
        <f t="shared" si="46"/>
        <v>0</v>
      </c>
      <c r="M239" s="119">
        <f t="shared" si="46"/>
        <v>0</v>
      </c>
      <c r="N239" s="119">
        <f t="shared" si="46"/>
        <v>0</v>
      </c>
      <c r="O239" s="119">
        <f t="shared" si="46"/>
        <v>0</v>
      </c>
      <c r="P239" s="119">
        <f t="shared" si="46"/>
        <v>0</v>
      </c>
      <c r="Q239" s="119">
        <f t="shared" si="46"/>
        <v>0</v>
      </c>
      <c r="R239" s="119">
        <f t="shared" si="46"/>
        <v>0</v>
      </c>
      <c r="S239" s="119">
        <f t="shared" si="46"/>
        <v>0</v>
      </c>
      <c r="T239" s="119">
        <f t="shared" si="46"/>
        <v>0</v>
      </c>
      <c r="U239" s="119">
        <f t="shared" ref="U239:AF239" si="47">U237+U238</f>
        <v>0</v>
      </c>
      <c r="V239" s="119">
        <f t="shared" si="47"/>
        <v>0</v>
      </c>
      <c r="W239" s="119">
        <f t="shared" si="47"/>
        <v>0</v>
      </c>
      <c r="X239" s="119">
        <f t="shared" si="47"/>
        <v>0</v>
      </c>
      <c r="Y239" s="119">
        <f t="shared" si="47"/>
        <v>0</v>
      </c>
      <c r="Z239" s="119">
        <f t="shared" si="47"/>
        <v>0</v>
      </c>
      <c r="AA239" s="119">
        <f t="shared" si="47"/>
        <v>0</v>
      </c>
      <c r="AB239" s="119">
        <f t="shared" si="47"/>
        <v>0</v>
      </c>
      <c r="AC239" s="119">
        <f t="shared" si="47"/>
        <v>0</v>
      </c>
      <c r="AD239" s="119">
        <f t="shared" si="47"/>
        <v>0</v>
      </c>
      <c r="AE239" s="119">
        <f t="shared" si="47"/>
        <v>0</v>
      </c>
      <c r="AF239" s="119">
        <f t="shared" si="47"/>
        <v>0</v>
      </c>
      <c r="AG239" s="120">
        <f>SUM(F239:AF239)</f>
        <v>0</v>
      </c>
      <c r="AH239" s="103" t="str">
        <f>IF(ABS(E239-AG239)&lt;0.01,"ok","err")</f>
        <v>ok</v>
      </c>
    </row>
    <row r="240" spans="1:34" x14ac:dyDescent="0.25">
      <c r="E240" s="110"/>
      <c r="F240" s="110"/>
    </row>
    <row r="241" spans="1:34" x14ac:dyDescent="0.25">
      <c r="A241" s="132" t="s">
        <v>350</v>
      </c>
      <c r="E241" s="110"/>
      <c r="F241" s="110"/>
    </row>
    <row r="242" spans="1:34" x14ac:dyDescent="0.25">
      <c r="A242" s="133" t="s">
        <v>209</v>
      </c>
      <c r="C242" s="102" t="s">
        <v>880</v>
      </c>
      <c r="D242" s="102" t="s">
        <v>623</v>
      </c>
      <c r="E242" s="119">
        <f>'Func &amp; Classif'!K314</f>
        <v>0</v>
      </c>
      <c r="F242" s="119">
        <f>IF(VLOOKUP($D242,$C$5:$AT$510,3,)=0,0,(VLOOKUP($D242,$C$5:$AT$510,4,)/VLOOKUP($D242,$C$5:$AT$510,3,))*$E242)</f>
        <v>0</v>
      </c>
      <c r="G242" s="119">
        <f>IF(VLOOKUP($D242,$C$5:$AT$510,3,)=0,0,(VLOOKUP($D242,$C$5:$AT$510,5,)/VLOOKUP($D242,$C$5:$AT$510,3,))*$E242)</f>
        <v>0</v>
      </c>
      <c r="H242" s="119">
        <f>IF(VLOOKUP($D242,$C$5:$AT$510,3,)=0,0,(VLOOKUP($D242,$C$5:$AT$510,6,)/VLOOKUP($D242,$C$5:$AT$510,3,))*$E242)</f>
        <v>0</v>
      </c>
      <c r="I242" s="119">
        <f>IF(VLOOKUP($D242,$C$5:$AT$510,3,)=0,0,(VLOOKUP($D242,$C$5:$AT$510,7,)/VLOOKUP($D242,$C$5:$AT$510,3,))*$E242)</f>
        <v>0</v>
      </c>
      <c r="J242" s="119">
        <f>IF(VLOOKUP($D242,$C$5:$AT$510,3,)=0,0,(VLOOKUP($D242,$C$5:$AT$510,8,)/VLOOKUP($D242,$C$5:$AT$510,3,))*$E242)</f>
        <v>0</v>
      </c>
      <c r="K242" s="119">
        <f>IF(VLOOKUP($D242,$C$5:$AT$510,3,)=0,0,(VLOOKUP($D242,$C$5:$AT$510,9,)/VLOOKUP($D242,$C$5:$AT$510,3,))*$E242)</f>
        <v>0</v>
      </c>
      <c r="L242" s="119">
        <f>IF(VLOOKUP($D242,$C$5:$AT$510,3,)=0,0,(VLOOKUP($D242,$C$5:$AT$510,10,)/VLOOKUP($D242,$C$5:$AT$510,3,))*$E242)</f>
        <v>0</v>
      </c>
      <c r="M242" s="119">
        <f>IF(VLOOKUP($D242,$C$5:$AT$510,3,)=0,0,(VLOOKUP($D242,$C$5:$AT$510,11,)/VLOOKUP($D242,$C$5:$AT$510,3,))*$E242)</f>
        <v>0</v>
      </c>
      <c r="N242" s="119">
        <f>IF(VLOOKUP($D242,$C$5:$AT$510,3,)=0,0,(VLOOKUP($D242,$C$5:$AT$510,12,)/VLOOKUP($D242,$C$5:$AT$510,3,))*$E242)</f>
        <v>0</v>
      </c>
      <c r="O242" s="119">
        <f>IF(VLOOKUP($D242,$C$5:$AT$510,3,)=0,0,(VLOOKUP($D242,$C$5:$AT$510,13,)/VLOOKUP($D242,$C$5:$AT$510,3,))*$E242)</f>
        <v>0</v>
      </c>
      <c r="P242" s="119">
        <f>IF(VLOOKUP($D242,$C$5:$AT$510,3,)=0,0,(VLOOKUP($D242,$C$5:$AT$510,14,)/VLOOKUP($D242,$C$5:$AT$510,3,))*$E242)</f>
        <v>0</v>
      </c>
      <c r="Q242" s="119">
        <f>IF(VLOOKUP($D242,$C$5:$AT$510,3,)=0,0,(VLOOKUP($D242,$C$5:$AT$510,15,)/VLOOKUP($D242,$C$5:$AT$510,3,))*$E242)</f>
        <v>0</v>
      </c>
      <c r="R242" s="119">
        <f>IF(VLOOKUP($D242,$C$5:$AT$510,3,)=0,0,(VLOOKUP($D242,$C$5:$AT$510,16,)/VLOOKUP($D242,$C$5:$AT$510,3,))*$E242)</f>
        <v>0</v>
      </c>
      <c r="S242" s="119">
        <f>IF(VLOOKUP($D242,$C$5:$AT$510,3,)=0,0,(VLOOKUP($D242,$C$5:$AT$510,17,)/VLOOKUP($D242,$C$5:$AT$510,3,))*$E242)</f>
        <v>0</v>
      </c>
      <c r="T242" s="119">
        <f>IF(VLOOKUP($D242,$C$5:$AT$510,3,)=0,0,(VLOOKUP($D242,$C$5:$AT$510,18,)/VLOOKUP($D242,$C$5:$AT$510,3,))*$E242)</f>
        <v>0</v>
      </c>
      <c r="U242" s="119">
        <f>IF(VLOOKUP($D242,$C$5:$AT$510,3,)=0,0,(VLOOKUP($D242,$C$5:$AT$510,19,)/VLOOKUP($D242,$C$5:$AT$510,3,))*$E242)</f>
        <v>0</v>
      </c>
      <c r="V242" s="119">
        <f>IF(VLOOKUP($D242,$C$5:$AT$510,3,)=0,0,(VLOOKUP($D242,$C$5:$AT$510,20,)/VLOOKUP($D242,$C$5:$AT$510,3,))*$E242)</f>
        <v>0</v>
      </c>
      <c r="W242" s="119">
        <f>IF(VLOOKUP($D242,$C$5:$AT$510,3,)=0,0,(VLOOKUP($D242,$C$5:$AT$510,21,)/VLOOKUP($D242,$C$5:$AT$510,3,))*$E242)</f>
        <v>0</v>
      </c>
      <c r="X242" s="119">
        <f>IF(VLOOKUP($D242,$C$5:$AT$510,3,)=0,0,(VLOOKUP($D242,$C$5:$AT$510,22,)/VLOOKUP($D242,$C$5:$AT$510,3,))*$E242)</f>
        <v>0</v>
      </c>
      <c r="Y242" s="119">
        <f>IF(VLOOKUP($D242,$C$5:$AT$510,3,)=0,0,(VLOOKUP($D242,$C$5:$AT$510,23,)/VLOOKUP($D242,$C$5:$AT$510,3,))*$E242)</f>
        <v>0</v>
      </c>
      <c r="Z242" s="119">
        <f>IF(VLOOKUP($D242,$C$5:$AT$510,3,)=0,0,(VLOOKUP($D242,$C$5:$AT$510,24,)/VLOOKUP($D242,$C$5:$AT$510,3,))*$E242)</f>
        <v>0</v>
      </c>
      <c r="AA242" s="119">
        <f>IF(VLOOKUP($D242,$C$5:$AT$510,3,)=0,0,(VLOOKUP($D242,$C$5:$AT$510,25,)/VLOOKUP($D242,$C$5:$AT$510,3,))*$E242)</f>
        <v>0</v>
      </c>
      <c r="AB242" s="119">
        <f>IF(VLOOKUP($D242,$C$5:$AT$510,3,)=0,0,(VLOOKUP($D242,$C$5:$AT$510,26,)/VLOOKUP($D242,$C$5:$AT$510,3,))*$E242)</f>
        <v>0</v>
      </c>
      <c r="AC242" s="119">
        <f>IF(VLOOKUP($D242,$C$5:$AT$510,3,)=0,0,(VLOOKUP($D242,$C$5:$AT$510,27,)/VLOOKUP($D242,$C$5:$AT$510,3,))*$E242)</f>
        <v>0</v>
      </c>
      <c r="AD242" s="119">
        <f>IF(VLOOKUP($D242,$C$5:$AT$510,3,)=0,0,(VLOOKUP($D242,$C$5:$AT$510,28,)/VLOOKUP($D242,$C$5:$AT$510,3,))*$E242)</f>
        <v>0</v>
      </c>
      <c r="AE242" s="119">
        <f>IF(VLOOKUP($D242,$C$5:$AT$510,3,)=0,0,(VLOOKUP($D242,$C$5:$AT$510,29,)/VLOOKUP($D242,$C$5:$AT$510,3,))*$E242)</f>
        <v>0</v>
      </c>
      <c r="AF242" s="119">
        <f>IF(VLOOKUP($D242,$C$5:$AT$510,3,)=0,0,(VLOOKUP($D242,$C$5:$AT$510,30,)/VLOOKUP($D242,$C$5:$AT$510,3,))*$E242)</f>
        <v>0</v>
      </c>
      <c r="AG242" s="120">
        <f>SUM(F242:AF242)</f>
        <v>0</v>
      </c>
      <c r="AH242" s="103" t="str">
        <f>IF(ABS(E242-AG242)&lt;0.01,"ok","err")</f>
        <v>ok</v>
      </c>
    </row>
    <row r="243" spans="1:34" x14ac:dyDescent="0.25">
      <c r="E243" s="110"/>
    </row>
    <row r="244" spans="1:34" x14ac:dyDescent="0.25">
      <c r="A244" s="132" t="s">
        <v>1</v>
      </c>
      <c r="E244" s="110"/>
      <c r="F244" s="110"/>
    </row>
    <row r="245" spans="1:34" x14ac:dyDescent="0.25">
      <c r="A245" s="133" t="s">
        <v>209</v>
      </c>
      <c r="C245" s="102" t="s">
        <v>301</v>
      </c>
      <c r="D245" s="102" t="s">
        <v>630</v>
      </c>
      <c r="E245" s="119">
        <f>'Func &amp; Classif'!M314</f>
        <v>0</v>
      </c>
      <c r="F245" s="119">
        <f>IF(VLOOKUP($D245,$C$5:$AT$510,3,)=0,0,(VLOOKUP($D245,$C$5:$AT$510,4,)/VLOOKUP($D245,$C$5:$AT$510,3,))*$E245)</f>
        <v>0</v>
      </c>
      <c r="G245" s="119">
        <f>IF(VLOOKUP($D245,$C$5:$AT$510,3,)=0,0,(VLOOKUP($D245,$C$5:$AT$510,5,)/VLOOKUP($D245,$C$5:$AT$510,3,))*$E245)</f>
        <v>0</v>
      </c>
      <c r="H245" s="119">
        <f>IF(VLOOKUP($D245,$C$5:$AT$510,3,)=0,0,(VLOOKUP($D245,$C$5:$AT$510,6,)/VLOOKUP($D245,$C$5:$AT$510,3,))*$E245)</f>
        <v>0</v>
      </c>
      <c r="I245" s="119">
        <f>IF(VLOOKUP($D245,$C$5:$AT$510,3,)=0,0,(VLOOKUP($D245,$C$5:$AT$510,7,)/VLOOKUP($D245,$C$5:$AT$510,3,))*$E245)</f>
        <v>0</v>
      </c>
      <c r="J245" s="119">
        <f>IF(VLOOKUP($D245,$C$5:$AT$510,3,)=0,0,(VLOOKUP($D245,$C$5:$AT$510,8,)/VLOOKUP($D245,$C$5:$AT$510,3,))*$E245)</f>
        <v>0</v>
      </c>
      <c r="K245" s="119">
        <f>IF(VLOOKUP($D245,$C$5:$AT$510,3,)=0,0,(VLOOKUP($D245,$C$5:$AT$510,9,)/VLOOKUP($D245,$C$5:$AT$510,3,))*$E245)</f>
        <v>0</v>
      </c>
      <c r="L245" s="119">
        <f>IF(VLOOKUP($D245,$C$5:$AT$510,3,)=0,0,(VLOOKUP($D245,$C$5:$AT$510,10,)/VLOOKUP($D245,$C$5:$AT$510,3,))*$E245)</f>
        <v>0</v>
      </c>
      <c r="M245" s="119">
        <f>IF(VLOOKUP($D245,$C$5:$AT$510,3,)=0,0,(VLOOKUP($D245,$C$5:$AT$510,11,)/VLOOKUP($D245,$C$5:$AT$510,3,))*$E245)</f>
        <v>0</v>
      </c>
      <c r="N245" s="119">
        <f>IF(VLOOKUP($D245,$C$5:$AT$510,3,)=0,0,(VLOOKUP($D245,$C$5:$AT$510,12,)/VLOOKUP($D245,$C$5:$AT$510,3,))*$E245)</f>
        <v>0</v>
      </c>
      <c r="O245" s="119">
        <f>IF(VLOOKUP($D245,$C$5:$AT$510,3,)=0,0,(VLOOKUP($D245,$C$5:$AT$510,13,)/VLOOKUP($D245,$C$5:$AT$510,3,))*$E245)</f>
        <v>0</v>
      </c>
      <c r="P245" s="119">
        <f>IF(VLOOKUP($D245,$C$5:$AT$510,3,)=0,0,(VLOOKUP($D245,$C$5:$AT$510,14,)/VLOOKUP($D245,$C$5:$AT$510,3,))*$E245)</f>
        <v>0</v>
      </c>
      <c r="Q245" s="119">
        <f>IF(VLOOKUP($D245,$C$5:$AT$510,3,)=0,0,(VLOOKUP($D245,$C$5:$AT$510,15,)/VLOOKUP($D245,$C$5:$AT$510,3,))*$E245)</f>
        <v>0</v>
      </c>
      <c r="R245" s="119">
        <f>IF(VLOOKUP($D245,$C$5:$AT$510,3,)=0,0,(VLOOKUP($D245,$C$5:$AT$510,16,)/VLOOKUP($D245,$C$5:$AT$510,3,))*$E245)</f>
        <v>0</v>
      </c>
      <c r="S245" s="119">
        <f>IF(VLOOKUP($D245,$C$5:$AT$510,3,)=0,0,(VLOOKUP($D245,$C$5:$AT$510,17,)/VLOOKUP($D245,$C$5:$AT$510,3,))*$E245)</f>
        <v>0</v>
      </c>
      <c r="T245" s="119">
        <f>IF(VLOOKUP($D245,$C$5:$AT$510,3,)=0,0,(VLOOKUP($D245,$C$5:$AT$510,18,)/VLOOKUP($D245,$C$5:$AT$510,3,))*$E245)</f>
        <v>0</v>
      </c>
      <c r="U245" s="119">
        <f>IF(VLOOKUP($D245,$C$5:$AT$510,3,)=0,0,(VLOOKUP($D245,$C$5:$AT$510,19,)/VLOOKUP($D245,$C$5:$AT$510,3,))*$E245)</f>
        <v>0</v>
      </c>
      <c r="V245" s="119">
        <f>IF(VLOOKUP($D245,$C$5:$AT$510,3,)=0,0,(VLOOKUP($D245,$C$5:$AT$510,20,)/VLOOKUP($D245,$C$5:$AT$510,3,))*$E245)</f>
        <v>0</v>
      </c>
      <c r="W245" s="119">
        <f>IF(VLOOKUP($D245,$C$5:$AT$510,3,)=0,0,(VLOOKUP($D245,$C$5:$AT$510,21,)/VLOOKUP($D245,$C$5:$AT$510,3,))*$E245)</f>
        <v>0</v>
      </c>
      <c r="X245" s="119">
        <f>IF(VLOOKUP($D245,$C$5:$AT$510,3,)=0,0,(VLOOKUP($D245,$C$5:$AT$510,22,)/VLOOKUP($D245,$C$5:$AT$510,3,))*$E245)</f>
        <v>0</v>
      </c>
      <c r="Y245" s="119">
        <f>IF(VLOOKUP($D245,$C$5:$AT$510,3,)=0,0,(VLOOKUP($D245,$C$5:$AT$510,23,)/VLOOKUP($D245,$C$5:$AT$510,3,))*$E245)</f>
        <v>0</v>
      </c>
      <c r="Z245" s="119">
        <f>IF(VLOOKUP($D245,$C$5:$AT$510,3,)=0,0,(VLOOKUP($D245,$C$5:$AT$510,24,)/VLOOKUP($D245,$C$5:$AT$510,3,))*$E245)</f>
        <v>0</v>
      </c>
      <c r="AA245" s="119">
        <f>IF(VLOOKUP($D245,$C$5:$AT$510,3,)=0,0,(VLOOKUP($D245,$C$5:$AT$510,25,)/VLOOKUP($D245,$C$5:$AT$510,3,))*$E245)</f>
        <v>0</v>
      </c>
      <c r="AB245" s="119">
        <f>IF(VLOOKUP($D245,$C$5:$AT$510,3,)=0,0,(VLOOKUP($D245,$C$5:$AT$510,26,)/VLOOKUP($D245,$C$5:$AT$510,3,))*$E245)</f>
        <v>0</v>
      </c>
      <c r="AC245" s="119">
        <f>IF(VLOOKUP($D245,$C$5:$AT$510,3,)=0,0,(VLOOKUP($D245,$C$5:$AT$510,27,)/VLOOKUP($D245,$C$5:$AT$510,3,))*$E245)</f>
        <v>0</v>
      </c>
      <c r="AD245" s="119">
        <f>IF(VLOOKUP($D245,$C$5:$AT$510,3,)=0,0,(VLOOKUP($D245,$C$5:$AT$510,28,)/VLOOKUP($D245,$C$5:$AT$510,3,))*$E245)</f>
        <v>0</v>
      </c>
      <c r="AE245" s="119">
        <f>IF(VLOOKUP($D245,$C$5:$AT$510,3,)=0,0,(VLOOKUP($D245,$C$5:$AT$510,29,)/VLOOKUP($D245,$C$5:$AT$510,3,))*$E245)</f>
        <v>0</v>
      </c>
      <c r="AF245" s="119">
        <f>IF(VLOOKUP($D245,$C$5:$AT$510,3,)=0,0,(VLOOKUP($D245,$C$5:$AT$510,30,)/VLOOKUP($D245,$C$5:$AT$510,3,))*$E245)</f>
        <v>0</v>
      </c>
      <c r="AG245" s="120">
        <f>SUM(F245:AF245)</f>
        <v>0</v>
      </c>
      <c r="AH245" s="103" t="str">
        <f>IF(ABS(E245-AG245)&lt;0.01,"ok","err")</f>
        <v>ok</v>
      </c>
    </row>
    <row r="246" spans="1:34" x14ac:dyDescent="0.25">
      <c r="E246" s="110"/>
    </row>
    <row r="247" spans="1:34" x14ac:dyDescent="0.25">
      <c r="A247" s="132" t="s">
        <v>2</v>
      </c>
      <c r="E247" s="110"/>
    </row>
    <row r="248" spans="1:34" x14ac:dyDescent="0.25">
      <c r="A248" s="133" t="s">
        <v>209</v>
      </c>
      <c r="C248" s="102" t="s">
        <v>302</v>
      </c>
      <c r="D248" s="102" t="s">
        <v>627</v>
      </c>
      <c r="E248" s="119">
        <f>'Func &amp; Classif'!O314</f>
        <v>0</v>
      </c>
      <c r="F248" s="119">
        <f>IF(VLOOKUP($D248,$C$5:$AT$510,3,)=0,0,(VLOOKUP($D248,$C$5:$AT$510,4,)/VLOOKUP($D248,$C$5:$AT$510,3,))*$E248)</f>
        <v>0</v>
      </c>
      <c r="G248" s="119">
        <f>IF(VLOOKUP($D248,$C$5:$AT$510,3,)=0,0,(VLOOKUP($D248,$C$5:$AT$510,5,)/VLOOKUP($D248,$C$5:$AT$510,3,))*$E248)</f>
        <v>0</v>
      </c>
      <c r="H248" s="119">
        <f>IF(VLOOKUP($D248,$C$5:$AT$510,3,)=0,0,(VLOOKUP($D248,$C$5:$AT$510,6,)/VLOOKUP($D248,$C$5:$AT$510,3,))*$E248)</f>
        <v>0</v>
      </c>
      <c r="I248" s="119">
        <f>IF(VLOOKUP($D248,$C$5:$AT$510,3,)=0,0,(VLOOKUP($D248,$C$5:$AT$510,7,)/VLOOKUP($D248,$C$5:$AT$510,3,))*$E248)</f>
        <v>0</v>
      </c>
      <c r="J248" s="119">
        <f>IF(VLOOKUP($D248,$C$5:$AT$510,3,)=0,0,(VLOOKUP($D248,$C$5:$AT$510,8,)/VLOOKUP($D248,$C$5:$AT$510,3,))*$E248)</f>
        <v>0</v>
      </c>
      <c r="K248" s="119">
        <f>IF(VLOOKUP($D248,$C$5:$AT$510,3,)=0,0,(VLOOKUP($D248,$C$5:$AT$510,9,)/VLOOKUP($D248,$C$5:$AT$510,3,))*$E248)</f>
        <v>0</v>
      </c>
      <c r="L248" s="119">
        <f>IF(VLOOKUP($D248,$C$5:$AT$510,3,)=0,0,(VLOOKUP($D248,$C$5:$AT$510,10,)/VLOOKUP($D248,$C$5:$AT$510,3,))*$E248)</f>
        <v>0</v>
      </c>
      <c r="M248" s="119">
        <f>IF(VLOOKUP($D248,$C$5:$AT$510,3,)=0,0,(VLOOKUP($D248,$C$5:$AT$510,11,)/VLOOKUP($D248,$C$5:$AT$510,3,))*$E248)</f>
        <v>0</v>
      </c>
      <c r="N248" s="119">
        <f>IF(VLOOKUP($D248,$C$5:$AT$510,3,)=0,0,(VLOOKUP($D248,$C$5:$AT$510,12,)/VLOOKUP($D248,$C$5:$AT$510,3,))*$E248)</f>
        <v>0</v>
      </c>
      <c r="O248" s="119">
        <f>IF(VLOOKUP($D248,$C$5:$AT$510,3,)=0,0,(VLOOKUP($D248,$C$5:$AT$510,13,)/VLOOKUP($D248,$C$5:$AT$510,3,))*$E248)</f>
        <v>0</v>
      </c>
      <c r="P248" s="119">
        <f>IF(VLOOKUP($D248,$C$5:$AT$510,3,)=0,0,(VLOOKUP($D248,$C$5:$AT$510,14,)/VLOOKUP($D248,$C$5:$AT$510,3,))*$E248)</f>
        <v>0</v>
      </c>
      <c r="Q248" s="119">
        <f>IF(VLOOKUP($D248,$C$5:$AT$510,3,)=0,0,(VLOOKUP($D248,$C$5:$AT$510,15,)/VLOOKUP($D248,$C$5:$AT$510,3,))*$E248)</f>
        <v>0</v>
      </c>
      <c r="R248" s="119">
        <f>IF(VLOOKUP($D248,$C$5:$AT$510,3,)=0,0,(VLOOKUP($D248,$C$5:$AT$510,16,)/VLOOKUP($D248,$C$5:$AT$510,3,))*$E248)</f>
        <v>0</v>
      </c>
      <c r="S248" s="119">
        <f>IF(VLOOKUP($D248,$C$5:$AT$510,3,)=0,0,(VLOOKUP($D248,$C$5:$AT$510,17,)/VLOOKUP($D248,$C$5:$AT$510,3,))*$E248)</f>
        <v>0</v>
      </c>
      <c r="T248" s="119">
        <f>IF(VLOOKUP($D248,$C$5:$AT$510,3,)=0,0,(VLOOKUP($D248,$C$5:$AT$510,18,)/VLOOKUP($D248,$C$5:$AT$510,3,))*$E248)</f>
        <v>0</v>
      </c>
      <c r="U248" s="119">
        <f>IF(VLOOKUP($D248,$C$5:$AT$510,3,)=0,0,(VLOOKUP($D248,$C$5:$AT$510,19,)/VLOOKUP($D248,$C$5:$AT$510,3,))*$E248)</f>
        <v>0</v>
      </c>
      <c r="V248" s="119">
        <f>IF(VLOOKUP($D248,$C$5:$AT$510,3,)=0,0,(VLOOKUP($D248,$C$5:$AT$510,20,)/VLOOKUP($D248,$C$5:$AT$510,3,))*$E248)</f>
        <v>0</v>
      </c>
      <c r="W248" s="119">
        <f>IF(VLOOKUP($D248,$C$5:$AT$510,3,)=0,0,(VLOOKUP($D248,$C$5:$AT$510,21,)/VLOOKUP($D248,$C$5:$AT$510,3,))*$E248)</f>
        <v>0</v>
      </c>
      <c r="X248" s="119">
        <f>IF(VLOOKUP($D248,$C$5:$AT$510,3,)=0,0,(VLOOKUP($D248,$C$5:$AT$510,22,)/VLOOKUP($D248,$C$5:$AT$510,3,))*$E248)</f>
        <v>0</v>
      </c>
      <c r="Y248" s="119">
        <f>IF(VLOOKUP($D248,$C$5:$AT$510,3,)=0,0,(VLOOKUP($D248,$C$5:$AT$510,23,)/VLOOKUP($D248,$C$5:$AT$510,3,))*$E248)</f>
        <v>0</v>
      </c>
      <c r="Z248" s="119">
        <f>IF(VLOOKUP($D248,$C$5:$AT$510,3,)=0,0,(VLOOKUP($D248,$C$5:$AT$510,24,)/VLOOKUP($D248,$C$5:$AT$510,3,))*$E248)</f>
        <v>0</v>
      </c>
      <c r="AA248" s="119">
        <f>IF(VLOOKUP($D248,$C$5:$AT$510,3,)=0,0,(VLOOKUP($D248,$C$5:$AT$510,25,)/VLOOKUP($D248,$C$5:$AT$510,3,))*$E248)</f>
        <v>0</v>
      </c>
      <c r="AB248" s="119">
        <f>IF(VLOOKUP($D248,$C$5:$AT$510,3,)=0,0,(VLOOKUP($D248,$C$5:$AT$510,26,)/VLOOKUP($D248,$C$5:$AT$510,3,))*$E248)</f>
        <v>0</v>
      </c>
      <c r="AC248" s="119">
        <f>IF(VLOOKUP($D248,$C$5:$AT$510,3,)=0,0,(VLOOKUP($D248,$C$5:$AT$510,27,)/VLOOKUP($D248,$C$5:$AT$510,3,))*$E248)</f>
        <v>0</v>
      </c>
      <c r="AD248" s="119">
        <f>IF(VLOOKUP($D248,$C$5:$AT$510,3,)=0,0,(VLOOKUP($D248,$C$5:$AT$510,28,)/VLOOKUP($D248,$C$5:$AT$510,3,))*$E248)</f>
        <v>0</v>
      </c>
      <c r="AE248" s="119">
        <f>IF(VLOOKUP($D248,$C$5:$AT$510,3,)=0,0,(VLOOKUP($D248,$C$5:$AT$510,29,)/VLOOKUP($D248,$C$5:$AT$510,3,))*$E248)</f>
        <v>0</v>
      </c>
      <c r="AF248" s="119">
        <f>IF(VLOOKUP($D248,$C$5:$AT$510,3,)=0,0,(VLOOKUP($D248,$C$5:$AT$510,30,)/VLOOKUP($D248,$C$5:$AT$510,3,))*$E248)</f>
        <v>0</v>
      </c>
      <c r="AG248" s="120">
        <f>SUM(F248:AF248)</f>
        <v>0</v>
      </c>
      <c r="AH248" s="103" t="str">
        <f>IF(ABS(E248-AG248)&lt;0.01,"ok","err")</f>
        <v>ok</v>
      </c>
    </row>
    <row r="249" spans="1:34" x14ac:dyDescent="0.25">
      <c r="A249" s="133" t="s">
        <v>221</v>
      </c>
      <c r="C249" s="102" t="s">
        <v>303</v>
      </c>
      <c r="D249" s="102" t="s">
        <v>223</v>
      </c>
      <c r="E249" s="110">
        <f>'Func &amp; Classif'!P314</f>
        <v>0</v>
      </c>
      <c r="F249" s="119">
        <f>IF(VLOOKUP($D249,$C$5:$AT$510,3,)=0,0,(VLOOKUP($D249,$C$5:$AT$510,4,)/VLOOKUP($D249,$C$5:$AT$510,3,))*$E249)</f>
        <v>0</v>
      </c>
      <c r="G249" s="119">
        <f>IF(VLOOKUP($D249,$C$5:$AT$510,3,)=0,0,(VLOOKUP($D249,$C$5:$AT$510,5,)/VLOOKUP($D249,$C$5:$AT$510,3,))*$E249)</f>
        <v>0</v>
      </c>
      <c r="H249" s="119">
        <f>IF(VLOOKUP($D249,$C$5:$AT$510,3,)=0,0,(VLOOKUP($D249,$C$5:$AT$510,6,)/VLOOKUP($D249,$C$5:$AT$510,3,))*$E249)</f>
        <v>0</v>
      </c>
      <c r="I249" s="119">
        <f>IF(VLOOKUP($D249,$C$5:$AT$510,3,)=0,0,(VLOOKUP($D249,$C$5:$AT$510,7,)/VLOOKUP($D249,$C$5:$AT$510,3,))*$E249)</f>
        <v>0</v>
      </c>
      <c r="J249" s="119">
        <f>IF(VLOOKUP($D249,$C$5:$AT$510,3,)=0,0,(VLOOKUP($D249,$C$5:$AT$510,8,)/VLOOKUP($D249,$C$5:$AT$510,3,))*$E249)</f>
        <v>0</v>
      </c>
      <c r="K249" s="119">
        <f>IF(VLOOKUP($D249,$C$5:$AT$510,3,)=0,0,(VLOOKUP($D249,$C$5:$AT$510,9,)/VLOOKUP($D249,$C$5:$AT$510,3,))*$E249)</f>
        <v>0</v>
      </c>
      <c r="L249" s="119">
        <f>IF(VLOOKUP($D249,$C$5:$AT$510,3,)=0,0,(VLOOKUP($D249,$C$5:$AT$510,10,)/VLOOKUP($D249,$C$5:$AT$510,3,))*$E249)</f>
        <v>0</v>
      </c>
      <c r="M249" s="119">
        <f>IF(VLOOKUP($D249,$C$5:$AT$510,3,)=0,0,(VLOOKUP($D249,$C$5:$AT$510,11,)/VLOOKUP($D249,$C$5:$AT$510,3,))*$E249)</f>
        <v>0</v>
      </c>
      <c r="N249" s="119">
        <f>IF(VLOOKUP($D249,$C$5:$AT$510,3,)=0,0,(VLOOKUP($D249,$C$5:$AT$510,12,)/VLOOKUP($D249,$C$5:$AT$510,3,))*$E249)</f>
        <v>0</v>
      </c>
      <c r="O249" s="119">
        <f>IF(VLOOKUP($D249,$C$5:$AT$510,3,)=0,0,(VLOOKUP($D249,$C$5:$AT$510,13,)/VLOOKUP($D249,$C$5:$AT$510,3,))*$E249)</f>
        <v>0</v>
      </c>
      <c r="P249" s="119">
        <f>IF(VLOOKUP($D249,$C$5:$AT$510,3,)=0,0,(VLOOKUP($D249,$C$5:$AT$510,14,)/VLOOKUP($D249,$C$5:$AT$510,3,))*$E249)</f>
        <v>0</v>
      </c>
      <c r="Q249" s="119">
        <f>IF(VLOOKUP($D249,$C$5:$AT$510,3,)=0,0,(VLOOKUP($D249,$C$5:$AT$510,15,)/VLOOKUP($D249,$C$5:$AT$510,3,))*$E249)</f>
        <v>0</v>
      </c>
      <c r="R249" s="119">
        <f>IF(VLOOKUP($D249,$C$5:$AT$510,3,)=0,0,(VLOOKUP($D249,$C$5:$AT$510,16,)/VLOOKUP($D249,$C$5:$AT$510,3,))*$E249)</f>
        <v>0</v>
      </c>
      <c r="S249" s="119">
        <f>IF(VLOOKUP($D249,$C$5:$AT$510,3,)=0,0,(VLOOKUP($D249,$C$5:$AT$510,17,)/VLOOKUP($D249,$C$5:$AT$510,3,))*$E249)</f>
        <v>0</v>
      </c>
      <c r="T249" s="119">
        <f>IF(VLOOKUP($D249,$C$5:$AT$510,3,)=0,0,(VLOOKUP($D249,$C$5:$AT$510,18,)/VLOOKUP($D249,$C$5:$AT$510,3,))*$E249)</f>
        <v>0</v>
      </c>
      <c r="U249" s="119">
        <f>IF(VLOOKUP($D249,$C$5:$AT$510,3,)=0,0,(VLOOKUP($D249,$C$5:$AT$510,19,)/VLOOKUP($D249,$C$5:$AT$510,3,))*$E249)</f>
        <v>0</v>
      </c>
      <c r="V249" s="119">
        <f>IF(VLOOKUP($D249,$C$5:$AT$510,3,)=0,0,(VLOOKUP($D249,$C$5:$AT$510,20,)/VLOOKUP($D249,$C$5:$AT$510,3,))*$E249)</f>
        <v>0</v>
      </c>
      <c r="W249" s="119">
        <f>IF(VLOOKUP($D249,$C$5:$AT$510,3,)=0,0,(VLOOKUP($D249,$C$5:$AT$510,21,)/VLOOKUP($D249,$C$5:$AT$510,3,))*$E249)</f>
        <v>0</v>
      </c>
      <c r="X249" s="119">
        <f>IF(VLOOKUP($D249,$C$5:$AT$510,3,)=0,0,(VLOOKUP($D249,$C$5:$AT$510,22,)/VLOOKUP($D249,$C$5:$AT$510,3,))*$E249)</f>
        <v>0</v>
      </c>
      <c r="Y249" s="119">
        <f>IF(VLOOKUP($D249,$C$5:$AT$510,3,)=0,0,(VLOOKUP($D249,$C$5:$AT$510,23,)/VLOOKUP($D249,$C$5:$AT$510,3,))*$E249)</f>
        <v>0</v>
      </c>
      <c r="Z249" s="119">
        <f>IF(VLOOKUP($D249,$C$5:$AT$510,3,)=0,0,(VLOOKUP($D249,$C$5:$AT$510,24,)/VLOOKUP($D249,$C$5:$AT$510,3,))*$E249)</f>
        <v>0</v>
      </c>
      <c r="AA249" s="119">
        <f>IF(VLOOKUP($D249,$C$5:$AT$510,3,)=0,0,(VLOOKUP($D249,$C$5:$AT$510,25,)/VLOOKUP($D249,$C$5:$AT$510,3,))*$E249)</f>
        <v>0</v>
      </c>
      <c r="AB249" s="119">
        <f>IF(VLOOKUP($D249,$C$5:$AT$510,3,)=0,0,(VLOOKUP($D249,$C$5:$AT$510,26,)/VLOOKUP($D249,$C$5:$AT$510,3,))*$E249)</f>
        <v>0</v>
      </c>
      <c r="AC249" s="119">
        <f>IF(VLOOKUP($D249,$C$5:$AT$510,3,)=0,0,(VLOOKUP($D249,$C$5:$AT$510,27,)/VLOOKUP($D249,$C$5:$AT$510,3,))*$E249)</f>
        <v>0</v>
      </c>
      <c r="AD249" s="119">
        <f>IF(VLOOKUP($D249,$C$5:$AT$510,3,)=0,0,(VLOOKUP($D249,$C$5:$AT$510,28,)/VLOOKUP($D249,$C$5:$AT$510,3,))*$E249)</f>
        <v>0</v>
      </c>
      <c r="AE249" s="119">
        <f>IF(VLOOKUP($D249,$C$5:$AT$510,3,)=0,0,(VLOOKUP($D249,$C$5:$AT$510,29,)/VLOOKUP($D249,$C$5:$AT$510,3,))*$E249)</f>
        <v>0</v>
      </c>
      <c r="AF249" s="119">
        <f>IF(VLOOKUP($D249,$C$5:$AT$510,3,)=0,0,(VLOOKUP($D249,$C$5:$AT$510,30,)/VLOOKUP($D249,$C$5:$AT$510,3,))*$E249)</f>
        <v>0</v>
      </c>
      <c r="AG249" s="120">
        <f>SUM(F249:AF249)</f>
        <v>0</v>
      </c>
      <c r="AH249" s="103" t="str">
        <f>IF(ABS(E249-AG249)&lt;0.01,"ok","err")</f>
        <v>ok</v>
      </c>
    </row>
    <row r="250" spans="1:34" x14ac:dyDescent="0.25">
      <c r="A250" s="102" t="s">
        <v>224</v>
      </c>
      <c r="E250" s="119">
        <f t="shared" ref="E250:T250" si="48">E248+E249</f>
        <v>0</v>
      </c>
      <c r="F250" s="119">
        <f t="shared" si="48"/>
        <v>0</v>
      </c>
      <c r="G250" s="119">
        <f t="shared" si="48"/>
        <v>0</v>
      </c>
      <c r="H250" s="119">
        <f t="shared" si="48"/>
        <v>0</v>
      </c>
      <c r="I250" s="119">
        <f t="shared" si="48"/>
        <v>0</v>
      </c>
      <c r="J250" s="119">
        <f t="shared" si="48"/>
        <v>0</v>
      </c>
      <c r="K250" s="119">
        <f t="shared" si="48"/>
        <v>0</v>
      </c>
      <c r="L250" s="119">
        <f t="shared" si="48"/>
        <v>0</v>
      </c>
      <c r="M250" s="119">
        <f t="shared" si="48"/>
        <v>0</v>
      </c>
      <c r="N250" s="119">
        <f t="shared" si="48"/>
        <v>0</v>
      </c>
      <c r="O250" s="119">
        <f t="shared" si="48"/>
        <v>0</v>
      </c>
      <c r="P250" s="119">
        <f t="shared" si="48"/>
        <v>0</v>
      </c>
      <c r="Q250" s="119">
        <f t="shared" si="48"/>
        <v>0</v>
      </c>
      <c r="R250" s="119">
        <f t="shared" si="48"/>
        <v>0</v>
      </c>
      <c r="S250" s="119">
        <f t="shared" si="48"/>
        <v>0</v>
      </c>
      <c r="T250" s="119">
        <f t="shared" si="48"/>
        <v>0</v>
      </c>
      <c r="U250" s="119">
        <f t="shared" ref="U250:AF250" si="49">U248+U249</f>
        <v>0</v>
      </c>
      <c r="V250" s="119">
        <f t="shared" si="49"/>
        <v>0</v>
      </c>
      <c r="W250" s="119">
        <f t="shared" si="49"/>
        <v>0</v>
      </c>
      <c r="X250" s="119">
        <f t="shared" si="49"/>
        <v>0</v>
      </c>
      <c r="Y250" s="119">
        <f t="shared" si="49"/>
        <v>0</v>
      </c>
      <c r="Z250" s="119">
        <f t="shared" si="49"/>
        <v>0</v>
      </c>
      <c r="AA250" s="119">
        <f t="shared" si="49"/>
        <v>0</v>
      </c>
      <c r="AB250" s="119">
        <f t="shared" si="49"/>
        <v>0</v>
      </c>
      <c r="AC250" s="119">
        <f t="shared" si="49"/>
        <v>0</v>
      </c>
      <c r="AD250" s="119">
        <f t="shared" si="49"/>
        <v>0</v>
      </c>
      <c r="AE250" s="119">
        <f t="shared" si="49"/>
        <v>0</v>
      </c>
      <c r="AF250" s="119">
        <f t="shared" si="49"/>
        <v>0</v>
      </c>
      <c r="AG250" s="120">
        <f>SUM(F250:AF250)</f>
        <v>0</v>
      </c>
      <c r="AH250" s="103" t="str">
        <f>IF(ABS(E250-AG250)&lt;0.01,"ok","err")</f>
        <v>ok</v>
      </c>
    </row>
    <row r="251" spans="1:34" x14ac:dyDescent="0.25">
      <c r="E251" s="110"/>
    </row>
    <row r="252" spans="1:34" x14ac:dyDescent="0.25">
      <c r="A252" s="132" t="s">
        <v>3</v>
      </c>
      <c r="E252" s="110"/>
    </row>
    <row r="253" spans="1:34" x14ac:dyDescent="0.25">
      <c r="A253" s="133" t="s">
        <v>209</v>
      </c>
      <c r="C253" s="102" t="s">
        <v>304</v>
      </c>
      <c r="D253" s="102" t="s">
        <v>698</v>
      </c>
      <c r="E253" s="119">
        <f>'Func &amp; Classif'!R314</f>
        <v>0</v>
      </c>
      <c r="F253" s="119">
        <f>IF(VLOOKUP($D253,$C$5:$AT$510,3,)=0,0,(VLOOKUP($D253,$C$5:$AT$510,4,)/VLOOKUP($D253,$C$5:$AT$510,3,))*$E253)</f>
        <v>0</v>
      </c>
      <c r="G253" s="119">
        <f>IF(VLOOKUP($D253,$C$5:$AT$510,3,)=0,0,(VLOOKUP($D253,$C$5:$AT$510,5,)/VLOOKUP($D253,$C$5:$AT$510,3,))*$E253)</f>
        <v>0</v>
      </c>
      <c r="H253" s="119">
        <f>IF(VLOOKUP($D253,$C$5:$AT$510,3,)=0,0,(VLOOKUP($D253,$C$5:$AT$510,6,)/VLOOKUP($D253,$C$5:$AT$510,3,))*$E253)</f>
        <v>0</v>
      </c>
      <c r="I253" s="119">
        <f>IF(VLOOKUP($D253,$C$5:$AT$510,3,)=0,0,(VLOOKUP($D253,$C$5:$AT$510,7,)/VLOOKUP($D253,$C$5:$AT$510,3,))*$E253)</f>
        <v>0</v>
      </c>
      <c r="J253" s="119">
        <f>IF(VLOOKUP($D253,$C$5:$AT$510,3,)=0,0,(VLOOKUP($D253,$C$5:$AT$510,8,)/VLOOKUP($D253,$C$5:$AT$510,3,))*$E253)</f>
        <v>0</v>
      </c>
      <c r="K253" s="119">
        <f>IF(VLOOKUP($D253,$C$5:$AT$510,3,)=0,0,(VLOOKUP($D253,$C$5:$AT$510,9,)/VLOOKUP($D253,$C$5:$AT$510,3,))*$E253)</f>
        <v>0</v>
      </c>
      <c r="L253" s="119">
        <f>IF(VLOOKUP($D253,$C$5:$AT$510,3,)=0,0,(VLOOKUP($D253,$C$5:$AT$510,10,)/VLOOKUP($D253,$C$5:$AT$510,3,))*$E253)</f>
        <v>0</v>
      </c>
      <c r="M253" s="119">
        <f>IF(VLOOKUP($D253,$C$5:$AT$510,3,)=0,0,(VLOOKUP($D253,$C$5:$AT$510,11,)/VLOOKUP($D253,$C$5:$AT$510,3,))*$E253)</f>
        <v>0</v>
      </c>
      <c r="N253" s="119">
        <f>IF(VLOOKUP($D253,$C$5:$AT$510,3,)=0,0,(VLOOKUP($D253,$C$5:$AT$510,12,)/VLOOKUP($D253,$C$5:$AT$510,3,))*$E253)</f>
        <v>0</v>
      </c>
      <c r="O253" s="119">
        <f>IF(VLOOKUP($D253,$C$5:$AT$510,3,)=0,0,(VLOOKUP($D253,$C$5:$AT$510,13,)/VLOOKUP($D253,$C$5:$AT$510,3,))*$E253)</f>
        <v>0</v>
      </c>
      <c r="P253" s="119">
        <f>IF(VLOOKUP($D253,$C$5:$AT$510,3,)=0,0,(VLOOKUP($D253,$C$5:$AT$510,14,)/VLOOKUP($D253,$C$5:$AT$510,3,))*$E253)</f>
        <v>0</v>
      </c>
      <c r="Q253" s="119">
        <f>IF(VLOOKUP($D253,$C$5:$AT$510,3,)=0,0,(VLOOKUP($D253,$C$5:$AT$510,15,)/VLOOKUP($D253,$C$5:$AT$510,3,))*$E253)</f>
        <v>0</v>
      </c>
      <c r="R253" s="119">
        <f>IF(VLOOKUP($D253,$C$5:$AT$510,3,)=0,0,(VLOOKUP($D253,$C$5:$AT$510,16,)/VLOOKUP($D253,$C$5:$AT$510,3,))*$E253)</f>
        <v>0</v>
      </c>
      <c r="S253" s="119">
        <f>IF(VLOOKUP($D253,$C$5:$AT$510,3,)=0,0,(VLOOKUP($D253,$C$5:$AT$510,17,)/VLOOKUP($D253,$C$5:$AT$510,3,))*$E253)</f>
        <v>0</v>
      </c>
      <c r="T253" s="119">
        <f>IF(VLOOKUP($D253,$C$5:$AT$510,3,)=0,0,(VLOOKUP($D253,$C$5:$AT$510,18,)/VLOOKUP($D253,$C$5:$AT$510,3,))*$E253)</f>
        <v>0</v>
      </c>
      <c r="U253" s="119">
        <f>IF(VLOOKUP($D253,$C$5:$AT$510,3,)=0,0,(VLOOKUP($D253,$C$5:$AT$510,19,)/VLOOKUP($D253,$C$5:$AT$510,3,))*$E253)</f>
        <v>0</v>
      </c>
      <c r="V253" s="119">
        <f>IF(VLOOKUP($D253,$C$5:$AT$510,3,)=0,0,(VLOOKUP($D253,$C$5:$AT$510,20,)/VLOOKUP($D253,$C$5:$AT$510,3,))*$E253)</f>
        <v>0</v>
      </c>
      <c r="W253" s="119">
        <f>IF(VLOOKUP($D253,$C$5:$AT$510,3,)=0,0,(VLOOKUP($D253,$C$5:$AT$510,21,)/VLOOKUP($D253,$C$5:$AT$510,3,))*$E253)</f>
        <v>0</v>
      </c>
      <c r="X253" s="119">
        <f>IF(VLOOKUP($D253,$C$5:$AT$510,3,)=0,0,(VLOOKUP($D253,$C$5:$AT$510,22,)/VLOOKUP($D253,$C$5:$AT$510,3,))*$E253)</f>
        <v>0</v>
      </c>
      <c r="Y253" s="119">
        <f>IF(VLOOKUP($D253,$C$5:$AT$510,3,)=0,0,(VLOOKUP($D253,$C$5:$AT$510,23,)/VLOOKUP($D253,$C$5:$AT$510,3,))*$E253)</f>
        <v>0</v>
      </c>
      <c r="Z253" s="119">
        <f>IF(VLOOKUP($D253,$C$5:$AT$510,3,)=0,0,(VLOOKUP($D253,$C$5:$AT$510,24,)/VLOOKUP($D253,$C$5:$AT$510,3,))*$E253)</f>
        <v>0</v>
      </c>
      <c r="AA253" s="119">
        <f>IF(VLOOKUP($D253,$C$5:$AT$510,3,)=0,0,(VLOOKUP($D253,$C$5:$AT$510,25,)/VLOOKUP($D253,$C$5:$AT$510,3,))*$E253)</f>
        <v>0</v>
      </c>
      <c r="AB253" s="119">
        <f>IF(VLOOKUP($D253,$C$5:$AT$510,3,)=0,0,(VLOOKUP($D253,$C$5:$AT$510,26,)/VLOOKUP($D253,$C$5:$AT$510,3,))*$E253)</f>
        <v>0</v>
      </c>
      <c r="AC253" s="119">
        <f>IF(VLOOKUP($D253,$C$5:$AT$510,3,)=0,0,(VLOOKUP($D253,$C$5:$AT$510,27,)/VLOOKUP($D253,$C$5:$AT$510,3,))*$E253)</f>
        <v>0</v>
      </c>
      <c r="AD253" s="119">
        <f>IF(VLOOKUP($D253,$C$5:$AT$510,3,)=0,0,(VLOOKUP($D253,$C$5:$AT$510,28,)/VLOOKUP($D253,$C$5:$AT$510,3,))*$E253)</f>
        <v>0</v>
      </c>
      <c r="AE253" s="119">
        <f>IF(VLOOKUP($D253,$C$5:$AT$510,3,)=0,0,(VLOOKUP($D253,$C$5:$AT$510,29,)/VLOOKUP($D253,$C$5:$AT$510,3,))*$E253)</f>
        <v>0</v>
      </c>
      <c r="AF253" s="119">
        <f>IF(VLOOKUP($D253,$C$5:$AT$510,3,)=0,0,(VLOOKUP($D253,$C$5:$AT$510,30,)/VLOOKUP($D253,$C$5:$AT$510,3,))*$E253)</f>
        <v>0</v>
      </c>
      <c r="AG253" s="120">
        <f>SUM(F253:AF253)</f>
        <v>0</v>
      </c>
      <c r="AH253" s="103" t="str">
        <f>IF(ABS(E253-AG253)&lt;0.01,"ok","err")</f>
        <v>ok</v>
      </c>
    </row>
    <row r="254" spans="1:34" x14ac:dyDescent="0.25">
      <c r="A254" s="133" t="s">
        <v>221</v>
      </c>
      <c r="C254" s="102" t="s">
        <v>305</v>
      </c>
      <c r="D254" s="102" t="s">
        <v>698</v>
      </c>
      <c r="E254" s="110">
        <f>'Func &amp; Classif'!S314</f>
        <v>0</v>
      </c>
      <c r="F254" s="119">
        <f>IF(VLOOKUP($D254,$C$5:$AT$510,3,)=0,0,(VLOOKUP($D254,$C$5:$AT$510,4,)/VLOOKUP($D254,$C$5:$AT$510,3,))*$E254)</f>
        <v>0</v>
      </c>
      <c r="G254" s="119">
        <f>IF(VLOOKUP($D254,$C$5:$AT$510,3,)=0,0,(VLOOKUP($D254,$C$5:$AT$510,5,)/VLOOKUP($D254,$C$5:$AT$510,3,))*$E254)</f>
        <v>0</v>
      </c>
      <c r="H254" s="119">
        <f>IF(VLOOKUP($D254,$C$5:$AT$510,3,)=0,0,(VLOOKUP($D254,$C$5:$AT$510,6,)/VLOOKUP($D254,$C$5:$AT$510,3,))*$E254)</f>
        <v>0</v>
      </c>
      <c r="I254" s="119">
        <f>IF(VLOOKUP($D254,$C$5:$AT$510,3,)=0,0,(VLOOKUP($D254,$C$5:$AT$510,7,)/VLOOKUP($D254,$C$5:$AT$510,3,))*$E254)</f>
        <v>0</v>
      </c>
      <c r="J254" s="119">
        <f>IF(VLOOKUP($D254,$C$5:$AT$510,3,)=0,0,(VLOOKUP($D254,$C$5:$AT$510,8,)/VLOOKUP($D254,$C$5:$AT$510,3,))*$E254)</f>
        <v>0</v>
      </c>
      <c r="K254" s="119">
        <f>IF(VLOOKUP($D254,$C$5:$AT$510,3,)=0,0,(VLOOKUP($D254,$C$5:$AT$510,9,)/VLOOKUP($D254,$C$5:$AT$510,3,))*$E254)</f>
        <v>0</v>
      </c>
      <c r="L254" s="119">
        <f>IF(VLOOKUP($D254,$C$5:$AT$510,3,)=0,0,(VLOOKUP($D254,$C$5:$AT$510,10,)/VLOOKUP($D254,$C$5:$AT$510,3,))*$E254)</f>
        <v>0</v>
      </c>
      <c r="M254" s="119">
        <f>IF(VLOOKUP($D254,$C$5:$AT$510,3,)=0,0,(VLOOKUP($D254,$C$5:$AT$510,11,)/VLOOKUP($D254,$C$5:$AT$510,3,))*$E254)</f>
        <v>0</v>
      </c>
      <c r="N254" s="119">
        <f>IF(VLOOKUP($D254,$C$5:$AT$510,3,)=0,0,(VLOOKUP($D254,$C$5:$AT$510,12,)/VLOOKUP($D254,$C$5:$AT$510,3,))*$E254)</f>
        <v>0</v>
      </c>
      <c r="O254" s="119">
        <f>IF(VLOOKUP($D254,$C$5:$AT$510,3,)=0,0,(VLOOKUP($D254,$C$5:$AT$510,13,)/VLOOKUP($D254,$C$5:$AT$510,3,))*$E254)</f>
        <v>0</v>
      </c>
      <c r="P254" s="119">
        <f>IF(VLOOKUP($D254,$C$5:$AT$510,3,)=0,0,(VLOOKUP($D254,$C$5:$AT$510,14,)/VLOOKUP($D254,$C$5:$AT$510,3,))*$E254)</f>
        <v>0</v>
      </c>
      <c r="Q254" s="119">
        <f>IF(VLOOKUP($D254,$C$5:$AT$510,3,)=0,0,(VLOOKUP($D254,$C$5:$AT$510,15,)/VLOOKUP($D254,$C$5:$AT$510,3,))*$E254)</f>
        <v>0</v>
      </c>
      <c r="R254" s="119">
        <f>IF(VLOOKUP($D254,$C$5:$AT$510,3,)=0,0,(VLOOKUP($D254,$C$5:$AT$510,16,)/VLOOKUP($D254,$C$5:$AT$510,3,))*$E254)</f>
        <v>0</v>
      </c>
      <c r="S254" s="119">
        <f>IF(VLOOKUP($D254,$C$5:$AT$510,3,)=0,0,(VLOOKUP($D254,$C$5:$AT$510,17,)/VLOOKUP($D254,$C$5:$AT$510,3,))*$E254)</f>
        <v>0</v>
      </c>
      <c r="T254" s="119">
        <f>IF(VLOOKUP($D254,$C$5:$AT$510,3,)=0,0,(VLOOKUP($D254,$C$5:$AT$510,18,)/VLOOKUP($D254,$C$5:$AT$510,3,))*$E254)</f>
        <v>0</v>
      </c>
      <c r="U254" s="119">
        <f>IF(VLOOKUP($D254,$C$5:$AT$510,3,)=0,0,(VLOOKUP($D254,$C$5:$AT$510,19,)/VLOOKUP($D254,$C$5:$AT$510,3,))*$E254)</f>
        <v>0</v>
      </c>
      <c r="V254" s="119">
        <f>IF(VLOOKUP($D254,$C$5:$AT$510,3,)=0,0,(VLOOKUP($D254,$C$5:$AT$510,20,)/VLOOKUP($D254,$C$5:$AT$510,3,))*$E254)</f>
        <v>0</v>
      </c>
      <c r="W254" s="119">
        <f>IF(VLOOKUP($D254,$C$5:$AT$510,3,)=0,0,(VLOOKUP($D254,$C$5:$AT$510,21,)/VLOOKUP($D254,$C$5:$AT$510,3,))*$E254)</f>
        <v>0</v>
      </c>
      <c r="X254" s="119">
        <f>IF(VLOOKUP($D254,$C$5:$AT$510,3,)=0,0,(VLOOKUP($D254,$C$5:$AT$510,22,)/VLOOKUP($D254,$C$5:$AT$510,3,))*$E254)</f>
        <v>0</v>
      </c>
      <c r="Y254" s="119">
        <f>IF(VLOOKUP($D254,$C$5:$AT$510,3,)=0,0,(VLOOKUP($D254,$C$5:$AT$510,23,)/VLOOKUP($D254,$C$5:$AT$510,3,))*$E254)</f>
        <v>0</v>
      </c>
      <c r="Z254" s="119">
        <f>IF(VLOOKUP($D254,$C$5:$AT$510,3,)=0,0,(VLOOKUP($D254,$C$5:$AT$510,24,)/VLOOKUP($D254,$C$5:$AT$510,3,))*$E254)</f>
        <v>0</v>
      </c>
      <c r="AA254" s="119">
        <f>IF(VLOOKUP($D254,$C$5:$AT$510,3,)=0,0,(VLOOKUP($D254,$C$5:$AT$510,25,)/VLOOKUP($D254,$C$5:$AT$510,3,))*$E254)</f>
        <v>0</v>
      </c>
      <c r="AB254" s="119">
        <f>IF(VLOOKUP($D254,$C$5:$AT$510,3,)=0,0,(VLOOKUP($D254,$C$5:$AT$510,26,)/VLOOKUP($D254,$C$5:$AT$510,3,))*$E254)</f>
        <v>0</v>
      </c>
      <c r="AC254" s="119">
        <f>IF(VLOOKUP($D254,$C$5:$AT$510,3,)=0,0,(VLOOKUP($D254,$C$5:$AT$510,27,)/VLOOKUP($D254,$C$5:$AT$510,3,))*$E254)</f>
        <v>0</v>
      </c>
      <c r="AD254" s="119">
        <f>IF(VLOOKUP($D254,$C$5:$AT$510,3,)=0,0,(VLOOKUP($D254,$C$5:$AT$510,28,)/VLOOKUP($D254,$C$5:$AT$510,3,))*$E254)</f>
        <v>0</v>
      </c>
      <c r="AE254" s="119">
        <f>IF(VLOOKUP($D254,$C$5:$AT$510,3,)=0,0,(VLOOKUP($D254,$C$5:$AT$510,29,)/VLOOKUP($D254,$C$5:$AT$510,3,))*$E254)</f>
        <v>0</v>
      </c>
      <c r="AF254" s="119">
        <f>IF(VLOOKUP($D254,$C$5:$AT$510,3,)=0,0,(VLOOKUP($D254,$C$5:$AT$510,30,)/VLOOKUP($D254,$C$5:$AT$510,3,))*$E254)</f>
        <v>0</v>
      </c>
      <c r="AG254" s="120">
        <f>SUM(F254:AF254)</f>
        <v>0</v>
      </c>
      <c r="AH254" s="103" t="str">
        <f>IF(ABS(E254-AG254)&lt;0.01,"ok","err")</f>
        <v>ok</v>
      </c>
    </row>
    <row r="255" spans="1:34" x14ac:dyDescent="0.25">
      <c r="A255" s="102" t="s">
        <v>228</v>
      </c>
      <c r="E255" s="119">
        <f t="shared" ref="E255:T255" si="50">E253+E254</f>
        <v>0</v>
      </c>
      <c r="F255" s="119">
        <f t="shared" si="50"/>
        <v>0</v>
      </c>
      <c r="G255" s="119">
        <f t="shared" si="50"/>
        <v>0</v>
      </c>
      <c r="H255" s="119">
        <f t="shared" si="50"/>
        <v>0</v>
      </c>
      <c r="I255" s="119">
        <f t="shared" si="50"/>
        <v>0</v>
      </c>
      <c r="J255" s="119">
        <f t="shared" si="50"/>
        <v>0</v>
      </c>
      <c r="K255" s="119">
        <f t="shared" si="50"/>
        <v>0</v>
      </c>
      <c r="L255" s="119">
        <f t="shared" si="50"/>
        <v>0</v>
      </c>
      <c r="M255" s="119">
        <f t="shared" si="50"/>
        <v>0</v>
      </c>
      <c r="N255" s="119">
        <f t="shared" si="50"/>
        <v>0</v>
      </c>
      <c r="O255" s="119">
        <f t="shared" si="50"/>
        <v>0</v>
      </c>
      <c r="P255" s="119">
        <f t="shared" si="50"/>
        <v>0</v>
      </c>
      <c r="Q255" s="119">
        <f t="shared" si="50"/>
        <v>0</v>
      </c>
      <c r="R255" s="119">
        <f t="shared" si="50"/>
        <v>0</v>
      </c>
      <c r="S255" s="119">
        <f t="shared" si="50"/>
        <v>0</v>
      </c>
      <c r="T255" s="119">
        <f t="shared" si="50"/>
        <v>0</v>
      </c>
      <c r="U255" s="119">
        <f t="shared" ref="U255:AF255" si="51">U253+U254</f>
        <v>0</v>
      </c>
      <c r="V255" s="119">
        <f t="shared" si="51"/>
        <v>0</v>
      </c>
      <c r="W255" s="119">
        <f t="shared" si="51"/>
        <v>0</v>
      </c>
      <c r="X255" s="119">
        <f t="shared" si="51"/>
        <v>0</v>
      </c>
      <c r="Y255" s="119">
        <f t="shared" si="51"/>
        <v>0</v>
      </c>
      <c r="Z255" s="119">
        <f t="shared" si="51"/>
        <v>0</v>
      </c>
      <c r="AA255" s="119">
        <f t="shared" si="51"/>
        <v>0</v>
      </c>
      <c r="AB255" s="119">
        <f t="shared" si="51"/>
        <v>0</v>
      </c>
      <c r="AC255" s="119">
        <f t="shared" si="51"/>
        <v>0</v>
      </c>
      <c r="AD255" s="119">
        <f t="shared" si="51"/>
        <v>0</v>
      </c>
      <c r="AE255" s="119">
        <f t="shared" si="51"/>
        <v>0</v>
      </c>
      <c r="AF255" s="119">
        <f t="shared" si="51"/>
        <v>0</v>
      </c>
      <c r="AG255" s="120">
        <f>SUM(F255:AF255)</f>
        <v>0</v>
      </c>
      <c r="AH255" s="103" t="str">
        <f>IF(ABS(E255-AG255)&lt;0.01,"ok","err")</f>
        <v>ok</v>
      </c>
    </row>
    <row r="256" spans="1:34" x14ac:dyDescent="0.25">
      <c r="E256" s="110"/>
    </row>
    <row r="257" spans="1:34" x14ac:dyDescent="0.25">
      <c r="A257" s="132" t="s">
        <v>4</v>
      </c>
      <c r="E257" s="110"/>
    </row>
    <row r="258" spans="1:34" x14ac:dyDescent="0.25">
      <c r="A258" s="133" t="s">
        <v>221</v>
      </c>
      <c r="C258" s="102" t="s">
        <v>306</v>
      </c>
      <c r="D258" s="102" t="s">
        <v>230</v>
      </c>
      <c r="E258" s="119">
        <f>'Func &amp; Classif'!U314</f>
        <v>0</v>
      </c>
      <c r="F258" s="119">
        <f>IF(VLOOKUP($D258,$C$5:$AT$510,3,)=0,0,(VLOOKUP($D258,$C$5:$AT$510,4,)/VLOOKUP($D258,$C$5:$AT$510,3,))*$E258)</f>
        <v>0</v>
      </c>
      <c r="G258" s="119">
        <f>IF(VLOOKUP($D258,$C$5:$AT$510,3,)=0,0,(VLOOKUP($D258,$C$5:$AT$510,5,)/VLOOKUP($D258,$C$5:$AT$510,3,))*$E258)</f>
        <v>0</v>
      </c>
      <c r="H258" s="119">
        <f>IF(VLOOKUP($D258,$C$5:$AT$510,3,)=0,0,(VLOOKUP($D258,$C$5:$AT$510,6,)/VLOOKUP($D258,$C$5:$AT$510,3,))*$E258)</f>
        <v>0</v>
      </c>
      <c r="I258" s="119">
        <f>IF(VLOOKUP($D258,$C$5:$AT$510,3,)=0,0,(VLOOKUP($D258,$C$5:$AT$510,7,)/VLOOKUP($D258,$C$5:$AT$510,3,))*$E258)</f>
        <v>0</v>
      </c>
      <c r="J258" s="119">
        <f>IF(VLOOKUP($D258,$C$5:$AT$510,3,)=0,0,(VLOOKUP($D258,$C$5:$AT$510,8,)/VLOOKUP($D258,$C$5:$AT$510,3,))*$E258)</f>
        <v>0</v>
      </c>
      <c r="K258" s="119">
        <f>IF(VLOOKUP($D258,$C$5:$AT$510,3,)=0,0,(VLOOKUP($D258,$C$5:$AT$510,9,)/VLOOKUP($D258,$C$5:$AT$510,3,))*$E258)</f>
        <v>0</v>
      </c>
      <c r="L258" s="119">
        <f>IF(VLOOKUP($D258,$C$5:$AT$510,3,)=0,0,(VLOOKUP($D258,$C$5:$AT$510,10,)/VLOOKUP($D258,$C$5:$AT$510,3,))*$E258)</f>
        <v>0</v>
      </c>
      <c r="M258" s="119">
        <f>IF(VLOOKUP($D258,$C$5:$AT$510,3,)=0,0,(VLOOKUP($D258,$C$5:$AT$510,11,)/VLOOKUP($D258,$C$5:$AT$510,3,))*$E258)</f>
        <v>0</v>
      </c>
      <c r="N258" s="119">
        <f>IF(VLOOKUP($D258,$C$5:$AT$510,3,)=0,0,(VLOOKUP($D258,$C$5:$AT$510,12,)/VLOOKUP($D258,$C$5:$AT$510,3,))*$E258)</f>
        <v>0</v>
      </c>
      <c r="O258" s="119">
        <f>IF(VLOOKUP($D258,$C$5:$AT$510,3,)=0,0,(VLOOKUP($D258,$C$5:$AT$510,13,)/VLOOKUP($D258,$C$5:$AT$510,3,))*$E258)</f>
        <v>0</v>
      </c>
      <c r="P258" s="119">
        <f>IF(VLOOKUP($D258,$C$5:$AT$510,3,)=0,0,(VLOOKUP($D258,$C$5:$AT$510,14,)/VLOOKUP($D258,$C$5:$AT$510,3,))*$E258)</f>
        <v>0</v>
      </c>
      <c r="Q258" s="119">
        <f>IF(VLOOKUP($D258,$C$5:$AT$510,3,)=0,0,(VLOOKUP($D258,$C$5:$AT$510,15,)/VLOOKUP($D258,$C$5:$AT$510,3,))*$E258)</f>
        <v>0</v>
      </c>
      <c r="R258" s="119">
        <f>IF(VLOOKUP($D258,$C$5:$AT$510,3,)=0,0,(VLOOKUP($D258,$C$5:$AT$510,16,)/VLOOKUP($D258,$C$5:$AT$510,3,))*$E258)</f>
        <v>0</v>
      </c>
      <c r="S258" s="119">
        <f>IF(VLOOKUP($D258,$C$5:$AT$510,3,)=0,0,(VLOOKUP($D258,$C$5:$AT$510,17,)/VLOOKUP($D258,$C$5:$AT$510,3,))*$E258)</f>
        <v>0</v>
      </c>
      <c r="T258" s="119">
        <f>IF(VLOOKUP($D258,$C$5:$AT$510,3,)=0,0,(VLOOKUP($D258,$C$5:$AT$510,18,)/VLOOKUP($D258,$C$5:$AT$510,3,))*$E258)</f>
        <v>0</v>
      </c>
      <c r="U258" s="119">
        <f>IF(VLOOKUP($D258,$C$5:$AT$510,3,)=0,0,(VLOOKUP($D258,$C$5:$AT$510,19,)/VLOOKUP($D258,$C$5:$AT$510,3,))*$E258)</f>
        <v>0</v>
      </c>
      <c r="V258" s="119">
        <f>IF(VLOOKUP($D258,$C$5:$AT$510,3,)=0,0,(VLOOKUP($D258,$C$5:$AT$510,20,)/VLOOKUP($D258,$C$5:$AT$510,3,))*$E258)</f>
        <v>0</v>
      </c>
      <c r="W258" s="119">
        <f>IF(VLOOKUP($D258,$C$5:$AT$510,3,)=0,0,(VLOOKUP($D258,$C$5:$AT$510,21,)/VLOOKUP($D258,$C$5:$AT$510,3,))*$E258)</f>
        <v>0</v>
      </c>
      <c r="X258" s="119">
        <f>IF(VLOOKUP($D258,$C$5:$AT$510,3,)=0,0,(VLOOKUP($D258,$C$5:$AT$510,22,)/VLOOKUP($D258,$C$5:$AT$510,3,))*$E258)</f>
        <v>0</v>
      </c>
      <c r="Y258" s="119">
        <f>IF(VLOOKUP($D258,$C$5:$AT$510,3,)=0,0,(VLOOKUP($D258,$C$5:$AT$510,23,)/VLOOKUP($D258,$C$5:$AT$510,3,))*$E258)</f>
        <v>0</v>
      </c>
      <c r="Z258" s="119">
        <f>IF(VLOOKUP($D258,$C$5:$AT$510,3,)=0,0,(VLOOKUP($D258,$C$5:$AT$510,24,)/VLOOKUP($D258,$C$5:$AT$510,3,))*$E258)</f>
        <v>0</v>
      </c>
      <c r="AA258" s="119">
        <f>IF(VLOOKUP($D258,$C$5:$AT$510,3,)=0,0,(VLOOKUP($D258,$C$5:$AT$510,25,)/VLOOKUP($D258,$C$5:$AT$510,3,))*$E258)</f>
        <v>0</v>
      </c>
      <c r="AB258" s="119">
        <f>IF(VLOOKUP($D258,$C$5:$AT$510,3,)=0,0,(VLOOKUP($D258,$C$5:$AT$510,26,)/VLOOKUP($D258,$C$5:$AT$510,3,))*$E258)</f>
        <v>0</v>
      </c>
      <c r="AC258" s="119">
        <f>IF(VLOOKUP($D258,$C$5:$AT$510,3,)=0,0,(VLOOKUP($D258,$C$5:$AT$510,27,)/VLOOKUP($D258,$C$5:$AT$510,3,))*$E258)</f>
        <v>0</v>
      </c>
      <c r="AD258" s="119">
        <f>IF(VLOOKUP($D258,$C$5:$AT$510,3,)=0,0,(VLOOKUP($D258,$C$5:$AT$510,28,)/VLOOKUP($D258,$C$5:$AT$510,3,))*$E258)</f>
        <v>0</v>
      </c>
      <c r="AE258" s="119">
        <f>IF(VLOOKUP($D258,$C$5:$AT$510,3,)=0,0,(VLOOKUP($D258,$C$5:$AT$510,29,)/VLOOKUP($D258,$C$5:$AT$510,3,))*$E258)</f>
        <v>0</v>
      </c>
      <c r="AF258" s="119">
        <f>IF(VLOOKUP($D258,$C$5:$AT$510,3,)=0,0,(VLOOKUP($D258,$C$5:$AT$510,30,)/VLOOKUP($D258,$C$5:$AT$510,3,))*$E258)</f>
        <v>0</v>
      </c>
      <c r="AG258" s="120">
        <f>SUM(F258:AF258)</f>
        <v>0</v>
      </c>
      <c r="AH258" s="103" t="str">
        <f>IF(ABS(E258-AG258)&lt;0.01,"ok","err")</f>
        <v>ok</v>
      </c>
    </row>
    <row r="259" spans="1:34" x14ac:dyDescent="0.25">
      <c r="E259" s="110"/>
    </row>
    <row r="260" spans="1:34" x14ac:dyDescent="0.25">
      <c r="A260" s="132" t="s">
        <v>5</v>
      </c>
      <c r="E260" s="110"/>
    </row>
    <row r="261" spans="1:34" x14ac:dyDescent="0.25">
      <c r="A261" s="133" t="s">
        <v>221</v>
      </c>
      <c r="C261" s="102" t="s">
        <v>307</v>
      </c>
      <c r="D261" s="102" t="s">
        <v>232</v>
      </c>
      <c r="E261" s="119">
        <f>'Func &amp; Classif'!W314</f>
        <v>0</v>
      </c>
      <c r="F261" s="119">
        <f>IF(VLOOKUP($D261,$C$5:$AT$510,3,)=0,0,(VLOOKUP($D261,$C$5:$AT$510,4,)/VLOOKUP($D261,$C$5:$AT$510,3,))*$E261)</f>
        <v>0</v>
      </c>
      <c r="G261" s="119">
        <f>IF(VLOOKUP($D261,$C$5:$AT$510,3,)=0,0,(VLOOKUP($D261,$C$5:$AT$510,5,)/VLOOKUP($D261,$C$5:$AT$510,3,))*$E261)</f>
        <v>0</v>
      </c>
      <c r="H261" s="119">
        <f>IF(VLOOKUP($D261,$C$5:$AT$510,3,)=0,0,(VLOOKUP($D261,$C$5:$AT$510,6,)/VLOOKUP($D261,$C$5:$AT$510,3,))*$E261)</f>
        <v>0</v>
      </c>
      <c r="I261" s="119">
        <f>IF(VLOOKUP($D261,$C$5:$AT$510,3,)=0,0,(VLOOKUP($D261,$C$5:$AT$510,7,)/VLOOKUP($D261,$C$5:$AT$510,3,))*$E261)</f>
        <v>0</v>
      </c>
      <c r="J261" s="119">
        <f>IF(VLOOKUP($D261,$C$5:$AT$510,3,)=0,0,(VLOOKUP($D261,$C$5:$AT$510,8,)/VLOOKUP($D261,$C$5:$AT$510,3,))*$E261)</f>
        <v>0</v>
      </c>
      <c r="K261" s="119">
        <f>IF(VLOOKUP($D261,$C$5:$AT$510,3,)=0,0,(VLOOKUP($D261,$C$5:$AT$510,9,)/VLOOKUP($D261,$C$5:$AT$510,3,))*$E261)</f>
        <v>0</v>
      </c>
      <c r="L261" s="119">
        <f>IF(VLOOKUP($D261,$C$5:$AT$510,3,)=0,0,(VLOOKUP($D261,$C$5:$AT$510,10,)/VLOOKUP($D261,$C$5:$AT$510,3,))*$E261)</f>
        <v>0</v>
      </c>
      <c r="M261" s="119">
        <f>IF(VLOOKUP($D261,$C$5:$AT$510,3,)=0,0,(VLOOKUP($D261,$C$5:$AT$510,11,)/VLOOKUP($D261,$C$5:$AT$510,3,))*$E261)</f>
        <v>0</v>
      </c>
      <c r="N261" s="119">
        <f>IF(VLOOKUP($D261,$C$5:$AT$510,3,)=0,0,(VLOOKUP($D261,$C$5:$AT$510,12,)/VLOOKUP($D261,$C$5:$AT$510,3,))*$E261)</f>
        <v>0</v>
      </c>
      <c r="O261" s="119">
        <f>IF(VLOOKUP($D261,$C$5:$AT$510,3,)=0,0,(VLOOKUP($D261,$C$5:$AT$510,13,)/VLOOKUP($D261,$C$5:$AT$510,3,))*$E261)</f>
        <v>0</v>
      </c>
      <c r="P261" s="119">
        <f>IF(VLOOKUP($D261,$C$5:$AT$510,3,)=0,0,(VLOOKUP($D261,$C$5:$AT$510,14,)/VLOOKUP($D261,$C$5:$AT$510,3,))*$E261)</f>
        <v>0</v>
      </c>
      <c r="Q261" s="119">
        <f>IF(VLOOKUP($D261,$C$5:$AT$510,3,)=0,0,(VLOOKUP($D261,$C$5:$AT$510,15,)/VLOOKUP($D261,$C$5:$AT$510,3,))*$E261)</f>
        <v>0</v>
      </c>
      <c r="R261" s="119">
        <f>IF(VLOOKUP($D261,$C$5:$AT$510,3,)=0,0,(VLOOKUP($D261,$C$5:$AT$510,16,)/VLOOKUP($D261,$C$5:$AT$510,3,))*$E261)</f>
        <v>0</v>
      </c>
      <c r="S261" s="119">
        <f>IF(VLOOKUP($D261,$C$5:$AT$510,3,)=0,0,(VLOOKUP($D261,$C$5:$AT$510,17,)/VLOOKUP($D261,$C$5:$AT$510,3,))*$E261)</f>
        <v>0</v>
      </c>
      <c r="T261" s="119">
        <f>IF(VLOOKUP($D261,$C$5:$AT$510,3,)=0,0,(VLOOKUP($D261,$C$5:$AT$510,18,)/VLOOKUP($D261,$C$5:$AT$510,3,))*$E261)</f>
        <v>0</v>
      </c>
      <c r="U261" s="119">
        <f>IF(VLOOKUP($D261,$C$5:$AT$510,3,)=0,0,(VLOOKUP($D261,$C$5:$AT$510,19,)/VLOOKUP($D261,$C$5:$AT$510,3,))*$E261)</f>
        <v>0</v>
      </c>
      <c r="V261" s="119">
        <f>IF(VLOOKUP($D261,$C$5:$AT$510,3,)=0,0,(VLOOKUP($D261,$C$5:$AT$510,20,)/VLOOKUP($D261,$C$5:$AT$510,3,))*$E261)</f>
        <v>0</v>
      </c>
      <c r="W261" s="119">
        <f>IF(VLOOKUP($D261,$C$5:$AT$510,3,)=0,0,(VLOOKUP($D261,$C$5:$AT$510,21,)/VLOOKUP($D261,$C$5:$AT$510,3,))*$E261)</f>
        <v>0</v>
      </c>
      <c r="X261" s="119">
        <f>IF(VLOOKUP($D261,$C$5:$AT$510,3,)=0,0,(VLOOKUP($D261,$C$5:$AT$510,22,)/VLOOKUP($D261,$C$5:$AT$510,3,))*$E261)</f>
        <v>0</v>
      </c>
      <c r="Y261" s="119">
        <f>IF(VLOOKUP($D261,$C$5:$AT$510,3,)=0,0,(VLOOKUP($D261,$C$5:$AT$510,23,)/VLOOKUP($D261,$C$5:$AT$510,3,))*$E261)</f>
        <v>0</v>
      </c>
      <c r="Z261" s="119">
        <f>IF(VLOOKUP($D261,$C$5:$AT$510,3,)=0,0,(VLOOKUP($D261,$C$5:$AT$510,24,)/VLOOKUP($D261,$C$5:$AT$510,3,))*$E261)</f>
        <v>0</v>
      </c>
      <c r="AA261" s="119">
        <f>IF(VLOOKUP($D261,$C$5:$AT$510,3,)=0,0,(VLOOKUP($D261,$C$5:$AT$510,25,)/VLOOKUP($D261,$C$5:$AT$510,3,))*$E261)</f>
        <v>0</v>
      </c>
      <c r="AB261" s="119">
        <f>IF(VLOOKUP($D261,$C$5:$AT$510,3,)=0,0,(VLOOKUP($D261,$C$5:$AT$510,26,)/VLOOKUP($D261,$C$5:$AT$510,3,))*$E261)</f>
        <v>0</v>
      </c>
      <c r="AC261" s="119">
        <f>IF(VLOOKUP($D261,$C$5:$AT$510,3,)=0,0,(VLOOKUP($D261,$C$5:$AT$510,27,)/VLOOKUP($D261,$C$5:$AT$510,3,))*$E261)</f>
        <v>0</v>
      </c>
      <c r="AD261" s="119">
        <f>IF(VLOOKUP($D261,$C$5:$AT$510,3,)=0,0,(VLOOKUP($D261,$C$5:$AT$510,28,)/VLOOKUP($D261,$C$5:$AT$510,3,))*$E261)</f>
        <v>0</v>
      </c>
      <c r="AE261" s="119">
        <f>IF(VLOOKUP($D261,$C$5:$AT$510,3,)=0,0,(VLOOKUP($D261,$C$5:$AT$510,29,)/VLOOKUP($D261,$C$5:$AT$510,3,))*$E261)</f>
        <v>0</v>
      </c>
      <c r="AF261" s="119">
        <f>IF(VLOOKUP($D261,$C$5:$AT$510,3,)=0,0,(VLOOKUP($D261,$C$5:$AT$510,30,)/VLOOKUP($D261,$C$5:$AT$510,3,))*$E261)</f>
        <v>0</v>
      </c>
      <c r="AG261" s="120">
        <f>SUM(F261:AF261)</f>
        <v>0</v>
      </c>
      <c r="AH261" s="103" t="str">
        <f>IF(ABS(E261-AG261)&lt;0.01,"ok","err")</f>
        <v>ok</v>
      </c>
    </row>
    <row r="262" spans="1:34" x14ac:dyDescent="0.25">
      <c r="E262" s="110"/>
    </row>
    <row r="263" spans="1:34" x14ac:dyDescent="0.25">
      <c r="A263" s="132" t="s">
        <v>545</v>
      </c>
      <c r="E263" s="110"/>
    </row>
    <row r="264" spans="1:34" x14ac:dyDescent="0.25">
      <c r="A264" s="133" t="s">
        <v>221</v>
      </c>
      <c r="C264" s="102" t="s">
        <v>308</v>
      </c>
      <c r="D264" s="102" t="s">
        <v>234</v>
      </c>
      <c r="E264" s="119">
        <f>'Func &amp; Classif'!Y314</f>
        <v>0</v>
      </c>
      <c r="F264" s="119">
        <f>IF(VLOOKUP($D264,$C$5:$AT$510,3,)=0,0,(VLOOKUP($D264,$C$5:$AT$510,4,)/VLOOKUP($D264,$C$5:$AT$510,3,))*$E264)</f>
        <v>0</v>
      </c>
      <c r="G264" s="119">
        <f>IF(VLOOKUP($D264,$C$5:$AT$510,3,)=0,0,(VLOOKUP($D264,$C$5:$AT$510,5,)/VLOOKUP($D264,$C$5:$AT$510,3,))*$E264)</f>
        <v>0</v>
      </c>
      <c r="H264" s="119">
        <f>IF(VLOOKUP($D264,$C$5:$AT$510,3,)=0,0,(VLOOKUP($D264,$C$5:$AT$510,6,)/VLOOKUP($D264,$C$5:$AT$510,3,))*$E264)</f>
        <v>0</v>
      </c>
      <c r="I264" s="119">
        <f>IF(VLOOKUP($D264,$C$5:$AT$510,3,)=0,0,(VLOOKUP($D264,$C$5:$AT$510,7,)/VLOOKUP($D264,$C$5:$AT$510,3,))*$E264)</f>
        <v>0</v>
      </c>
      <c r="J264" s="119">
        <f>IF(VLOOKUP($D264,$C$5:$AT$510,3,)=0,0,(VLOOKUP($D264,$C$5:$AT$510,8,)/VLOOKUP($D264,$C$5:$AT$510,3,))*$E264)</f>
        <v>0</v>
      </c>
      <c r="K264" s="119">
        <f>IF(VLOOKUP($D264,$C$5:$AT$510,3,)=0,0,(VLOOKUP($D264,$C$5:$AT$510,9,)/VLOOKUP($D264,$C$5:$AT$510,3,))*$E264)</f>
        <v>0</v>
      </c>
      <c r="L264" s="119">
        <f>IF(VLOOKUP($D264,$C$5:$AT$510,3,)=0,0,(VLOOKUP($D264,$C$5:$AT$510,10,)/VLOOKUP($D264,$C$5:$AT$510,3,))*$E264)</f>
        <v>0</v>
      </c>
      <c r="M264" s="119">
        <f>IF(VLOOKUP($D264,$C$5:$AT$510,3,)=0,0,(VLOOKUP($D264,$C$5:$AT$510,11,)/VLOOKUP($D264,$C$5:$AT$510,3,))*$E264)</f>
        <v>0</v>
      </c>
      <c r="N264" s="119">
        <f>IF(VLOOKUP($D264,$C$5:$AT$510,3,)=0,0,(VLOOKUP($D264,$C$5:$AT$510,12,)/VLOOKUP($D264,$C$5:$AT$510,3,))*$E264)</f>
        <v>0</v>
      </c>
      <c r="O264" s="119">
        <f>IF(VLOOKUP($D264,$C$5:$AT$510,3,)=0,0,(VLOOKUP($D264,$C$5:$AT$510,13,)/VLOOKUP($D264,$C$5:$AT$510,3,))*$E264)</f>
        <v>0</v>
      </c>
      <c r="P264" s="119">
        <f>IF(VLOOKUP($D264,$C$5:$AT$510,3,)=0,0,(VLOOKUP($D264,$C$5:$AT$510,14,)/VLOOKUP($D264,$C$5:$AT$510,3,))*$E264)</f>
        <v>0</v>
      </c>
      <c r="Q264" s="119">
        <f>IF(VLOOKUP($D264,$C$5:$AT$510,3,)=0,0,(VLOOKUP($D264,$C$5:$AT$510,15,)/VLOOKUP($D264,$C$5:$AT$510,3,))*$E264)</f>
        <v>0</v>
      </c>
      <c r="R264" s="119">
        <f>IF(VLOOKUP($D264,$C$5:$AT$510,3,)=0,0,(VLOOKUP($D264,$C$5:$AT$510,16,)/VLOOKUP($D264,$C$5:$AT$510,3,))*$E264)</f>
        <v>0</v>
      </c>
      <c r="S264" s="119">
        <f>IF(VLOOKUP($D264,$C$5:$AT$510,3,)=0,0,(VLOOKUP($D264,$C$5:$AT$510,17,)/VLOOKUP($D264,$C$5:$AT$510,3,))*$E264)</f>
        <v>0</v>
      </c>
      <c r="T264" s="119">
        <f>IF(VLOOKUP($D264,$C$5:$AT$510,3,)=0,0,(VLOOKUP($D264,$C$5:$AT$510,18,)/VLOOKUP($D264,$C$5:$AT$510,3,))*$E264)</f>
        <v>0</v>
      </c>
      <c r="U264" s="119">
        <f>IF(VLOOKUP($D264,$C$5:$AT$510,3,)=0,0,(VLOOKUP($D264,$C$5:$AT$510,19,)/VLOOKUP($D264,$C$5:$AT$510,3,))*$E264)</f>
        <v>0</v>
      </c>
      <c r="V264" s="119">
        <f>IF(VLOOKUP($D264,$C$5:$AT$510,3,)=0,0,(VLOOKUP($D264,$C$5:$AT$510,20,)/VLOOKUP($D264,$C$5:$AT$510,3,))*$E264)</f>
        <v>0</v>
      </c>
      <c r="W264" s="119">
        <f>IF(VLOOKUP($D264,$C$5:$AT$510,3,)=0,0,(VLOOKUP($D264,$C$5:$AT$510,21,)/VLOOKUP($D264,$C$5:$AT$510,3,))*$E264)</f>
        <v>0</v>
      </c>
      <c r="X264" s="119">
        <f>IF(VLOOKUP($D264,$C$5:$AT$510,3,)=0,0,(VLOOKUP($D264,$C$5:$AT$510,22,)/VLOOKUP($D264,$C$5:$AT$510,3,))*$E264)</f>
        <v>0</v>
      </c>
      <c r="Y264" s="119">
        <f>IF(VLOOKUP($D264,$C$5:$AT$510,3,)=0,0,(VLOOKUP($D264,$C$5:$AT$510,23,)/VLOOKUP($D264,$C$5:$AT$510,3,))*$E264)</f>
        <v>0</v>
      </c>
      <c r="Z264" s="119">
        <f>IF(VLOOKUP($D264,$C$5:$AT$510,3,)=0,0,(VLOOKUP($D264,$C$5:$AT$510,24,)/VLOOKUP($D264,$C$5:$AT$510,3,))*$E264)</f>
        <v>0</v>
      </c>
      <c r="AA264" s="119">
        <f>IF(VLOOKUP($D264,$C$5:$AT$510,3,)=0,0,(VLOOKUP($D264,$C$5:$AT$510,25,)/VLOOKUP($D264,$C$5:$AT$510,3,))*$E264)</f>
        <v>0</v>
      </c>
      <c r="AB264" s="119">
        <f>IF(VLOOKUP($D264,$C$5:$AT$510,3,)=0,0,(VLOOKUP($D264,$C$5:$AT$510,26,)/VLOOKUP($D264,$C$5:$AT$510,3,))*$E264)</f>
        <v>0</v>
      </c>
      <c r="AC264" s="119">
        <f>IF(VLOOKUP($D264,$C$5:$AT$510,3,)=0,0,(VLOOKUP($D264,$C$5:$AT$510,27,)/VLOOKUP($D264,$C$5:$AT$510,3,))*$E264)</f>
        <v>0</v>
      </c>
      <c r="AD264" s="119">
        <f>IF(VLOOKUP($D264,$C$5:$AT$510,3,)=0,0,(VLOOKUP($D264,$C$5:$AT$510,28,)/VLOOKUP($D264,$C$5:$AT$510,3,))*$E264)</f>
        <v>0</v>
      </c>
      <c r="AE264" s="119">
        <f>IF(VLOOKUP($D264,$C$5:$AT$510,3,)=0,0,(VLOOKUP($D264,$C$5:$AT$510,29,)/VLOOKUP($D264,$C$5:$AT$510,3,))*$E264)</f>
        <v>0</v>
      </c>
      <c r="AF264" s="119">
        <f>IF(VLOOKUP($D264,$C$5:$AT$510,3,)=0,0,(VLOOKUP($D264,$C$5:$AT$510,30,)/VLOOKUP($D264,$C$5:$AT$510,3,))*$E264)</f>
        <v>0</v>
      </c>
      <c r="AG264" s="120">
        <f>SUM(F264:AF264)</f>
        <v>0</v>
      </c>
      <c r="AH264" s="103" t="str">
        <f>IF(ABS(E264-AG264)&lt;0.01,"ok","err")</f>
        <v>ok</v>
      </c>
    </row>
    <row r="265" spans="1:34" x14ac:dyDescent="0.25">
      <c r="E265" s="110"/>
    </row>
    <row r="266" spans="1:34" x14ac:dyDescent="0.25">
      <c r="A266" s="132" t="s">
        <v>470</v>
      </c>
      <c r="E266" s="110"/>
    </row>
    <row r="267" spans="1:34" x14ac:dyDescent="0.25">
      <c r="A267" s="133" t="s">
        <v>221</v>
      </c>
      <c r="C267" s="102" t="s">
        <v>305</v>
      </c>
      <c r="D267" s="102" t="s">
        <v>235</v>
      </c>
      <c r="E267" s="119">
        <f>'Func &amp; Classif'!AA314</f>
        <v>0</v>
      </c>
      <c r="F267" s="119">
        <f>IF(VLOOKUP($D267,$C$5:$AT$510,3,)=0,0,(VLOOKUP($D267,$C$5:$AT$510,4,)/VLOOKUP($D267,$C$5:$AT$510,3,))*$E267)</f>
        <v>0</v>
      </c>
      <c r="G267" s="119">
        <f>IF(VLOOKUP($D267,$C$5:$AT$510,3,)=0,0,(VLOOKUP($D267,$C$5:$AT$510,5,)/VLOOKUP($D267,$C$5:$AT$510,3,))*$E267)</f>
        <v>0</v>
      </c>
      <c r="H267" s="119">
        <f>IF(VLOOKUP($D267,$C$5:$AT$510,3,)=0,0,(VLOOKUP($D267,$C$5:$AT$510,6,)/VLOOKUP($D267,$C$5:$AT$510,3,))*$E267)</f>
        <v>0</v>
      </c>
      <c r="I267" s="119">
        <f>IF(VLOOKUP($D267,$C$5:$AT$510,3,)=0,0,(VLOOKUP($D267,$C$5:$AT$510,7,)/VLOOKUP($D267,$C$5:$AT$510,3,))*$E267)</f>
        <v>0</v>
      </c>
      <c r="J267" s="119">
        <f>IF(VLOOKUP($D267,$C$5:$AT$510,3,)=0,0,(VLOOKUP($D267,$C$5:$AT$510,8,)/VLOOKUP($D267,$C$5:$AT$510,3,))*$E267)</f>
        <v>0</v>
      </c>
      <c r="K267" s="119">
        <f>IF(VLOOKUP($D267,$C$5:$AT$510,3,)=0,0,(VLOOKUP($D267,$C$5:$AT$510,9,)/VLOOKUP($D267,$C$5:$AT$510,3,))*$E267)</f>
        <v>0</v>
      </c>
      <c r="L267" s="119">
        <f>IF(VLOOKUP($D267,$C$5:$AT$510,3,)=0,0,(VLOOKUP($D267,$C$5:$AT$510,10,)/VLOOKUP($D267,$C$5:$AT$510,3,))*$E267)</f>
        <v>0</v>
      </c>
      <c r="M267" s="119">
        <f>IF(VLOOKUP($D267,$C$5:$AT$510,3,)=0,0,(VLOOKUP($D267,$C$5:$AT$510,11,)/VLOOKUP($D267,$C$5:$AT$510,3,))*$E267)</f>
        <v>0</v>
      </c>
      <c r="N267" s="119">
        <f>IF(VLOOKUP($D267,$C$5:$AT$510,3,)=0,0,(VLOOKUP($D267,$C$5:$AT$510,12,)/VLOOKUP($D267,$C$5:$AT$510,3,))*$E267)</f>
        <v>0</v>
      </c>
      <c r="O267" s="119">
        <f>IF(VLOOKUP($D267,$C$5:$AT$510,3,)=0,0,(VLOOKUP($D267,$C$5:$AT$510,13,)/VLOOKUP($D267,$C$5:$AT$510,3,))*$E267)</f>
        <v>0</v>
      </c>
      <c r="P267" s="119">
        <f>IF(VLOOKUP($D267,$C$5:$AT$510,3,)=0,0,(VLOOKUP($D267,$C$5:$AT$510,14,)/VLOOKUP($D267,$C$5:$AT$510,3,))*$E267)</f>
        <v>0</v>
      </c>
      <c r="Q267" s="119">
        <f>IF(VLOOKUP($D267,$C$5:$AT$510,3,)=0,0,(VLOOKUP($D267,$C$5:$AT$510,15,)/VLOOKUP($D267,$C$5:$AT$510,3,))*$E267)</f>
        <v>0</v>
      </c>
      <c r="R267" s="119">
        <f>IF(VLOOKUP($D267,$C$5:$AT$510,3,)=0,0,(VLOOKUP($D267,$C$5:$AT$510,16,)/VLOOKUP($D267,$C$5:$AT$510,3,))*$E267)</f>
        <v>0</v>
      </c>
      <c r="S267" s="119">
        <f>IF(VLOOKUP($D267,$C$5:$AT$510,3,)=0,0,(VLOOKUP($D267,$C$5:$AT$510,17,)/VLOOKUP($D267,$C$5:$AT$510,3,))*$E267)</f>
        <v>0</v>
      </c>
      <c r="T267" s="119">
        <f>IF(VLOOKUP($D267,$C$5:$AT$510,3,)=0,0,(VLOOKUP($D267,$C$5:$AT$510,18,)/VLOOKUP($D267,$C$5:$AT$510,3,))*$E267)</f>
        <v>0</v>
      </c>
      <c r="U267" s="119">
        <f>IF(VLOOKUP($D267,$C$5:$AT$510,3,)=0,0,(VLOOKUP($D267,$C$5:$AT$510,19,)/VLOOKUP($D267,$C$5:$AT$510,3,))*$E267)</f>
        <v>0</v>
      </c>
      <c r="V267" s="119">
        <f>IF(VLOOKUP($D267,$C$5:$AT$510,3,)=0,0,(VLOOKUP($D267,$C$5:$AT$510,20,)/VLOOKUP($D267,$C$5:$AT$510,3,))*$E267)</f>
        <v>0</v>
      </c>
      <c r="W267" s="119">
        <f>IF(VLOOKUP($D267,$C$5:$AT$510,3,)=0,0,(VLOOKUP($D267,$C$5:$AT$510,21,)/VLOOKUP($D267,$C$5:$AT$510,3,))*$E267)</f>
        <v>0</v>
      </c>
      <c r="X267" s="119">
        <f>IF(VLOOKUP($D267,$C$5:$AT$510,3,)=0,0,(VLOOKUP($D267,$C$5:$AT$510,22,)/VLOOKUP($D267,$C$5:$AT$510,3,))*$E267)</f>
        <v>0</v>
      </c>
      <c r="Y267" s="119">
        <f>IF(VLOOKUP($D267,$C$5:$AT$510,3,)=0,0,(VLOOKUP($D267,$C$5:$AT$510,23,)/VLOOKUP($D267,$C$5:$AT$510,3,))*$E267)</f>
        <v>0</v>
      </c>
      <c r="Z267" s="119">
        <f>IF(VLOOKUP($D267,$C$5:$AT$510,3,)=0,0,(VLOOKUP($D267,$C$5:$AT$510,24,)/VLOOKUP($D267,$C$5:$AT$510,3,))*$E267)</f>
        <v>0</v>
      </c>
      <c r="AA267" s="119">
        <f>IF(VLOOKUP($D267,$C$5:$AT$510,3,)=0,0,(VLOOKUP($D267,$C$5:$AT$510,25,)/VLOOKUP($D267,$C$5:$AT$510,3,))*$E267)</f>
        <v>0</v>
      </c>
      <c r="AB267" s="119">
        <f>IF(VLOOKUP($D267,$C$5:$AT$510,3,)=0,0,(VLOOKUP($D267,$C$5:$AT$510,26,)/VLOOKUP($D267,$C$5:$AT$510,3,))*$E267)</f>
        <v>0</v>
      </c>
      <c r="AC267" s="119">
        <f>IF(VLOOKUP($D267,$C$5:$AT$510,3,)=0,0,(VLOOKUP($D267,$C$5:$AT$510,27,)/VLOOKUP($D267,$C$5:$AT$510,3,))*$E267)</f>
        <v>0</v>
      </c>
      <c r="AD267" s="119">
        <f>IF(VLOOKUP($D267,$C$5:$AT$510,3,)=0,0,(VLOOKUP($D267,$C$5:$AT$510,28,)/VLOOKUP($D267,$C$5:$AT$510,3,))*$E267)</f>
        <v>0</v>
      </c>
      <c r="AE267" s="119">
        <f>IF(VLOOKUP($D267,$C$5:$AT$510,3,)=0,0,(VLOOKUP($D267,$C$5:$AT$510,29,)/VLOOKUP($D267,$C$5:$AT$510,3,))*$E267)</f>
        <v>0</v>
      </c>
      <c r="AF267" s="119">
        <f>IF(VLOOKUP($D267,$C$5:$AT$510,3,)=0,0,(VLOOKUP($D267,$C$5:$AT$510,30,)/VLOOKUP($D267,$C$5:$AT$510,3,))*$E267)</f>
        <v>0</v>
      </c>
      <c r="AG267" s="120">
        <f>SUM(F267:AF267)</f>
        <v>0</v>
      </c>
      <c r="AH267" s="103" t="str">
        <f>IF(ABS(E267-AG267)&lt;0.01,"ok","err")</f>
        <v>ok</v>
      </c>
    </row>
    <row r="268" spans="1:34" x14ac:dyDescent="0.25">
      <c r="E268" s="110"/>
    </row>
    <row r="269" spans="1:34" x14ac:dyDescent="0.25">
      <c r="A269" s="102" t="s">
        <v>0</v>
      </c>
      <c r="C269" s="102" t="s">
        <v>309</v>
      </c>
      <c r="E269" s="119">
        <f>E239+E242+E245+E250+E255+E258+E261+E264+E267</f>
        <v>0</v>
      </c>
      <c r="F269" s="119">
        <f t="shared" ref="F269:R269" si="52">F239+F242+F245+F250+F255+F258+F261+F264+F267</f>
        <v>0</v>
      </c>
      <c r="G269" s="119">
        <f t="shared" si="52"/>
        <v>0</v>
      </c>
      <c r="H269" s="119">
        <f t="shared" si="52"/>
        <v>0</v>
      </c>
      <c r="I269" s="119">
        <f t="shared" si="52"/>
        <v>0</v>
      </c>
      <c r="J269" s="119">
        <f t="shared" si="52"/>
        <v>0</v>
      </c>
      <c r="K269" s="119">
        <f t="shared" si="52"/>
        <v>0</v>
      </c>
      <c r="L269" s="119">
        <f t="shared" si="52"/>
        <v>0</v>
      </c>
      <c r="M269" s="119">
        <f t="shared" si="52"/>
        <v>0</v>
      </c>
      <c r="N269" s="119">
        <f t="shared" si="52"/>
        <v>0</v>
      </c>
      <c r="O269" s="119">
        <f t="shared" si="52"/>
        <v>0</v>
      </c>
      <c r="P269" s="119">
        <f t="shared" si="52"/>
        <v>0</v>
      </c>
      <c r="Q269" s="119">
        <f t="shared" si="52"/>
        <v>0</v>
      </c>
      <c r="R269" s="119">
        <f t="shared" si="52"/>
        <v>0</v>
      </c>
      <c r="S269" s="119">
        <f t="shared" ref="S269:AF269" si="53">S239+S245+S250+S255+S258+S261+S264+S267</f>
        <v>0</v>
      </c>
      <c r="T269" s="119">
        <f t="shared" si="53"/>
        <v>0</v>
      </c>
      <c r="U269" s="119">
        <f t="shared" si="53"/>
        <v>0</v>
      </c>
      <c r="V269" s="119">
        <f t="shared" si="53"/>
        <v>0</v>
      </c>
      <c r="W269" s="119">
        <f t="shared" si="53"/>
        <v>0</v>
      </c>
      <c r="X269" s="119">
        <f t="shared" si="53"/>
        <v>0</v>
      </c>
      <c r="Y269" s="119">
        <f t="shared" si="53"/>
        <v>0</v>
      </c>
      <c r="Z269" s="119">
        <f t="shared" si="53"/>
        <v>0</v>
      </c>
      <c r="AA269" s="119">
        <f t="shared" si="53"/>
        <v>0</v>
      </c>
      <c r="AB269" s="119">
        <f t="shared" si="53"/>
        <v>0</v>
      </c>
      <c r="AC269" s="119">
        <f t="shared" si="53"/>
        <v>0</v>
      </c>
      <c r="AD269" s="119">
        <f t="shared" si="53"/>
        <v>0</v>
      </c>
      <c r="AE269" s="119">
        <f t="shared" si="53"/>
        <v>0</v>
      </c>
      <c r="AF269" s="119">
        <f t="shared" si="53"/>
        <v>0</v>
      </c>
      <c r="AG269" s="120">
        <f>SUM(F269:AF269)</f>
        <v>0</v>
      </c>
      <c r="AH269" s="103" t="str">
        <f>IF(ABS(E269-AG269)&lt;0.01,"ok","err")</f>
        <v>ok</v>
      </c>
    </row>
    <row r="272" spans="1:34" x14ac:dyDescent="0.25">
      <c r="A272" s="131" t="s">
        <v>310</v>
      </c>
    </row>
    <row r="274" spans="1:34" x14ac:dyDescent="0.25">
      <c r="A274" s="132" t="s">
        <v>885</v>
      </c>
    </row>
    <row r="275" spans="1:34" x14ac:dyDescent="0.25">
      <c r="A275" s="133" t="s">
        <v>209</v>
      </c>
      <c r="C275" s="102" t="s">
        <v>311</v>
      </c>
      <c r="D275" s="102" t="s">
        <v>655</v>
      </c>
      <c r="E275" s="119">
        <f>'Func &amp; Classif'!H316</f>
        <v>0</v>
      </c>
      <c r="F275" s="119">
        <f>IF(VLOOKUP($D275,$C$5:$AT$510,3,)=0,0,(VLOOKUP($D275,$C$5:$AT$510,4,)/VLOOKUP($D275,$C$5:$AT$510,3,))*$E275)</f>
        <v>0</v>
      </c>
      <c r="G275" s="119">
        <f>IF(VLOOKUP($D275,$C$5:$AT$510,3,)=0,0,(VLOOKUP($D275,$C$5:$AT$510,5,)/VLOOKUP($D275,$C$5:$AT$510,3,))*$E275)</f>
        <v>0</v>
      </c>
      <c r="H275" s="119">
        <f>IF(VLOOKUP($D275,$C$5:$AT$510,3,)=0,0,(VLOOKUP($D275,$C$5:$AT$510,6,)/VLOOKUP($D275,$C$5:$AT$510,3,))*$E275)</f>
        <v>0</v>
      </c>
      <c r="I275" s="119">
        <f>IF(VLOOKUP($D275,$C$5:$AT$510,3,)=0,0,(VLOOKUP($D275,$C$5:$AT$510,7,)/VLOOKUP($D275,$C$5:$AT$510,3,))*$E275)</f>
        <v>0</v>
      </c>
      <c r="J275" s="119">
        <f>IF(VLOOKUP($D275,$C$5:$AT$510,3,)=0,0,(VLOOKUP($D275,$C$5:$AT$510,8,)/VLOOKUP($D275,$C$5:$AT$510,3,))*$E275)</f>
        <v>0</v>
      </c>
      <c r="K275" s="119">
        <f>IF(VLOOKUP($D275,$C$5:$AT$510,3,)=0,0,(VLOOKUP($D275,$C$5:$AT$510,9,)/VLOOKUP($D275,$C$5:$AT$510,3,))*$E275)</f>
        <v>0</v>
      </c>
      <c r="L275" s="119">
        <f>IF(VLOOKUP($D275,$C$5:$AT$510,3,)=0,0,(VLOOKUP($D275,$C$5:$AT$510,10,)/VLOOKUP($D275,$C$5:$AT$510,3,))*$E275)</f>
        <v>0</v>
      </c>
      <c r="M275" s="119">
        <f>IF(VLOOKUP($D275,$C$5:$AT$510,3,)=0,0,(VLOOKUP($D275,$C$5:$AT$510,11,)/VLOOKUP($D275,$C$5:$AT$510,3,))*$E275)</f>
        <v>0</v>
      </c>
      <c r="N275" s="119">
        <f>IF(VLOOKUP($D275,$C$5:$AT$510,3,)=0,0,(VLOOKUP($D275,$C$5:$AT$510,12,)/VLOOKUP($D275,$C$5:$AT$510,3,))*$E275)</f>
        <v>0</v>
      </c>
      <c r="O275" s="119">
        <f>IF(VLOOKUP($D275,$C$5:$AT$510,3,)=0,0,(VLOOKUP($D275,$C$5:$AT$510,13,)/VLOOKUP($D275,$C$5:$AT$510,3,))*$E275)</f>
        <v>0</v>
      </c>
      <c r="P275" s="119">
        <f>IF(VLOOKUP($D275,$C$5:$AT$510,3,)=0,0,(VLOOKUP($D275,$C$5:$AT$510,14,)/VLOOKUP($D275,$C$5:$AT$510,3,))*$E275)</f>
        <v>0</v>
      </c>
      <c r="Q275" s="119">
        <f>IF(VLOOKUP($D275,$C$5:$AT$510,3,)=0,0,(VLOOKUP($D275,$C$5:$AT$510,15,)/VLOOKUP($D275,$C$5:$AT$510,3,))*$E275)</f>
        <v>0</v>
      </c>
      <c r="R275" s="119">
        <f>IF(VLOOKUP($D275,$C$5:$AT$510,3,)=0,0,(VLOOKUP($D275,$C$5:$AT$510,16,)/VLOOKUP($D275,$C$5:$AT$510,3,))*$E275)</f>
        <v>0</v>
      </c>
      <c r="S275" s="119">
        <f>IF(VLOOKUP($D275,$C$5:$AT$510,3,)=0,0,(VLOOKUP($D275,$C$5:$AT$510,17,)/VLOOKUP($D275,$C$5:$AT$510,3,))*$E275)</f>
        <v>0</v>
      </c>
      <c r="T275" s="119">
        <f>IF(VLOOKUP($D275,$C$5:$AT$510,3,)=0,0,(VLOOKUP($D275,$C$5:$AT$510,18,)/VLOOKUP($D275,$C$5:$AT$510,3,))*$E275)</f>
        <v>0</v>
      </c>
      <c r="U275" s="119">
        <f>IF(VLOOKUP($D275,$C$5:$AT$510,3,)=0,0,(VLOOKUP($D275,$C$5:$AT$510,19,)/VLOOKUP($D275,$C$5:$AT$510,3,))*$E275)</f>
        <v>0</v>
      </c>
      <c r="V275" s="119">
        <f>IF(VLOOKUP($D275,$C$5:$AT$510,3,)=0,0,(VLOOKUP($D275,$C$5:$AT$510,20,)/VLOOKUP($D275,$C$5:$AT$510,3,))*$E275)</f>
        <v>0</v>
      </c>
      <c r="W275" s="119">
        <f>IF(VLOOKUP($D275,$C$5:$AT$510,3,)=0,0,(VLOOKUP($D275,$C$5:$AT$510,21,)/VLOOKUP($D275,$C$5:$AT$510,3,))*$E275)</f>
        <v>0</v>
      </c>
      <c r="X275" s="119">
        <f>IF(VLOOKUP($D275,$C$5:$AT$510,3,)=0,0,(VLOOKUP($D275,$C$5:$AT$510,22,)/VLOOKUP($D275,$C$5:$AT$510,3,))*$E275)</f>
        <v>0</v>
      </c>
      <c r="Y275" s="119">
        <f>IF(VLOOKUP($D275,$C$5:$AT$510,3,)=0,0,(VLOOKUP($D275,$C$5:$AT$510,23,)/VLOOKUP($D275,$C$5:$AT$510,3,))*$E275)</f>
        <v>0</v>
      </c>
      <c r="Z275" s="119">
        <f>IF(VLOOKUP($D275,$C$5:$AT$510,3,)=0,0,(VLOOKUP($D275,$C$5:$AT$510,24,)/VLOOKUP($D275,$C$5:$AT$510,3,))*$E275)</f>
        <v>0</v>
      </c>
      <c r="AA275" s="119">
        <f>IF(VLOOKUP($D275,$C$5:$AT$510,3,)=0,0,(VLOOKUP($D275,$C$5:$AT$510,25,)/VLOOKUP($D275,$C$5:$AT$510,3,))*$E275)</f>
        <v>0</v>
      </c>
      <c r="AB275" s="119">
        <f>IF(VLOOKUP($D275,$C$5:$AT$510,3,)=0,0,(VLOOKUP($D275,$C$5:$AT$510,26,)/VLOOKUP($D275,$C$5:$AT$510,3,))*$E275)</f>
        <v>0</v>
      </c>
      <c r="AC275" s="119">
        <f>IF(VLOOKUP($D275,$C$5:$AT$510,3,)=0,0,(VLOOKUP($D275,$C$5:$AT$510,27,)/VLOOKUP($D275,$C$5:$AT$510,3,))*$E275)</f>
        <v>0</v>
      </c>
      <c r="AD275" s="119">
        <f>IF(VLOOKUP($D275,$C$5:$AT$510,3,)=0,0,(VLOOKUP($D275,$C$5:$AT$510,28,)/VLOOKUP($D275,$C$5:$AT$510,3,))*$E275)</f>
        <v>0</v>
      </c>
      <c r="AE275" s="119">
        <f>IF(VLOOKUP($D275,$C$5:$AT$510,3,)=0,0,(VLOOKUP($D275,$C$5:$AT$510,29,)/VLOOKUP($D275,$C$5:$AT$510,3,))*$E275)</f>
        <v>0</v>
      </c>
      <c r="AF275" s="119">
        <f>IF(VLOOKUP($D275,$C$5:$AT$510,3,)=0,0,(VLOOKUP($D275,$C$5:$AT$510,30,)/VLOOKUP($D275,$C$5:$AT$510,3,))*$E275)</f>
        <v>0</v>
      </c>
      <c r="AG275" s="120">
        <f>SUM(F275:AF275)</f>
        <v>0</v>
      </c>
      <c r="AH275" s="103" t="str">
        <f>IF(ABS(E275-AG275)&lt;0.01,"ok","err")</f>
        <v>ok</v>
      </c>
    </row>
    <row r="276" spans="1:34" x14ac:dyDescent="0.25">
      <c r="A276" s="133" t="s">
        <v>212</v>
      </c>
      <c r="C276" s="102" t="s">
        <v>312</v>
      </c>
      <c r="D276" s="102" t="s">
        <v>664</v>
      </c>
      <c r="E276" s="110">
        <f>'Func &amp; Classif'!I316</f>
        <v>0</v>
      </c>
      <c r="F276" s="119">
        <f>IF(VLOOKUP($D276,$C$5:$AT$510,3,)=0,0,(VLOOKUP($D276,$C$5:$AT$510,4,)/VLOOKUP($D276,$C$5:$AT$510,3,))*$E276)</f>
        <v>0</v>
      </c>
      <c r="G276" s="119">
        <f>IF(VLOOKUP($D276,$C$5:$AT$510,3,)=0,0,(VLOOKUP($D276,$C$5:$AT$510,5,)/VLOOKUP($D276,$C$5:$AT$510,3,))*$E276)</f>
        <v>0</v>
      </c>
      <c r="H276" s="119">
        <f>IF(VLOOKUP($D276,$C$5:$AT$510,3,)=0,0,(VLOOKUP($D276,$C$5:$AT$510,6,)/VLOOKUP($D276,$C$5:$AT$510,3,))*$E276)</f>
        <v>0</v>
      </c>
      <c r="I276" s="119">
        <f>IF(VLOOKUP($D276,$C$5:$AT$510,3,)=0,0,(VLOOKUP($D276,$C$5:$AT$510,7,)/VLOOKUP($D276,$C$5:$AT$510,3,))*$E276)</f>
        <v>0</v>
      </c>
      <c r="J276" s="119">
        <f>IF(VLOOKUP($D276,$C$5:$AT$510,3,)=0,0,(VLOOKUP($D276,$C$5:$AT$510,8,)/VLOOKUP($D276,$C$5:$AT$510,3,))*$E276)</f>
        <v>0</v>
      </c>
      <c r="K276" s="119">
        <f>IF(VLOOKUP($D276,$C$5:$AT$510,3,)=0,0,(VLOOKUP($D276,$C$5:$AT$510,9,)/VLOOKUP($D276,$C$5:$AT$510,3,))*$E276)</f>
        <v>0</v>
      </c>
      <c r="L276" s="119">
        <f>IF(VLOOKUP($D276,$C$5:$AT$510,3,)=0,0,(VLOOKUP($D276,$C$5:$AT$510,10,)/VLOOKUP($D276,$C$5:$AT$510,3,))*$E276)</f>
        <v>0</v>
      </c>
      <c r="M276" s="119">
        <f>IF(VLOOKUP($D276,$C$5:$AT$510,3,)=0,0,(VLOOKUP($D276,$C$5:$AT$510,11,)/VLOOKUP($D276,$C$5:$AT$510,3,))*$E276)</f>
        <v>0</v>
      </c>
      <c r="N276" s="119">
        <f>IF(VLOOKUP($D276,$C$5:$AT$510,3,)=0,0,(VLOOKUP($D276,$C$5:$AT$510,12,)/VLOOKUP($D276,$C$5:$AT$510,3,))*$E276)</f>
        <v>0</v>
      </c>
      <c r="O276" s="119">
        <f>IF(VLOOKUP($D276,$C$5:$AT$510,3,)=0,0,(VLOOKUP($D276,$C$5:$AT$510,13,)/VLOOKUP($D276,$C$5:$AT$510,3,))*$E276)</f>
        <v>0</v>
      </c>
      <c r="P276" s="119">
        <f>IF(VLOOKUP($D276,$C$5:$AT$510,3,)=0,0,(VLOOKUP($D276,$C$5:$AT$510,14,)/VLOOKUP($D276,$C$5:$AT$510,3,))*$E276)</f>
        <v>0</v>
      </c>
      <c r="Q276" s="119">
        <f>IF(VLOOKUP($D276,$C$5:$AT$510,3,)=0,0,(VLOOKUP($D276,$C$5:$AT$510,15,)/VLOOKUP($D276,$C$5:$AT$510,3,))*$E276)</f>
        <v>0</v>
      </c>
      <c r="R276" s="119">
        <f>IF(VLOOKUP($D276,$C$5:$AT$510,3,)=0,0,(VLOOKUP($D276,$C$5:$AT$510,16,)/VLOOKUP($D276,$C$5:$AT$510,3,))*$E276)</f>
        <v>0</v>
      </c>
      <c r="S276" s="119">
        <f>IF(VLOOKUP($D276,$C$5:$AT$510,3,)=0,0,(VLOOKUP($D276,$C$5:$AT$510,17,)/VLOOKUP($D276,$C$5:$AT$510,3,))*$E276)</f>
        <v>0</v>
      </c>
      <c r="T276" s="119">
        <f>IF(VLOOKUP($D276,$C$5:$AT$510,3,)=0,0,(VLOOKUP($D276,$C$5:$AT$510,18,)/VLOOKUP($D276,$C$5:$AT$510,3,))*$E276)</f>
        <v>0</v>
      </c>
      <c r="U276" s="119">
        <f>IF(VLOOKUP($D276,$C$5:$AT$510,3,)=0,0,(VLOOKUP($D276,$C$5:$AT$510,19,)/VLOOKUP($D276,$C$5:$AT$510,3,))*$E276)</f>
        <v>0</v>
      </c>
      <c r="V276" s="119">
        <f>IF(VLOOKUP($D276,$C$5:$AT$510,3,)=0,0,(VLOOKUP($D276,$C$5:$AT$510,20,)/VLOOKUP($D276,$C$5:$AT$510,3,))*$E276)</f>
        <v>0</v>
      </c>
      <c r="W276" s="119">
        <f>IF(VLOOKUP($D276,$C$5:$AT$510,3,)=0,0,(VLOOKUP($D276,$C$5:$AT$510,21,)/VLOOKUP($D276,$C$5:$AT$510,3,))*$E276)</f>
        <v>0</v>
      </c>
      <c r="X276" s="119">
        <f>IF(VLOOKUP($D276,$C$5:$AT$510,3,)=0,0,(VLOOKUP($D276,$C$5:$AT$510,22,)/VLOOKUP($D276,$C$5:$AT$510,3,))*$E276)</f>
        <v>0</v>
      </c>
      <c r="Y276" s="119">
        <f>IF(VLOOKUP($D276,$C$5:$AT$510,3,)=0,0,(VLOOKUP($D276,$C$5:$AT$510,23,)/VLOOKUP($D276,$C$5:$AT$510,3,))*$E276)</f>
        <v>0</v>
      </c>
      <c r="Z276" s="119">
        <f>IF(VLOOKUP($D276,$C$5:$AT$510,3,)=0,0,(VLOOKUP($D276,$C$5:$AT$510,24,)/VLOOKUP($D276,$C$5:$AT$510,3,))*$E276)</f>
        <v>0</v>
      </c>
      <c r="AA276" s="119">
        <f>IF(VLOOKUP($D276,$C$5:$AT$510,3,)=0,0,(VLOOKUP($D276,$C$5:$AT$510,25,)/VLOOKUP($D276,$C$5:$AT$510,3,))*$E276)</f>
        <v>0</v>
      </c>
      <c r="AB276" s="119">
        <f>IF(VLOOKUP($D276,$C$5:$AT$510,3,)=0,0,(VLOOKUP($D276,$C$5:$AT$510,26,)/VLOOKUP($D276,$C$5:$AT$510,3,))*$E276)</f>
        <v>0</v>
      </c>
      <c r="AC276" s="119">
        <f>IF(VLOOKUP($D276,$C$5:$AT$510,3,)=0,0,(VLOOKUP($D276,$C$5:$AT$510,27,)/VLOOKUP($D276,$C$5:$AT$510,3,))*$E276)</f>
        <v>0</v>
      </c>
      <c r="AD276" s="119">
        <f>IF(VLOOKUP($D276,$C$5:$AT$510,3,)=0,0,(VLOOKUP($D276,$C$5:$AT$510,28,)/VLOOKUP($D276,$C$5:$AT$510,3,))*$E276)</f>
        <v>0</v>
      </c>
      <c r="AE276" s="119">
        <f>IF(VLOOKUP($D276,$C$5:$AT$510,3,)=0,0,(VLOOKUP($D276,$C$5:$AT$510,29,)/VLOOKUP($D276,$C$5:$AT$510,3,))*$E276)</f>
        <v>0</v>
      </c>
      <c r="AF276" s="119">
        <f>IF(VLOOKUP($D276,$C$5:$AT$510,3,)=0,0,(VLOOKUP($D276,$C$5:$AT$510,30,)/VLOOKUP($D276,$C$5:$AT$510,3,))*$E276)</f>
        <v>0</v>
      </c>
      <c r="AG276" s="120">
        <f>SUM(F276:AF276)</f>
        <v>0</v>
      </c>
      <c r="AH276" s="103" t="str">
        <f>IF(ABS(E276-AG276)&lt;0.01,"ok","err")</f>
        <v>ok</v>
      </c>
    </row>
    <row r="277" spans="1:34" x14ac:dyDescent="0.25">
      <c r="A277" s="102" t="s">
        <v>215</v>
      </c>
      <c r="C277" s="102" t="s">
        <v>313</v>
      </c>
      <c r="E277" s="110">
        <f t="shared" ref="E277:T277" si="54">E275+E276</f>
        <v>0</v>
      </c>
      <c r="F277" s="119">
        <f t="shared" si="54"/>
        <v>0</v>
      </c>
      <c r="G277" s="119">
        <f t="shared" si="54"/>
        <v>0</v>
      </c>
      <c r="H277" s="119">
        <f t="shared" si="54"/>
        <v>0</v>
      </c>
      <c r="I277" s="119">
        <f t="shared" si="54"/>
        <v>0</v>
      </c>
      <c r="J277" s="119">
        <f t="shared" si="54"/>
        <v>0</v>
      </c>
      <c r="K277" s="119">
        <f t="shared" si="54"/>
        <v>0</v>
      </c>
      <c r="L277" s="119">
        <f t="shared" si="54"/>
        <v>0</v>
      </c>
      <c r="M277" s="119">
        <f t="shared" si="54"/>
        <v>0</v>
      </c>
      <c r="N277" s="119">
        <f t="shared" si="54"/>
        <v>0</v>
      </c>
      <c r="O277" s="119">
        <f t="shared" si="54"/>
        <v>0</v>
      </c>
      <c r="P277" s="119">
        <f t="shared" si="54"/>
        <v>0</v>
      </c>
      <c r="Q277" s="119">
        <f t="shared" si="54"/>
        <v>0</v>
      </c>
      <c r="R277" s="119">
        <f t="shared" si="54"/>
        <v>0</v>
      </c>
      <c r="S277" s="119">
        <f t="shared" si="54"/>
        <v>0</v>
      </c>
      <c r="T277" s="119">
        <f t="shared" si="54"/>
        <v>0</v>
      </c>
      <c r="U277" s="119">
        <f t="shared" ref="U277:AF277" si="55">U275+U276</f>
        <v>0</v>
      </c>
      <c r="V277" s="119">
        <f t="shared" si="55"/>
        <v>0</v>
      </c>
      <c r="W277" s="119">
        <f t="shared" si="55"/>
        <v>0</v>
      </c>
      <c r="X277" s="119">
        <f t="shared" si="55"/>
        <v>0</v>
      </c>
      <c r="Y277" s="119">
        <f t="shared" si="55"/>
        <v>0</v>
      </c>
      <c r="Z277" s="119">
        <f t="shared" si="55"/>
        <v>0</v>
      </c>
      <c r="AA277" s="119">
        <f t="shared" si="55"/>
        <v>0</v>
      </c>
      <c r="AB277" s="119">
        <f t="shared" si="55"/>
        <v>0</v>
      </c>
      <c r="AC277" s="119">
        <f t="shared" si="55"/>
        <v>0</v>
      </c>
      <c r="AD277" s="119">
        <f t="shared" si="55"/>
        <v>0</v>
      </c>
      <c r="AE277" s="119">
        <f t="shared" si="55"/>
        <v>0</v>
      </c>
      <c r="AF277" s="119">
        <f t="shared" si="55"/>
        <v>0</v>
      </c>
      <c r="AG277" s="120">
        <f>SUM(F277:AF277)</f>
        <v>0</v>
      </c>
      <c r="AH277" s="103" t="str">
        <f>IF(ABS(E277-AG277)&lt;0.01,"ok","err")</f>
        <v>ok</v>
      </c>
    </row>
    <row r="278" spans="1:34" x14ac:dyDescent="0.25">
      <c r="E278" s="110"/>
      <c r="F278" s="110"/>
    </row>
    <row r="279" spans="1:34" x14ac:dyDescent="0.25">
      <c r="A279" s="132" t="s">
        <v>350</v>
      </c>
      <c r="E279" s="110"/>
      <c r="F279" s="110"/>
    </row>
    <row r="280" spans="1:34" x14ac:dyDescent="0.25">
      <c r="A280" s="133" t="s">
        <v>209</v>
      </c>
      <c r="C280" s="102" t="s">
        <v>881</v>
      </c>
      <c r="D280" s="102" t="s">
        <v>623</v>
      </c>
      <c r="E280" s="119">
        <f>'Func &amp; Classif'!K316</f>
        <v>0</v>
      </c>
      <c r="F280" s="119">
        <f>IF(VLOOKUP($D280,$C$5:$AT$510,3,)=0,0,(VLOOKUP($D280,$C$5:$AT$510,4,)/VLOOKUP($D280,$C$5:$AT$510,3,))*$E280)</f>
        <v>0</v>
      </c>
      <c r="G280" s="119">
        <f>IF(VLOOKUP($D280,$C$5:$AT$510,3,)=0,0,(VLOOKUP($D280,$C$5:$AT$510,5,)/VLOOKUP($D280,$C$5:$AT$510,3,))*$E280)</f>
        <v>0</v>
      </c>
      <c r="H280" s="119">
        <f>IF(VLOOKUP($D280,$C$5:$AT$510,3,)=0,0,(VLOOKUP($D280,$C$5:$AT$510,6,)/VLOOKUP($D280,$C$5:$AT$510,3,))*$E280)</f>
        <v>0</v>
      </c>
      <c r="I280" s="119">
        <f>IF(VLOOKUP($D280,$C$5:$AT$510,3,)=0,0,(VLOOKUP($D280,$C$5:$AT$510,7,)/VLOOKUP($D280,$C$5:$AT$510,3,))*$E280)</f>
        <v>0</v>
      </c>
      <c r="J280" s="119">
        <f>IF(VLOOKUP($D280,$C$5:$AT$510,3,)=0,0,(VLOOKUP($D280,$C$5:$AT$510,8,)/VLOOKUP($D280,$C$5:$AT$510,3,))*$E280)</f>
        <v>0</v>
      </c>
      <c r="K280" s="119">
        <f>IF(VLOOKUP($D280,$C$5:$AT$510,3,)=0,0,(VLOOKUP($D280,$C$5:$AT$510,9,)/VLOOKUP($D280,$C$5:$AT$510,3,))*$E280)</f>
        <v>0</v>
      </c>
      <c r="L280" s="119">
        <f>IF(VLOOKUP($D280,$C$5:$AT$510,3,)=0,0,(VLOOKUP($D280,$C$5:$AT$510,10,)/VLOOKUP($D280,$C$5:$AT$510,3,))*$E280)</f>
        <v>0</v>
      </c>
      <c r="M280" s="119">
        <f>IF(VLOOKUP($D280,$C$5:$AT$510,3,)=0,0,(VLOOKUP($D280,$C$5:$AT$510,11,)/VLOOKUP($D280,$C$5:$AT$510,3,))*$E280)</f>
        <v>0</v>
      </c>
      <c r="N280" s="119">
        <f>IF(VLOOKUP($D280,$C$5:$AT$510,3,)=0,0,(VLOOKUP($D280,$C$5:$AT$510,12,)/VLOOKUP($D280,$C$5:$AT$510,3,))*$E280)</f>
        <v>0</v>
      </c>
      <c r="O280" s="119">
        <f>IF(VLOOKUP($D280,$C$5:$AT$510,3,)=0,0,(VLOOKUP($D280,$C$5:$AT$510,13,)/VLOOKUP($D280,$C$5:$AT$510,3,))*$E280)</f>
        <v>0</v>
      </c>
      <c r="P280" s="119">
        <f>IF(VLOOKUP($D280,$C$5:$AT$510,3,)=0,0,(VLOOKUP($D280,$C$5:$AT$510,14,)/VLOOKUP($D280,$C$5:$AT$510,3,))*$E280)</f>
        <v>0</v>
      </c>
      <c r="Q280" s="119">
        <f>IF(VLOOKUP($D280,$C$5:$AT$510,3,)=0,0,(VLOOKUP($D280,$C$5:$AT$510,15,)/VLOOKUP($D280,$C$5:$AT$510,3,))*$E280)</f>
        <v>0</v>
      </c>
      <c r="R280" s="119">
        <f>IF(VLOOKUP($D280,$C$5:$AT$510,3,)=0,0,(VLOOKUP($D280,$C$5:$AT$510,16,)/VLOOKUP($D280,$C$5:$AT$510,3,))*$E280)</f>
        <v>0</v>
      </c>
      <c r="S280" s="119">
        <f>IF(VLOOKUP($D280,$C$5:$AT$510,3,)=0,0,(VLOOKUP($D280,$C$5:$AT$510,17,)/VLOOKUP($D280,$C$5:$AT$510,3,))*$E280)</f>
        <v>0</v>
      </c>
      <c r="T280" s="119">
        <f>IF(VLOOKUP($D280,$C$5:$AT$510,3,)=0,0,(VLOOKUP($D280,$C$5:$AT$510,18,)/VLOOKUP($D280,$C$5:$AT$510,3,))*$E280)</f>
        <v>0</v>
      </c>
      <c r="U280" s="119">
        <f>IF(VLOOKUP($D280,$C$5:$AT$510,3,)=0,0,(VLOOKUP($D280,$C$5:$AT$510,19,)/VLOOKUP($D280,$C$5:$AT$510,3,))*$E280)</f>
        <v>0</v>
      </c>
      <c r="V280" s="119">
        <f>IF(VLOOKUP($D280,$C$5:$AT$510,3,)=0,0,(VLOOKUP($D280,$C$5:$AT$510,20,)/VLOOKUP($D280,$C$5:$AT$510,3,))*$E280)</f>
        <v>0</v>
      </c>
      <c r="W280" s="119">
        <f>IF(VLOOKUP($D280,$C$5:$AT$510,3,)=0,0,(VLOOKUP($D280,$C$5:$AT$510,21,)/VLOOKUP($D280,$C$5:$AT$510,3,))*$E280)</f>
        <v>0</v>
      </c>
      <c r="X280" s="119">
        <f>IF(VLOOKUP($D280,$C$5:$AT$510,3,)=0,0,(VLOOKUP($D280,$C$5:$AT$510,22,)/VLOOKUP($D280,$C$5:$AT$510,3,))*$E280)</f>
        <v>0</v>
      </c>
      <c r="Y280" s="119">
        <f>IF(VLOOKUP($D280,$C$5:$AT$510,3,)=0,0,(VLOOKUP($D280,$C$5:$AT$510,23,)/VLOOKUP($D280,$C$5:$AT$510,3,))*$E280)</f>
        <v>0</v>
      </c>
      <c r="Z280" s="119">
        <f>IF(VLOOKUP($D280,$C$5:$AT$510,3,)=0,0,(VLOOKUP($D280,$C$5:$AT$510,24,)/VLOOKUP($D280,$C$5:$AT$510,3,))*$E280)</f>
        <v>0</v>
      </c>
      <c r="AA280" s="119">
        <f>IF(VLOOKUP($D280,$C$5:$AT$510,3,)=0,0,(VLOOKUP($D280,$C$5:$AT$510,25,)/VLOOKUP($D280,$C$5:$AT$510,3,))*$E280)</f>
        <v>0</v>
      </c>
      <c r="AB280" s="119">
        <f>IF(VLOOKUP($D280,$C$5:$AT$510,3,)=0,0,(VLOOKUP($D280,$C$5:$AT$510,26,)/VLOOKUP($D280,$C$5:$AT$510,3,))*$E280)</f>
        <v>0</v>
      </c>
      <c r="AC280" s="119">
        <f>IF(VLOOKUP($D280,$C$5:$AT$510,3,)=0,0,(VLOOKUP($D280,$C$5:$AT$510,27,)/VLOOKUP($D280,$C$5:$AT$510,3,))*$E280)</f>
        <v>0</v>
      </c>
      <c r="AD280" s="119">
        <f>IF(VLOOKUP($D280,$C$5:$AT$510,3,)=0,0,(VLOOKUP($D280,$C$5:$AT$510,28,)/VLOOKUP($D280,$C$5:$AT$510,3,))*$E280)</f>
        <v>0</v>
      </c>
      <c r="AE280" s="119">
        <f>IF(VLOOKUP($D280,$C$5:$AT$510,3,)=0,0,(VLOOKUP($D280,$C$5:$AT$510,29,)/VLOOKUP($D280,$C$5:$AT$510,3,))*$E280)</f>
        <v>0</v>
      </c>
      <c r="AF280" s="119">
        <f>IF(VLOOKUP($D280,$C$5:$AT$510,3,)=0,0,(VLOOKUP($D280,$C$5:$AT$510,30,)/VLOOKUP($D280,$C$5:$AT$510,3,))*$E280)</f>
        <v>0</v>
      </c>
      <c r="AG280" s="120">
        <f>SUM(F280:AF280)</f>
        <v>0</v>
      </c>
      <c r="AH280" s="103" t="str">
        <f>IF(ABS(E280-AG280)&lt;0.01,"ok","err")</f>
        <v>ok</v>
      </c>
    </row>
    <row r="281" spans="1:34" x14ac:dyDescent="0.25">
      <c r="E281" s="110"/>
    </row>
    <row r="282" spans="1:34" x14ac:dyDescent="0.25">
      <c r="A282" s="132" t="s">
        <v>1</v>
      </c>
      <c r="E282" s="110"/>
      <c r="F282" s="110"/>
    </row>
    <row r="283" spans="1:34" x14ac:dyDescent="0.25">
      <c r="A283" s="133" t="s">
        <v>209</v>
      </c>
      <c r="C283" s="102" t="s">
        <v>314</v>
      </c>
      <c r="D283" s="102" t="s">
        <v>630</v>
      </c>
      <c r="E283" s="119">
        <f>'Func &amp; Classif'!M316</f>
        <v>0</v>
      </c>
      <c r="F283" s="119">
        <f>IF(VLOOKUP($D283,$C$5:$AT$510,3,)=0,0,(VLOOKUP($D283,$C$5:$AT$510,4,)/VLOOKUP($D283,$C$5:$AT$510,3,))*$E283)</f>
        <v>0</v>
      </c>
      <c r="G283" s="119">
        <f>IF(VLOOKUP($D283,$C$5:$AT$510,3,)=0,0,(VLOOKUP($D283,$C$5:$AT$510,5,)/VLOOKUP($D283,$C$5:$AT$510,3,))*$E283)</f>
        <v>0</v>
      </c>
      <c r="H283" s="119">
        <f>IF(VLOOKUP($D283,$C$5:$AT$510,3,)=0,0,(VLOOKUP($D283,$C$5:$AT$510,6,)/VLOOKUP($D283,$C$5:$AT$510,3,))*$E283)</f>
        <v>0</v>
      </c>
      <c r="I283" s="119">
        <f>IF(VLOOKUP($D283,$C$5:$AT$510,3,)=0,0,(VLOOKUP($D283,$C$5:$AT$510,7,)/VLOOKUP($D283,$C$5:$AT$510,3,))*$E283)</f>
        <v>0</v>
      </c>
      <c r="J283" s="119">
        <f>IF(VLOOKUP($D283,$C$5:$AT$510,3,)=0,0,(VLOOKUP($D283,$C$5:$AT$510,8,)/VLOOKUP($D283,$C$5:$AT$510,3,))*$E283)</f>
        <v>0</v>
      </c>
      <c r="K283" s="119">
        <f>IF(VLOOKUP($D283,$C$5:$AT$510,3,)=0,0,(VLOOKUP($D283,$C$5:$AT$510,9,)/VLOOKUP($D283,$C$5:$AT$510,3,))*$E283)</f>
        <v>0</v>
      </c>
      <c r="L283" s="119">
        <f>IF(VLOOKUP($D283,$C$5:$AT$510,3,)=0,0,(VLOOKUP($D283,$C$5:$AT$510,10,)/VLOOKUP($D283,$C$5:$AT$510,3,))*$E283)</f>
        <v>0</v>
      </c>
      <c r="M283" s="119">
        <f>IF(VLOOKUP($D283,$C$5:$AT$510,3,)=0,0,(VLOOKUP($D283,$C$5:$AT$510,11,)/VLOOKUP($D283,$C$5:$AT$510,3,))*$E283)</f>
        <v>0</v>
      </c>
      <c r="N283" s="119">
        <f>IF(VLOOKUP($D283,$C$5:$AT$510,3,)=0,0,(VLOOKUP($D283,$C$5:$AT$510,12,)/VLOOKUP($D283,$C$5:$AT$510,3,))*$E283)</f>
        <v>0</v>
      </c>
      <c r="O283" s="119">
        <f>IF(VLOOKUP($D283,$C$5:$AT$510,3,)=0,0,(VLOOKUP($D283,$C$5:$AT$510,13,)/VLOOKUP($D283,$C$5:$AT$510,3,))*$E283)</f>
        <v>0</v>
      </c>
      <c r="P283" s="119">
        <f>IF(VLOOKUP($D283,$C$5:$AT$510,3,)=0,0,(VLOOKUP($D283,$C$5:$AT$510,14,)/VLOOKUP($D283,$C$5:$AT$510,3,))*$E283)</f>
        <v>0</v>
      </c>
      <c r="Q283" s="119">
        <f>IF(VLOOKUP($D283,$C$5:$AT$510,3,)=0,0,(VLOOKUP($D283,$C$5:$AT$510,15,)/VLOOKUP($D283,$C$5:$AT$510,3,))*$E283)</f>
        <v>0</v>
      </c>
      <c r="R283" s="119">
        <f>IF(VLOOKUP($D283,$C$5:$AT$510,3,)=0,0,(VLOOKUP($D283,$C$5:$AT$510,16,)/VLOOKUP($D283,$C$5:$AT$510,3,))*$E283)</f>
        <v>0</v>
      </c>
      <c r="S283" s="119">
        <f>IF(VLOOKUP($D283,$C$5:$AT$510,3,)=0,0,(VLOOKUP($D283,$C$5:$AT$510,17,)/VLOOKUP($D283,$C$5:$AT$510,3,))*$E283)</f>
        <v>0</v>
      </c>
      <c r="T283" s="119">
        <f>IF(VLOOKUP($D283,$C$5:$AT$510,3,)=0,0,(VLOOKUP($D283,$C$5:$AT$510,18,)/VLOOKUP($D283,$C$5:$AT$510,3,))*$E283)</f>
        <v>0</v>
      </c>
      <c r="U283" s="119">
        <f>IF(VLOOKUP($D283,$C$5:$AT$510,3,)=0,0,(VLOOKUP($D283,$C$5:$AT$510,19,)/VLOOKUP($D283,$C$5:$AT$510,3,))*$E283)</f>
        <v>0</v>
      </c>
      <c r="V283" s="119">
        <f>IF(VLOOKUP($D283,$C$5:$AT$510,3,)=0,0,(VLOOKUP($D283,$C$5:$AT$510,20,)/VLOOKUP($D283,$C$5:$AT$510,3,))*$E283)</f>
        <v>0</v>
      </c>
      <c r="W283" s="119">
        <f>IF(VLOOKUP($D283,$C$5:$AT$510,3,)=0,0,(VLOOKUP($D283,$C$5:$AT$510,21,)/VLOOKUP($D283,$C$5:$AT$510,3,))*$E283)</f>
        <v>0</v>
      </c>
      <c r="X283" s="119">
        <f>IF(VLOOKUP($D283,$C$5:$AT$510,3,)=0,0,(VLOOKUP($D283,$C$5:$AT$510,22,)/VLOOKUP($D283,$C$5:$AT$510,3,))*$E283)</f>
        <v>0</v>
      </c>
      <c r="Y283" s="119">
        <f>IF(VLOOKUP($D283,$C$5:$AT$510,3,)=0,0,(VLOOKUP($D283,$C$5:$AT$510,23,)/VLOOKUP($D283,$C$5:$AT$510,3,))*$E283)</f>
        <v>0</v>
      </c>
      <c r="Z283" s="119">
        <f>IF(VLOOKUP($D283,$C$5:$AT$510,3,)=0,0,(VLOOKUP($D283,$C$5:$AT$510,24,)/VLOOKUP($D283,$C$5:$AT$510,3,))*$E283)</f>
        <v>0</v>
      </c>
      <c r="AA283" s="119">
        <f>IF(VLOOKUP($D283,$C$5:$AT$510,3,)=0,0,(VLOOKUP($D283,$C$5:$AT$510,25,)/VLOOKUP($D283,$C$5:$AT$510,3,))*$E283)</f>
        <v>0</v>
      </c>
      <c r="AB283" s="119">
        <f>IF(VLOOKUP($D283,$C$5:$AT$510,3,)=0,0,(VLOOKUP($D283,$C$5:$AT$510,26,)/VLOOKUP($D283,$C$5:$AT$510,3,))*$E283)</f>
        <v>0</v>
      </c>
      <c r="AC283" s="119">
        <f>IF(VLOOKUP($D283,$C$5:$AT$510,3,)=0,0,(VLOOKUP($D283,$C$5:$AT$510,27,)/VLOOKUP($D283,$C$5:$AT$510,3,))*$E283)</f>
        <v>0</v>
      </c>
      <c r="AD283" s="119">
        <f>IF(VLOOKUP($D283,$C$5:$AT$510,3,)=0,0,(VLOOKUP($D283,$C$5:$AT$510,28,)/VLOOKUP($D283,$C$5:$AT$510,3,))*$E283)</f>
        <v>0</v>
      </c>
      <c r="AE283" s="119">
        <f>IF(VLOOKUP($D283,$C$5:$AT$510,3,)=0,0,(VLOOKUP($D283,$C$5:$AT$510,29,)/VLOOKUP($D283,$C$5:$AT$510,3,))*$E283)</f>
        <v>0</v>
      </c>
      <c r="AF283" s="119">
        <f>IF(VLOOKUP($D283,$C$5:$AT$510,3,)=0,0,(VLOOKUP($D283,$C$5:$AT$510,30,)/VLOOKUP($D283,$C$5:$AT$510,3,))*$E283)</f>
        <v>0</v>
      </c>
      <c r="AG283" s="120">
        <f>SUM(F283:AF283)</f>
        <v>0</v>
      </c>
      <c r="AH283" s="103" t="str">
        <f>IF(ABS(E283-AG283)&lt;0.01,"ok","err")</f>
        <v>ok</v>
      </c>
    </row>
    <row r="284" spans="1:34" x14ac:dyDescent="0.25">
      <c r="E284" s="110"/>
    </row>
    <row r="285" spans="1:34" x14ac:dyDescent="0.25">
      <c r="A285" s="132" t="s">
        <v>2</v>
      </c>
      <c r="E285" s="110"/>
    </row>
    <row r="286" spans="1:34" x14ac:dyDescent="0.25">
      <c r="A286" s="133" t="s">
        <v>209</v>
      </c>
      <c r="C286" s="102" t="s">
        <v>315</v>
      </c>
      <c r="D286" s="102" t="s">
        <v>627</v>
      </c>
      <c r="E286" s="119">
        <f>'Func &amp; Classif'!O316</f>
        <v>44395.750414830785</v>
      </c>
      <c r="F286" s="119">
        <f>IF(VLOOKUP($D286,$C$5:$AT$510,3,)=0,0,(VLOOKUP($D286,$C$5:$AT$510,4,)/VLOOKUP($D286,$C$5:$AT$510,3,))*$E286)</f>
        <v>32061.578315715567</v>
      </c>
      <c r="G286" s="119">
        <f>IF(VLOOKUP($D286,$C$5:$AT$510,3,)=0,0,(VLOOKUP($D286,$C$5:$AT$510,5,)/VLOOKUP($D286,$C$5:$AT$510,3,))*$E286)</f>
        <v>94.827607069992226</v>
      </c>
      <c r="H286" s="119">
        <f>IF(VLOOKUP($D286,$C$5:$AT$510,3,)=0,0,(VLOOKUP($D286,$C$5:$AT$510,6,)/VLOOKUP($D286,$C$5:$AT$510,3,))*$E286)</f>
        <v>1736.9028472414086</v>
      </c>
      <c r="I286" s="119">
        <f>IF(VLOOKUP($D286,$C$5:$AT$510,3,)=0,0,(VLOOKUP($D286,$C$5:$AT$510,7,)/VLOOKUP($D286,$C$5:$AT$510,3,))*$E286)</f>
        <v>4584.4719292596983</v>
      </c>
      <c r="J286" s="119">
        <f>IF(VLOOKUP($D286,$C$5:$AT$510,3,)=0,0,(VLOOKUP($D286,$C$5:$AT$510,8,)/VLOOKUP($D286,$C$5:$AT$510,3,))*$E286)</f>
        <v>791.45130651023851</v>
      </c>
      <c r="K286" s="119">
        <f>IF(VLOOKUP($D286,$C$5:$AT$510,3,)=0,0,(VLOOKUP($D286,$C$5:$AT$510,9,)/VLOOKUP($D286,$C$5:$AT$510,3,))*$E286)</f>
        <v>34.439623188788467</v>
      </c>
      <c r="L286" s="119">
        <f>IF(VLOOKUP($D286,$C$5:$AT$510,3,)=0,0,(VLOOKUP($D286,$C$5:$AT$510,10,)/VLOOKUP($D286,$C$5:$AT$510,3,))*$E286)</f>
        <v>973.17867806057779</v>
      </c>
      <c r="M286" s="119">
        <f>IF(VLOOKUP($D286,$C$5:$AT$510,3,)=0,0,(VLOOKUP($D286,$C$5:$AT$510,11,)/VLOOKUP($D286,$C$5:$AT$510,3,))*$E286)</f>
        <v>4078.0214618469281</v>
      </c>
      <c r="N286" s="119">
        <f>IF(VLOOKUP($D286,$C$5:$AT$510,3,)=0,0,(VLOOKUP($D286,$C$5:$AT$510,12,)/VLOOKUP($D286,$C$5:$AT$510,3,))*$E286)</f>
        <v>34.935731480765838</v>
      </c>
      <c r="O286" s="119">
        <f>IF(VLOOKUP($D286,$C$5:$AT$510,3,)=0,0,(VLOOKUP($D286,$C$5:$AT$510,13,)/VLOOKUP($D286,$C$5:$AT$510,3,))*$E286)</f>
        <v>0</v>
      </c>
      <c r="P286" s="119">
        <f>IF(VLOOKUP($D286,$C$5:$AT$510,3,)=0,0,(VLOOKUP($D286,$C$5:$AT$510,14,)/VLOOKUP($D286,$C$5:$AT$510,3,))*$E286)</f>
        <v>5.9429144568233987</v>
      </c>
      <c r="Q286" s="119">
        <f>IF(VLOOKUP($D286,$C$5:$AT$510,3,)=0,0,(VLOOKUP($D286,$C$5:$AT$510,15,)/VLOOKUP($D286,$C$5:$AT$510,3,))*$E286)</f>
        <v>0</v>
      </c>
      <c r="R286" s="119">
        <f>IF(VLOOKUP($D286,$C$5:$AT$510,3,)=0,0,(VLOOKUP($D286,$C$5:$AT$510,16,)/VLOOKUP($D286,$C$5:$AT$510,3,))*$E286)</f>
        <v>0</v>
      </c>
      <c r="S286" s="119">
        <f>IF(VLOOKUP($D286,$C$5:$AT$510,3,)=0,0,(VLOOKUP($D286,$C$5:$AT$510,17,)/VLOOKUP($D286,$C$5:$AT$510,3,))*$E286)</f>
        <v>0</v>
      </c>
      <c r="T286" s="119">
        <f>IF(VLOOKUP($D286,$C$5:$AT$510,3,)=0,0,(VLOOKUP($D286,$C$5:$AT$510,18,)/VLOOKUP($D286,$C$5:$AT$510,3,))*$E286)</f>
        <v>0</v>
      </c>
      <c r="U286" s="119">
        <f>IF(VLOOKUP($D286,$C$5:$AT$510,3,)=0,0,(VLOOKUP($D286,$C$5:$AT$510,19,)/VLOOKUP($D286,$C$5:$AT$510,3,))*$E286)</f>
        <v>0</v>
      </c>
      <c r="V286" s="119">
        <f>IF(VLOOKUP($D286,$C$5:$AT$510,3,)=0,0,(VLOOKUP($D286,$C$5:$AT$510,20,)/VLOOKUP($D286,$C$5:$AT$510,3,))*$E286)</f>
        <v>0</v>
      </c>
      <c r="W286" s="119">
        <f>IF(VLOOKUP($D286,$C$5:$AT$510,3,)=0,0,(VLOOKUP($D286,$C$5:$AT$510,21,)/VLOOKUP($D286,$C$5:$AT$510,3,))*$E286)</f>
        <v>0</v>
      </c>
      <c r="X286" s="119">
        <f>IF(VLOOKUP($D286,$C$5:$AT$510,3,)=0,0,(VLOOKUP($D286,$C$5:$AT$510,22,)/VLOOKUP($D286,$C$5:$AT$510,3,))*$E286)</f>
        <v>0</v>
      </c>
      <c r="Y286" s="119">
        <f>IF(VLOOKUP($D286,$C$5:$AT$510,3,)=0,0,(VLOOKUP($D286,$C$5:$AT$510,23,)/VLOOKUP($D286,$C$5:$AT$510,3,))*$E286)</f>
        <v>0</v>
      </c>
      <c r="Z286" s="119">
        <f>IF(VLOOKUP($D286,$C$5:$AT$510,3,)=0,0,(VLOOKUP($D286,$C$5:$AT$510,24,)/VLOOKUP($D286,$C$5:$AT$510,3,))*$E286)</f>
        <v>0</v>
      </c>
      <c r="AA286" s="119">
        <f>IF(VLOOKUP($D286,$C$5:$AT$510,3,)=0,0,(VLOOKUP($D286,$C$5:$AT$510,25,)/VLOOKUP($D286,$C$5:$AT$510,3,))*$E286)</f>
        <v>0</v>
      </c>
      <c r="AB286" s="119">
        <f>IF(VLOOKUP($D286,$C$5:$AT$510,3,)=0,0,(VLOOKUP($D286,$C$5:$AT$510,26,)/VLOOKUP($D286,$C$5:$AT$510,3,))*$E286)</f>
        <v>0</v>
      </c>
      <c r="AC286" s="119">
        <f>IF(VLOOKUP($D286,$C$5:$AT$510,3,)=0,0,(VLOOKUP($D286,$C$5:$AT$510,27,)/VLOOKUP($D286,$C$5:$AT$510,3,))*$E286)</f>
        <v>0</v>
      </c>
      <c r="AD286" s="119">
        <f>IF(VLOOKUP($D286,$C$5:$AT$510,3,)=0,0,(VLOOKUP($D286,$C$5:$AT$510,28,)/VLOOKUP($D286,$C$5:$AT$510,3,))*$E286)</f>
        <v>0</v>
      </c>
      <c r="AE286" s="119">
        <f>IF(VLOOKUP($D286,$C$5:$AT$510,3,)=0,0,(VLOOKUP($D286,$C$5:$AT$510,29,)/VLOOKUP($D286,$C$5:$AT$510,3,))*$E286)</f>
        <v>0</v>
      </c>
      <c r="AF286" s="119">
        <f>IF(VLOOKUP($D286,$C$5:$AT$510,3,)=0,0,(VLOOKUP($D286,$C$5:$AT$510,30,)/VLOOKUP($D286,$C$5:$AT$510,3,))*$E286)</f>
        <v>0</v>
      </c>
      <c r="AG286" s="120">
        <f>SUM(F286:AF286)</f>
        <v>44395.750414830778</v>
      </c>
      <c r="AH286" s="103" t="str">
        <f>IF(ABS(E286-AG286)&lt;0.01,"ok","err")</f>
        <v>ok</v>
      </c>
    </row>
    <row r="287" spans="1:34" x14ac:dyDescent="0.25">
      <c r="A287" s="133" t="s">
        <v>221</v>
      </c>
      <c r="C287" s="102" t="s">
        <v>316</v>
      </c>
      <c r="D287" s="102" t="s">
        <v>223</v>
      </c>
      <c r="E287" s="110">
        <f>'Func &amp; Classif'!P316</f>
        <v>17809.236283576141</v>
      </c>
      <c r="F287" s="119">
        <f>IF(VLOOKUP($D287,$C$5:$AT$510,3,)=0,0,(VLOOKUP($D287,$C$5:$AT$510,4,)/VLOOKUP($D287,$C$5:$AT$510,3,))*$E287)</f>
        <v>16848.243696294063</v>
      </c>
      <c r="G287" s="119">
        <f>IF(VLOOKUP($D287,$C$5:$AT$510,3,)=0,0,(VLOOKUP($D287,$C$5:$AT$510,5,)/VLOOKUP($D287,$C$5:$AT$510,3,))*$E287)</f>
        <v>35.739972902046297</v>
      </c>
      <c r="H287" s="119">
        <f>IF(VLOOKUP($D287,$C$5:$AT$510,3,)=0,0,(VLOOKUP($D287,$C$5:$AT$510,6,)/VLOOKUP($D287,$C$5:$AT$510,3,))*$E287)</f>
        <v>366.50991819157281</v>
      </c>
      <c r="I287" s="119">
        <f>IF(VLOOKUP($D287,$C$5:$AT$510,3,)=0,0,(VLOOKUP($D287,$C$5:$AT$510,7,)/VLOOKUP($D287,$C$5:$AT$510,3,))*$E287)</f>
        <v>42.747810725976947</v>
      </c>
      <c r="J287" s="119">
        <f>IF(VLOOKUP($D287,$C$5:$AT$510,3,)=0,0,(VLOOKUP($D287,$C$5:$AT$510,8,)/VLOOKUP($D287,$C$5:$AT$510,3,))*$E287)</f>
        <v>16.118026995040488</v>
      </c>
      <c r="K287" s="119">
        <f>IF(VLOOKUP($D287,$C$5:$AT$510,3,)=0,0,(VLOOKUP($D287,$C$5:$AT$510,9,)/VLOOKUP($D287,$C$5:$AT$510,3,))*$E287)</f>
        <v>218.64454010663619</v>
      </c>
      <c r="L287" s="119">
        <f>IF(VLOOKUP($D287,$C$5:$AT$510,3,)=0,0,(VLOOKUP($D287,$C$5:$AT$510,10,)/VLOOKUP($D287,$C$5:$AT$510,3,))*$E287)</f>
        <v>169.58967533912164</v>
      </c>
      <c r="M287" s="119">
        <f>IF(VLOOKUP($D287,$C$5:$AT$510,3,)=0,0,(VLOOKUP($D287,$C$5:$AT$510,11,)/VLOOKUP($D287,$C$5:$AT$510,3,))*$E287)</f>
        <v>108.62148627092503</v>
      </c>
      <c r="N287" s="119">
        <f>IF(VLOOKUP($D287,$C$5:$AT$510,3,)=0,0,(VLOOKUP($D287,$C$5:$AT$510,12,)/VLOOKUP($D287,$C$5:$AT$510,3,))*$E287)</f>
        <v>2.1023513471791939</v>
      </c>
      <c r="O287" s="119">
        <f>IF(VLOOKUP($D287,$C$5:$AT$510,3,)=0,0,(VLOOKUP($D287,$C$5:$AT$510,13,)/VLOOKUP($D287,$C$5:$AT$510,3,))*$E287)</f>
        <v>0</v>
      </c>
      <c r="P287" s="119">
        <f>IF(VLOOKUP($D287,$C$5:$AT$510,3,)=0,0,(VLOOKUP($D287,$C$5:$AT$510,14,)/VLOOKUP($D287,$C$5:$AT$510,3,))*$E287)</f>
        <v>0.91880540358201823</v>
      </c>
      <c r="Q287" s="119">
        <f>IF(VLOOKUP($D287,$C$5:$AT$510,3,)=0,0,(VLOOKUP($D287,$C$5:$AT$510,15,)/VLOOKUP($D287,$C$5:$AT$510,3,))*$E287)</f>
        <v>0</v>
      </c>
      <c r="R287" s="119">
        <f>IF(VLOOKUP($D287,$C$5:$AT$510,3,)=0,0,(VLOOKUP($D287,$C$5:$AT$510,16,)/VLOOKUP($D287,$C$5:$AT$510,3,))*$E287)</f>
        <v>0</v>
      </c>
      <c r="S287" s="119">
        <f>IF(VLOOKUP($D287,$C$5:$AT$510,3,)=0,0,(VLOOKUP($D287,$C$5:$AT$510,17,)/VLOOKUP($D287,$C$5:$AT$510,3,))*$E287)</f>
        <v>0</v>
      </c>
      <c r="T287" s="119">
        <f>IF(VLOOKUP($D287,$C$5:$AT$510,3,)=0,0,(VLOOKUP($D287,$C$5:$AT$510,18,)/VLOOKUP($D287,$C$5:$AT$510,3,))*$E287)</f>
        <v>0</v>
      </c>
      <c r="U287" s="119">
        <f>IF(VLOOKUP($D287,$C$5:$AT$510,3,)=0,0,(VLOOKUP($D287,$C$5:$AT$510,19,)/VLOOKUP($D287,$C$5:$AT$510,3,))*$E287)</f>
        <v>0</v>
      </c>
      <c r="V287" s="119">
        <f>IF(VLOOKUP($D287,$C$5:$AT$510,3,)=0,0,(VLOOKUP($D287,$C$5:$AT$510,20,)/VLOOKUP($D287,$C$5:$AT$510,3,))*$E287)</f>
        <v>0</v>
      </c>
      <c r="W287" s="119">
        <f>IF(VLOOKUP($D287,$C$5:$AT$510,3,)=0,0,(VLOOKUP($D287,$C$5:$AT$510,21,)/VLOOKUP($D287,$C$5:$AT$510,3,))*$E287)</f>
        <v>0</v>
      </c>
      <c r="X287" s="119">
        <f>IF(VLOOKUP($D287,$C$5:$AT$510,3,)=0,0,(VLOOKUP($D287,$C$5:$AT$510,22,)/VLOOKUP($D287,$C$5:$AT$510,3,))*$E287)</f>
        <v>0</v>
      </c>
      <c r="Y287" s="119">
        <f>IF(VLOOKUP($D287,$C$5:$AT$510,3,)=0,0,(VLOOKUP($D287,$C$5:$AT$510,23,)/VLOOKUP($D287,$C$5:$AT$510,3,))*$E287)</f>
        <v>0</v>
      </c>
      <c r="Z287" s="119">
        <f>IF(VLOOKUP($D287,$C$5:$AT$510,3,)=0,0,(VLOOKUP($D287,$C$5:$AT$510,24,)/VLOOKUP($D287,$C$5:$AT$510,3,))*$E287)</f>
        <v>0</v>
      </c>
      <c r="AA287" s="119">
        <f>IF(VLOOKUP($D287,$C$5:$AT$510,3,)=0,0,(VLOOKUP($D287,$C$5:$AT$510,25,)/VLOOKUP($D287,$C$5:$AT$510,3,))*$E287)</f>
        <v>0</v>
      </c>
      <c r="AB287" s="119">
        <f>IF(VLOOKUP($D287,$C$5:$AT$510,3,)=0,0,(VLOOKUP($D287,$C$5:$AT$510,26,)/VLOOKUP($D287,$C$5:$AT$510,3,))*$E287)</f>
        <v>0</v>
      </c>
      <c r="AC287" s="119">
        <f>IF(VLOOKUP($D287,$C$5:$AT$510,3,)=0,0,(VLOOKUP($D287,$C$5:$AT$510,27,)/VLOOKUP($D287,$C$5:$AT$510,3,))*$E287)</f>
        <v>0</v>
      </c>
      <c r="AD287" s="119">
        <f>IF(VLOOKUP($D287,$C$5:$AT$510,3,)=0,0,(VLOOKUP($D287,$C$5:$AT$510,28,)/VLOOKUP($D287,$C$5:$AT$510,3,))*$E287)</f>
        <v>0</v>
      </c>
      <c r="AE287" s="119">
        <f>IF(VLOOKUP($D287,$C$5:$AT$510,3,)=0,0,(VLOOKUP($D287,$C$5:$AT$510,29,)/VLOOKUP($D287,$C$5:$AT$510,3,))*$E287)</f>
        <v>0</v>
      </c>
      <c r="AF287" s="119">
        <f>IF(VLOOKUP($D287,$C$5:$AT$510,3,)=0,0,(VLOOKUP($D287,$C$5:$AT$510,30,)/VLOOKUP($D287,$C$5:$AT$510,3,))*$E287)</f>
        <v>0</v>
      </c>
      <c r="AG287" s="120">
        <f>SUM(F287:AF287)</f>
        <v>17809.236283576145</v>
      </c>
      <c r="AH287" s="103" t="str">
        <f>IF(ABS(E287-AG287)&lt;0.01,"ok","err")</f>
        <v>ok</v>
      </c>
    </row>
    <row r="288" spans="1:34" x14ac:dyDescent="0.25">
      <c r="A288" s="102" t="s">
        <v>224</v>
      </c>
      <c r="E288" s="119">
        <f t="shared" ref="E288:T288" si="56">E286+E287</f>
        <v>62204.986698406923</v>
      </c>
      <c r="F288" s="119">
        <f t="shared" si="56"/>
        <v>48909.82201200963</v>
      </c>
      <c r="G288" s="119">
        <f t="shared" si="56"/>
        <v>130.56757997203852</v>
      </c>
      <c r="H288" s="119">
        <f t="shared" si="56"/>
        <v>2103.4127654329814</v>
      </c>
      <c r="I288" s="119">
        <f t="shared" si="56"/>
        <v>4627.219739985675</v>
      </c>
      <c r="J288" s="119">
        <f t="shared" si="56"/>
        <v>807.56933350527902</v>
      </c>
      <c r="K288" s="119">
        <f t="shared" si="56"/>
        <v>253.08416329542464</v>
      </c>
      <c r="L288" s="119">
        <f t="shared" si="56"/>
        <v>1142.7683533996994</v>
      </c>
      <c r="M288" s="119">
        <f t="shared" si="56"/>
        <v>4186.6429481178529</v>
      </c>
      <c r="N288" s="119">
        <f t="shared" si="56"/>
        <v>37.038082827945033</v>
      </c>
      <c r="O288" s="119">
        <f t="shared" si="56"/>
        <v>0</v>
      </c>
      <c r="P288" s="119">
        <f t="shared" si="56"/>
        <v>6.861719860405417</v>
      </c>
      <c r="Q288" s="119">
        <f t="shared" si="56"/>
        <v>0</v>
      </c>
      <c r="R288" s="119">
        <f t="shared" si="56"/>
        <v>0</v>
      </c>
      <c r="S288" s="119">
        <f t="shared" si="56"/>
        <v>0</v>
      </c>
      <c r="T288" s="119">
        <f t="shared" si="56"/>
        <v>0</v>
      </c>
      <c r="U288" s="119">
        <f t="shared" ref="U288:AF288" si="57">U286+U287</f>
        <v>0</v>
      </c>
      <c r="V288" s="119">
        <f t="shared" si="57"/>
        <v>0</v>
      </c>
      <c r="W288" s="119">
        <f t="shared" si="57"/>
        <v>0</v>
      </c>
      <c r="X288" s="119">
        <f t="shared" si="57"/>
        <v>0</v>
      </c>
      <c r="Y288" s="119">
        <f t="shared" si="57"/>
        <v>0</v>
      </c>
      <c r="Z288" s="119">
        <f t="shared" si="57"/>
        <v>0</v>
      </c>
      <c r="AA288" s="119">
        <f t="shared" si="57"/>
        <v>0</v>
      </c>
      <c r="AB288" s="119">
        <f t="shared" si="57"/>
        <v>0</v>
      </c>
      <c r="AC288" s="119">
        <f t="shared" si="57"/>
        <v>0</v>
      </c>
      <c r="AD288" s="119">
        <f t="shared" si="57"/>
        <v>0</v>
      </c>
      <c r="AE288" s="119">
        <f t="shared" si="57"/>
        <v>0</v>
      </c>
      <c r="AF288" s="119">
        <f t="shared" si="57"/>
        <v>0</v>
      </c>
      <c r="AG288" s="120">
        <f>SUM(F288:AF288)</f>
        <v>62204.986698406923</v>
      </c>
      <c r="AH288" s="103" t="str">
        <f>IF(ABS(E288-AG288)&lt;0.01,"ok","err")</f>
        <v>ok</v>
      </c>
    </row>
    <row r="289" spans="1:34" x14ac:dyDescent="0.25">
      <c r="E289" s="110"/>
    </row>
    <row r="290" spans="1:34" x14ac:dyDescent="0.25">
      <c r="A290" s="132" t="s">
        <v>3</v>
      </c>
      <c r="E290" s="110"/>
    </row>
    <row r="291" spans="1:34" x14ac:dyDescent="0.25">
      <c r="A291" s="133" t="s">
        <v>209</v>
      </c>
      <c r="C291" s="102" t="s">
        <v>317</v>
      </c>
      <c r="D291" s="102" t="s">
        <v>698</v>
      </c>
      <c r="E291" s="119">
        <f>'Func &amp; Classif'!R316</f>
        <v>0</v>
      </c>
      <c r="F291" s="119">
        <f>IF(VLOOKUP($D291,$C$5:$AT$510,3,)=0,0,(VLOOKUP($D291,$C$5:$AT$510,4,)/VLOOKUP($D291,$C$5:$AT$510,3,))*$E291)</f>
        <v>0</v>
      </c>
      <c r="G291" s="119">
        <f>IF(VLOOKUP($D291,$C$5:$AT$510,3,)=0,0,(VLOOKUP($D291,$C$5:$AT$510,5,)/VLOOKUP($D291,$C$5:$AT$510,3,))*$E291)</f>
        <v>0</v>
      </c>
      <c r="H291" s="119">
        <f>IF(VLOOKUP($D291,$C$5:$AT$510,3,)=0,0,(VLOOKUP($D291,$C$5:$AT$510,6,)/VLOOKUP($D291,$C$5:$AT$510,3,))*$E291)</f>
        <v>0</v>
      </c>
      <c r="I291" s="119">
        <f>IF(VLOOKUP($D291,$C$5:$AT$510,3,)=0,0,(VLOOKUP($D291,$C$5:$AT$510,7,)/VLOOKUP($D291,$C$5:$AT$510,3,))*$E291)</f>
        <v>0</v>
      </c>
      <c r="J291" s="119">
        <f>IF(VLOOKUP($D291,$C$5:$AT$510,3,)=0,0,(VLOOKUP($D291,$C$5:$AT$510,8,)/VLOOKUP($D291,$C$5:$AT$510,3,))*$E291)</f>
        <v>0</v>
      </c>
      <c r="K291" s="119">
        <f>IF(VLOOKUP($D291,$C$5:$AT$510,3,)=0,0,(VLOOKUP($D291,$C$5:$AT$510,9,)/VLOOKUP($D291,$C$5:$AT$510,3,))*$E291)</f>
        <v>0</v>
      </c>
      <c r="L291" s="119">
        <f>IF(VLOOKUP($D291,$C$5:$AT$510,3,)=0,0,(VLOOKUP($D291,$C$5:$AT$510,10,)/VLOOKUP($D291,$C$5:$AT$510,3,))*$E291)</f>
        <v>0</v>
      </c>
      <c r="M291" s="119">
        <f>IF(VLOOKUP($D291,$C$5:$AT$510,3,)=0,0,(VLOOKUP($D291,$C$5:$AT$510,11,)/VLOOKUP($D291,$C$5:$AT$510,3,))*$E291)</f>
        <v>0</v>
      </c>
      <c r="N291" s="119">
        <f>IF(VLOOKUP($D291,$C$5:$AT$510,3,)=0,0,(VLOOKUP($D291,$C$5:$AT$510,12,)/VLOOKUP($D291,$C$5:$AT$510,3,))*$E291)</f>
        <v>0</v>
      </c>
      <c r="O291" s="119">
        <f>IF(VLOOKUP($D291,$C$5:$AT$510,3,)=0,0,(VLOOKUP($D291,$C$5:$AT$510,13,)/VLOOKUP($D291,$C$5:$AT$510,3,))*$E291)</f>
        <v>0</v>
      </c>
      <c r="P291" s="119">
        <f>IF(VLOOKUP($D291,$C$5:$AT$510,3,)=0,0,(VLOOKUP($D291,$C$5:$AT$510,14,)/VLOOKUP($D291,$C$5:$AT$510,3,))*$E291)</f>
        <v>0</v>
      </c>
      <c r="Q291" s="119">
        <f>IF(VLOOKUP($D291,$C$5:$AT$510,3,)=0,0,(VLOOKUP($D291,$C$5:$AT$510,15,)/VLOOKUP($D291,$C$5:$AT$510,3,))*$E291)</f>
        <v>0</v>
      </c>
      <c r="R291" s="119">
        <f>IF(VLOOKUP($D291,$C$5:$AT$510,3,)=0,0,(VLOOKUP($D291,$C$5:$AT$510,16,)/VLOOKUP($D291,$C$5:$AT$510,3,))*$E291)</f>
        <v>0</v>
      </c>
      <c r="S291" s="119">
        <f>IF(VLOOKUP($D291,$C$5:$AT$510,3,)=0,0,(VLOOKUP($D291,$C$5:$AT$510,17,)/VLOOKUP($D291,$C$5:$AT$510,3,))*$E291)</f>
        <v>0</v>
      </c>
      <c r="T291" s="119">
        <f>IF(VLOOKUP($D291,$C$5:$AT$510,3,)=0,0,(VLOOKUP($D291,$C$5:$AT$510,18,)/VLOOKUP($D291,$C$5:$AT$510,3,))*$E291)</f>
        <v>0</v>
      </c>
      <c r="U291" s="119">
        <f>IF(VLOOKUP($D291,$C$5:$AT$510,3,)=0,0,(VLOOKUP($D291,$C$5:$AT$510,19,)/VLOOKUP($D291,$C$5:$AT$510,3,))*$E291)</f>
        <v>0</v>
      </c>
      <c r="V291" s="119">
        <f>IF(VLOOKUP($D291,$C$5:$AT$510,3,)=0,0,(VLOOKUP($D291,$C$5:$AT$510,20,)/VLOOKUP($D291,$C$5:$AT$510,3,))*$E291)</f>
        <v>0</v>
      </c>
      <c r="W291" s="119">
        <f>IF(VLOOKUP($D291,$C$5:$AT$510,3,)=0,0,(VLOOKUP($D291,$C$5:$AT$510,21,)/VLOOKUP($D291,$C$5:$AT$510,3,))*$E291)</f>
        <v>0</v>
      </c>
      <c r="X291" s="119">
        <f>IF(VLOOKUP($D291,$C$5:$AT$510,3,)=0,0,(VLOOKUP($D291,$C$5:$AT$510,22,)/VLOOKUP($D291,$C$5:$AT$510,3,))*$E291)</f>
        <v>0</v>
      </c>
      <c r="Y291" s="119">
        <f>IF(VLOOKUP($D291,$C$5:$AT$510,3,)=0,0,(VLOOKUP($D291,$C$5:$AT$510,23,)/VLOOKUP($D291,$C$5:$AT$510,3,))*$E291)</f>
        <v>0</v>
      </c>
      <c r="Z291" s="119">
        <f>IF(VLOOKUP($D291,$C$5:$AT$510,3,)=0,0,(VLOOKUP($D291,$C$5:$AT$510,24,)/VLOOKUP($D291,$C$5:$AT$510,3,))*$E291)</f>
        <v>0</v>
      </c>
      <c r="AA291" s="119">
        <f>IF(VLOOKUP($D291,$C$5:$AT$510,3,)=0,0,(VLOOKUP($D291,$C$5:$AT$510,25,)/VLOOKUP($D291,$C$5:$AT$510,3,))*$E291)</f>
        <v>0</v>
      </c>
      <c r="AB291" s="119">
        <f>IF(VLOOKUP($D291,$C$5:$AT$510,3,)=0,0,(VLOOKUP($D291,$C$5:$AT$510,26,)/VLOOKUP($D291,$C$5:$AT$510,3,))*$E291)</f>
        <v>0</v>
      </c>
      <c r="AC291" s="119">
        <f>IF(VLOOKUP($D291,$C$5:$AT$510,3,)=0,0,(VLOOKUP($D291,$C$5:$AT$510,27,)/VLOOKUP($D291,$C$5:$AT$510,3,))*$E291)</f>
        <v>0</v>
      </c>
      <c r="AD291" s="119">
        <f>IF(VLOOKUP($D291,$C$5:$AT$510,3,)=0,0,(VLOOKUP($D291,$C$5:$AT$510,28,)/VLOOKUP($D291,$C$5:$AT$510,3,))*$E291)</f>
        <v>0</v>
      </c>
      <c r="AE291" s="119">
        <f>IF(VLOOKUP($D291,$C$5:$AT$510,3,)=0,0,(VLOOKUP($D291,$C$5:$AT$510,29,)/VLOOKUP($D291,$C$5:$AT$510,3,))*$E291)</f>
        <v>0</v>
      </c>
      <c r="AF291" s="119">
        <f>IF(VLOOKUP($D291,$C$5:$AT$510,3,)=0,0,(VLOOKUP($D291,$C$5:$AT$510,30,)/VLOOKUP($D291,$C$5:$AT$510,3,))*$E291)</f>
        <v>0</v>
      </c>
      <c r="AG291" s="120">
        <f>SUM(F291:AF291)</f>
        <v>0</v>
      </c>
      <c r="AH291" s="103" t="str">
        <f>IF(ABS(E291-AG291)&lt;0.01,"ok","err")</f>
        <v>ok</v>
      </c>
    </row>
    <row r="292" spans="1:34" x14ac:dyDescent="0.25">
      <c r="A292" s="133" t="s">
        <v>221</v>
      </c>
      <c r="C292" s="102" t="s">
        <v>318</v>
      </c>
      <c r="D292" s="102" t="s">
        <v>698</v>
      </c>
      <c r="E292" s="110">
        <f>'Func &amp; Classif'!S316</f>
        <v>5493.3109376605853</v>
      </c>
      <c r="F292" s="119">
        <f>IF(VLOOKUP($D292,$C$5:$AT$510,3,)=0,0,(VLOOKUP($D292,$C$5:$AT$510,4,)/VLOOKUP($D292,$C$5:$AT$510,3,))*$E292)</f>
        <v>5172.3548129765659</v>
      </c>
      <c r="G292" s="119">
        <f>IF(VLOOKUP($D292,$C$5:$AT$510,3,)=0,0,(VLOOKUP($D292,$C$5:$AT$510,5,)/VLOOKUP($D292,$C$5:$AT$510,3,))*$E292)</f>
        <v>10.972052885026407</v>
      </c>
      <c r="H292" s="119">
        <f>IF(VLOOKUP($D292,$C$5:$AT$510,3,)=0,0,(VLOOKUP($D292,$C$5:$AT$510,6,)/VLOOKUP($D292,$C$5:$AT$510,3,))*$E292)</f>
        <v>112.51732664448649</v>
      </c>
      <c r="I292" s="119">
        <f>IF(VLOOKUP($D292,$C$5:$AT$510,3,)=0,0,(VLOOKUP($D292,$C$5:$AT$510,7,)/VLOOKUP($D292,$C$5:$AT$510,3,))*$E292)</f>
        <v>13.123435803659037</v>
      </c>
      <c r="J292" s="119">
        <f>IF(VLOOKUP($D292,$C$5:$AT$510,3,)=0,0,(VLOOKUP($D292,$C$5:$AT$510,8,)/VLOOKUP($D292,$C$5:$AT$510,3,))*$E292)</f>
        <v>4.9481807128550459</v>
      </c>
      <c r="K292" s="119">
        <f>IF(VLOOKUP($D292,$C$5:$AT$510,3,)=0,0,(VLOOKUP($D292,$C$5:$AT$510,9,)/VLOOKUP($D292,$C$5:$AT$510,3,))*$E292)</f>
        <v>67.123147061338017</v>
      </c>
      <c r="L292" s="119">
        <f>IF(VLOOKUP($D292,$C$5:$AT$510,3,)=0,0,(VLOOKUP($D292,$C$5:$AT$510,10,)/VLOOKUP($D292,$C$5:$AT$510,3,))*$E292)</f>
        <v>56.035803362568188</v>
      </c>
      <c r="M292" s="119">
        <f>IF(VLOOKUP($D292,$C$5:$AT$510,3,)=0,0,(VLOOKUP($D292,$C$5:$AT$510,11,)/VLOOKUP($D292,$C$5:$AT$510,3,))*$E292)</f>
        <v>55.168402678376374</v>
      </c>
      <c r="N292" s="119">
        <f>IF(VLOOKUP($D292,$C$5:$AT$510,3,)=0,0,(VLOOKUP($D292,$C$5:$AT$510,12,)/VLOOKUP($D292,$C$5:$AT$510,3,))*$E292)</f>
        <v>1.0677755357105103</v>
      </c>
      <c r="O292" s="119">
        <f>IF(VLOOKUP($D292,$C$5:$AT$510,3,)=0,0,(VLOOKUP($D292,$C$5:$AT$510,13,)/VLOOKUP($D292,$C$5:$AT$510,3,))*$E292)</f>
        <v>0</v>
      </c>
      <c r="P292" s="119">
        <f>IF(VLOOKUP($D292,$C$5:$AT$510,3,)=0,0,(VLOOKUP($D292,$C$5:$AT$510,14,)/VLOOKUP($D292,$C$5:$AT$510,3,))*$E292)</f>
        <v>0</v>
      </c>
      <c r="Q292" s="119">
        <f>IF(VLOOKUP($D292,$C$5:$AT$510,3,)=0,0,(VLOOKUP($D292,$C$5:$AT$510,15,)/VLOOKUP($D292,$C$5:$AT$510,3,))*$E292)</f>
        <v>0</v>
      </c>
      <c r="R292" s="119">
        <f>IF(VLOOKUP($D292,$C$5:$AT$510,3,)=0,0,(VLOOKUP($D292,$C$5:$AT$510,16,)/VLOOKUP($D292,$C$5:$AT$510,3,))*$E292)</f>
        <v>0</v>
      </c>
      <c r="S292" s="119">
        <f>IF(VLOOKUP($D292,$C$5:$AT$510,3,)=0,0,(VLOOKUP($D292,$C$5:$AT$510,17,)/VLOOKUP($D292,$C$5:$AT$510,3,))*$E292)</f>
        <v>0</v>
      </c>
      <c r="T292" s="119">
        <f>IF(VLOOKUP($D292,$C$5:$AT$510,3,)=0,0,(VLOOKUP($D292,$C$5:$AT$510,18,)/VLOOKUP($D292,$C$5:$AT$510,3,))*$E292)</f>
        <v>0</v>
      </c>
      <c r="U292" s="119">
        <f>IF(VLOOKUP($D292,$C$5:$AT$510,3,)=0,0,(VLOOKUP($D292,$C$5:$AT$510,19,)/VLOOKUP($D292,$C$5:$AT$510,3,))*$E292)</f>
        <v>0</v>
      </c>
      <c r="V292" s="119">
        <f>IF(VLOOKUP($D292,$C$5:$AT$510,3,)=0,0,(VLOOKUP($D292,$C$5:$AT$510,20,)/VLOOKUP($D292,$C$5:$AT$510,3,))*$E292)</f>
        <v>0</v>
      </c>
      <c r="W292" s="119">
        <f>IF(VLOOKUP($D292,$C$5:$AT$510,3,)=0,0,(VLOOKUP($D292,$C$5:$AT$510,21,)/VLOOKUP($D292,$C$5:$AT$510,3,))*$E292)</f>
        <v>0</v>
      </c>
      <c r="X292" s="119">
        <f>IF(VLOOKUP($D292,$C$5:$AT$510,3,)=0,0,(VLOOKUP($D292,$C$5:$AT$510,22,)/VLOOKUP($D292,$C$5:$AT$510,3,))*$E292)</f>
        <v>0</v>
      </c>
      <c r="Y292" s="119">
        <f>IF(VLOOKUP($D292,$C$5:$AT$510,3,)=0,0,(VLOOKUP($D292,$C$5:$AT$510,23,)/VLOOKUP($D292,$C$5:$AT$510,3,))*$E292)</f>
        <v>0</v>
      </c>
      <c r="Z292" s="119">
        <f>IF(VLOOKUP($D292,$C$5:$AT$510,3,)=0,0,(VLOOKUP($D292,$C$5:$AT$510,24,)/VLOOKUP($D292,$C$5:$AT$510,3,))*$E292)</f>
        <v>0</v>
      </c>
      <c r="AA292" s="119">
        <f>IF(VLOOKUP($D292,$C$5:$AT$510,3,)=0,0,(VLOOKUP($D292,$C$5:$AT$510,25,)/VLOOKUP($D292,$C$5:$AT$510,3,))*$E292)</f>
        <v>0</v>
      </c>
      <c r="AB292" s="119">
        <f>IF(VLOOKUP($D292,$C$5:$AT$510,3,)=0,0,(VLOOKUP($D292,$C$5:$AT$510,26,)/VLOOKUP($D292,$C$5:$AT$510,3,))*$E292)</f>
        <v>0</v>
      </c>
      <c r="AC292" s="119">
        <f>IF(VLOOKUP($D292,$C$5:$AT$510,3,)=0,0,(VLOOKUP($D292,$C$5:$AT$510,27,)/VLOOKUP($D292,$C$5:$AT$510,3,))*$E292)</f>
        <v>0</v>
      </c>
      <c r="AD292" s="119">
        <f>IF(VLOOKUP($D292,$C$5:$AT$510,3,)=0,0,(VLOOKUP($D292,$C$5:$AT$510,28,)/VLOOKUP($D292,$C$5:$AT$510,3,))*$E292)</f>
        <v>0</v>
      </c>
      <c r="AE292" s="119">
        <f>IF(VLOOKUP($D292,$C$5:$AT$510,3,)=0,0,(VLOOKUP($D292,$C$5:$AT$510,29,)/VLOOKUP($D292,$C$5:$AT$510,3,))*$E292)</f>
        <v>0</v>
      </c>
      <c r="AF292" s="119">
        <f>IF(VLOOKUP($D292,$C$5:$AT$510,3,)=0,0,(VLOOKUP($D292,$C$5:$AT$510,30,)/VLOOKUP($D292,$C$5:$AT$510,3,))*$E292)</f>
        <v>0</v>
      </c>
      <c r="AG292" s="120">
        <f>SUM(F292:AF292)</f>
        <v>5493.3109376605853</v>
      </c>
      <c r="AH292" s="103" t="str">
        <f>IF(ABS(E292-AG292)&lt;0.01,"ok","err")</f>
        <v>ok</v>
      </c>
    </row>
    <row r="293" spans="1:34" x14ac:dyDescent="0.25">
      <c r="A293" s="102" t="s">
        <v>228</v>
      </c>
      <c r="E293" s="119">
        <f t="shared" ref="E293:T293" si="58">E291+E292</f>
        <v>5493.3109376605853</v>
      </c>
      <c r="F293" s="119">
        <f t="shared" si="58"/>
        <v>5172.3548129765659</v>
      </c>
      <c r="G293" s="119">
        <f t="shared" si="58"/>
        <v>10.972052885026407</v>
      </c>
      <c r="H293" s="119">
        <f t="shared" si="58"/>
        <v>112.51732664448649</v>
      </c>
      <c r="I293" s="119">
        <f t="shared" si="58"/>
        <v>13.123435803659037</v>
      </c>
      <c r="J293" s="119">
        <f t="shared" si="58"/>
        <v>4.9481807128550459</v>
      </c>
      <c r="K293" s="119">
        <f t="shared" si="58"/>
        <v>67.123147061338017</v>
      </c>
      <c r="L293" s="119">
        <f t="shared" si="58"/>
        <v>56.035803362568188</v>
      </c>
      <c r="M293" s="119">
        <f t="shared" si="58"/>
        <v>55.168402678376374</v>
      </c>
      <c r="N293" s="119">
        <f t="shared" si="58"/>
        <v>1.0677755357105103</v>
      </c>
      <c r="O293" s="119">
        <f t="shared" si="58"/>
        <v>0</v>
      </c>
      <c r="P293" s="119">
        <f t="shared" si="58"/>
        <v>0</v>
      </c>
      <c r="Q293" s="119">
        <f t="shared" si="58"/>
        <v>0</v>
      </c>
      <c r="R293" s="119">
        <f t="shared" si="58"/>
        <v>0</v>
      </c>
      <c r="S293" s="119">
        <f t="shared" si="58"/>
        <v>0</v>
      </c>
      <c r="T293" s="119">
        <f t="shared" si="58"/>
        <v>0</v>
      </c>
      <c r="U293" s="119">
        <f t="shared" ref="U293:AF293" si="59">U291+U292</f>
        <v>0</v>
      </c>
      <c r="V293" s="119">
        <f t="shared" si="59"/>
        <v>0</v>
      </c>
      <c r="W293" s="119">
        <f t="shared" si="59"/>
        <v>0</v>
      </c>
      <c r="X293" s="119">
        <f t="shared" si="59"/>
        <v>0</v>
      </c>
      <c r="Y293" s="119">
        <f t="shared" si="59"/>
        <v>0</v>
      </c>
      <c r="Z293" s="119">
        <f t="shared" si="59"/>
        <v>0</v>
      </c>
      <c r="AA293" s="119">
        <f t="shared" si="59"/>
        <v>0</v>
      </c>
      <c r="AB293" s="119">
        <f t="shared" si="59"/>
        <v>0</v>
      </c>
      <c r="AC293" s="119">
        <f t="shared" si="59"/>
        <v>0</v>
      </c>
      <c r="AD293" s="119">
        <f t="shared" si="59"/>
        <v>0</v>
      </c>
      <c r="AE293" s="119">
        <f t="shared" si="59"/>
        <v>0</v>
      </c>
      <c r="AF293" s="119">
        <f t="shared" si="59"/>
        <v>0</v>
      </c>
      <c r="AG293" s="120">
        <f>SUM(F293:AF293)</f>
        <v>5493.3109376605853</v>
      </c>
      <c r="AH293" s="103" t="str">
        <f>IF(ABS(E293-AG293)&lt;0.01,"ok","err")</f>
        <v>ok</v>
      </c>
    </row>
    <row r="294" spans="1:34" x14ac:dyDescent="0.25">
      <c r="E294" s="110"/>
    </row>
    <row r="295" spans="1:34" x14ac:dyDescent="0.25">
      <c r="A295" s="132" t="s">
        <v>4</v>
      </c>
      <c r="E295" s="110"/>
    </row>
    <row r="296" spans="1:34" x14ac:dyDescent="0.25">
      <c r="A296" s="133" t="s">
        <v>221</v>
      </c>
      <c r="C296" s="102" t="s">
        <v>319</v>
      </c>
      <c r="D296" s="102" t="s">
        <v>230</v>
      </c>
      <c r="E296" s="119">
        <f>'Func &amp; Classif'!U316</f>
        <v>4307.3637702642663</v>
      </c>
      <c r="F296" s="119">
        <f>IF(VLOOKUP($D296,$C$5:$AT$510,3,)=0,0,(VLOOKUP($D296,$C$5:$AT$510,4,)/VLOOKUP($D296,$C$5:$AT$510,3,))*$E296)</f>
        <v>3883.7330133353066</v>
      </c>
      <c r="G296" s="119">
        <f>IF(VLOOKUP($D296,$C$5:$AT$510,3,)=0,0,(VLOOKUP($D296,$C$5:$AT$510,5,)/VLOOKUP($D296,$C$5:$AT$510,3,))*$E296)</f>
        <v>8.2385152516471436</v>
      </c>
      <c r="H296" s="119">
        <f>IF(VLOOKUP($D296,$C$5:$AT$510,3,)=0,0,(VLOOKUP($D296,$C$5:$AT$510,6,)/VLOOKUP($D296,$C$5:$AT$510,3,))*$E296)</f>
        <v>84.485166208067767</v>
      </c>
      <c r="I296" s="119">
        <f>IF(VLOOKUP($D296,$C$5:$AT$510,3,)=0,0,(VLOOKUP($D296,$C$5:$AT$510,7,)/VLOOKUP($D296,$C$5:$AT$510,3,))*$E296)</f>
        <v>9.853910399028937</v>
      </c>
      <c r="J296" s="119">
        <f>IF(VLOOKUP($D296,$C$5:$AT$510,3,)=0,0,(VLOOKUP($D296,$C$5:$AT$510,8,)/VLOOKUP($D296,$C$5:$AT$510,3,))*$E296)</f>
        <v>3.7154088389781239</v>
      </c>
      <c r="K296" s="119">
        <f>IF(VLOOKUP($D296,$C$5:$AT$510,3,)=0,0,(VLOOKUP($D296,$C$5:$AT$510,9,)/VLOOKUP($D296,$C$5:$AT$510,3,))*$E296)</f>
        <v>50.400328598311937</v>
      </c>
      <c r="L296" s="119">
        <f>IF(VLOOKUP($D296,$C$5:$AT$510,3,)=0,0,(VLOOKUP($D296,$C$5:$AT$510,10,)/VLOOKUP($D296,$C$5:$AT$510,3,))*$E296)</f>
        <v>161.4971437179201</v>
      </c>
      <c r="M296" s="119">
        <f>IF(VLOOKUP($D296,$C$5:$AT$510,3,)=0,0,(VLOOKUP($D296,$C$5:$AT$510,11,)/VLOOKUP($D296,$C$5:$AT$510,3,))*$E296)</f>
        <v>103.43825320775873</v>
      </c>
      <c r="N296" s="119">
        <f>IF(VLOOKUP($D296,$C$5:$AT$510,3,)=0,0,(VLOOKUP($D296,$C$5:$AT$510,12,)/VLOOKUP($D296,$C$5:$AT$510,3,))*$E296)</f>
        <v>2.0020307072469437</v>
      </c>
      <c r="O296" s="119">
        <f>IF(VLOOKUP($D296,$C$5:$AT$510,3,)=0,0,(VLOOKUP($D296,$C$5:$AT$510,13,)/VLOOKUP($D296,$C$5:$AT$510,3,))*$E296)</f>
        <v>0</v>
      </c>
      <c r="P296" s="119">
        <f>IF(VLOOKUP($D296,$C$5:$AT$510,3,)=0,0,(VLOOKUP($D296,$C$5:$AT$510,14,)/VLOOKUP($D296,$C$5:$AT$510,3,))*$E296)</f>
        <v>0</v>
      </c>
      <c r="Q296" s="119">
        <f>IF(VLOOKUP($D296,$C$5:$AT$510,3,)=0,0,(VLOOKUP($D296,$C$5:$AT$510,15,)/VLOOKUP($D296,$C$5:$AT$510,3,))*$E296)</f>
        <v>0</v>
      </c>
      <c r="R296" s="119">
        <f>IF(VLOOKUP($D296,$C$5:$AT$510,3,)=0,0,(VLOOKUP($D296,$C$5:$AT$510,16,)/VLOOKUP($D296,$C$5:$AT$510,3,))*$E296)</f>
        <v>0</v>
      </c>
      <c r="S296" s="119">
        <f>IF(VLOOKUP($D296,$C$5:$AT$510,3,)=0,0,(VLOOKUP($D296,$C$5:$AT$510,17,)/VLOOKUP($D296,$C$5:$AT$510,3,))*$E296)</f>
        <v>0</v>
      </c>
      <c r="T296" s="119">
        <f>IF(VLOOKUP($D296,$C$5:$AT$510,3,)=0,0,(VLOOKUP($D296,$C$5:$AT$510,18,)/VLOOKUP($D296,$C$5:$AT$510,3,))*$E296)</f>
        <v>0</v>
      </c>
      <c r="U296" s="119">
        <f>IF(VLOOKUP($D296,$C$5:$AT$510,3,)=0,0,(VLOOKUP($D296,$C$5:$AT$510,19,)/VLOOKUP($D296,$C$5:$AT$510,3,))*$E296)</f>
        <v>0</v>
      </c>
      <c r="V296" s="119">
        <f>IF(VLOOKUP($D296,$C$5:$AT$510,3,)=0,0,(VLOOKUP($D296,$C$5:$AT$510,20,)/VLOOKUP($D296,$C$5:$AT$510,3,))*$E296)</f>
        <v>0</v>
      </c>
      <c r="W296" s="119">
        <f>IF(VLOOKUP($D296,$C$5:$AT$510,3,)=0,0,(VLOOKUP($D296,$C$5:$AT$510,21,)/VLOOKUP($D296,$C$5:$AT$510,3,))*$E296)</f>
        <v>0</v>
      </c>
      <c r="X296" s="119">
        <f>IF(VLOOKUP($D296,$C$5:$AT$510,3,)=0,0,(VLOOKUP($D296,$C$5:$AT$510,22,)/VLOOKUP($D296,$C$5:$AT$510,3,))*$E296)</f>
        <v>0</v>
      </c>
      <c r="Y296" s="119">
        <f>IF(VLOOKUP($D296,$C$5:$AT$510,3,)=0,0,(VLOOKUP($D296,$C$5:$AT$510,23,)/VLOOKUP($D296,$C$5:$AT$510,3,))*$E296)</f>
        <v>0</v>
      </c>
      <c r="Z296" s="119">
        <f>IF(VLOOKUP($D296,$C$5:$AT$510,3,)=0,0,(VLOOKUP($D296,$C$5:$AT$510,24,)/VLOOKUP($D296,$C$5:$AT$510,3,))*$E296)</f>
        <v>0</v>
      </c>
      <c r="AA296" s="119">
        <f>IF(VLOOKUP($D296,$C$5:$AT$510,3,)=0,0,(VLOOKUP($D296,$C$5:$AT$510,25,)/VLOOKUP($D296,$C$5:$AT$510,3,))*$E296)</f>
        <v>0</v>
      </c>
      <c r="AB296" s="119">
        <f>IF(VLOOKUP($D296,$C$5:$AT$510,3,)=0,0,(VLOOKUP($D296,$C$5:$AT$510,26,)/VLOOKUP($D296,$C$5:$AT$510,3,))*$E296)</f>
        <v>0</v>
      </c>
      <c r="AC296" s="119">
        <f>IF(VLOOKUP($D296,$C$5:$AT$510,3,)=0,0,(VLOOKUP($D296,$C$5:$AT$510,27,)/VLOOKUP($D296,$C$5:$AT$510,3,))*$E296)</f>
        <v>0</v>
      </c>
      <c r="AD296" s="119">
        <f>IF(VLOOKUP($D296,$C$5:$AT$510,3,)=0,0,(VLOOKUP($D296,$C$5:$AT$510,28,)/VLOOKUP($D296,$C$5:$AT$510,3,))*$E296)</f>
        <v>0</v>
      </c>
      <c r="AE296" s="119">
        <f>IF(VLOOKUP($D296,$C$5:$AT$510,3,)=0,0,(VLOOKUP($D296,$C$5:$AT$510,29,)/VLOOKUP($D296,$C$5:$AT$510,3,))*$E296)</f>
        <v>0</v>
      </c>
      <c r="AF296" s="119">
        <f>IF(VLOOKUP($D296,$C$5:$AT$510,3,)=0,0,(VLOOKUP($D296,$C$5:$AT$510,30,)/VLOOKUP($D296,$C$5:$AT$510,3,))*$E296)</f>
        <v>0</v>
      </c>
      <c r="AG296" s="120">
        <f>SUM(F296:AF296)</f>
        <v>4307.3637702642663</v>
      </c>
      <c r="AH296" s="103" t="str">
        <f>IF(ABS(E296-AG296)&lt;0.01,"ok","err")</f>
        <v>ok</v>
      </c>
    </row>
    <row r="297" spans="1:34" x14ac:dyDescent="0.25">
      <c r="E297" s="110"/>
    </row>
    <row r="298" spans="1:34" x14ac:dyDescent="0.25">
      <c r="A298" s="132" t="s">
        <v>5</v>
      </c>
      <c r="E298" s="110"/>
    </row>
    <row r="299" spans="1:34" x14ac:dyDescent="0.25">
      <c r="A299" s="133" t="s">
        <v>221</v>
      </c>
      <c r="C299" s="102" t="s">
        <v>320</v>
      </c>
      <c r="D299" s="102" t="s">
        <v>232</v>
      </c>
      <c r="E299" s="119">
        <f>'Func &amp; Classif'!W316</f>
        <v>2467.338593668193</v>
      </c>
      <c r="F299" s="119">
        <f>IF(VLOOKUP($D299,$C$5:$AT$510,3,)=0,0,(VLOOKUP($D299,$C$5:$AT$510,4,)/VLOOKUP($D299,$C$5:$AT$510,3,))*$E299)</f>
        <v>0</v>
      </c>
      <c r="G299" s="119">
        <f>IF(VLOOKUP($D299,$C$5:$AT$510,3,)=0,0,(VLOOKUP($D299,$C$5:$AT$510,5,)/VLOOKUP($D299,$C$5:$AT$510,3,))*$E299)</f>
        <v>0</v>
      </c>
      <c r="H299" s="119">
        <f>IF(VLOOKUP($D299,$C$5:$AT$510,3,)=0,0,(VLOOKUP($D299,$C$5:$AT$510,6,)/VLOOKUP($D299,$C$5:$AT$510,3,))*$E299)</f>
        <v>0</v>
      </c>
      <c r="I299" s="119">
        <f>IF(VLOOKUP($D299,$C$5:$AT$510,3,)=0,0,(VLOOKUP($D299,$C$5:$AT$510,7,)/VLOOKUP($D299,$C$5:$AT$510,3,))*$E299)</f>
        <v>0</v>
      </c>
      <c r="J299" s="119">
        <f>IF(VLOOKUP($D299,$C$5:$AT$510,3,)=0,0,(VLOOKUP($D299,$C$5:$AT$510,8,)/VLOOKUP($D299,$C$5:$AT$510,3,))*$E299)</f>
        <v>0</v>
      </c>
      <c r="K299" s="119">
        <f>IF(VLOOKUP($D299,$C$5:$AT$510,3,)=0,0,(VLOOKUP($D299,$C$5:$AT$510,9,)/VLOOKUP($D299,$C$5:$AT$510,3,))*$E299)</f>
        <v>0</v>
      </c>
      <c r="L299" s="119">
        <f>IF(VLOOKUP($D299,$C$5:$AT$510,3,)=0,0,(VLOOKUP($D299,$C$5:$AT$510,10,)/VLOOKUP($D299,$C$5:$AT$510,3,))*$E299)</f>
        <v>0</v>
      </c>
      <c r="M299" s="119">
        <f>IF(VLOOKUP($D299,$C$5:$AT$510,3,)=0,0,(VLOOKUP($D299,$C$5:$AT$510,11,)/VLOOKUP($D299,$C$5:$AT$510,3,))*$E299)</f>
        <v>0</v>
      </c>
      <c r="N299" s="119">
        <f>IF(VLOOKUP($D299,$C$5:$AT$510,3,)=0,0,(VLOOKUP($D299,$C$5:$AT$510,12,)/VLOOKUP($D299,$C$5:$AT$510,3,))*$E299)</f>
        <v>0</v>
      </c>
      <c r="O299" s="119">
        <f>IF(VLOOKUP($D299,$C$5:$AT$510,3,)=0,0,(VLOOKUP($D299,$C$5:$AT$510,13,)/VLOOKUP($D299,$C$5:$AT$510,3,))*$E299)</f>
        <v>0</v>
      </c>
      <c r="P299" s="119">
        <f>IF(VLOOKUP($D299,$C$5:$AT$510,3,)=0,0,(VLOOKUP($D299,$C$5:$AT$510,14,)/VLOOKUP($D299,$C$5:$AT$510,3,))*$E299)</f>
        <v>2467.338593668193</v>
      </c>
      <c r="Q299" s="119">
        <f>IF(VLOOKUP($D299,$C$5:$AT$510,3,)=0,0,(VLOOKUP($D299,$C$5:$AT$510,15,)/VLOOKUP($D299,$C$5:$AT$510,3,))*$E299)</f>
        <v>0</v>
      </c>
      <c r="R299" s="119">
        <f>IF(VLOOKUP($D299,$C$5:$AT$510,3,)=0,0,(VLOOKUP($D299,$C$5:$AT$510,16,)/VLOOKUP($D299,$C$5:$AT$510,3,))*$E299)</f>
        <v>0</v>
      </c>
      <c r="S299" s="119">
        <f>IF(VLOOKUP($D299,$C$5:$AT$510,3,)=0,0,(VLOOKUP($D299,$C$5:$AT$510,17,)/VLOOKUP($D299,$C$5:$AT$510,3,))*$E299)</f>
        <v>0</v>
      </c>
      <c r="T299" s="119">
        <f>IF(VLOOKUP($D299,$C$5:$AT$510,3,)=0,0,(VLOOKUP($D299,$C$5:$AT$510,18,)/VLOOKUP($D299,$C$5:$AT$510,3,))*$E299)</f>
        <v>0</v>
      </c>
      <c r="U299" s="119">
        <f>IF(VLOOKUP($D299,$C$5:$AT$510,3,)=0,0,(VLOOKUP($D299,$C$5:$AT$510,19,)/VLOOKUP($D299,$C$5:$AT$510,3,))*$E299)</f>
        <v>0</v>
      </c>
      <c r="V299" s="119">
        <f>IF(VLOOKUP($D299,$C$5:$AT$510,3,)=0,0,(VLOOKUP($D299,$C$5:$AT$510,20,)/VLOOKUP($D299,$C$5:$AT$510,3,))*$E299)</f>
        <v>0</v>
      </c>
      <c r="W299" s="119">
        <f>IF(VLOOKUP($D299,$C$5:$AT$510,3,)=0,0,(VLOOKUP($D299,$C$5:$AT$510,21,)/VLOOKUP($D299,$C$5:$AT$510,3,))*$E299)</f>
        <v>0</v>
      </c>
      <c r="X299" s="119">
        <f>IF(VLOOKUP($D299,$C$5:$AT$510,3,)=0,0,(VLOOKUP($D299,$C$5:$AT$510,22,)/VLOOKUP($D299,$C$5:$AT$510,3,))*$E299)</f>
        <v>0</v>
      </c>
      <c r="Y299" s="119">
        <f>IF(VLOOKUP($D299,$C$5:$AT$510,3,)=0,0,(VLOOKUP($D299,$C$5:$AT$510,23,)/VLOOKUP($D299,$C$5:$AT$510,3,))*$E299)</f>
        <v>0</v>
      </c>
      <c r="Z299" s="119">
        <f>IF(VLOOKUP($D299,$C$5:$AT$510,3,)=0,0,(VLOOKUP($D299,$C$5:$AT$510,24,)/VLOOKUP($D299,$C$5:$AT$510,3,))*$E299)</f>
        <v>0</v>
      </c>
      <c r="AA299" s="119">
        <f>IF(VLOOKUP($D299,$C$5:$AT$510,3,)=0,0,(VLOOKUP($D299,$C$5:$AT$510,25,)/VLOOKUP($D299,$C$5:$AT$510,3,))*$E299)</f>
        <v>0</v>
      </c>
      <c r="AB299" s="119">
        <f>IF(VLOOKUP($D299,$C$5:$AT$510,3,)=0,0,(VLOOKUP($D299,$C$5:$AT$510,26,)/VLOOKUP($D299,$C$5:$AT$510,3,))*$E299)</f>
        <v>0</v>
      </c>
      <c r="AC299" s="119">
        <f>IF(VLOOKUP($D299,$C$5:$AT$510,3,)=0,0,(VLOOKUP($D299,$C$5:$AT$510,27,)/VLOOKUP($D299,$C$5:$AT$510,3,))*$E299)</f>
        <v>0</v>
      </c>
      <c r="AD299" s="119">
        <f>IF(VLOOKUP($D299,$C$5:$AT$510,3,)=0,0,(VLOOKUP($D299,$C$5:$AT$510,28,)/VLOOKUP($D299,$C$5:$AT$510,3,))*$E299)</f>
        <v>0</v>
      </c>
      <c r="AE299" s="119">
        <f>IF(VLOOKUP($D299,$C$5:$AT$510,3,)=0,0,(VLOOKUP($D299,$C$5:$AT$510,29,)/VLOOKUP($D299,$C$5:$AT$510,3,))*$E299)</f>
        <v>0</v>
      </c>
      <c r="AF299" s="119">
        <f>IF(VLOOKUP($D299,$C$5:$AT$510,3,)=0,0,(VLOOKUP($D299,$C$5:$AT$510,30,)/VLOOKUP($D299,$C$5:$AT$510,3,))*$E299)</f>
        <v>0</v>
      </c>
      <c r="AG299" s="120">
        <f>SUM(F299:AF299)</f>
        <v>2467.338593668193</v>
      </c>
      <c r="AH299" s="103" t="str">
        <f>IF(ABS(E299-AG299)&lt;0.01,"ok","err")</f>
        <v>ok</v>
      </c>
    </row>
    <row r="300" spans="1:34" x14ac:dyDescent="0.25">
      <c r="E300" s="110"/>
    </row>
    <row r="301" spans="1:34" x14ac:dyDescent="0.25">
      <c r="A301" s="132" t="s">
        <v>545</v>
      </c>
      <c r="E301" s="110"/>
    </row>
    <row r="302" spans="1:34" x14ac:dyDescent="0.25">
      <c r="A302" s="133" t="s">
        <v>221</v>
      </c>
      <c r="C302" s="102" t="s">
        <v>321</v>
      </c>
      <c r="D302" s="102" t="s">
        <v>234</v>
      </c>
      <c r="E302" s="119">
        <f>'Func &amp; Classif'!Y316</f>
        <v>0</v>
      </c>
      <c r="F302" s="119">
        <f>IF(VLOOKUP($D302,$C$5:$AT$510,3,)=0,0,(VLOOKUP($D302,$C$5:$AT$510,4,)/VLOOKUP($D302,$C$5:$AT$510,3,))*$E302)</f>
        <v>0</v>
      </c>
      <c r="G302" s="119">
        <f>IF(VLOOKUP($D302,$C$5:$AT$510,3,)=0,0,(VLOOKUP($D302,$C$5:$AT$510,5,)/VLOOKUP($D302,$C$5:$AT$510,3,))*$E302)</f>
        <v>0</v>
      </c>
      <c r="H302" s="119">
        <f>IF(VLOOKUP($D302,$C$5:$AT$510,3,)=0,0,(VLOOKUP($D302,$C$5:$AT$510,6,)/VLOOKUP($D302,$C$5:$AT$510,3,))*$E302)</f>
        <v>0</v>
      </c>
      <c r="I302" s="119">
        <f>IF(VLOOKUP($D302,$C$5:$AT$510,3,)=0,0,(VLOOKUP($D302,$C$5:$AT$510,7,)/VLOOKUP($D302,$C$5:$AT$510,3,))*$E302)</f>
        <v>0</v>
      </c>
      <c r="J302" s="119">
        <f>IF(VLOOKUP($D302,$C$5:$AT$510,3,)=0,0,(VLOOKUP($D302,$C$5:$AT$510,8,)/VLOOKUP($D302,$C$5:$AT$510,3,))*$E302)</f>
        <v>0</v>
      </c>
      <c r="K302" s="119">
        <f>IF(VLOOKUP($D302,$C$5:$AT$510,3,)=0,0,(VLOOKUP($D302,$C$5:$AT$510,9,)/VLOOKUP($D302,$C$5:$AT$510,3,))*$E302)</f>
        <v>0</v>
      </c>
      <c r="L302" s="119">
        <f>IF(VLOOKUP($D302,$C$5:$AT$510,3,)=0,0,(VLOOKUP($D302,$C$5:$AT$510,10,)/VLOOKUP($D302,$C$5:$AT$510,3,))*$E302)</f>
        <v>0</v>
      </c>
      <c r="M302" s="119">
        <f>IF(VLOOKUP($D302,$C$5:$AT$510,3,)=0,0,(VLOOKUP($D302,$C$5:$AT$510,11,)/VLOOKUP($D302,$C$5:$AT$510,3,))*$E302)</f>
        <v>0</v>
      </c>
      <c r="N302" s="119">
        <f>IF(VLOOKUP($D302,$C$5:$AT$510,3,)=0,0,(VLOOKUP($D302,$C$5:$AT$510,12,)/VLOOKUP($D302,$C$5:$AT$510,3,))*$E302)</f>
        <v>0</v>
      </c>
      <c r="O302" s="119">
        <f>IF(VLOOKUP($D302,$C$5:$AT$510,3,)=0,0,(VLOOKUP($D302,$C$5:$AT$510,13,)/VLOOKUP($D302,$C$5:$AT$510,3,))*$E302)</f>
        <v>0</v>
      </c>
      <c r="P302" s="119">
        <f>IF(VLOOKUP($D302,$C$5:$AT$510,3,)=0,0,(VLOOKUP($D302,$C$5:$AT$510,14,)/VLOOKUP($D302,$C$5:$AT$510,3,))*$E302)</f>
        <v>0</v>
      </c>
      <c r="Q302" s="119">
        <f>IF(VLOOKUP($D302,$C$5:$AT$510,3,)=0,0,(VLOOKUP($D302,$C$5:$AT$510,15,)/VLOOKUP($D302,$C$5:$AT$510,3,))*$E302)</f>
        <v>0</v>
      </c>
      <c r="R302" s="119">
        <f>IF(VLOOKUP($D302,$C$5:$AT$510,3,)=0,0,(VLOOKUP($D302,$C$5:$AT$510,16,)/VLOOKUP($D302,$C$5:$AT$510,3,))*$E302)</f>
        <v>0</v>
      </c>
      <c r="S302" s="119">
        <f>IF(VLOOKUP($D302,$C$5:$AT$510,3,)=0,0,(VLOOKUP($D302,$C$5:$AT$510,17,)/VLOOKUP($D302,$C$5:$AT$510,3,))*$E302)</f>
        <v>0</v>
      </c>
      <c r="T302" s="119">
        <f>IF(VLOOKUP($D302,$C$5:$AT$510,3,)=0,0,(VLOOKUP($D302,$C$5:$AT$510,18,)/VLOOKUP($D302,$C$5:$AT$510,3,))*$E302)</f>
        <v>0</v>
      </c>
      <c r="U302" s="119">
        <f>IF(VLOOKUP($D302,$C$5:$AT$510,3,)=0,0,(VLOOKUP($D302,$C$5:$AT$510,19,)/VLOOKUP($D302,$C$5:$AT$510,3,))*$E302)</f>
        <v>0</v>
      </c>
      <c r="V302" s="119">
        <f>IF(VLOOKUP($D302,$C$5:$AT$510,3,)=0,0,(VLOOKUP($D302,$C$5:$AT$510,20,)/VLOOKUP($D302,$C$5:$AT$510,3,))*$E302)</f>
        <v>0</v>
      </c>
      <c r="W302" s="119">
        <f>IF(VLOOKUP($D302,$C$5:$AT$510,3,)=0,0,(VLOOKUP($D302,$C$5:$AT$510,21,)/VLOOKUP($D302,$C$5:$AT$510,3,))*$E302)</f>
        <v>0</v>
      </c>
      <c r="X302" s="119">
        <f>IF(VLOOKUP($D302,$C$5:$AT$510,3,)=0,0,(VLOOKUP($D302,$C$5:$AT$510,22,)/VLOOKUP($D302,$C$5:$AT$510,3,))*$E302)</f>
        <v>0</v>
      </c>
      <c r="Y302" s="119">
        <f>IF(VLOOKUP($D302,$C$5:$AT$510,3,)=0,0,(VLOOKUP($D302,$C$5:$AT$510,23,)/VLOOKUP($D302,$C$5:$AT$510,3,))*$E302)</f>
        <v>0</v>
      </c>
      <c r="Z302" s="119">
        <f>IF(VLOOKUP($D302,$C$5:$AT$510,3,)=0,0,(VLOOKUP($D302,$C$5:$AT$510,24,)/VLOOKUP($D302,$C$5:$AT$510,3,))*$E302)</f>
        <v>0</v>
      </c>
      <c r="AA302" s="119">
        <f>IF(VLOOKUP($D302,$C$5:$AT$510,3,)=0,0,(VLOOKUP($D302,$C$5:$AT$510,25,)/VLOOKUP($D302,$C$5:$AT$510,3,))*$E302)</f>
        <v>0</v>
      </c>
      <c r="AB302" s="119">
        <f>IF(VLOOKUP($D302,$C$5:$AT$510,3,)=0,0,(VLOOKUP($D302,$C$5:$AT$510,26,)/VLOOKUP($D302,$C$5:$AT$510,3,))*$E302)</f>
        <v>0</v>
      </c>
      <c r="AC302" s="119">
        <f>IF(VLOOKUP($D302,$C$5:$AT$510,3,)=0,0,(VLOOKUP($D302,$C$5:$AT$510,27,)/VLOOKUP($D302,$C$5:$AT$510,3,))*$E302)</f>
        <v>0</v>
      </c>
      <c r="AD302" s="119">
        <f>IF(VLOOKUP($D302,$C$5:$AT$510,3,)=0,0,(VLOOKUP($D302,$C$5:$AT$510,28,)/VLOOKUP($D302,$C$5:$AT$510,3,))*$E302)</f>
        <v>0</v>
      </c>
      <c r="AE302" s="119">
        <f>IF(VLOOKUP($D302,$C$5:$AT$510,3,)=0,0,(VLOOKUP($D302,$C$5:$AT$510,29,)/VLOOKUP($D302,$C$5:$AT$510,3,))*$E302)</f>
        <v>0</v>
      </c>
      <c r="AF302" s="119">
        <f>IF(VLOOKUP($D302,$C$5:$AT$510,3,)=0,0,(VLOOKUP($D302,$C$5:$AT$510,30,)/VLOOKUP($D302,$C$5:$AT$510,3,))*$E302)</f>
        <v>0</v>
      </c>
      <c r="AG302" s="120">
        <f>SUM(F302:AF302)</f>
        <v>0</v>
      </c>
      <c r="AH302" s="103" t="str">
        <f>IF(ABS(E302-AG302)&lt;0.01,"ok","err")</f>
        <v>ok</v>
      </c>
    </row>
    <row r="303" spans="1:34" x14ac:dyDescent="0.25">
      <c r="E303" s="110"/>
    </row>
    <row r="304" spans="1:34" x14ac:dyDescent="0.25">
      <c r="A304" s="132" t="s">
        <v>470</v>
      </c>
      <c r="E304" s="110"/>
    </row>
    <row r="305" spans="1:40" x14ac:dyDescent="0.25">
      <c r="A305" s="133" t="s">
        <v>221</v>
      </c>
      <c r="C305" s="102" t="s">
        <v>318</v>
      </c>
      <c r="D305" s="102" t="s">
        <v>235</v>
      </c>
      <c r="E305" s="119">
        <f>'Func &amp; Classif'!AA316</f>
        <v>0</v>
      </c>
      <c r="F305" s="119">
        <f>IF(VLOOKUP($D305,$C$5:$AT$510,3,)=0,0,(VLOOKUP($D305,$C$5:$AT$510,4,)/VLOOKUP($D305,$C$5:$AT$510,3,))*$E305)</f>
        <v>0</v>
      </c>
      <c r="G305" s="119">
        <f>IF(VLOOKUP($D305,$C$5:$AT$510,3,)=0,0,(VLOOKUP($D305,$C$5:$AT$510,5,)/VLOOKUP($D305,$C$5:$AT$510,3,))*$E305)</f>
        <v>0</v>
      </c>
      <c r="H305" s="119">
        <f>IF(VLOOKUP($D305,$C$5:$AT$510,3,)=0,0,(VLOOKUP($D305,$C$5:$AT$510,6,)/VLOOKUP($D305,$C$5:$AT$510,3,))*$E305)</f>
        <v>0</v>
      </c>
      <c r="I305" s="119">
        <f>IF(VLOOKUP($D305,$C$5:$AT$510,3,)=0,0,(VLOOKUP($D305,$C$5:$AT$510,7,)/VLOOKUP($D305,$C$5:$AT$510,3,))*$E305)</f>
        <v>0</v>
      </c>
      <c r="J305" s="119">
        <f>IF(VLOOKUP($D305,$C$5:$AT$510,3,)=0,0,(VLOOKUP($D305,$C$5:$AT$510,8,)/VLOOKUP($D305,$C$5:$AT$510,3,))*$E305)</f>
        <v>0</v>
      </c>
      <c r="K305" s="119">
        <f>IF(VLOOKUP($D305,$C$5:$AT$510,3,)=0,0,(VLOOKUP($D305,$C$5:$AT$510,9,)/VLOOKUP($D305,$C$5:$AT$510,3,))*$E305)</f>
        <v>0</v>
      </c>
      <c r="L305" s="119">
        <f>IF(VLOOKUP($D305,$C$5:$AT$510,3,)=0,0,(VLOOKUP($D305,$C$5:$AT$510,10,)/VLOOKUP($D305,$C$5:$AT$510,3,))*$E305)</f>
        <v>0</v>
      </c>
      <c r="M305" s="119">
        <f>IF(VLOOKUP($D305,$C$5:$AT$510,3,)=0,0,(VLOOKUP($D305,$C$5:$AT$510,11,)/VLOOKUP($D305,$C$5:$AT$510,3,))*$E305)</f>
        <v>0</v>
      </c>
      <c r="N305" s="119">
        <f>IF(VLOOKUP($D305,$C$5:$AT$510,3,)=0,0,(VLOOKUP($D305,$C$5:$AT$510,12,)/VLOOKUP($D305,$C$5:$AT$510,3,))*$E305)</f>
        <v>0</v>
      </c>
      <c r="O305" s="119">
        <f>IF(VLOOKUP($D305,$C$5:$AT$510,3,)=0,0,(VLOOKUP($D305,$C$5:$AT$510,13,)/VLOOKUP($D305,$C$5:$AT$510,3,))*$E305)</f>
        <v>0</v>
      </c>
      <c r="P305" s="119">
        <f>IF(VLOOKUP($D305,$C$5:$AT$510,3,)=0,0,(VLOOKUP($D305,$C$5:$AT$510,14,)/VLOOKUP($D305,$C$5:$AT$510,3,))*$E305)</f>
        <v>0</v>
      </c>
      <c r="Q305" s="119">
        <f>IF(VLOOKUP($D305,$C$5:$AT$510,3,)=0,0,(VLOOKUP($D305,$C$5:$AT$510,15,)/VLOOKUP($D305,$C$5:$AT$510,3,))*$E305)</f>
        <v>0</v>
      </c>
      <c r="R305" s="119">
        <f>IF(VLOOKUP($D305,$C$5:$AT$510,3,)=0,0,(VLOOKUP($D305,$C$5:$AT$510,16,)/VLOOKUP($D305,$C$5:$AT$510,3,))*$E305)</f>
        <v>0</v>
      </c>
      <c r="S305" s="119">
        <f>IF(VLOOKUP($D305,$C$5:$AT$510,3,)=0,0,(VLOOKUP($D305,$C$5:$AT$510,17,)/VLOOKUP($D305,$C$5:$AT$510,3,))*$E305)</f>
        <v>0</v>
      </c>
      <c r="T305" s="119">
        <f>IF(VLOOKUP($D305,$C$5:$AT$510,3,)=0,0,(VLOOKUP($D305,$C$5:$AT$510,18,)/VLOOKUP($D305,$C$5:$AT$510,3,))*$E305)</f>
        <v>0</v>
      </c>
      <c r="U305" s="119">
        <f>IF(VLOOKUP($D305,$C$5:$AT$510,3,)=0,0,(VLOOKUP($D305,$C$5:$AT$510,19,)/VLOOKUP($D305,$C$5:$AT$510,3,))*$E305)</f>
        <v>0</v>
      </c>
      <c r="V305" s="119">
        <f>IF(VLOOKUP($D305,$C$5:$AT$510,3,)=0,0,(VLOOKUP($D305,$C$5:$AT$510,20,)/VLOOKUP($D305,$C$5:$AT$510,3,))*$E305)</f>
        <v>0</v>
      </c>
      <c r="W305" s="119">
        <f>IF(VLOOKUP($D305,$C$5:$AT$510,3,)=0,0,(VLOOKUP($D305,$C$5:$AT$510,21,)/VLOOKUP($D305,$C$5:$AT$510,3,))*$E305)</f>
        <v>0</v>
      </c>
      <c r="X305" s="119">
        <f>IF(VLOOKUP($D305,$C$5:$AT$510,3,)=0,0,(VLOOKUP($D305,$C$5:$AT$510,22,)/VLOOKUP($D305,$C$5:$AT$510,3,))*$E305)</f>
        <v>0</v>
      </c>
      <c r="Y305" s="119">
        <f>IF(VLOOKUP($D305,$C$5:$AT$510,3,)=0,0,(VLOOKUP($D305,$C$5:$AT$510,23,)/VLOOKUP($D305,$C$5:$AT$510,3,))*$E305)</f>
        <v>0</v>
      </c>
      <c r="Z305" s="119">
        <f>IF(VLOOKUP($D305,$C$5:$AT$510,3,)=0,0,(VLOOKUP($D305,$C$5:$AT$510,24,)/VLOOKUP($D305,$C$5:$AT$510,3,))*$E305)</f>
        <v>0</v>
      </c>
      <c r="AA305" s="119">
        <f>IF(VLOOKUP($D305,$C$5:$AT$510,3,)=0,0,(VLOOKUP($D305,$C$5:$AT$510,25,)/VLOOKUP($D305,$C$5:$AT$510,3,))*$E305)</f>
        <v>0</v>
      </c>
      <c r="AB305" s="119">
        <f>IF(VLOOKUP($D305,$C$5:$AT$510,3,)=0,0,(VLOOKUP($D305,$C$5:$AT$510,26,)/VLOOKUP($D305,$C$5:$AT$510,3,))*$E305)</f>
        <v>0</v>
      </c>
      <c r="AC305" s="119">
        <f>IF(VLOOKUP($D305,$C$5:$AT$510,3,)=0,0,(VLOOKUP($D305,$C$5:$AT$510,27,)/VLOOKUP($D305,$C$5:$AT$510,3,))*$E305)</f>
        <v>0</v>
      </c>
      <c r="AD305" s="119">
        <f>IF(VLOOKUP($D305,$C$5:$AT$510,3,)=0,0,(VLOOKUP($D305,$C$5:$AT$510,28,)/VLOOKUP($D305,$C$5:$AT$510,3,))*$E305)</f>
        <v>0</v>
      </c>
      <c r="AE305" s="119">
        <f>IF(VLOOKUP($D305,$C$5:$AT$510,3,)=0,0,(VLOOKUP($D305,$C$5:$AT$510,29,)/VLOOKUP($D305,$C$5:$AT$510,3,))*$E305)</f>
        <v>0</v>
      </c>
      <c r="AF305" s="119">
        <f>IF(VLOOKUP($D305,$C$5:$AT$510,3,)=0,0,(VLOOKUP($D305,$C$5:$AT$510,30,)/VLOOKUP($D305,$C$5:$AT$510,3,))*$E305)</f>
        <v>0</v>
      </c>
      <c r="AG305" s="120">
        <f>SUM(F305:AF305)</f>
        <v>0</v>
      </c>
      <c r="AH305" s="103" t="str">
        <f>IF(ABS(E305-AG305)&lt;0.01,"ok","err")</f>
        <v>ok</v>
      </c>
    </row>
    <row r="306" spans="1:40" x14ac:dyDescent="0.25">
      <c r="E306" s="110"/>
    </row>
    <row r="307" spans="1:40" x14ac:dyDescent="0.25">
      <c r="A307" s="102" t="s">
        <v>0</v>
      </c>
      <c r="C307" s="102" t="s">
        <v>322</v>
      </c>
      <c r="E307" s="119">
        <f>E277+E280+E283+E288+E293+E296+E299+E302+E305</f>
        <v>74472.999999999971</v>
      </c>
      <c r="F307" s="119">
        <f t="shared" ref="F307:R307" si="60">F277+F280+F283+F288+F293+F296+F299+F302+F305</f>
        <v>57965.909838321502</v>
      </c>
      <c r="G307" s="119">
        <f t="shared" si="60"/>
        <v>149.77814810871206</v>
      </c>
      <c r="H307" s="119">
        <f t="shared" si="60"/>
        <v>2300.4152582855354</v>
      </c>
      <c r="I307" s="119">
        <f t="shared" si="60"/>
        <v>4650.1970861883628</v>
      </c>
      <c r="J307" s="119">
        <f t="shared" si="60"/>
        <v>816.23292305711209</v>
      </c>
      <c r="K307" s="119">
        <f t="shared" si="60"/>
        <v>370.60763895507461</v>
      </c>
      <c r="L307" s="119">
        <f t="shared" si="60"/>
        <v>1360.3013004801878</v>
      </c>
      <c r="M307" s="119">
        <f t="shared" si="60"/>
        <v>4345.2496040039878</v>
      </c>
      <c r="N307" s="119">
        <f t="shared" si="60"/>
        <v>40.107889070902488</v>
      </c>
      <c r="O307" s="119">
        <f t="shared" si="60"/>
        <v>0</v>
      </c>
      <c r="P307" s="119">
        <f t="shared" si="60"/>
        <v>2474.2003135285986</v>
      </c>
      <c r="Q307" s="119">
        <f t="shared" si="60"/>
        <v>0</v>
      </c>
      <c r="R307" s="119">
        <f t="shared" si="60"/>
        <v>0</v>
      </c>
      <c r="S307" s="119">
        <f t="shared" ref="S307:AF307" si="61">S277+S283+S288+S293+S296+S299+S302+S305</f>
        <v>0</v>
      </c>
      <c r="T307" s="119">
        <f t="shared" si="61"/>
        <v>0</v>
      </c>
      <c r="U307" s="119">
        <f t="shared" si="61"/>
        <v>0</v>
      </c>
      <c r="V307" s="119">
        <f t="shared" si="61"/>
        <v>0</v>
      </c>
      <c r="W307" s="119">
        <f t="shared" si="61"/>
        <v>0</v>
      </c>
      <c r="X307" s="119">
        <f t="shared" si="61"/>
        <v>0</v>
      </c>
      <c r="Y307" s="119">
        <f t="shared" si="61"/>
        <v>0</v>
      </c>
      <c r="Z307" s="119">
        <f t="shared" si="61"/>
        <v>0</v>
      </c>
      <c r="AA307" s="119">
        <f t="shared" si="61"/>
        <v>0</v>
      </c>
      <c r="AB307" s="119">
        <f t="shared" si="61"/>
        <v>0</v>
      </c>
      <c r="AC307" s="119">
        <f t="shared" si="61"/>
        <v>0</v>
      </c>
      <c r="AD307" s="119">
        <f t="shared" si="61"/>
        <v>0</v>
      </c>
      <c r="AE307" s="119">
        <f t="shared" si="61"/>
        <v>0</v>
      </c>
      <c r="AF307" s="119">
        <f t="shared" si="61"/>
        <v>0</v>
      </c>
      <c r="AG307" s="120">
        <f>SUM(F307:AF307)</f>
        <v>74472.999999999971</v>
      </c>
      <c r="AH307" s="103" t="str">
        <f>IF(ABS(E307-AG307)&lt;0.01,"ok","err")</f>
        <v>ok</v>
      </c>
    </row>
    <row r="308" spans="1:40" x14ac:dyDescent="0.25"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20"/>
      <c r="AH308" s="103"/>
    </row>
    <row r="309" spans="1:40" x14ac:dyDescent="0.25"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20"/>
      <c r="AH309" s="103"/>
    </row>
    <row r="310" spans="1:40" x14ac:dyDescent="0.25">
      <c r="A310" s="131" t="s">
        <v>581</v>
      </c>
    </row>
    <row r="311" spans="1:40" x14ac:dyDescent="0.25">
      <c r="E311" s="120"/>
    </row>
    <row r="312" spans="1:40" x14ac:dyDescent="0.25">
      <c r="A312" s="132" t="s">
        <v>323</v>
      </c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AJ312" s="139"/>
      <c r="AK312" s="140"/>
      <c r="AL312" s="140"/>
      <c r="AM312" s="140"/>
      <c r="AN312" s="140"/>
    </row>
    <row r="313" spans="1:40" x14ac:dyDescent="0.25">
      <c r="A313" s="102" t="s">
        <v>760</v>
      </c>
      <c r="C313" s="102" t="s">
        <v>324</v>
      </c>
      <c r="D313" s="102" t="s">
        <v>561</v>
      </c>
      <c r="E313" s="119">
        <f>'Billing Det'!E25</f>
        <v>92579155.396589994</v>
      </c>
      <c r="F313" s="119">
        <f>IF(VLOOKUP($D313,$C$5:$AT$510,3,)=0,0,(VLOOKUP($D313,$C$5:$AT$510,4,)/VLOOKUP($D313,$C$5:$AT$510,3,))*$E313)</f>
        <v>36776700.68</v>
      </c>
      <c r="G313" s="119">
        <f>IF(VLOOKUP($D313,$C$5:$AT$510,3,)=0,0,(VLOOKUP($D313,$C$5:$AT$510,5,)/VLOOKUP($D313,$C$5:$AT$510,3,))*$E313)</f>
        <v>93595.260000000009</v>
      </c>
      <c r="H313" s="119">
        <f>IF(VLOOKUP($D313,$C$5:$AT$510,3,)=0,0,(VLOOKUP($D313,$C$5:$AT$510,6,)/VLOOKUP($D313,$C$5:$AT$510,3,))*$E313)</f>
        <v>957340.95</v>
      </c>
      <c r="I313" s="119">
        <f>IF(VLOOKUP($D313,$C$5:$AT$510,3,)=0,0,(VLOOKUP($D313,$C$5:$AT$510,7,)/VLOOKUP($D313,$C$5:$AT$510,3,))*$E313)</f>
        <v>70525.460000000006</v>
      </c>
      <c r="J313" s="119">
        <f>IF(VLOOKUP($D313,$C$5:$AT$510,3,)=0,0,(VLOOKUP($D313,$C$5:$AT$510,8,)/VLOOKUP($D313,$C$5:$AT$510,3,))*$E313)</f>
        <v>124328.96999999997</v>
      </c>
      <c r="K313" s="119">
        <f>IF(VLOOKUP($D313,$C$5:$AT$510,3,)=0,0,(VLOOKUP($D313,$C$5:$AT$510,9,)/VLOOKUP($D313,$C$5:$AT$510,3,))*$E313)</f>
        <v>147225.21999999997</v>
      </c>
      <c r="L313" s="119">
        <f>IF(VLOOKUP($D313,$C$5:$AT$510,3,)=0,0,(VLOOKUP($D313,$C$5:$AT$510,10,)/VLOOKUP($D313,$C$5:$AT$510,3,))*$E313)</f>
        <v>2247413.7800000003</v>
      </c>
      <c r="M313" s="119">
        <f>IF(VLOOKUP($D313,$C$5:$AT$510,3,)=0,0,(VLOOKUP($D313,$C$5:$AT$510,11,)/VLOOKUP($D313,$C$5:$AT$510,3,))*$E313)</f>
        <v>9550097.4600000009</v>
      </c>
      <c r="N313" s="119">
        <f>IF(VLOOKUP($D313,$C$5:$AT$510,3,)=0,0,(VLOOKUP($D313,$C$5:$AT$510,12,)/VLOOKUP($D313,$C$5:$AT$510,3,))*$E313)</f>
        <v>66590.199999999983</v>
      </c>
      <c r="O313" s="119">
        <f>IF(VLOOKUP($D313,$C$5:$AT$510,3,)=0,0,(VLOOKUP($D313,$C$5:$AT$510,13,)/VLOOKUP($D313,$C$5:$AT$510,3,))*$E313)</f>
        <v>0</v>
      </c>
      <c r="P313" s="119">
        <f>IF(VLOOKUP($D313,$C$5:$AT$510,3,)=0,0,(VLOOKUP($D313,$C$5:$AT$510,14,)/VLOOKUP($D313,$C$5:$AT$510,3,))*$E313)</f>
        <v>1098616.48</v>
      </c>
      <c r="Q313" s="119">
        <f>IF(VLOOKUP($D313,$C$5:$AT$510,3,)=0,0,(VLOOKUP($D313,$C$5:$AT$510,15,)/VLOOKUP($D313,$C$5:$AT$510,3,))*$E313)</f>
        <v>3017742.4965900001</v>
      </c>
      <c r="R313" s="119">
        <f>IF(VLOOKUP($D313,$C$5:$AT$510,3,)=0,0,(VLOOKUP($D313,$C$5:$AT$510,16,)/VLOOKUP($D313,$C$5:$AT$510,3,))*$E313)</f>
        <v>4646836.6700000009</v>
      </c>
      <c r="S313" s="119">
        <f>IF(VLOOKUP($D313,$C$5:$AT$510,3,)=0,0,(VLOOKUP($D313,$C$5:$AT$510,17,)/VLOOKUP($D313,$C$5:$AT$510,3,))*$E313)</f>
        <v>4382407.72</v>
      </c>
      <c r="T313" s="119">
        <f>IF(VLOOKUP($D313,$C$5:$AT$510,3,)=0,0,(VLOOKUP($D313,$C$5:$AT$510,18,)/VLOOKUP($D313,$C$5:$AT$510,3,))*$E313)</f>
        <v>19385879.999999996</v>
      </c>
      <c r="U313" s="119">
        <f>IF(VLOOKUP($D313,$C$5:$AT$510,3,)=0,0,(VLOOKUP($D313,$C$5:$AT$510,19,)/VLOOKUP($D313,$C$5:$AT$510,3,))*$E313)</f>
        <v>10013854.050000001</v>
      </c>
      <c r="V313" s="119">
        <f>IF(VLOOKUP($D313,$C$5:$AT$510,3,)=0,0,(VLOOKUP($D313,$C$5:$AT$510,20,)/VLOOKUP($D313,$C$5:$AT$510,3,))*$E313)</f>
        <v>0</v>
      </c>
      <c r="W313" s="119">
        <f>IF(VLOOKUP($D313,$C$5:$AT$510,3,)=0,0,(VLOOKUP($D313,$C$5:$AT$510,21,)/VLOOKUP($D313,$C$5:$AT$510,3,))*$E313)</f>
        <v>0</v>
      </c>
      <c r="X313" s="119">
        <f>IF(VLOOKUP($D313,$C$5:$AT$510,3,)=0,0,(VLOOKUP($D313,$C$5:$AT$510,22,)/VLOOKUP($D313,$C$5:$AT$510,3,))*$E313)</f>
        <v>0</v>
      </c>
      <c r="Y313" s="119">
        <f>IF(VLOOKUP($D313,$C$5:$AT$510,3,)=0,0,(VLOOKUP($D313,$C$5:$AT$510,23,)/VLOOKUP($D313,$C$5:$AT$510,3,))*$E313)</f>
        <v>0</v>
      </c>
      <c r="Z313" s="119">
        <f>IF(VLOOKUP($D313,$C$5:$AT$510,3,)=0,0,(VLOOKUP($D313,$C$5:$AT$510,24,)/VLOOKUP($D313,$C$5:$AT$510,3,))*$E313)</f>
        <v>0</v>
      </c>
      <c r="AA313" s="119">
        <f>IF(VLOOKUP($D313,$C$5:$AT$510,3,)=0,0,(VLOOKUP($D313,$C$5:$AT$510,25,)/VLOOKUP($D313,$C$5:$AT$510,3,))*$E313)</f>
        <v>0</v>
      </c>
      <c r="AB313" s="119">
        <f>IF(VLOOKUP($D313,$C$5:$AT$510,3,)=0,0,(VLOOKUP($D313,$C$5:$AT$510,26,)/VLOOKUP($D313,$C$5:$AT$510,3,))*$E313)</f>
        <v>0</v>
      </c>
      <c r="AC313" s="119">
        <f>IF(VLOOKUP($D313,$C$5:$AT$510,3,)=0,0,(VLOOKUP($D313,$C$5:$AT$510,27,)/VLOOKUP($D313,$C$5:$AT$510,3,))*$E313)</f>
        <v>0</v>
      </c>
      <c r="AD313" s="119">
        <f>IF(VLOOKUP($D313,$C$5:$AT$510,3,)=0,0,(VLOOKUP($D313,$C$5:$AT$510,28,)/VLOOKUP($D313,$C$5:$AT$510,3,))*$E313)</f>
        <v>0</v>
      </c>
      <c r="AE313" s="119">
        <f>IF(VLOOKUP($D313,$C$5:$AT$510,3,)=0,0,(VLOOKUP($D313,$C$5:$AT$510,29,)/VLOOKUP($D313,$C$5:$AT$510,3,))*$E313)</f>
        <v>0</v>
      </c>
      <c r="AF313" s="119">
        <f>IF(VLOOKUP($D313,$C$5:$AT$510,3,)=0,0,(VLOOKUP($D313,$C$5:$AT$510,30,)/VLOOKUP($D313,$C$5:$AT$510,3,))*$E313)</f>
        <v>0</v>
      </c>
      <c r="AG313" s="120">
        <f t="shared" ref="AG313:AG314" si="62">SUM(F313:AF313)</f>
        <v>92579155.396589994</v>
      </c>
      <c r="AH313" s="103" t="str">
        <f t="shared" ref="AH313:AH314" si="63">IF(ABS(E313-AG313)&lt;0.01,"ok","err")</f>
        <v>ok</v>
      </c>
      <c r="AJ313" s="141"/>
      <c r="AK313" s="141"/>
      <c r="AL313" s="141"/>
      <c r="AM313" s="141"/>
      <c r="AN313" s="141"/>
    </row>
    <row r="314" spans="1:40" x14ac:dyDescent="0.25">
      <c r="A314" s="102" t="s">
        <v>761</v>
      </c>
      <c r="D314" s="102" t="s">
        <v>745</v>
      </c>
      <c r="E314" s="119">
        <f>1459768.36*1</f>
        <v>1459768.36</v>
      </c>
      <c r="F314" s="119">
        <f>IF(VLOOKUP($D314,$C$5:$AT$510,3,)=0,0,(VLOOKUP($D314,$C$5:$AT$510,4,)/VLOOKUP($D314,$C$5:$AT$510,3,))*$E314)</f>
        <v>1374478.8868427654</v>
      </c>
      <c r="G314" s="119">
        <f>IF(VLOOKUP($D314,$C$5:$AT$510,3,)=0,0,(VLOOKUP($D314,$C$5:$AT$510,5,)/VLOOKUP($D314,$C$5:$AT$510,3,))*$E314)</f>
        <v>2915.6652204051675</v>
      </c>
      <c r="H314" s="119">
        <f>IF(VLOOKUP($D314,$C$5:$AT$510,3,)=0,0,(VLOOKUP($D314,$C$5:$AT$510,6,)/VLOOKUP($D314,$C$5:$AT$510,3,))*$E314)</f>
        <v>29899.860985723579</v>
      </c>
      <c r="I314" s="119">
        <f>IF(VLOOKUP($D314,$C$5:$AT$510,3,)=0,0,(VLOOKUP($D314,$C$5:$AT$510,7,)/VLOOKUP($D314,$C$5:$AT$510,3,))*$E314)</f>
        <v>3487.3642832297105</v>
      </c>
      <c r="J314" s="119">
        <f>IF(VLOOKUP($D314,$C$5:$AT$510,3,)=0,0,(VLOOKUP($D314,$C$5:$AT$510,8,)/VLOOKUP($D314,$C$5:$AT$510,3,))*$E314)</f>
        <v>1314.907844496448</v>
      </c>
      <c r="K314" s="119">
        <f>IF(VLOOKUP($D314,$C$5:$AT$510,3,)=0,0,(VLOOKUP($D314,$C$5:$AT$510,9,)/VLOOKUP($D314,$C$5:$AT$510,3,))*$E314)</f>
        <v>17837.01076012573</v>
      </c>
      <c r="L314" s="119">
        <f>IF(VLOOKUP($D314,$C$5:$AT$510,3,)=0,0,(VLOOKUP($D314,$C$5:$AT$510,10,)/VLOOKUP($D314,$C$5:$AT$510,3,))*$E314)</f>
        <v>14890.708664435113</v>
      </c>
      <c r="M314" s="119">
        <f>IF(VLOOKUP($D314,$C$5:$AT$510,3,)=0,0,(VLOOKUP($D314,$C$5:$AT$510,11,)/VLOOKUP($D314,$C$5:$AT$510,3,))*$E314)</f>
        <v>14660.209410234003</v>
      </c>
      <c r="N314" s="119">
        <f>IF(VLOOKUP($D314,$C$5:$AT$510,3,)=0,0,(VLOOKUP($D314,$C$5:$AT$510,12,)/VLOOKUP($D314,$C$5:$AT$510,3,))*$E314)</f>
        <v>283.74598858517425</v>
      </c>
      <c r="O314" s="119">
        <f>IF(VLOOKUP($D314,$C$5:$AT$510,3,)=0,0,(VLOOKUP($D314,$C$5:$AT$510,13,)/VLOOKUP($D314,$C$5:$AT$510,3,))*$E314)</f>
        <v>0</v>
      </c>
      <c r="P314" s="119">
        <f>IF(VLOOKUP($D314,$C$5:$AT$510,3,)=0,0,(VLOOKUP($D314,$C$5:$AT$510,14,)/VLOOKUP($D314,$C$5:$AT$510,3,))*$E314)</f>
        <v>0</v>
      </c>
      <c r="Q314" s="119">
        <f>IF(VLOOKUP($D314,$C$5:$AT$510,3,)=0,0,(VLOOKUP($D314,$C$5:$AT$510,15,)/VLOOKUP($D314,$C$5:$AT$510,3,))*$E314)</f>
        <v>0</v>
      </c>
      <c r="R314" s="119">
        <f>IF(VLOOKUP($D314,$C$5:$AT$510,3,)=0,0,(VLOOKUP($D314,$C$5:$AT$510,16,)/VLOOKUP($D314,$C$5:$AT$510,3,))*$E314)</f>
        <v>0</v>
      </c>
      <c r="S314" s="119">
        <f>IF(VLOOKUP($D314,$C$5:$AT$510,3,)=0,0,(VLOOKUP($D314,$C$5:$AT$510,17,)/VLOOKUP($D314,$C$5:$AT$510,3,))*$E314)</f>
        <v>0</v>
      </c>
      <c r="T314" s="119">
        <f>IF(VLOOKUP($D314,$C$5:$AT$510,3,)=0,0,(VLOOKUP($D314,$C$5:$AT$510,18,)/VLOOKUP($D314,$C$5:$AT$510,3,))*$E314)</f>
        <v>0</v>
      </c>
      <c r="U314" s="119">
        <f>IF(VLOOKUP($D314,$C$5:$AT$510,3,)=0,0,(VLOOKUP($D314,$C$5:$AT$510,19,)/VLOOKUP($D314,$C$5:$AT$510,3,))*$E314)</f>
        <v>0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20">
        <f t="shared" si="62"/>
        <v>1459768.3600000003</v>
      </c>
      <c r="AH314" s="103" t="str">
        <f t="shared" si="63"/>
        <v>ok</v>
      </c>
      <c r="AJ314" s="141"/>
      <c r="AK314" s="141"/>
      <c r="AL314" s="141"/>
      <c r="AM314" s="141"/>
      <c r="AN314" s="141"/>
    </row>
    <row r="315" spans="1:40" x14ac:dyDescent="0.25">
      <c r="AG315" s="120"/>
    </row>
    <row r="316" spans="1:40" x14ac:dyDescent="0.25">
      <c r="A316" s="102" t="s">
        <v>325</v>
      </c>
      <c r="C316" s="102" t="s">
        <v>326</v>
      </c>
      <c r="E316" s="120">
        <f t="shared" ref="E316:AF316" si="64">SUM(E313:E315)</f>
        <v>94038923.756589994</v>
      </c>
      <c r="F316" s="120">
        <f t="shared" si="64"/>
        <v>38151179.566842765</v>
      </c>
      <c r="G316" s="120">
        <f t="shared" si="64"/>
        <v>96510.925220405174</v>
      </c>
      <c r="H316" s="120">
        <f t="shared" si="64"/>
        <v>987240.81098572351</v>
      </c>
      <c r="I316" s="120">
        <f t="shared" si="64"/>
        <v>74012.824283229711</v>
      </c>
      <c r="J316" s="120">
        <f t="shared" si="64"/>
        <v>125643.87784449643</v>
      </c>
      <c r="K316" s="120">
        <f t="shared" si="64"/>
        <v>165062.23076012571</v>
      </c>
      <c r="L316" s="120">
        <f t="shared" si="64"/>
        <v>2262304.4886644352</v>
      </c>
      <c r="M316" s="120">
        <f t="shared" si="64"/>
        <v>9564757.6694102343</v>
      </c>
      <c r="N316" s="120">
        <f t="shared" si="64"/>
        <v>66873.945988585154</v>
      </c>
      <c r="O316" s="120">
        <f t="shared" si="64"/>
        <v>0</v>
      </c>
      <c r="P316" s="120">
        <f t="shared" si="64"/>
        <v>1098616.48</v>
      </c>
      <c r="Q316" s="120">
        <f t="shared" si="64"/>
        <v>3017742.4965900001</v>
      </c>
      <c r="R316" s="120">
        <f t="shared" si="64"/>
        <v>4646836.6700000009</v>
      </c>
      <c r="S316" s="120">
        <f t="shared" si="64"/>
        <v>4382407.72</v>
      </c>
      <c r="T316" s="120">
        <f t="shared" si="64"/>
        <v>19385879.999999996</v>
      </c>
      <c r="U316" s="120">
        <f t="shared" si="64"/>
        <v>10013854.050000001</v>
      </c>
      <c r="V316" s="120">
        <f t="shared" si="64"/>
        <v>0</v>
      </c>
      <c r="W316" s="120">
        <f t="shared" si="64"/>
        <v>0</v>
      </c>
      <c r="X316" s="120">
        <f t="shared" si="64"/>
        <v>0</v>
      </c>
      <c r="Y316" s="120">
        <f t="shared" si="64"/>
        <v>0</v>
      </c>
      <c r="Z316" s="120">
        <f t="shared" si="64"/>
        <v>0</v>
      </c>
      <c r="AA316" s="120">
        <f t="shared" si="64"/>
        <v>0</v>
      </c>
      <c r="AB316" s="120">
        <f t="shared" si="64"/>
        <v>0</v>
      </c>
      <c r="AC316" s="120">
        <f t="shared" si="64"/>
        <v>0</v>
      </c>
      <c r="AD316" s="120">
        <f t="shared" si="64"/>
        <v>0</v>
      </c>
      <c r="AE316" s="120">
        <f t="shared" si="64"/>
        <v>0</v>
      </c>
      <c r="AF316" s="120">
        <f t="shared" si="64"/>
        <v>0</v>
      </c>
      <c r="AG316" s="120">
        <f>SUM(F316:AF316)</f>
        <v>94038923.756589994</v>
      </c>
      <c r="AH316" s="103" t="str">
        <f>IF(ABS(E316-AG316)&lt;0.01,"ok","err")</f>
        <v>ok</v>
      </c>
    </row>
    <row r="318" spans="1:40" x14ac:dyDescent="0.25">
      <c r="A318" s="132" t="s">
        <v>327</v>
      </c>
      <c r="AJ318" s="139"/>
      <c r="AK318" s="140"/>
      <c r="AL318" s="140"/>
      <c r="AM318" s="140"/>
      <c r="AN318" s="140"/>
    </row>
    <row r="319" spans="1:40" x14ac:dyDescent="0.25">
      <c r="A319" s="133" t="s">
        <v>328</v>
      </c>
      <c r="E319" s="120">
        <f t="shared" ref="E319:AF319" si="65">E155</f>
        <v>89457876.38000004</v>
      </c>
      <c r="F319" s="120">
        <f t="shared" si="65"/>
        <v>37710966.117113017</v>
      </c>
      <c r="G319" s="120">
        <f t="shared" si="65"/>
        <v>107973.48859772617</v>
      </c>
      <c r="H319" s="120">
        <f t="shared" si="65"/>
        <v>1048027.6434892949</v>
      </c>
      <c r="I319" s="120">
        <f t="shared" si="65"/>
        <v>563045.98468572833</v>
      </c>
      <c r="J319" s="120">
        <f t="shared" si="65"/>
        <v>120925.18608940077</v>
      </c>
      <c r="K319" s="120">
        <f t="shared" si="65"/>
        <v>145559.19763989581</v>
      </c>
      <c r="L319" s="120">
        <f t="shared" si="65"/>
        <v>1862886.0467172181</v>
      </c>
      <c r="M319" s="120">
        <f t="shared" si="65"/>
        <v>9018685.5249314401</v>
      </c>
      <c r="N319" s="120">
        <f t="shared" si="65"/>
        <v>61530.639641263719</v>
      </c>
      <c r="O319" s="120">
        <f t="shared" si="65"/>
        <v>0</v>
      </c>
      <c r="P319" s="120">
        <f t="shared" si="65"/>
        <v>33907.541185298272</v>
      </c>
      <c r="Q319" s="120">
        <f t="shared" si="65"/>
        <v>2819385</v>
      </c>
      <c r="R319" s="120">
        <f t="shared" si="65"/>
        <v>4567017</v>
      </c>
      <c r="S319" s="120">
        <f t="shared" si="65"/>
        <v>4181510</v>
      </c>
      <c r="T319" s="120">
        <f t="shared" si="65"/>
        <v>17529629</v>
      </c>
      <c r="U319" s="120">
        <f t="shared" si="65"/>
        <v>9686828</v>
      </c>
      <c r="V319" s="120">
        <f t="shared" si="65"/>
        <v>0</v>
      </c>
      <c r="W319" s="120">
        <f t="shared" si="65"/>
        <v>0</v>
      </c>
      <c r="X319" s="120">
        <f t="shared" si="65"/>
        <v>0</v>
      </c>
      <c r="Y319" s="120">
        <f t="shared" si="65"/>
        <v>0</v>
      </c>
      <c r="Z319" s="120">
        <f t="shared" si="65"/>
        <v>0</v>
      </c>
      <c r="AA319" s="120">
        <f t="shared" si="65"/>
        <v>0</v>
      </c>
      <c r="AB319" s="120">
        <f t="shared" si="65"/>
        <v>0</v>
      </c>
      <c r="AC319" s="120">
        <f t="shared" si="65"/>
        <v>0</v>
      </c>
      <c r="AD319" s="120">
        <f t="shared" si="65"/>
        <v>0</v>
      </c>
      <c r="AE319" s="120">
        <f t="shared" si="65"/>
        <v>0</v>
      </c>
      <c r="AF319" s="120">
        <f t="shared" si="65"/>
        <v>0</v>
      </c>
      <c r="AG319" s="120">
        <f>SUM(F319:AF319)</f>
        <v>89457876.370090276</v>
      </c>
      <c r="AH319" s="103" t="str">
        <f>IF(ABS(E319-AG319)&lt;0.01,"ok","err")</f>
        <v>ok</v>
      </c>
      <c r="AJ319" s="141"/>
      <c r="AK319" s="141"/>
      <c r="AL319" s="141"/>
      <c r="AM319" s="141"/>
      <c r="AN319" s="141"/>
    </row>
    <row r="320" spans="1:40" x14ac:dyDescent="0.25">
      <c r="A320" s="133" t="s">
        <v>329</v>
      </c>
      <c r="E320" s="110">
        <f t="shared" ref="E320:AF320" si="66">E231</f>
        <v>4143755.459999999</v>
      </c>
      <c r="F320" s="110">
        <f t="shared" si="66"/>
        <v>3225283.7321769292</v>
      </c>
      <c r="G320" s="110">
        <f t="shared" si="66"/>
        <v>8333.8125094217285</v>
      </c>
      <c r="H320" s="110">
        <f t="shared" si="66"/>
        <v>127997.50630145153</v>
      </c>
      <c r="I320" s="110">
        <f t="shared" si="66"/>
        <v>258741.8200686037</v>
      </c>
      <c r="J320" s="110">
        <f t="shared" si="66"/>
        <v>45416.05187852872</v>
      </c>
      <c r="K320" s="110">
        <f t="shared" si="66"/>
        <v>20620.995897006957</v>
      </c>
      <c r="L320" s="110">
        <f t="shared" si="66"/>
        <v>75688.584334052342</v>
      </c>
      <c r="M320" s="110">
        <f t="shared" si="66"/>
        <v>241774.22383487129</v>
      </c>
      <c r="N320" s="110">
        <f t="shared" si="66"/>
        <v>2231.6448152568923</v>
      </c>
      <c r="O320" s="110">
        <f t="shared" si="66"/>
        <v>0</v>
      </c>
      <c r="P320" s="110">
        <f t="shared" si="66"/>
        <v>137667.08818387665</v>
      </c>
      <c r="Q320" s="110">
        <f t="shared" si="66"/>
        <v>0</v>
      </c>
      <c r="R320" s="110">
        <f t="shared" si="66"/>
        <v>0</v>
      </c>
      <c r="S320" s="110">
        <f t="shared" si="66"/>
        <v>0</v>
      </c>
      <c r="T320" s="110">
        <f t="shared" si="66"/>
        <v>0</v>
      </c>
      <c r="U320" s="110">
        <f t="shared" si="66"/>
        <v>0</v>
      </c>
      <c r="V320" s="110">
        <f t="shared" si="66"/>
        <v>0</v>
      </c>
      <c r="W320" s="110">
        <f t="shared" si="66"/>
        <v>0</v>
      </c>
      <c r="X320" s="110">
        <f t="shared" si="66"/>
        <v>0</v>
      </c>
      <c r="Y320" s="110">
        <f t="shared" si="66"/>
        <v>0</v>
      </c>
      <c r="Z320" s="110">
        <f t="shared" si="66"/>
        <v>0</v>
      </c>
      <c r="AA320" s="110">
        <f t="shared" si="66"/>
        <v>0</v>
      </c>
      <c r="AB320" s="110">
        <f t="shared" si="66"/>
        <v>0</v>
      </c>
      <c r="AC320" s="110">
        <f t="shared" si="66"/>
        <v>0</v>
      </c>
      <c r="AD320" s="110">
        <f t="shared" si="66"/>
        <v>0</v>
      </c>
      <c r="AE320" s="110">
        <f t="shared" si="66"/>
        <v>0</v>
      </c>
      <c r="AF320" s="110">
        <f t="shared" si="66"/>
        <v>0</v>
      </c>
      <c r="AG320" s="120">
        <f>SUM(F320:AF320)</f>
        <v>4143755.459999999</v>
      </c>
      <c r="AH320" s="103" t="str">
        <f>IF(ABS(E320-AG320)&lt;0.01,"ok","err")</f>
        <v>ok</v>
      </c>
      <c r="AJ320" s="141"/>
      <c r="AK320" s="141"/>
      <c r="AL320" s="141"/>
      <c r="AM320" s="141"/>
      <c r="AN320" s="141"/>
    </row>
    <row r="321" spans="1:40" x14ac:dyDescent="0.25">
      <c r="A321" s="133" t="s">
        <v>330</v>
      </c>
      <c r="D321" s="102" t="s">
        <v>248</v>
      </c>
      <c r="E321" s="110">
        <f t="shared" ref="E321:AF321" si="67">E269</f>
        <v>0</v>
      </c>
      <c r="F321" s="110">
        <f t="shared" si="67"/>
        <v>0</v>
      </c>
      <c r="G321" s="110">
        <f t="shared" si="67"/>
        <v>0</v>
      </c>
      <c r="H321" s="110">
        <f t="shared" si="67"/>
        <v>0</v>
      </c>
      <c r="I321" s="110">
        <f t="shared" si="67"/>
        <v>0</v>
      </c>
      <c r="J321" s="110">
        <f t="shared" si="67"/>
        <v>0</v>
      </c>
      <c r="K321" s="110">
        <f t="shared" si="67"/>
        <v>0</v>
      </c>
      <c r="L321" s="110">
        <f t="shared" si="67"/>
        <v>0</v>
      </c>
      <c r="M321" s="110">
        <f t="shared" si="67"/>
        <v>0</v>
      </c>
      <c r="N321" s="110">
        <f t="shared" si="67"/>
        <v>0</v>
      </c>
      <c r="O321" s="110">
        <f t="shared" si="67"/>
        <v>0</v>
      </c>
      <c r="P321" s="110">
        <f t="shared" si="67"/>
        <v>0</v>
      </c>
      <c r="Q321" s="110">
        <f t="shared" si="67"/>
        <v>0</v>
      </c>
      <c r="R321" s="110">
        <f t="shared" si="67"/>
        <v>0</v>
      </c>
      <c r="S321" s="110">
        <f t="shared" si="67"/>
        <v>0</v>
      </c>
      <c r="T321" s="110">
        <f t="shared" si="67"/>
        <v>0</v>
      </c>
      <c r="U321" s="110">
        <f t="shared" si="67"/>
        <v>0</v>
      </c>
      <c r="V321" s="110">
        <f t="shared" si="67"/>
        <v>0</v>
      </c>
      <c r="W321" s="110">
        <f t="shared" si="67"/>
        <v>0</v>
      </c>
      <c r="X321" s="110">
        <f t="shared" si="67"/>
        <v>0</v>
      </c>
      <c r="Y321" s="110">
        <f t="shared" si="67"/>
        <v>0</v>
      </c>
      <c r="Z321" s="110">
        <f t="shared" si="67"/>
        <v>0</v>
      </c>
      <c r="AA321" s="110">
        <f t="shared" si="67"/>
        <v>0</v>
      </c>
      <c r="AB321" s="110">
        <f t="shared" si="67"/>
        <v>0</v>
      </c>
      <c r="AC321" s="110">
        <f t="shared" si="67"/>
        <v>0</v>
      </c>
      <c r="AD321" s="110">
        <f t="shared" si="67"/>
        <v>0</v>
      </c>
      <c r="AE321" s="110">
        <f t="shared" si="67"/>
        <v>0</v>
      </c>
      <c r="AF321" s="110">
        <f t="shared" si="67"/>
        <v>0</v>
      </c>
      <c r="AG321" s="120">
        <f>SUM(F321:AF321)</f>
        <v>0</v>
      </c>
      <c r="AH321" s="103" t="str">
        <f>IF(ABS(E321-AG321)&lt;0.01,"ok","err")</f>
        <v>ok</v>
      </c>
      <c r="AJ321" s="141"/>
      <c r="AK321" s="141"/>
      <c r="AL321" s="141"/>
      <c r="AM321" s="141"/>
      <c r="AN321" s="141"/>
    </row>
    <row r="322" spans="1:40" x14ac:dyDescent="0.25">
      <c r="A322" s="133" t="s">
        <v>331</v>
      </c>
      <c r="E322" s="110">
        <f t="shared" ref="E322:AF322" si="68">E307</f>
        <v>74472.999999999971</v>
      </c>
      <c r="F322" s="110">
        <f t="shared" si="68"/>
        <v>57965.909838321502</v>
      </c>
      <c r="G322" s="110">
        <f t="shared" si="68"/>
        <v>149.77814810871206</v>
      </c>
      <c r="H322" s="110">
        <f t="shared" si="68"/>
        <v>2300.4152582855354</v>
      </c>
      <c r="I322" s="110">
        <f t="shared" si="68"/>
        <v>4650.1970861883628</v>
      </c>
      <c r="J322" s="110">
        <f t="shared" si="68"/>
        <v>816.23292305711209</v>
      </c>
      <c r="K322" s="110">
        <f t="shared" si="68"/>
        <v>370.60763895507461</v>
      </c>
      <c r="L322" s="110">
        <f t="shared" si="68"/>
        <v>1360.3013004801878</v>
      </c>
      <c r="M322" s="110">
        <f t="shared" si="68"/>
        <v>4345.2496040039878</v>
      </c>
      <c r="N322" s="110">
        <f t="shared" si="68"/>
        <v>40.107889070902488</v>
      </c>
      <c r="O322" s="110">
        <f t="shared" si="68"/>
        <v>0</v>
      </c>
      <c r="P322" s="110">
        <f t="shared" si="68"/>
        <v>2474.2003135285986</v>
      </c>
      <c r="Q322" s="110">
        <f t="shared" si="68"/>
        <v>0</v>
      </c>
      <c r="R322" s="110">
        <f t="shared" si="68"/>
        <v>0</v>
      </c>
      <c r="S322" s="110">
        <f t="shared" si="68"/>
        <v>0</v>
      </c>
      <c r="T322" s="110">
        <f t="shared" si="68"/>
        <v>0</v>
      </c>
      <c r="U322" s="110">
        <f t="shared" si="68"/>
        <v>0</v>
      </c>
      <c r="V322" s="110">
        <f t="shared" si="68"/>
        <v>0</v>
      </c>
      <c r="W322" s="110">
        <f t="shared" si="68"/>
        <v>0</v>
      </c>
      <c r="X322" s="110">
        <f t="shared" si="68"/>
        <v>0</v>
      </c>
      <c r="Y322" s="110">
        <f t="shared" si="68"/>
        <v>0</v>
      </c>
      <c r="Z322" s="110">
        <f t="shared" si="68"/>
        <v>0</v>
      </c>
      <c r="AA322" s="110">
        <f t="shared" si="68"/>
        <v>0</v>
      </c>
      <c r="AB322" s="110">
        <f t="shared" si="68"/>
        <v>0</v>
      </c>
      <c r="AC322" s="110">
        <f t="shared" si="68"/>
        <v>0</v>
      </c>
      <c r="AD322" s="110">
        <f t="shared" si="68"/>
        <v>0</v>
      </c>
      <c r="AE322" s="110">
        <f t="shared" si="68"/>
        <v>0</v>
      </c>
      <c r="AF322" s="110">
        <f t="shared" si="68"/>
        <v>0</v>
      </c>
      <c r="AG322" s="120">
        <f>SUM(F322:AF322)</f>
        <v>74472.999999999971</v>
      </c>
      <c r="AH322" s="103" t="str">
        <f>IF(ABS(E322-AG322)&lt;0.01,"ok","err")</f>
        <v>ok</v>
      </c>
      <c r="AJ322" s="141"/>
      <c r="AK322" s="141"/>
      <c r="AL322" s="141"/>
      <c r="AM322" s="141"/>
      <c r="AN322" s="141"/>
    </row>
    <row r="323" spans="1:40" x14ac:dyDescent="0.25">
      <c r="A323" s="133"/>
      <c r="AG323" s="120"/>
      <c r="AH323" s="103"/>
      <c r="AJ323" s="141"/>
      <c r="AK323" s="141"/>
      <c r="AL323" s="141"/>
      <c r="AM323" s="141"/>
      <c r="AN323" s="141"/>
    </row>
    <row r="324" spans="1:40" x14ac:dyDescent="0.25">
      <c r="A324" s="102" t="s">
        <v>332</v>
      </c>
      <c r="C324" s="102" t="s">
        <v>198</v>
      </c>
      <c r="E324" s="120">
        <f t="shared" ref="E324:T324" si="69">SUM(E319:E323)</f>
        <v>93676104.840000033</v>
      </c>
      <c r="F324" s="120">
        <f t="shared" si="69"/>
        <v>40994215.759128265</v>
      </c>
      <c r="G324" s="120">
        <f t="shared" si="69"/>
        <v>116457.07925525661</v>
      </c>
      <c r="H324" s="120">
        <f t="shared" si="69"/>
        <v>1178325.565049032</v>
      </c>
      <c r="I324" s="120">
        <f t="shared" si="69"/>
        <v>826438.00184052042</v>
      </c>
      <c r="J324" s="120">
        <f t="shared" si="69"/>
        <v>167157.47089098659</v>
      </c>
      <c r="K324" s="120">
        <f t="shared" si="69"/>
        <v>166550.80117585787</v>
      </c>
      <c r="L324" s="120">
        <f t="shared" si="69"/>
        <v>1939934.9323517508</v>
      </c>
      <c r="M324" s="120">
        <f t="shared" si="69"/>
        <v>9264804.998370314</v>
      </c>
      <c r="N324" s="120">
        <f t="shared" si="69"/>
        <v>63802.392345591514</v>
      </c>
      <c r="O324" s="120">
        <f t="shared" si="69"/>
        <v>0</v>
      </c>
      <c r="P324" s="120">
        <f t="shared" si="69"/>
        <v>174048.82968270351</v>
      </c>
      <c r="Q324" s="120">
        <f t="shared" si="69"/>
        <v>2819385</v>
      </c>
      <c r="R324" s="120">
        <f t="shared" si="69"/>
        <v>4567017</v>
      </c>
      <c r="S324" s="120">
        <f t="shared" si="69"/>
        <v>4181510</v>
      </c>
      <c r="T324" s="120">
        <f t="shared" si="69"/>
        <v>17529629</v>
      </c>
      <c r="U324" s="120">
        <f t="shared" ref="U324:AF324" si="70">SUM(U319:U323)</f>
        <v>9686828</v>
      </c>
      <c r="V324" s="120">
        <f t="shared" si="70"/>
        <v>0</v>
      </c>
      <c r="W324" s="120">
        <f t="shared" si="70"/>
        <v>0</v>
      </c>
      <c r="X324" s="120">
        <f t="shared" si="70"/>
        <v>0</v>
      </c>
      <c r="Y324" s="120">
        <f t="shared" si="70"/>
        <v>0</v>
      </c>
      <c r="Z324" s="120">
        <f t="shared" si="70"/>
        <v>0</v>
      </c>
      <c r="AA324" s="120">
        <f t="shared" si="70"/>
        <v>0</v>
      </c>
      <c r="AB324" s="120">
        <f t="shared" si="70"/>
        <v>0</v>
      </c>
      <c r="AC324" s="120">
        <f t="shared" si="70"/>
        <v>0</v>
      </c>
      <c r="AD324" s="120">
        <f t="shared" si="70"/>
        <v>0</v>
      </c>
      <c r="AE324" s="120">
        <f t="shared" si="70"/>
        <v>0</v>
      </c>
      <c r="AF324" s="120">
        <f t="shared" si="70"/>
        <v>0</v>
      </c>
      <c r="AG324" s="120">
        <f>SUM(F324:AF324)</f>
        <v>93676104.830090255</v>
      </c>
      <c r="AH324" s="103" t="str">
        <f>IF(ABS(E324-AG324)&lt;0.01,"ok","err")</f>
        <v>ok</v>
      </c>
      <c r="AJ324" s="141"/>
      <c r="AK324" s="141"/>
      <c r="AL324" s="141"/>
      <c r="AM324" s="141"/>
      <c r="AN324" s="141"/>
    </row>
    <row r="325" spans="1:40" x14ac:dyDescent="0.25">
      <c r="A325" s="133"/>
    </row>
    <row r="326" spans="1:40" x14ac:dyDescent="0.25">
      <c r="A326" s="102" t="s">
        <v>333</v>
      </c>
      <c r="C326" s="102" t="s">
        <v>182</v>
      </c>
      <c r="E326" s="120">
        <f>E316-E324</f>
        <v>362818.91658996046</v>
      </c>
      <c r="F326" s="120">
        <f t="shared" ref="F326:R326" si="71">F316-F324</f>
        <v>-2843036.1922855005</v>
      </c>
      <c r="G326" s="120">
        <f t="shared" si="71"/>
        <v>-19946.154034851439</v>
      </c>
      <c r="H326" s="120">
        <f t="shared" si="71"/>
        <v>-191084.75406330847</v>
      </c>
      <c r="I326" s="120">
        <f t="shared" si="71"/>
        <v>-752425.17755729076</v>
      </c>
      <c r="J326" s="120">
        <f t="shared" si="71"/>
        <v>-41513.593046490161</v>
      </c>
      <c r="K326" s="120">
        <f t="shared" si="71"/>
        <v>-1488.5704157321597</v>
      </c>
      <c r="L326" s="120">
        <f t="shared" si="71"/>
        <v>322369.55631268444</v>
      </c>
      <c r="M326" s="120">
        <f t="shared" si="71"/>
        <v>299952.6710399203</v>
      </c>
      <c r="N326" s="120">
        <f t="shared" si="71"/>
        <v>3071.5536429936401</v>
      </c>
      <c r="O326" s="120">
        <f t="shared" si="71"/>
        <v>0</v>
      </c>
      <c r="P326" s="120">
        <f t="shared" si="71"/>
        <v>924567.6503172965</v>
      </c>
      <c r="Q326" s="120">
        <f>Q316-Q324</f>
        <v>198357.49659000011</v>
      </c>
      <c r="R326" s="120">
        <f t="shared" si="71"/>
        <v>79819.670000000857</v>
      </c>
      <c r="S326" s="120">
        <f>S316-S324</f>
        <v>200897.71999999974</v>
      </c>
      <c r="T326" s="120">
        <f>T316-T324</f>
        <v>1856250.9999999963</v>
      </c>
      <c r="U326" s="120">
        <f t="shared" ref="U326:AF326" si="72">U316-U324</f>
        <v>327026.05000000075</v>
      </c>
      <c r="V326" s="120">
        <f t="shared" si="72"/>
        <v>0</v>
      </c>
      <c r="W326" s="120">
        <f t="shared" si="72"/>
        <v>0</v>
      </c>
      <c r="X326" s="120">
        <f t="shared" si="72"/>
        <v>0</v>
      </c>
      <c r="Y326" s="120">
        <f t="shared" si="72"/>
        <v>0</v>
      </c>
      <c r="Z326" s="120">
        <f t="shared" si="72"/>
        <v>0</v>
      </c>
      <c r="AA326" s="120">
        <f t="shared" si="72"/>
        <v>0</v>
      </c>
      <c r="AB326" s="120">
        <f t="shared" si="72"/>
        <v>0</v>
      </c>
      <c r="AC326" s="120">
        <f t="shared" si="72"/>
        <v>0</v>
      </c>
      <c r="AD326" s="120">
        <f t="shared" si="72"/>
        <v>0</v>
      </c>
      <c r="AE326" s="120">
        <f t="shared" si="72"/>
        <v>0</v>
      </c>
      <c r="AF326" s="120">
        <f t="shared" si="72"/>
        <v>0</v>
      </c>
      <c r="AG326" s="120">
        <f>SUM(F326:AF326)</f>
        <v>362818.92649971927</v>
      </c>
      <c r="AH326" s="103" t="str">
        <f>IF(ABS(E326-AG326)&lt;0.01,"ok","err")</f>
        <v>ok</v>
      </c>
    </row>
    <row r="328" spans="1:40" x14ac:dyDescent="0.25">
      <c r="A328" s="132" t="s">
        <v>249</v>
      </c>
      <c r="E328" s="120">
        <f t="shared" ref="E328:AF328" si="73">E117</f>
        <v>78429275.0319231</v>
      </c>
      <c r="F328" s="120">
        <f t="shared" si="73"/>
        <v>61094993.962671965</v>
      </c>
      <c r="G328" s="120">
        <f t="shared" si="73"/>
        <v>157793.01300400172</v>
      </c>
      <c r="H328" s="120">
        <f t="shared" si="73"/>
        <v>2421867.0116914054</v>
      </c>
      <c r="I328" s="120">
        <f t="shared" si="73"/>
        <v>4889403.1404193845</v>
      </c>
      <c r="J328" s="120">
        <f t="shared" si="73"/>
        <v>858297.71538946417</v>
      </c>
      <c r="K328" s="120">
        <f t="shared" si="73"/>
        <v>391615.16491669056</v>
      </c>
      <c r="L328" s="120">
        <f t="shared" si="73"/>
        <v>1432154.4159477737</v>
      </c>
      <c r="M328" s="120">
        <f t="shared" si="73"/>
        <v>4569496.4814591585</v>
      </c>
      <c r="N328" s="120">
        <f t="shared" si="73"/>
        <v>42188.766940090216</v>
      </c>
      <c r="O328" s="120">
        <f t="shared" si="73"/>
        <v>0</v>
      </c>
      <c r="P328" s="120">
        <f t="shared" si="73"/>
        <v>2571465.3594831452</v>
      </c>
      <c r="Q328" s="120">
        <f t="shared" si="73"/>
        <v>0</v>
      </c>
      <c r="R328" s="120">
        <f t="shared" si="73"/>
        <v>0</v>
      </c>
      <c r="S328" s="120">
        <f t="shared" si="73"/>
        <v>0</v>
      </c>
      <c r="T328" s="120">
        <f t="shared" si="73"/>
        <v>0</v>
      </c>
      <c r="U328" s="120">
        <f t="shared" si="73"/>
        <v>0</v>
      </c>
      <c r="V328" s="120">
        <f t="shared" si="73"/>
        <v>0</v>
      </c>
      <c r="W328" s="120">
        <f t="shared" si="73"/>
        <v>0</v>
      </c>
      <c r="X328" s="120">
        <f t="shared" si="73"/>
        <v>0</v>
      </c>
      <c r="Y328" s="120">
        <f t="shared" si="73"/>
        <v>0</v>
      </c>
      <c r="Z328" s="120">
        <f t="shared" si="73"/>
        <v>0</v>
      </c>
      <c r="AA328" s="120">
        <f t="shared" si="73"/>
        <v>0</v>
      </c>
      <c r="AB328" s="120">
        <f t="shared" si="73"/>
        <v>0</v>
      </c>
      <c r="AC328" s="120">
        <f t="shared" si="73"/>
        <v>0</v>
      </c>
      <c r="AD328" s="120">
        <f t="shared" si="73"/>
        <v>0</v>
      </c>
      <c r="AE328" s="120">
        <f t="shared" si="73"/>
        <v>0</v>
      </c>
      <c r="AF328" s="120">
        <f t="shared" si="73"/>
        <v>0</v>
      </c>
      <c r="AG328" s="120">
        <f>SUM(F328:AF328)</f>
        <v>78429275.031923085</v>
      </c>
      <c r="AH328" s="103" t="str">
        <f>IF(ABS(E328-AG328)&lt;0.01,"ok","err")</f>
        <v>ok</v>
      </c>
    </row>
    <row r="329" spans="1:40" ht="13.8" thickBot="1" x14ac:dyDescent="0.3"/>
    <row r="330" spans="1:40" s="132" customFormat="1" ht="13.8" thickBot="1" x14ac:dyDescent="0.3">
      <c r="A330" s="142" t="s">
        <v>334</v>
      </c>
      <c r="B330" s="143"/>
      <c r="C330" s="143"/>
      <c r="D330" s="143"/>
      <c r="E330" s="144">
        <f>E326/E328</f>
        <v>4.6260649029623456E-3</v>
      </c>
      <c r="F330" s="144">
        <f t="shared" ref="F330:R330" si="74">F326/F328</f>
        <v>-4.653468325117683E-2</v>
      </c>
      <c r="G330" s="144">
        <f t="shared" si="74"/>
        <v>-0.12640708010528701</v>
      </c>
      <c r="H330" s="144">
        <f t="shared" si="74"/>
        <v>-7.8899771598051935E-2</v>
      </c>
      <c r="I330" s="144">
        <f t="shared" si="74"/>
        <v>-0.15388896271145933</v>
      </c>
      <c r="J330" s="144">
        <f t="shared" si="74"/>
        <v>-4.8367358204667719E-2</v>
      </c>
      <c r="K330" s="144">
        <f t="shared" si="74"/>
        <v>-3.8011051386348323E-3</v>
      </c>
      <c r="L330" s="144">
        <f t="shared" si="74"/>
        <v>0.22509413281342719</v>
      </c>
      <c r="M330" s="144">
        <f t="shared" si="74"/>
        <v>6.5642390197034939E-2</v>
      </c>
      <c r="N330" s="144">
        <f t="shared" si="74"/>
        <v>7.2805011043706791E-2</v>
      </c>
      <c r="O330" s="144" t="e">
        <f t="shared" si="74"/>
        <v>#DIV/0!</v>
      </c>
      <c r="P330" s="144">
        <f t="shared" si="74"/>
        <v>0.35954894235990453</v>
      </c>
      <c r="Q330" s="144" t="e">
        <f>Q326/Q328</f>
        <v>#DIV/0!</v>
      </c>
      <c r="R330" s="144" t="e">
        <f t="shared" si="74"/>
        <v>#DIV/0!</v>
      </c>
      <c r="S330" s="144" t="e">
        <f>S326/S328</f>
        <v>#DIV/0!</v>
      </c>
      <c r="T330" s="144" t="e">
        <f>T326/T328</f>
        <v>#DIV/0!</v>
      </c>
      <c r="U330" s="144" t="e">
        <f t="shared" ref="U330:AG330" si="75">U326/U328</f>
        <v>#DIV/0!</v>
      </c>
      <c r="V330" s="144" t="e">
        <f t="shared" si="75"/>
        <v>#DIV/0!</v>
      </c>
      <c r="W330" s="144" t="e">
        <f t="shared" si="75"/>
        <v>#DIV/0!</v>
      </c>
      <c r="X330" s="144" t="e">
        <f t="shared" si="75"/>
        <v>#DIV/0!</v>
      </c>
      <c r="Y330" s="144" t="e">
        <f t="shared" si="75"/>
        <v>#DIV/0!</v>
      </c>
      <c r="Z330" s="144" t="e">
        <f t="shared" si="75"/>
        <v>#DIV/0!</v>
      </c>
      <c r="AA330" s="144" t="e">
        <f t="shared" si="75"/>
        <v>#DIV/0!</v>
      </c>
      <c r="AB330" s="144" t="e">
        <f t="shared" si="75"/>
        <v>#DIV/0!</v>
      </c>
      <c r="AC330" s="144" t="e">
        <f t="shared" si="75"/>
        <v>#DIV/0!</v>
      </c>
      <c r="AD330" s="144" t="e">
        <f t="shared" si="75"/>
        <v>#DIV/0!</v>
      </c>
      <c r="AE330" s="144" t="e">
        <f t="shared" si="75"/>
        <v>#DIV/0!</v>
      </c>
      <c r="AF330" s="144" t="e">
        <f t="shared" si="75"/>
        <v>#DIV/0!</v>
      </c>
      <c r="AG330" s="144">
        <f t="shared" si="75"/>
        <v>4.6260650293151505E-3</v>
      </c>
      <c r="AH330" s="103" t="str">
        <f>IF(ABS(E330-AG330)&lt;0.01,"ok","err")</f>
        <v>ok</v>
      </c>
      <c r="AJ330" s="145"/>
    </row>
    <row r="331" spans="1:40" s="132" customFormat="1" x14ac:dyDescent="0.25">
      <c r="A331" s="132" t="s">
        <v>933</v>
      </c>
      <c r="E331" s="146">
        <f>E330/$E$330</f>
        <v>1</v>
      </c>
      <c r="F331" s="146">
        <f t="shared" ref="F331:AF331" si="76">F330/$E$330</f>
        <v>-10.059237003220144</v>
      </c>
      <c r="G331" s="146">
        <f t="shared" si="76"/>
        <v>-27.324969008614861</v>
      </c>
      <c r="H331" s="146">
        <f t="shared" si="76"/>
        <v>-17.055483062403145</v>
      </c>
      <c r="I331" s="146">
        <f t="shared" si="76"/>
        <v>-33.265629847284465</v>
      </c>
      <c r="J331" s="146">
        <f t="shared" si="76"/>
        <v>-10.455399831008686</v>
      </c>
      <c r="K331" s="146">
        <f t="shared" si="76"/>
        <v>-0.82167138126418371</v>
      </c>
      <c r="L331" s="146">
        <f t="shared" si="76"/>
        <v>48.657798265927049</v>
      </c>
      <c r="M331" s="146">
        <f t="shared" si="76"/>
        <v>14.189682067581931</v>
      </c>
      <c r="N331" s="146">
        <f t="shared" si="76"/>
        <v>15.738000346057703</v>
      </c>
      <c r="O331" s="146" t="e">
        <f t="shared" si="76"/>
        <v>#DIV/0!</v>
      </c>
      <c r="P331" s="146">
        <f t="shared" si="76"/>
        <v>77.722416330489409</v>
      </c>
      <c r="Q331" s="146" t="e">
        <f t="shared" si="76"/>
        <v>#DIV/0!</v>
      </c>
      <c r="R331" s="146" t="e">
        <f t="shared" si="76"/>
        <v>#DIV/0!</v>
      </c>
      <c r="S331" s="146" t="e">
        <f t="shared" si="76"/>
        <v>#DIV/0!</v>
      </c>
      <c r="T331" s="146" t="e">
        <f t="shared" si="76"/>
        <v>#DIV/0!</v>
      </c>
      <c r="U331" s="146" t="e">
        <f t="shared" si="76"/>
        <v>#DIV/0!</v>
      </c>
      <c r="V331" s="146" t="e">
        <f t="shared" si="76"/>
        <v>#DIV/0!</v>
      </c>
      <c r="W331" s="146" t="e">
        <f t="shared" si="76"/>
        <v>#DIV/0!</v>
      </c>
      <c r="X331" s="146" t="e">
        <f t="shared" si="76"/>
        <v>#DIV/0!</v>
      </c>
      <c r="Y331" s="146" t="e">
        <f t="shared" si="76"/>
        <v>#DIV/0!</v>
      </c>
      <c r="Z331" s="146" t="e">
        <f t="shared" si="76"/>
        <v>#DIV/0!</v>
      </c>
      <c r="AA331" s="146" t="e">
        <f t="shared" si="76"/>
        <v>#DIV/0!</v>
      </c>
      <c r="AB331" s="146" t="e">
        <f t="shared" si="76"/>
        <v>#DIV/0!</v>
      </c>
      <c r="AC331" s="146" t="e">
        <f t="shared" si="76"/>
        <v>#DIV/0!</v>
      </c>
      <c r="AD331" s="146" t="e">
        <f t="shared" si="76"/>
        <v>#DIV/0!</v>
      </c>
      <c r="AE331" s="146" t="e">
        <f t="shared" si="76"/>
        <v>#DIV/0!</v>
      </c>
      <c r="AF331" s="146" t="e">
        <f t="shared" si="76"/>
        <v>#DIV/0!</v>
      </c>
      <c r="AG331" s="147"/>
      <c r="AH331" s="103"/>
      <c r="AJ331" s="145"/>
    </row>
    <row r="334" spans="1:40" x14ac:dyDescent="0.25">
      <c r="A334" s="131" t="s">
        <v>860</v>
      </c>
    </row>
    <row r="336" spans="1:40" x14ac:dyDescent="0.25">
      <c r="A336" s="132" t="s">
        <v>323</v>
      </c>
    </row>
    <row r="338" spans="1:40" x14ac:dyDescent="0.25">
      <c r="A338" s="102" t="s">
        <v>568</v>
      </c>
      <c r="E338" s="120">
        <f t="shared" ref="E338:AF338" si="77">E316</f>
        <v>94038923.756589994</v>
      </c>
      <c r="F338" s="120">
        <f t="shared" si="77"/>
        <v>38151179.566842765</v>
      </c>
      <c r="G338" s="120">
        <f t="shared" si="77"/>
        <v>96510.925220405174</v>
      </c>
      <c r="H338" s="120">
        <f t="shared" si="77"/>
        <v>987240.81098572351</v>
      </c>
      <c r="I338" s="120">
        <f t="shared" si="77"/>
        <v>74012.824283229711</v>
      </c>
      <c r="J338" s="120">
        <f t="shared" si="77"/>
        <v>125643.87784449643</v>
      </c>
      <c r="K338" s="120">
        <f t="shared" si="77"/>
        <v>165062.23076012571</v>
      </c>
      <c r="L338" s="120">
        <f t="shared" si="77"/>
        <v>2262304.4886644352</v>
      </c>
      <c r="M338" s="120">
        <f t="shared" si="77"/>
        <v>9564757.6694102343</v>
      </c>
      <c r="N338" s="120">
        <f t="shared" si="77"/>
        <v>66873.945988585154</v>
      </c>
      <c r="O338" s="120">
        <f t="shared" si="77"/>
        <v>0</v>
      </c>
      <c r="P338" s="120">
        <f t="shared" si="77"/>
        <v>1098616.48</v>
      </c>
      <c r="Q338" s="120">
        <f t="shared" si="77"/>
        <v>3017742.4965900001</v>
      </c>
      <c r="R338" s="120">
        <f t="shared" si="77"/>
        <v>4646836.6700000009</v>
      </c>
      <c r="S338" s="120">
        <f t="shared" si="77"/>
        <v>4382407.72</v>
      </c>
      <c r="T338" s="120">
        <f t="shared" si="77"/>
        <v>19385879.999999996</v>
      </c>
      <c r="U338" s="120">
        <f t="shared" si="77"/>
        <v>10013854.050000001</v>
      </c>
      <c r="V338" s="120">
        <f t="shared" si="77"/>
        <v>0</v>
      </c>
      <c r="W338" s="120">
        <f t="shared" si="77"/>
        <v>0</v>
      </c>
      <c r="X338" s="120">
        <f t="shared" si="77"/>
        <v>0</v>
      </c>
      <c r="Y338" s="120">
        <f t="shared" si="77"/>
        <v>0</v>
      </c>
      <c r="Z338" s="120">
        <f t="shared" si="77"/>
        <v>0</v>
      </c>
      <c r="AA338" s="120">
        <f t="shared" si="77"/>
        <v>0</v>
      </c>
      <c r="AB338" s="120">
        <f t="shared" si="77"/>
        <v>0</v>
      </c>
      <c r="AC338" s="120">
        <f t="shared" si="77"/>
        <v>0</v>
      </c>
      <c r="AD338" s="120">
        <f t="shared" si="77"/>
        <v>0</v>
      </c>
      <c r="AE338" s="120">
        <f t="shared" si="77"/>
        <v>0</v>
      </c>
      <c r="AF338" s="120">
        <f t="shared" si="77"/>
        <v>0</v>
      </c>
      <c r="AG338" s="120">
        <f>SUM(F338:AF338)</f>
        <v>94038923.756589994</v>
      </c>
      <c r="AH338" s="103" t="str">
        <f>IF(ABS(E338-AG338)&lt;0.01,"ok","err")</f>
        <v>ok</v>
      </c>
      <c r="AJ338" s="110" t="s">
        <v>1109</v>
      </c>
    </row>
    <row r="339" spans="1:40" x14ac:dyDescent="0.25"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03"/>
      <c r="AJ339" s="110">
        <v>1</v>
      </c>
    </row>
    <row r="340" spans="1:40" x14ac:dyDescent="0.25">
      <c r="A340" s="102" t="s">
        <v>569</v>
      </c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03"/>
    </row>
    <row r="341" spans="1:40" x14ac:dyDescent="0.25">
      <c r="A341" s="102">
        <v>1</v>
      </c>
      <c r="B341" s="102" t="s">
        <v>931</v>
      </c>
      <c r="D341" s="102" t="s">
        <v>214</v>
      </c>
      <c r="E341" s="148">
        <v>-11390316.33</v>
      </c>
      <c r="F341" s="119">
        <f>IF(VLOOKUP($D341,$C$5:$AT$528,3,)=0,0,(VLOOKUP($D341,$C$5:$AT$528,4,)/VLOOKUP($D341,$C$5:$AT$528,3,))*$E341)</f>
        <v>-3609606.7210980626</v>
      </c>
      <c r="G341" s="119">
        <f>IF(VLOOKUP($D341,$C$5:$AT$528,3,)=0,0,(VLOOKUP($D341,$C$5:$AT$528,5,)/VLOOKUP($D341,$C$5:$AT$528,3,))*$E341)</f>
        <v>-10654.30778882226</v>
      </c>
      <c r="H341" s="119">
        <f>IF(VLOOKUP($D341,$C$5:$AT$528,3,)=0,0,(VLOOKUP($D341,$C$5:$AT$528,6,)/VLOOKUP($D341,$C$5:$AT$528,3,))*$E341)</f>
        <v>-92631.656918519322</v>
      </c>
      <c r="I341" s="119">
        <f>IF(VLOOKUP($D341,$C$5:$AT$528,3,)=0,0,(VLOOKUP($D341,$C$5:$AT$528,7,)/VLOOKUP($D341,$C$5:$AT$528,3,))*$E341)</f>
        <v>-9332.6961465809127</v>
      </c>
      <c r="J341" s="119">
        <f>IF(VLOOKUP($D341,$C$5:$AT$528,3,)=0,0,(VLOOKUP($D341,$C$5:$AT$528,8,)/VLOOKUP($D341,$C$5:$AT$528,3,))*$E341)</f>
        <v>-4092.08778321817</v>
      </c>
      <c r="K341" s="119">
        <f>IF(VLOOKUP($D341,$C$5:$AT$528,3,)=0,0,(VLOOKUP($D341,$C$5:$AT$528,9,)/VLOOKUP($D341,$C$5:$AT$528,3,))*$E341)</f>
        <v>-10784.500944219088</v>
      </c>
      <c r="L341" s="119">
        <f>IF(VLOOKUP($D341,$C$5:$AT$528,3,)=0,0,(VLOOKUP($D341,$C$5:$AT$528,10,)/VLOOKUP($D341,$C$5:$AT$528,3,))*$E341)</f>
        <v>-211059.8681163078</v>
      </c>
      <c r="M341" s="119">
        <f>IF(VLOOKUP($D341,$C$5:$AT$528,3,)=0,0,(VLOOKUP($D341,$C$5:$AT$528,11,)/VLOOKUP($D341,$C$5:$AT$528,3,))*$E341)</f>
        <v>-1181389.5841466004</v>
      </c>
      <c r="N341" s="119">
        <f>IF(VLOOKUP($D341,$C$5:$AT$528,3,)=0,0,(VLOOKUP($D341,$C$5:$AT$528,12,)/VLOOKUP($D341,$C$5:$AT$528,3,))*$E341)</f>
        <v>-7255.3925433309741</v>
      </c>
      <c r="O341" s="119">
        <f>IF(VLOOKUP($D341,$C$5:$AT$528,3,)=0,0,(VLOOKUP($D341,$C$5:$AT$528,13,)/VLOOKUP($D341,$C$5:$AT$528,3,))*$E341)</f>
        <v>0</v>
      </c>
      <c r="P341" s="119">
        <f>IF(VLOOKUP($D341,$C$5:$AT$528,3,)=0,0,(VLOOKUP($D341,$C$5:$AT$528,14,)/VLOOKUP($D341,$C$5:$AT$528,3,))*$E341)</f>
        <v>-1861.4903495270848</v>
      </c>
      <c r="Q341" s="119">
        <f>IF(VLOOKUP($D341,$C$5:$AT$528,3,)=0,0,(VLOOKUP($D341,$C$5:$AT$528,15,)/VLOOKUP($D341,$C$5:$AT$528,3,))*$E341)</f>
        <v>-461431.79144858586</v>
      </c>
      <c r="R341" s="119">
        <f>IF(VLOOKUP($D341,$C$5:$AT$528,3,)=0,0,(VLOOKUP($D341,$C$5:$AT$528,16,)/VLOOKUP($D341,$C$5:$AT$528,3,))*$E341)</f>
        <v>-660745.49989296566</v>
      </c>
      <c r="S341" s="119">
        <f>IF(VLOOKUP($D341,$C$5:$AT$528,3,)=0,0,(VLOOKUP($D341,$C$5:$AT$528,17,)/VLOOKUP($D341,$C$5:$AT$528,3,))*$E341)</f>
        <v>-625128.3806645436</v>
      </c>
      <c r="T341" s="119">
        <f>IF(VLOOKUP($D341,$C$5:$AT$528,3,)=0,0,(VLOOKUP($D341,$C$5:$AT$528,18,)/VLOOKUP($D341,$C$5:$AT$528,3,))*$E341)</f>
        <v>-2940025.4021872072</v>
      </c>
      <c r="U341" s="119">
        <f>IF(VLOOKUP($D341,$C$5:$AT$528,3,)=0,0,(VLOOKUP($D341,$C$5:$AT$528,19,)/VLOOKUP($D341,$C$5:$AT$528,3,))*$E341)</f>
        <v>-1564316.9499715082</v>
      </c>
      <c r="V341" s="119">
        <f>IF(VLOOKUP($D341,$C$5:$AT$528,3,)=0,0,(VLOOKUP($D341,$C$5:$AT$528,20,)/VLOOKUP($D341,$C$5:$AT$528,3,))*$E341)</f>
        <v>0</v>
      </c>
      <c r="W341" s="119">
        <f>IF(VLOOKUP($D341,$C$5:$AT$528,3,)=0,0,(VLOOKUP($D341,$C$5:$AT$528,21,)/VLOOKUP($D341,$C$5:$AT$528,3,))*$E341)</f>
        <v>0</v>
      </c>
      <c r="X341" s="119">
        <f>IF(VLOOKUP($D341,$C$5:$AT$528,3,)=0,0,(VLOOKUP($D341,$C$5:$AT$528,22,)/VLOOKUP($D341,$C$5:$AT$528,3,))*$E341)</f>
        <v>0</v>
      </c>
      <c r="Y341" s="119">
        <f>IF(VLOOKUP($D341,$C$5:$AT$528,3,)=0,0,(VLOOKUP($D341,$C$5:$AT$528,23,)/VLOOKUP($D341,$C$5:$AT$528,3,))*$E341)</f>
        <v>0</v>
      </c>
      <c r="Z341" s="119">
        <f>IF(VLOOKUP($D341,$C$5:$AT$528,3,)=0,0,(VLOOKUP($D341,$C$5:$AT$528,24,)/VLOOKUP($D341,$C$5:$AT$528,3,))*$E341)</f>
        <v>0</v>
      </c>
      <c r="AA341" s="119">
        <f>IF(VLOOKUP($D341,$C$5:$AT$528,3,)=0,0,(VLOOKUP($D341,$C$5:$AT$528,25,)/VLOOKUP($D341,$C$5:$AT$528,3,))*$E341)</f>
        <v>0</v>
      </c>
      <c r="AB341" s="119">
        <f>IF(VLOOKUP($D341,$C$5:$AT$528,3,)=0,0,(VLOOKUP($D341,$C$5:$AT$528,26,)/VLOOKUP($D341,$C$5:$AT$528,3,))*$E341)</f>
        <v>0</v>
      </c>
      <c r="AC341" s="119">
        <f>IF(VLOOKUP($D341,$C$5:$AT$528,3,)=0,0,(VLOOKUP($D341,$C$5:$AT$528,27,)/VLOOKUP($D341,$C$5:$AT$528,3,))*$E341)</f>
        <v>0</v>
      </c>
      <c r="AD341" s="119">
        <f>IF(VLOOKUP($D341,$C$5:$AT$528,3,)=0,0,(VLOOKUP($D341,$C$5:$AT$528,28,)/VLOOKUP($D341,$C$5:$AT$528,3,))*$E341)</f>
        <v>0</v>
      </c>
      <c r="AE341" s="119">
        <f>IF(VLOOKUP($D341,$C$5:$AT$528,3,)=0,0,(VLOOKUP($D341,$C$5:$AT$528,29,)/VLOOKUP($D341,$C$5:$AT$528,3,))*$E341)</f>
        <v>0</v>
      </c>
      <c r="AF341" s="119">
        <f>IF(VLOOKUP($D341,$C$5:$AT$528,3,)=0,0,(VLOOKUP($D341,$C$5:$AT$528,30,)/VLOOKUP($D341,$C$5:$AT$528,3,))*$E341)</f>
        <v>0</v>
      </c>
      <c r="AG341" s="120">
        <f t="shared" ref="AG341" si="78">SUM(F341:AF341)</f>
        <v>-11390316.33</v>
      </c>
      <c r="AH341" s="103" t="str">
        <f t="shared" ref="AH341" si="79">IF(ABS(E341-AG341)&lt;0.01,"ok","err")</f>
        <v>ok</v>
      </c>
      <c r="AJ341" s="110">
        <f>AJ339</f>
        <v>1</v>
      </c>
    </row>
    <row r="342" spans="1:40" x14ac:dyDescent="0.25">
      <c r="A342" s="102">
        <v>2</v>
      </c>
      <c r="B342" s="102" t="s">
        <v>930</v>
      </c>
      <c r="D342" s="102" t="s">
        <v>936</v>
      </c>
      <c r="E342" s="148">
        <v>-9565975.7799999993</v>
      </c>
      <c r="F342" s="119">
        <f>IF(VLOOKUP($D342,$C$5:$AT$528,3,)=0,0,(VLOOKUP($D342,$C$5:$AT$528,4,)/VLOOKUP($D342,$C$5:$AT$528,3,))*$E342)</f>
        <v>-4493846.2598632658</v>
      </c>
      <c r="G342" s="119">
        <f>IF(VLOOKUP($D342,$C$5:$AT$528,3,)=0,0,(VLOOKUP($D342,$C$5:$AT$528,5,)/VLOOKUP($D342,$C$5:$AT$528,3,))*$E342)</f>
        <v>-13206.648157482623</v>
      </c>
      <c r="H342" s="119">
        <f>IF(VLOOKUP($D342,$C$5:$AT$528,3,)=0,0,(VLOOKUP($D342,$C$5:$AT$528,6,)/VLOOKUP($D342,$C$5:$AT$528,3,))*$E342)</f>
        <v>-115400.071845343</v>
      </c>
      <c r="I342" s="119">
        <f>IF(VLOOKUP($D342,$C$5:$AT$528,3,)=0,0,(VLOOKUP($D342,$C$5:$AT$528,7,)/VLOOKUP($D342,$C$5:$AT$528,3,))*$E342)</f>
        <v>-9063.0362832384017</v>
      </c>
      <c r="J342" s="119">
        <f>IF(VLOOKUP($D342,$C$5:$AT$528,3,)=0,0,(VLOOKUP($D342,$C$5:$AT$528,8,)/VLOOKUP($D342,$C$5:$AT$528,3,))*$E342)</f>
        <v>-5098.0279785189678</v>
      </c>
      <c r="K342" s="119">
        <f>IF(VLOOKUP($D342,$C$5:$AT$528,3,)=0,0,(VLOOKUP($D342,$C$5:$AT$528,9,)/VLOOKUP($D342,$C$5:$AT$528,3,))*$E342)</f>
        <v>-13492.069800526198</v>
      </c>
      <c r="L342" s="119">
        <f>IF(VLOOKUP($D342,$C$5:$AT$528,3,)=0,0,(VLOOKUP($D342,$C$5:$AT$528,10,)/VLOOKUP($D342,$C$5:$AT$528,3,))*$E342)</f>
        <v>-219235.0045202031</v>
      </c>
      <c r="M342" s="119">
        <f>IF(VLOOKUP($D342,$C$5:$AT$528,3,)=0,0,(VLOOKUP($D342,$C$5:$AT$528,11,)/VLOOKUP($D342,$C$5:$AT$528,3,))*$E342)</f>
        <v>-654473.12320494815</v>
      </c>
      <c r="N342" s="119">
        <f>IF(VLOOKUP($D342,$C$5:$AT$528,3,)=0,0,(VLOOKUP($D342,$C$5:$AT$528,12,)/VLOOKUP($D342,$C$5:$AT$528,3,))*$E342)</f>
        <v>-6704.4077442299686</v>
      </c>
      <c r="O342" s="119">
        <f>IF(VLOOKUP($D342,$C$5:$AT$528,3,)=0,0,(VLOOKUP($D342,$C$5:$AT$528,13,)/VLOOKUP($D342,$C$5:$AT$528,3,))*$E342)</f>
        <v>0</v>
      </c>
      <c r="P342" s="119">
        <f>IF(VLOOKUP($D342,$C$5:$AT$528,3,)=0,0,(VLOOKUP($D342,$C$5:$AT$528,14,)/VLOOKUP($D342,$C$5:$AT$528,3,))*$E342)</f>
        <v>-1288.7371518994476</v>
      </c>
      <c r="Q342" s="119">
        <f>IF(VLOOKUP($D342,$C$5:$AT$528,3,)=0,0,(VLOOKUP($D342,$C$5:$AT$528,15,)/VLOOKUP($D342,$C$5:$AT$528,3,))*$E342)</f>
        <v>-296196.19659521268</v>
      </c>
      <c r="R342" s="119">
        <f>IF(VLOOKUP($D342,$C$5:$AT$528,3,)=0,0,(VLOOKUP($D342,$C$5:$AT$528,16,)/VLOOKUP($D342,$C$5:$AT$528,3,))*$E342)</f>
        <v>-446008.55088358914</v>
      </c>
      <c r="S342" s="119">
        <f>IF(VLOOKUP($D342,$C$5:$AT$528,3,)=0,0,(VLOOKUP($D342,$C$5:$AT$528,17,)/VLOOKUP($D342,$C$5:$AT$528,3,))*$E342)</f>
        <v>-483272.15347397467</v>
      </c>
      <c r="T342" s="119">
        <f>IF(VLOOKUP($D342,$C$5:$AT$528,3,)=0,0,(VLOOKUP($D342,$C$5:$AT$528,18,)/VLOOKUP($D342,$C$5:$AT$528,3,))*$E342)</f>
        <v>-1927481.013124709</v>
      </c>
      <c r="U342" s="119">
        <f>IF(VLOOKUP($D342,$C$5:$AT$528,3,)=0,0,(VLOOKUP($D342,$C$5:$AT$528,19,)/VLOOKUP($D342,$C$5:$AT$528,3,))*$E342)</f>
        <v>-881210.47937285854</v>
      </c>
      <c r="V342" s="119">
        <f>IF(VLOOKUP($D342,$C$5:$AT$528,3,)=0,0,(VLOOKUP($D342,$C$5:$AT$528,20,)/VLOOKUP($D342,$C$5:$AT$528,3,))*$E342)</f>
        <v>0</v>
      </c>
      <c r="W342" s="119">
        <f>IF(VLOOKUP($D342,$C$5:$AT$528,3,)=0,0,(VLOOKUP($D342,$C$5:$AT$528,21,)/VLOOKUP($D342,$C$5:$AT$528,3,))*$E342)</f>
        <v>0</v>
      </c>
      <c r="X342" s="119">
        <f>IF(VLOOKUP($D342,$C$5:$AT$528,3,)=0,0,(VLOOKUP($D342,$C$5:$AT$528,22,)/VLOOKUP($D342,$C$5:$AT$528,3,))*$E342)</f>
        <v>0</v>
      </c>
      <c r="Y342" s="119">
        <f>IF(VLOOKUP($D342,$C$5:$AT$528,3,)=0,0,(VLOOKUP($D342,$C$5:$AT$528,23,)/VLOOKUP($D342,$C$5:$AT$528,3,))*$E342)</f>
        <v>0</v>
      </c>
      <c r="Z342" s="119">
        <f>IF(VLOOKUP($D342,$C$5:$AT$528,3,)=0,0,(VLOOKUP($D342,$C$5:$AT$528,24,)/VLOOKUP($D342,$C$5:$AT$528,3,))*$E342)</f>
        <v>0</v>
      </c>
      <c r="AA342" s="119">
        <f>IF(VLOOKUP($D342,$C$5:$AT$528,3,)=0,0,(VLOOKUP($D342,$C$5:$AT$528,25,)/VLOOKUP($D342,$C$5:$AT$528,3,))*$E342)</f>
        <v>0</v>
      </c>
      <c r="AB342" s="119">
        <f>IF(VLOOKUP($D342,$C$5:$AT$528,3,)=0,0,(VLOOKUP($D342,$C$5:$AT$528,26,)/VLOOKUP($D342,$C$5:$AT$528,3,))*$E342)</f>
        <v>0</v>
      </c>
      <c r="AC342" s="119">
        <f>IF(VLOOKUP($D342,$C$5:$AT$528,3,)=0,0,(VLOOKUP($D342,$C$5:$AT$528,27,)/VLOOKUP($D342,$C$5:$AT$528,3,))*$E342)</f>
        <v>0</v>
      </c>
      <c r="AD342" s="119">
        <f>IF(VLOOKUP($D342,$C$5:$AT$528,3,)=0,0,(VLOOKUP($D342,$C$5:$AT$528,28,)/VLOOKUP($D342,$C$5:$AT$528,3,))*$E342)</f>
        <v>0</v>
      </c>
      <c r="AE342" s="119">
        <f>IF(VLOOKUP($D342,$C$5:$AT$528,3,)=0,0,(VLOOKUP($D342,$C$5:$AT$528,29,)/VLOOKUP($D342,$C$5:$AT$528,3,))*$E342)</f>
        <v>0</v>
      </c>
      <c r="AF342" s="119">
        <f>IF(VLOOKUP($D342,$C$5:$AT$528,3,)=0,0,(VLOOKUP($D342,$C$5:$AT$528,30,)/VLOOKUP($D342,$C$5:$AT$528,3,))*$E342)</f>
        <v>0</v>
      </c>
      <c r="AG342" s="120">
        <f t="shared" ref="AG342" si="80">SUM(F342:AF342)</f>
        <v>-9565975.7800000012</v>
      </c>
      <c r="AH342" s="103" t="str">
        <f t="shared" ref="AH342:AH343" si="81">IF(ABS(E342-AG342)&lt;0.01,"ok","err")</f>
        <v>ok</v>
      </c>
      <c r="AJ342" s="110">
        <f>AJ341</f>
        <v>1</v>
      </c>
    </row>
    <row r="343" spans="1:40" x14ac:dyDescent="0.25">
      <c r="A343" s="102">
        <v>6</v>
      </c>
      <c r="B343" s="102" t="s">
        <v>1027</v>
      </c>
      <c r="E343" s="148">
        <v>349932.05409982539</v>
      </c>
      <c r="F343" s="148">
        <v>296051.69945793191</v>
      </c>
      <c r="G343" s="148">
        <v>-1476.3236311764708</v>
      </c>
      <c r="H343" s="148">
        <v>10544.112293499045</v>
      </c>
      <c r="I343" s="148">
        <v>6375.1710655737697</v>
      </c>
      <c r="J343" s="119">
        <v>0</v>
      </c>
      <c r="K343" s="148">
        <v>425.26475903846153</v>
      </c>
      <c r="L343" s="148">
        <v>38012.130154958679</v>
      </c>
      <c r="M343" s="119">
        <v>0</v>
      </c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49">
        <f t="shared" ref="AG343:AG350" si="82">SUM(F343:AF343)</f>
        <v>349932.05409982539</v>
      </c>
      <c r="AH343" s="103" t="str">
        <f t="shared" si="81"/>
        <v>ok</v>
      </c>
      <c r="AJ343" s="110">
        <f>AJ342</f>
        <v>1</v>
      </c>
      <c r="AN343" s="150"/>
    </row>
    <row r="344" spans="1:40" hidden="1" x14ac:dyDescent="0.25">
      <c r="B344" s="102" t="s">
        <v>1014</v>
      </c>
      <c r="D344" s="102" t="s">
        <v>561</v>
      </c>
      <c r="E344" s="120">
        <f>SUM(AN344:AN349)*AJ344</f>
        <v>1293135.7906599967</v>
      </c>
      <c r="F344" s="119">
        <f>AN344*AJ344</f>
        <v>884467.4482799992</v>
      </c>
      <c r="G344" s="119">
        <f>AN345*AJ344</f>
        <v>552.21176000000196</v>
      </c>
      <c r="H344" s="119">
        <f>AN346*AJ344</f>
        <v>113128.96627999935</v>
      </c>
      <c r="I344" s="119">
        <f>AN347*AJ344</f>
        <v>213482.68225999828</v>
      </c>
      <c r="J344" s="119">
        <f>AN348*AJ344</f>
        <v>62004.232079999987</v>
      </c>
      <c r="K344" s="119">
        <f>AN349*AJ344</f>
        <v>19500.249999999884</v>
      </c>
      <c r="L344" s="119">
        <v>0</v>
      </c>
      <c r="M344" s="119">
        <v>0</v>
      </c>
      <c r="N344" s="119">
        <v>0</v>
      </c>
      <c r="O344" s="119">
        <v>0</v>
      </c>
      <c r="P344" s="119">
        <v>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>
        <v>0</v>
      </c>
      <c r="AB344" s="119">
        <v>0</v>
      </c>
      <c r="AC344" s="119">
        <v>0</v>
      </c>
      <c r="AD344" s="119">
        <v>0</v>
      </c>
      <c r="AE344" s="119">
        <v>0</v>
      </c>
      <c r="AF344" s="119">
        <v>0</v>
      </c>
      <c r="AG344" s="120">
        <f t="shared" si="82"/>
        <v>1293135.7906599967</v>
      </c>
      <c r="AH344" s="103" t="str">
        <f t="shared" ref="AH344:AH350" si="83">IF(ABS(E344-AG344)&lt;0.01,"ok","err")</f>
        <v>ok</v>
      </c>
      <c r="AJ344" s="110">
        <f>AJ339</f>
        <v>1</v>
      </c>
      <c r="AN344" s="102">
        <v>884467.4482799992</v>
      </c>
    </row>
    <row r="345" spans="1:40" hidden="1" x14ac:dyDescent="0.25">
      <c r="B345" s="102" t="s">
        <v>1014</v>
      </c>
      <c r="D345" s="102" t="s">
        <v>561</v>
      </c>
      <c r="E345" s="119">
        <v>0</v>
      </c>
      <c r="F345" s="119">
        <f t="shared" ref="F345:F354" si="84">IF(VLOOKUP($D345,$C$5:$AT$528,3,)=0,0,(VLOOKUP($D345,$C$5:$AT$528,4,)/VLOOKUP($D345,$C$5:$AT$528,3,))*$E345)</f>
        <v>0</v>
      </c>
      <c r="G345" s="119">
        <f t="shared" ref="G345:G354" si="85">IF(VLOOKUP($D345,$C$5:$AT$528,3,)=0,0,(VLOOKUP($D345,$C$5:$AT$528,5,)/VLOOKUP($D345,$C$5:$AT$528,3,))*$E345)</f>
        <v>0</v>
      </c>
      <c r="H345" s="119">
        <f t="shared" ref="H345:H354" si="86">IF(VLOOKUP($D345,$C$5:$AT$528,3,)=0,0,(VLOOKUP($D345,$C$5:$AT$528,6,)/VLOOKUP($D345,$C$5:$AT$528,3,))*$E345)</f>
        <v>0</v>
      </c>
      <c r="I345" s="119">
        <f t="shared" ref="I345:I354" si="87">IF(VLOOKUP($D345,$C$5:$AT$528,3,)=0,0,(VLOOKUP($D345,$C$5:$AT$528,7,)/VLOOKUP($D345,$C$5:$AT$528,3,))*$E345)</f>
        <v>0</v>
      </c>
      <c r="J345" s="119">
        <v>0</v>
      </c>
      <c r="K345" s="119">
        <v>0</v>
      </c>
      <c r="L345" s="119">
        <v>0</v>
      </c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20">
        <f t="shared" si="82"/>
        <v>0</v>
      </c>
      <c r="AH345" s="103" t="str">
        <f t="shared" si="83"/>
        <v>ok</v>
      </c>
      <c r="AN345" s="102">
        <v>552.21176000000196</v>
      </c>
    </row>
    <row r="346" spans="1:40" hidden="1" x14ac:dyDescent="0.25">
      <c r="B346" s="102" t="s">
        <v>1014</v>
      </c>
      <c r="D346" s="102" t="s">
        <v>561</v>
      </c>
      <c r="E346" s="119">
        <v>0</v>
      </c>
      <c r="F346" s="119">
        <f t="shared" si="84"/>
        <v>0</v>
      </c>
      <c r="G346" s="119">
        <f t="shared" si="85"/>
        <v>0</v>
      </c>
      <c r="H346" s="119">
        <f t="shared" si="86"/>
        <v>0</v>
      </c>
      <c r="I346" s="119">
        <f t="shared" si="87"/>
        <v>0</v>
      </c>
      <c r="J346" s="119">
        <v>0</v>
      </c>
      <c r="K346" s="119">
        <v>0</v>
      </c>
      <c r="L346" s="119">
        <v>0</v>
      </c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20">
        <f t="shared" si="82"/>
        <v>0</v>
      </c>
      <c r="AH346" s="103" t="str">
        <f t="shared" si="83"/>
        <v>ok</v>
      </c>
      <c r="AN346" s="102">
        <v>113128.96627999935</v>
      </c>
    </row>
    <row r="347" spans="1:40" hidden="1" x14ac:dyDescent="0.25">
      <c r="B347" s="102" t="s">
        <v>1014</v>
      </c>
      <c r="D347" s="102" t="s">
        <v>561</v>
      </c>
      <c r="E347" s="119">
        <v>0</v>
      </c>
      <c r="F347" s="119">
        <f t="shared" si="84"/>
        <v>0</v>
      </c>
      <c r="G347" s="119">
        <f t="shared" si="85"/>
        <v>0</v>
      </c>
      <c r="H347" s="119">
        <f t="shared" si="86"/>
        <v>0</v>
      </c>
      <c r="I347" s="119">
        <f t="shared" si="87"/>
        <v>0</v>
      </c>
      <c r="J347" s="119">
        <v>0</v>
      </c>
      <c r="K347" s="119">
        <v>0</v>
      </c>
      <c r="L347" s="119">
        <v>0</v>
      </c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20">
        <f t="shared" si="82"/>
        <v>0</v>
      </c>
      <c r="AH347" s="103" t="str">
        <f t="shared" si="83"/>
        <v>ok</v>
      </c>
      <c r="AN347" s="102">
        <v>213482.68225999828</v>
      </c>
    </row>
    <row r="348" spans="1:40" hidden="1" x14ac:dyDescent="0.25">
      <c r="B348" s="102" t="s">
        <v>1014</v>
      </c>
      <c r="D348" s="102" t="s">
        <v>561</v>
      </c>
      <c r="E348" s="119">
        <v>0</v>
      </c>
      <c r="F348" s="119">
        <f t="shared" si="84"/>
        <v>0</v>
      </c>
      <c r="G348" s="119">
        <f t="shared" si="85"/>
        <v>0</v>
      </c>
      <c r="H348" s="119">
        <f t="shared" si="86"/>
        <v>0</v>
      </c>
      <c r="I348" s="119">
        <f t="shared" si="87"/>
        <v>0</v>
      </c>
      <c r="J348" s="119">
        <v>0</v>
      </c>
      <c r="K348" s="119">
        <v>0</v>
      </c>
      <c r="L348" s="119">
        <v>0</v>
      </c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20">
        <f t="shared" si="82"/>
        <v>0</v>
      </c>
      <c r="AH348" s="103" t="str">
        <f t="shared" si="83"/>
        <v>ok</v>
      </c>
      <c r="AN348" s="102">
        <v>62004.232079999987</v>
      </c>
    </row>
    <row r="349" spans="1:40" hidden="1" x14ac:dyDescent="0.25">
      <c r="B349" s="102" t="s">
        <v>1014</v>
      </c>
      <c r="D349" s="102" t="s">
        <v>561</v>
      </c>
      <c r="E349" s="119">
        <v>0</v>
      </c>
      <c r="F349" s="119">
        <f t="shared" si="84"/>
        <v>0</v>
      </c>
      <c r="G349" s="119">
        <f t="shared" si="85"/>
        <v>0</v>
      </c>
      <c r="H349" s="119">
        <f t="shared" si="86"/>
        <v>0</v>
      </c>
      <c r="I349" s="119">
        <f t="shared" si="87"/>
        <v>0</v>
      </c>
      <c r="J349" s="119">
        <v>0</v>
      </c>
      <c r="K349" s="119">
        <v>0</v>
      </c>
      <c r="L349" s="119">
        <v>0</v>
      </c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20">
        <f t="shared" si="82"/>
        <v>0</v>
      </c>
      <c r="AH349" s="103" t="str">
        <f t="shared" si="83"/>
        <v>ok</v>
      </c>
      <c r="AN349" s="102">
        <v>19500.249999999884</v>
      </c>
    </row>
    <row r="350" spans="1:40" hidden="1" x14ac:dyDescent="0.25">
      <c r="B350" s="102" t="s">
        <v>1014</v>
      </c>
      <c r="D350" s="102" t="s">
        <v>561</v>
      </c>
      <c r="E350" s="119">
        <v>0</v>
      </c>
      <c r="F350" s="119">
        <f t="shared" si="84"/>
        <v>0</v>
      </c>
      <c r="G350" s="119">
        <f t="shared" si="85"/>
        <v>0</v>
      </c>
      <c r="H350" s="119">
        <f t="shared" si="86"/>
        <v>0</v>
      </c>
      <c r="I350" s="119">
        <f t="shared" si="87"/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>
        <v>0</v>
      </c>
      <c r="AB350" s="119">
        <v>0</v>
      </c>
      <c r="AC350" s="119">
        <v>0</v>
      </c>
      <c r="AD350" s="119">
        <v>0</v>
      </c>
      <c r="AE350" s="119">
        <v>0</v>
      </c>
      <c r="AF350" s="119">
        <v>0</v>
      </c>
      <c r="AG350" s="120">
        <f t="shared" si="82"/>
        <v>0</v>
      </c>
      <c r="AH350" s="103" t="str">
        <f t="shared" si="83"/>
        <v>ok</v>
      </c>
      <c r="AM350" s="150" t="s">
        <v>1111</v>
      </c>
    </row>
    <row r="351" spans="1:40" hidden="1" x14ac:dyDescent="0.25">
      <c r="B351" s="102" t="s">
        <v>1014</v>
      </c>
      <c r="D351" s="102" t="s">
        <v>561</v>
      </c>
      <c r="E351" s="120">
        <v>0</v>
      </c>
      <c r="F351" s="119">
        <f t="shared" si="84"/>
        <v>0</v>
      </c>
      <c r="G351" s="119">
        <f t="shared" si="85"/>
        <v>0</v>
      </c>
      <c r="H351" s="119">
        <f t="shared" si="86"/>
        <v>0</v>
      </c>
      <c r="I351" s="119">
        <f t="shared" si="87"/>
        <v>0</v>
      </c>
      <c r="J351" s="119">
        <v>0</v>
      </c>
      <c r="K351" s="119">
        <v>0</v>
      </c>
      <c r="L351" s="119">
        <v>0</v>
      </c>
      <c r="M351" s="119">
        <f>IF(VLOOKUP($D351,$C$5:$AT$528,3,)=0,0,(VLOOKUP($D351,$C$5:$AT$528,11,)/VLOOKUP($D351,$C$5:$AT$528,3,))*$E351)</f>
        <v>0</v>
      </c>
      <c r="N351" s="119">
        <f>IF(VLOOKUP($D351,$C$5:$AT$528,3,)=0,0,(VLOOKUP($D351,$C$5:$AT$528,12,)/VLOOKUP($D351,$C$5:$AT$528,3,))*$E351)</f>
        <v>0</v>
      </c>
      <c r="O351" s="119">
        <f>IF(VLOOKUP($D351,$C$5:$AT$528,3,)=0,0,(VLOOKUP($D351,$C$5:$AT$528,13,)/VLOOKUP($D351,$C$5:$AT$528,3,))*$E351)</f>
        <v>0</v>
      </c>
      <c r="P351" s="119">
        <f>IF(VLOOKUP($D351,$C$5:$AT$528,3,)=0,0,(VLOOKUP($D351,$C$5:$AT$528,14,)/VLOOKUP($D351,$C$5:$AT$528,3,))*$E351)</f>
        <v>0</v>
      </c>
      <c r="Q351" s="119">
        <f>IF(VLOOKUP($D351,$C$5:$AT$528,3,)=0,0,(VLOOKUP($D351,$C$5:$AT$528,15,)/VLOOKUP($D351,$C$5:$AT$528,3,))*$E351)</f>
        <v>0</v>
      </c>
      <c r="R351" s="119">
        <f>IF(VLOOKUP($D351,$C$5:$AT$528,3,)=0,0,(VLOOKUP($D351,$C$5:$AT$528,16,)/VLOOKUP($D351,$C$5:$AT$528,3,))*$E351)</f>
        <v>0</v>
      </c>
      <c r="S351" s="119">
        <f>IF(VLOOKUP($D351,$C$5:$AT$528,3,)=0,0,(VLOOKUP($D351,$C$5:$AT$528,17,)/VLOOKUP($D351,$C$5:$AT$528,3,))*$E351)</f>
        <v>0</v>
      </c>
      <c r="T351" s="119">
        <f>IF(VLOOKUP($D351,$C$5:$AT$528,3,)=0,0,(VLOOKUP($D351,$C$5:$AT$528,18,)/VLOOKUP($D351,$C$5:$AT$528,3,))*$E351)</f>
        <v>0</v>
      </c>
      <c r="U351" s="119">
        <f>IF(VLOOKUP($D351,$C$5:$AT$528,3,)=0,0,(VLOOKUP($D351,$C$5:$AT$528,19,)/VLOOKUP($D351,$C$5:$AT$528,3,))*$E351)</f>
        <v>0</v>
      </c>
      <c r="V351" s="119">
        <f>IF(VLOOKUP($D351,$C$5:$AT$528,3,)=0,0,(VLOOKUP($D351,$C$5:$AT$528,20,)/VLOOKUP($D351,$C$5:$AT$528,3,))*$E351)</f>
        <v>0</v>
      </c>
      <c r="W351" s="119">
        <f>IF(VLOOKUP($D351,$C$5:$AT$528,3,)=0,0,(VLOOKUP($D351,$C$5:$AT$528,21,)/VLOOKUP($D351,$C$5:$AT$528,3,))*$E351)</f>
        <v>0</v>
      </c>
      <c r="X351" s="119">
        <f>IF(VLOOKUP($D351,$C$5:$AT$528,3,)=0,0,(VLOOKUP($D351,$C$5:$AT$528,22,)/VLOOKUP($D351,$C$5:$AT$528,3,))*$E351)</f>
        <v>0</v>
      </c>
      <c r="Y351" s="119">
        <f>IF(VLOOKUP($D351,$C$5:$AT$528,3,)=0,0,(VLOOKUP($D351,$C$5:$AT$528,23,)/VLOOKUP($D351,$C$5:$AT$528,3,))*$E351)</f>
        <v>0</v>
      </c>
      <c r="Z351" s="119">
        <f>IF(VLOOKUP($D351,$C$5:$AT$528,3,)=0,0,(VLOOKUP($D351,$C$5:$AT$528,24,)/VLOOKUP($D351,$C$5:$AT$528,3,))*$E351)</f>
        <v>0</v>
      </c>
      <c r="AA351" s="119">
        <f>IF(VLOOKUP($D351,$C$5:$AT$528,3,)=0,0,(VLOOKUP($D351,$C$5:$AT$528,25,)/VLOOKUP($D351,$C$5:$AT$528,3,))*$E351)</f>
        <v>0</v>
      </c>
      <c r="AB351" s="119">
        <f>IF(VLOOKUP($D351,$C$5:$AT$528,3,)=0,0,(VLOOKUP($D351,$C$5:$AT$528,26,)/VLOOKUP($D351,$C$5:$AT$528,3,))*$E351)</f>
        <v>0</v>
      </c>
      <c r="AC351" s="119">
        <f>IF(VLOOKUP($D351,$C$5:$AT$528,3,)=0,0,(VLOOKUP($D351,$C$5:$AT$528,27,)/VLOOKUP($D351,$C$5:$AT$528,3,))*$E351)</f>
        <v>0</v>
      </c>
      <c r="AD351" s="119">
        <f>IF(VLOOKUP($D351,$C$5:$AT$528,3,)=0,0,(VLOOKUP($D351,$C$5:$AT$528,28,)/VLOOKUP($D351,$C$5:$AT$528,3,))*$E351)</f>
        <v>0</v>
      </c>
      <c r="AE351" s="119">
        <f>IF(VLOOKUP($D351,$C$5:$AT$528,3,)=0,0,(VLOOKUP($D351,$C$5:$AT$528,29,)/VLOOKUP($D351,$C$5:$AT$528,3,))*$E351)</f>
        <v>0</v>
      </c>
      <c r="AF351" s="119">
        <f>IF(VLOOKUP($D351,$C$5:$AT$528,3,)=0,0,(VLOOKUP($D351,$C$5:$AT$528,30,)/VLOOKUP($D351,$C$5:$AT$528,3,))*$E351)</f>
        <v>0</v>
      </c>
      <c r="AG351" s="120">
        <f t="shared" ref="AG351:AG352" si="88">SUM(F351:AF351)</f>
        <v>0</v>
      </c>
      <c r="AH351" s="103" t="str">
        <f t="shared" ref="AH351:AH356" si="89">IF(ABS(E351-AG351)&lt;0.01,"ok","err")</f>
        <v>ok</v>
      </c>
      <c r="AM351" s="102">
        <v>5612576.6685977206</v>
      </c>
    </row>
    <row r="352" spans="1:40" hidden="1" x14ac:dyDescent="0.25">
      <c r="B352" s="102" t="s">
        <v>1014</v>
      </c>
      <c r="D352" s="102" t="s">
        <v>561</v>
      </c>
      <c r="E352" s="120">
        <v>0</v>
      </c>
      <c r="F352" s="119">
        <f t="shared" si="84"/>
        <v>0</v>
      </c>
      <c r="G352" s="119">
        <f t="shared" si="85"/>
        <v>0</v>
      </c>
      <c r="H352" s="119">
        <f t="shared" si="86"/>
        <v>0</v>
      </c>
      <c r="I352" s="119">
        <f t="shared" si="87"/>
        <v>0</v>
      </c>
      <c r="J352" s="119">
        <v>0</v>
      </c>
      <c r="K352" s="119">
        <v>0</v>
      </c>
      <c r="L352" s="119">
        <v>0</v>
      </c>
      <c r="M352" s="119">
        <f>IF(VLOOKUP($D352,$C$5:$AT$528,3,)=0,0,(VLOOKUP($D352,$C$5:$AT$528,11,)/VLOOKUP($D352,$C$5:$AT$528,3,))*$E352)</f>
        <v>0</v>
      </c>
      <c r="N352" s="119">
        <f>IF(VLOOKUP($D352,$C$5:$AT$528,3,)=0,0,(VLOOKUP($D352,$C$5:$AT$528,12,)/VLOOKUP($D352,$C$5:$AT$528,3,))*$E352)</f>
        <v>0</v>
      </c>
      <c r="O352" s="119">
        <f>IF(VLOOKUP($D352,$C$5:$AT$528,3,)=0,0,(VLOOKUP($D352,$C$5:$AT$528,13,)/VLOOKUP($D352,$C$5:$AT$528,3,))*$E352)</f>
        <v>0</v>
      </c>
      <c r="P352" s="119">
        <f>IF(VLOOKUP($D352,$C$5:$AT$528,3,)=0,0,(VLOOKUP($D352,$C$5:$AT$528,14,)/VLOOKUP($D352,$C$5:$AT$528,3,))*$E352)</f>
        <v>0</v>
      </c>
      <c r="Q352" s="119">
        <f>IF(VLOOKUP($D352,$C$5:$AT$528,3,)=0,0,(VLOOKUP($D352,$C$5:$AT$528,15,)/VLOOKUP($D352,$C$5:$AT$528,3,))*$E352)</f>
        <v>0</v>
      </c>
      <c r="R352" s="119">
        <f>IF(VLOOKUP($D352,$C$5:$AT$528,3,)=0,0,(VLOOKUP($D352,$C$5:$AT$528,16,)/VLOOKUP($D352,$C$5:$AT$528,3,))*$E352)</f>
        <v>0</v>
      </c>
      <c r="S352" s="119">
        <f>IF(VLOOKUP($D352,$C$5:$AT$528,3,)=0,0,(VLOOKUP($D352,$C$5:$AT$528,17,)/VLOOKUP($D352,$C$5:$AT$528,3,))*$E352)</f>
        <v>0</v>
      </c>
      <c r="T352" s="119">
        <f>IF(VLOOKUP($D352,$C$5:$AT$528,3,)=0,0,(VLOOKUP($D352,$C$5:$AT$528,18,)/VLOOKUP($D352,$C$5:$AT$528,3,))*$E352)</f>
        <v>0</v>
      </c>
      <c r="U352" s="119">
        <f>IF(VLOOKUP($D352,$C$5:$AT$528,3,)=0,0,(VLOOKUP($D352,$C$5:$AT$528,19,)/VLOOKUP($D352,$C$5:$AT$528,3,))*$E352)</f>
        <v>0</v>
      </c>
      <c r="V352" s="119">
        <f>IF(VLOOKUP($D352,$C$5:$AT$528,3,)=0,0,(VLOOKUP($D352,$C$5:$AT$528,20,)/VLOOKUP($D352,$C$5:$AT$528,3,))*$E352)</f>
        <v>0</v>
      </c>
      <c r="W352" s="119">
        <f>IF(VLOOKUP($D352,$C$5:$AT$528,3,)=0,0,(VLOOKUP($D352,$C$5:$AT$528,21,)/VLOOKUP($D352,$C$5:$AT$528,3,))*$E352)</f>
        <v>0</v>
      </c>
      <c r="X352" s="119">
        <f>IF(VLOOKUP($D352,$C$5:$AT$528,3,)=0,0,(VLOOKUP($D352,$C$5:$AT$528,22,)/VLOOKUP($D352,$C$5:$AT$528,3,))*$E352)</f>
        <v>0</v>
      </c>
      <c r="Y352" s="119">
        <f>IF(VLOOKUP($D352,$C$5:$AT$528,3,)=0,0,(VLOOKUP($D352,$C$5:$AT$528,23,)/VLOOKUP($D352,$C$5:$AT$528,3,))*$E352)</f>
        <v>0</v>
      </c>
      <c r="Z352" s="119">
        <f>IF(VLOOKUP($D352,$C$5:$AT$528,3,)=0,0,(VLOOKUP($D352,$C$5:$AT$528,24,)/VLOOKUP($D352,$C$5:$AT$528,3,))*$E352)</f>
        <v>0</v>
      </c>
      <c r="AA352" s="119">
        <f>IF(VLOOKUP($D352,$C$5:$AT$528,3,)=0,0,(VLOOKUP($D352,$C$5:$AT$528,25,)/VLOOKUP($D352,$C$5:$AT$528,3,))*$E352)</f>
        <v>0</v>
      </c>
      <c r="AB352" s="119">
        <f>IF(VLOOKUP($D352,$C$5:$AT$528,3,)=0,0,(VLOOKUP($D352,$C$5:$AT$528,26,)/VLOOKUP($D352,$C$5:$AT$528,3,))*$E352)</f>
        <v>0</v>
      </c>
      <c r="AC352" s="119">
        <f>IF(VLOOKUP($D352,$C$5:$AT$528,3,)=0,0,(VLOOKUP($D352,$C$5:$AT$528,27,)/VLOOKUP($D352,$C$5:$AT$528,3,))*$E352)</f>
        <v>0</v>
      </c>
      <c r="AD352" s="119">
        <f>IF(VLOOKUP($D352,$C$5:$AT$528,3,)=0,0,(VLOOKUP($D352,$C$5:$AT$528,28,)/VLOOKUP($D352,$C$5:$AT$528,3,))*$E352)</f>
        <v>0</v>
      </c>
      <c r="AE352" s="119">
        <f>IF(VLOOKUP($D352,$C$5:$AT$528,3,)=0,0,(VLOOKUP($D352,$C$5:$AT$528,29,)/VLOOKUP($D352,$C$5:$AT$528,3,))*$E352)</f>
        <v>0</v>
      </c>
      <c r="AF352" s="119">
        <f>IF(VLOOKUP($D352,$C$5:$AT$528,3,)=0,0,(VLOOKUP($D352,$C$5:$AT$528,30,)/VLOOKUP($D352,$C$5:$AT$528,3,))*$E352)</f>
        <v>0</v>
      </c>
      <c r="AG352" s="120">
        <f t="shared" si="88"/>
        <v>0</v>
      </c>
      <c r="AH352" s="103" t="str">
        <f t="shared" si="89"/>
        <v>ok</v>
      </c>
    </row>
    <row r="353" spans="1:39" hidden="1" x14ac:dyDescent="0.25">
      <c r="B353" s="102" t="s">
        <v>1014</v>
      </c>
      <c r="D353" s="102" t="s">
        <v>561</v>
      </c>
      <c r="E353" s="120">
        <v>0</v>
      </c>
      <c r="F353" s="119">
        <f t="shared" si="84"/>
        <v>0</v>
      </c>
      <c r="G353" s="119">
        <f t="shared" si="85"/>
        <v>0</v>
      </c>
      <c r="H353" s="119">
        <f t="shared" si="86"/>
        <v>0</v>
      </c>
      <c r="I353" s="119">
        <f t="shared" si="87"/>
        <v>0</v>
      </c>
      <c r="J353" s="119">
        <v>0</v>
      </c>
      <c r="K353" s="119">
        <v>0</v>
      </c>
      <c r="L353" s="119">
        <v>0</v>
      </c>
      <c r="M353" s="119">
        <f>IF(VLOOKUP($D353,$C$5:$AT$528,3,)=0,0,(VLOOKUP($D353,$C$5:$AT$528,11,)/VLOOKUP($D353,$C$5:$AT$528,3,))*$E353)</f>
        <v>0</v>
      </c>
      <c r="N353" s="119">
        <f>IF(VLOOKUP($D353,$C$5:$AT$528,3,)=0,0,(VLOOKUP($D353,$C$5:$AT$528,12,)/VLOOKUP($D353,$C$5:$AT$528,3,))*$E353)</f>
        <v>0</v>
      </c>
      <c r="O353" s="119">
        <f>IF(VLOOKUP($D353,$C$5:$AT$528,3,)=0,0,(VLOOKUP($D353,$C$5:$AT$528,13,)/VLOOKUP($D353,$C$5:$AT$528,3,))*$E353)</f>
        <v>0</v>
      </c>
      <c r="P353" s="119">
        <f>IF(VLOOKUP($D353,$C$5:$AT$528,3,)=0,0,(VLOOKUP($D353,$C$5:$AT$528,14,)/VLOOKUP($D353,$C$5:$AT$528,3,))*$E353)</f>
        <v>0</v>
      </c>
      <c r="Q353" s="119">
        <f>IF(VLOOKUP($D353,$C$5:$AT$528,3,)=0,0,(VLOOKUP($D353,$C$5:$AT$528,15,)/VLOOKUP($D353,$C$5:$AT$528,3,))*$E353)</f>
        <v>0</v>
      </c>
      <c r="R353" s="119">
        <f>IF(VLOOKUP($D353,$C$5:$AT$528,3,)=0,0,(VLOOKUP($D353,$C$5:$AT$528,16,)/VLOOKUP($D353,$C$5:$AT$528,3,))*$E353)</f>
        <v>0</v>
      </c>
      <c r="S353" s="119">
        <f>IF(VLOOKUP($D353,$C$5:$AT$528,3,)=0,0,(VLOOKUP($D353,$C$5:$AT$528,17,)/VLOOKUP($D353,$C$5:$AT$528,3,))*$E353)</f>
        <v>0</v>
      </c>
      <c r="T353" s="119">
        <f>IF(VLOOKUP($D353,$C$5:$AT$528,3,)=0,0,(VLOOKUP($D353,$C$5:$AT$528,18,)/VLOOKUP($D353,$C$5:$AT$528,3,))*$E353)</f>
        <v>0</v>
      </c>
      <c r="U353" s="119">
        <f>IF(VLOOKUP($D353,$C$5:$AT$528,3,)=0,0,(VLOOKUP($D353,$C$5:$AT$528,19,)/VLOOKUP($D353,$C$5:$AT$528,3,))*$E353)</f>
        <v>0</v>
      </c>
      <c r="V353" s="119">
        <f>IF(VLOOKUP($D353,$C$5:$AT$528,3,)=0,0,(VLOOKUP($D353,$C$5:$AT$528,20,)/VLOOKUP($D353,$C$5:$AT$528,3,))*$E353)</f>
        <v>0</v>
      </c>
      <c r="W353" s="119">
        <f>IF(VLOOKUP($D353,$C$5:$AT$528,3,)=0,0,(VLOOKUP($D353,$C$5:$AT$528,21,)/VLOOKUP($D353,$C$5:$AT$528,3,))*$E353)</f>
        <v>0</v>
      </c>
      <c r="X353" s="119">
        <f>IF(VLOOKUP($D353,$C$5:$AT$528,3,)=0,0,(VLOOKUP($D353,$C$5:$AT$528,22,)/VLOOKUP($D353,$C$5:$AT$528,3,))*$E353)</f>
        <v>0</v>
      </c>
      <c r="Y353" s="119">
        <f>IF(VLOOKUP($D353,$C$5:$AT$528,3,)=0,0,(VLOOKUP($D353,$C$5:$AT$528,23,)/VLOOKUP($D353,$C$5:$AT$528,3,))*$E353)</f>
        <v>0</v>
      </c>
      <c r="Z353" s="119">
        <f>IF(VLOOKUP($D353,$C$5:$AT$528,3,)=0,0,(VLOOKUP($D353,$C$5:$AT$528,24,)/VLOOKUP($D353,$C$5:$AT$528,3,))*$E353)</f>
        <v>0</v>
      </c>
      <c r="AA353" s="119">
        <f>IF(VLOOKUP($D353,$C$5:$AT$528,3,)=0,0,(VLOOKUP($D353,$C$5:$AT$528,25,)/VLOOKUP($D353,$C$5:$AT$528,3,))*$E353)</f>
        <v>0</v>
      </c>
      <c r="AB353" s="119">
        <f>IF(VLOOKUP($D353,$C$5:$AT$528,3,)=0,0,(VLOOKUP($D353,$C$5:$AT$528,26,)/VLOOKUP($D353,$C$5:$AT$528,3,))*$E353)</f>
        <v>0</v>
      </c>
      <c r="AC353" s="119">
        <f>IF(VLOOKUP($D353,$C$5:$AT$528,3,)=0,0,(VLOOKUP($D353,$C$5:$AT$528,27,)/VLOOKUP($D353,$C$5:$AT$528,3,))*$E353)</f>
        <v>0</v>
      </c>
      <c r="AD353" s="119">
        <f>IF(VLOOKUP($D353,$C$5:$AT$528,3,)=0,0,(VLOOKUP($D353,$C$5:$AT$528,28,)/VLOOKUP($D353,$C$5:$AT$528,3,))*$E353)</f>
        <v>0</v>
      </c>
      <c r="AE353" s="119">
        <f>IF(VLOOKUP($D353,$C$5:$AT$528,3,)=0,0,(VLOOKUP($D353,$C$5:$AT$528,29,)/VLOOKUP($D353,$C$5:$AT$528,3,))*$E353)</f>
        <v>0</v>
      </c>
      <c r="AF353" s="119">
        <f>IF(VLOOKUP($D353,$C$5:$AT$528,3,)=0,0,(VLOOKUP($D353,$C$5:$AT$528,30,)/VLOOKUP($D353,$C$5:$AT$528,3,))*$E353)</f>
        <v>0</v>
      </c>
      <c r="AG353" s="120">
        <f t="shared" ref="AG353:AG355" si="90">SUM(F353:AF353)</f>
        <v>0</v>
      </c>
      <c r="AH353" s="103" t="str">
        <f t="shared" si="89"/>
        <v>ok</v>
      </c>
    </row>
    <row r="354" spans="1:39" hidden="1" x14ac:dyDescent="0.25">
      <c r="B354" s="102" t="s">
        <v>1014</v>
      </c>
      <c r="D354" s="102" t="s">
        <v>561</v>
      </c>
      <c r="E354" s="120">
        <v>0</v>
      </c>
      <c r="F354" s="119">
        <f t="shared" si="84"/>
        <v>0</v>
      </c>
      <c r="G354" s="119">
        <f t="shared" si="85"/>
        <v>0</v>
      </c>
      <c r="H354" s="119">
        <f t="shared" si="86"/>
        <v>0</v>
      </c>
      <c r="I354" s="119">
        <f t="shared" si="87"/>
        <v>0</v>
      </c>
      <c r="J354" s="119">
        <v>0</v>
      </c>
      <c r="K354" s="119">
        <v>0</v>
      </c>
      <c r="L354" s="119">
        <v>0</v>
      </c>
      <c r="M354" s="119">
        <f>IF(VLOOKUP($D354,$C$5:$AT$528,3,)=0,0,(VLOOKUP($D354,$C$5:$AT$528,11,)/VLOOKUP($D354,$C$5:$AT$528,3,))*$E354)</f>
        <v>0</v>
      </c>
      <c r="N354" s="119">
        <f>IF(VLOOKUP($D354,$C$5:$AT$528,3,)=0,0,(VLOOKUP($D354,$C$5:$AT$528,12,)/VLOOKUP($D354,$C$5:$AT$528,3,))*$E354)</f>
        <v>0</v>
      </c>
      <c r="O354" s="119">
        <f>IF(VLOOKUP($D354,$C$5:$AT$528,3,)=0,0,(VLOOKUP($D354,$C$5:$AT$528,13,)/VLOOKUP($D354,$C$5:$AT$528,3,))*$E354)</f>
        <v>0</v>
      </c>
      <c r="P354" s="119">
        <f>IF(VLOOKUP($D354,$C$5:$AT$528,3,)=0,0,(VLOOKUP($D354,$C$5:$AT$528,14,)/VLOOKUP($D354,$C$5:$AT$528,3,))*$E354)</f>
        <v>0</v>
      </c>
      <c r="Q354" s="119">
        <f>IF(VLOOKUP($D354,$C$5:$AT$528,3,)=0,0,(VLOOKUP($D354,$C$5:$AT$528,15,)/VLOOKUP($D354,$C$5:$AT$528,3,))*$E354)</f>
        <v>0</v>
      </c>
      <c r="R354" s="119">
        <f>IF(VLOOKUP($D354,$C$5:$AT$528,3,)=0,0,(VLOOKUP($D354,$C$5:$AT$528,16,)/VLOOKUP($D354,$C$5:$AT$528,3,))*$E354)</f>
        <v>0</v>
      </c>
      <c r="S354" s="119">
        <f>IF(VLOOKUP($D354,$C$5:$AT$528,3,)=0,0,(VLOOKUP($D354,$C$5:$AT$528,17,)/VLOOKUP($D354,$C$5:$AT$528,3,))*$E354)</f>
        <v>0</v>
      </c>
      <c r="T354" s="119">
        <f>IF(VLOOKUP($D354,$C$5:$AT$528,3,)=0,0,(VLOOKUP($D354,$C$5:$AT$528,18,)/VLOOKUP($D354,$C$5:$AT$528,3,))*$E354)</f>
        <v>0</v>
      </c>
      <c r="U354" s="119">
        <f>IF(VLOOKUP($D354,$C$5:$AT$528,3,)=0,0,(VLOOKUP($D354,$C$5:$AT$528,19,)/VLOOKUP($D354,$C$5:$AT$528,3,))*$E354)</f>
        <v>0</v>
      </c>
      <c r="V354" s="119">
        <f>IF(VLOOKUP($D354,$C$5:$AT$528,3,)=0,0,(VLOOKUP($D354,$C$5:$AT$528,20,)/VLOOKUP($D354,$C$5:$AT$528,3,))*$E354)</f>
        <v>0</v>
      </c>
      <c r="W354" s="119">
        <f>IF(VLOOKUP($D354,$C$5:$AT$528,3,)=0,0,(VLOOKUP($D354,$C$5:$AT$528,21,)/VLOOKUP($D354,$C$5:$AT$528,3,))*$E354)</f>
        <v>0</v>
      </c>
      <c r="X354" s="119">
        <f>IF(VLOOKUP($D354,$C$5:$AT$528,3,)=0,0,(VLOOKUP($D354,$C$5:$AT$528,22,)/VLOOKUP($D354,$C$5:$AT$528,3,))*$E354)</f>
        <v>0</v>
      </c>
      <c r="Y354" s="119">
        <f>IF(VLOOKUP($D354,$C$5:$AT$528,3,)=0,0,(VLOOKUP($D354,$C$5:$AT$528,23,)/VLOOKUP($D354,$C$5:$AT$528,3,))*$E354)</f>
        <v>0</v>
      </c>
      <c r="Z354" s="119">
        <f>IF(VLOOKUP($D354,$C$5:$AT$528,3,)=0,0,(VLOOKUP($D354,$C$5:$AT$528,24,)/VLOOKUP($D354,$C$5:$AT$528,3,))*$E354)</f>
        <v>0</v>
      </c>
      <c r="AA354" s="119">
        <f>IF(VLOOKUP($D354,$C$5:$AT$528,3,)=0,0,(VLOOKUP($D354,$C$5:$AT$528,25,)/VLOOKUP($D354,$C$5:$AT$528,3,))*$E354)</f>
        <v>0</v>
      </c>
      <c r="AB354" s="119">
        <f>IF(VLOOKUP($D354,$C$5:$AT$528,3,)=0,0,(VLOOKUP($D354,$C$5:$AT$528,26,)/VLOOKUP($D354,$C$5:$AT$528,3,))*$E354)</f>
        <v>0</v>
      </c>
      <c r="AC354" s="119">
        <f>IF(VLOOKUP($D354,$C$5:$AT$528,3,)=0,0,(VLOOKUP($D354,$C$5:$AT$528,27,)/VLOOKUP($D354,$C$5:$AT$528,3,))*$E354)</f>
        <v>0</v>
      </c>
      <c r="AD354" s="119">
        <f>IF(VLOOKUP($D354,$C$5:$AT$528,3,)=0,0,(VLOOKUP($D354,$C$5:$AT$528,28,)/VLOOKUP($D354,$C$5:$AT$528,3,))*$E354)</f>
        <v>0</v>
      </c>
      <c r="AE354" s="119">
        <f>IF(VLOOKUP($D354,$C$5:$AT$528,3,)=0,0,(VLOOKUP($D354,$C$5:$AT$528,29,)/VLOOKUP($D354,$C$5:$AT$528,3,))*$E354)</f>
        <v>0</v>
      </c>
      <c r="AF354" s="119">
        <f>IF(VLOOKUP($D354,$C$5:$AT$528,3,)=0,0,(VLOOKUP($D354,$C$5:$AT$528,30,)/VLOOKUP($D354,$C$5:$AT$528,3,))*$E354)</f>
        <v>0</v>
      </c>
      <c r="AG354" s="120">
        <f t="shared" si="90"/>
        <v>0</v>
      </c>
      <c r="AH354" s="103" t="str">
        <f t="shared" si="89"/>
        <v>ok</v>
      </c>
      <c r="AM354" s="102">
        <v>3578.4914936003806</v>
      </c>
    </row>
    <row r="355" spans="1:39" x14ac:dyDescent="0.25">
      <c r="B355" s="102" t="s">
        <v>1038</v>
      </c>
      <c r="E355" s="120">
        <f>AM372*AJ355</f>
        <v>0</v>
      </c>
      <c r="F355" s="119">
        <f>AM356*AJ355</f>
        <v>0</v>
      </c>
      <c r="G355" s="119">
        <f>AM357*AJ355</f>
        <v>0</v>
      </c>
      <c r="H355" s="119">
        <f>AM358*AJ355</f>
        <v>0</v>
      </c>
      <c r="I355" s="119">
        <f>AM359*AJ355</f>
        <v>0</v>
      </c>
      <c r="J355" s="119">
        <f>AM360*AJ355</f>
        <v>0</v>
      </c>
      <c r="K355" s="119">
        <f>AM361*AJ355</f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0</v>
      </c>
      <c r="Q355" s="119">
        <f>AM366*AJ355</f>
        <v>0</v>
      </c>
      <c r="R355" s="119">
        <f>AM367*AJ355</f>
        <v>0</v>
      </c>
      <c r="S355" s="119">
        <f>AM368*AJ355</f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>
        <v>0</v>
      </c>
      <c r="AB355" s="119">
        <v>0</v>
      </c>
      <c r="AC355" s="119">
        <v>0</v>
      </c>
      <c r="AD355" s="119">
        <v>0</v>
      </c>
      <c r="AE355" s="119">
        <v>0</v>
      </c>
      <c r="AF355" s="119">
        <v>0</v>
      </c>
      <c r="AG355" s="120">
        <f t="shared" si="90"/>
        <v>0</v>
      </c>
      <c r="AH355" s="103" t="str">
        <f t="shared" ref="AH355" si="91">IF(ABS(E355-AG355)&lt;0.01,"ok","err")</f>
        <v>ok</v>
      </c>
      <c r="AJ355" s="110">
        <v>0</v>
      </c>
      <c r="AM355" s="140" t="s">
        <v>1111</v>
      </c>
    </row>
    <row r="356" spans="1:39" x14ac:dyDescent="0.25">
      <c r="B356" s="151" t="s">
        <v>892</v>
      </c>
      <c r="E356" s="137">
        <f t="shared" ref="E356:AG356" si="92">SUM(E341:E355)</f>
        <v>-19313224.265240178</v>
      </c>
      <c r="F356" s="137">
        <f t="shared" si="92"/>
        <v>-6922933.8332233969</v>
      </c>
      <c r="G356" s="137">
        <f t="shared" si="92"/>
        <v>-24785.067817481351</v>
      </c>
      <c r="H356" s="137">
        <f t="shared" si="92"/>
        <v>-84358.650190363929</v>
      </c>
      <c r="I356" s="137">
        <f t="shared" si="92"/>
        <v>201462.12089575274</v>
      </c>
      <c r="J356" s="137">
        <f t="shared" si="92"/>
        <v>52814.116318262852</v>
      </c>
      <c r="K356" s="137">
        <f t="shared" si="92"/>
        <v>-4351.055985706942</v>
      </c>
      <c r="L356" s="137">
        <f t="shared" si="92"/>
        <v>-392282.74248155218</v>
      </c>
      <c r="M356" s="137">
        <f t="shared" si="92"/>
        <v>-1835862.7073515486</v>
      </c>
      <c r="N356" s="137">
        <f t="shared" si="92"/>
        <v>-13959.800287560942</v>
      </c>
      <c r="O356" s="137">
        <f t="shared" si="92"/>
        <v>0</v>
      </c>
      <c r="P356" s="137">
        <f t="shared" si="92"/>
        <v>-3150.2275014265324</v>
      </c>
      <c r="Q356" s="137">
        <f t="shared" si="92"/>
        <v>-757627.9880437986</v>
      </c>
      <c r="R356" s="137">
        <f t="shared" si="92"/>
        <v>-1106754.0507765547</v>
      </c>
      <c r="S356" s="137">
        <f t="shared" si="92"/>
        <v>-1108400.5341385184</v>
      </c>
      <c r="T356" s="137">
        <f t="shared" si="92"/>
        <v>-4867506.4153119158</v>
      </c>
      <c r="U356" s="137">
        <f t="shared" si="92"/>
        <v>-2445527.4293443668</v>
      </c>
      <c r="V356" s="137">
        <f t="shared" si="92"/>
        <v>0</v>
      </c>
      <c r="W356" s="137">
        <f t="shared" si="92"/>
        <v>0</v>
      </c>
      <c r="X356" s="137">
        <f t="shared" si="92"/>
        <v>0</v>
      </c>
      <c r="Y356" s="137">
        <f t="shared" si="92"/>
        <v>0</v>
      </c>
      <c r="Z356" s="137">
        <f t="shared" si="92"/>
        <v>0</v>
      </c>
      <c r="AA356" s="137">
        <f t="shared" si="92"/>
        <v>0</v>
      </c>
      <c r="AB356" s="137">
        <f t="shared" si="92"/>
        <v>0</v>
      </c>
      <c r="AC356" s="137">
        <f t="shared" si="92"/>
        <v>0</v>
      </c>
      <c r="AD356" s="137">
        <f t="shared" si="92"/>
        <v>0</v>
      </c>
      <c r="AE356" s="137">
        <f t="shared" si="92"/>
        <v>0</v>
      </c>
      <c r="AF356" s="137">
        <f t="shared" si="92"/>
        <v>0</v>
      </c>
      <c r="AG356" s="137">
        <f t="shared" si="92"/>
        <v>-19313224.265240178</v>
      </c>
      <c r="AH356" s="103" t="str">
        <f t="shared" si="89"/>
        <v>ok</v>
      </c>
      <c r="AM356" s="152">
        <v>1888733.72</v>
      </c>
    </row>
    <row r="357" spans="1:39" x14ac:dyDescent="0.25">
      <c r="A357" s="102" t="s">
        <v>748</v>
      </c>
      <c r="B357" s="102" t="s">
        <v>748</v>
      </c>
      <c r="AM357" s="152">
        <v>3882.71</v>
      </c>
    </row>
    <row r="358" spans="1:39" x14ac:dyDescent="0.25">
      <c r="A358" s="102" t="s">
        <v>570</v>
      </c>
      <c r="E358" s="120">
        <f>E338+E356</f>
        <v>74725699.491349816</v>
      </c>
      <c r="F358" s="120">
        <f t="shared" ref="F358:AG358" si="93">F338+F356</f>
        <v>31228245.73361937</v>
      </c>
      <c r="G358" s="120">
        <f t="shared" si="93"/>
        <v>71725.857402923823</v>
      </c>
      <c r="H358" s="120">
        <f t="shared" si="93"/>
        <v>902882.16079535964</v>
      </c>
      <c r="I358" s="120">
        <f t="shared" si="93"/>
        <v>275474.94517898245</v>
      </c>
      <c r="J358" s="120">
        <f t="shared" si="93"/>
        <v>178457.99416275928</v>
      </c>
      <c r="K358" s="120">
        <f t="shared" si="93"/>
        <v>160711.17477441876</v>
      </c>
      <c r="L358" s="120">
        <f t="shared" si="93"/>
        <v>1870021.7461828832</v>
      </c>
      <c r="M358" s="120">
        <f t="shared" si="93"/>
        <v>7728894.9620586857</v>
      </c>
      <c r="N358" s="120">
        <f t="shared" si="93"/>
        <v>52914.145701024216</v>
      </c>
      <c r="O358" s="120">
        <f t="shared" si="93"/>
        <v>0</v>
      </c>
      <c r="P358" s="120">
        <f t="shared" si="93"/>
        <v>1095466.2524985734</v>
      </c>
      <c r="Q358" s="120">
        <f t="shared" si="93"/>
        <v>2260114.5085462015</v>
      </c>
      <c r="R358" s="120">
        <f t="shared" si="93"/>
        <v>3540082.6192234461</v>
      </c>
      <c r="S358" s="120">
        <f t="shared" si="93"/>
        <v>3274007.1858614814</v>
      </c>
      <c r="T358" s="120">
        <f t="shared" si="93"/>
        <v>14518373.58468808</v>
      </c>
      <c r="U358" s="120">
        <f t="shared" si="93"/>
        <v>7568326.6206556335</v>
      </c>
      <c r="V358" s="120">
        <f t="shared" si="93"/>
        <v>0</v>
      </c>
      <c r="W358" s="120">
        <f t="shared" si="93"/>
        <v>0</v>
      </c>
      <c r="X358" s="120">
        <f t="shared" si="93"/>
        <v>0</v>
      </c>
      <c r="Y358" s="120">
        <f t="shared" si="93"/>
        <v>0</v>
      </c>
      <c r="Z358" s="120">
        <f t="shared" si="93"/>
        <v>0</v>
      </c>
      <c r="AA358" s="120">
        <f t="shared" si="93"/>
        <v>0</v>
      </c>
      <c r="AB358" s="120">
        <f t="shared" si="93"/>
        <v>0</v>
      </c>
      <c r="AC358" s="120">
        <f t="shared" si="93"/>
        <v>0</v>
      </c>
      <c r="AD358" s="120">
        <f t="shared" si="93"/>
        <v>0</v>
      </c>
      <c r="AE358" s="120">
        <f t="shared" si="93"/>
        <v>0</v>
      </c>
      <c r="AF358" s="120">
        <f t="shared" si="93"/>
        <v>0</v>
      </c>
      <c r="AG358" s="120">
        <f t="shared" si="93"/>
        <v>74725699.491349816</v>
      </c>
      <c r="AH358" s="103" t="str">
        <f>IF(ABS(E358-AG358)&lt;0.01,"ok","err")</f>
        <v>ok</v>
      </c>
      <c r="AM358" s="152">
        <v>44038.17</v>
      </c>
    </row>
    <row r="359" spans="1:39" x14ac:dyDescent="0.25">
      <c r="AM359" s="152">
        <v>4832.58</v>
      </c>
    </row>
    <row r="360" spans="1:39" x14ac:dyDescent="0.25">
      <c r="A360" s="132" t="s">
        <v>327</v>
      </c>
      <c r="AM360" s="152">
        <v>0</v>
      </c>
    </row>
    <row r="361" spans="1:39" x14ac:dyDescent="0.25">
      <c r="AM361" s="152">
        <v>0</v>
      </c>
    </row>
    <row r="362" spans="1:39" x14ac:dyDescent="0.25">
      <c r="A362" s="102" t="s">
        <v>571</v>
      </c>
      <c r="C362" s="102" t="s">
        <v>198</v>
      </c>
      <c r="E362" s="120">
        <f t="shared" ref="E362:U362" si="94">E324</f>
        <v>93676104.840000033</v>
      </c>
      <c r="F362" s="120">
        <f t="shared" si="94"/>
        <v>40994215.759128265</v>
      </c>
      <c r="G362" s="120">
        <f t="shared" si="94"/>
        <v>116457.07925525661</v>
      </c>
      <c r="H362" s="120">
        <f t="shared" si="94"/>
        <v>1178325.565049032</v>
      </c>
      <c r="I362" s="120">
        <f t="shared" si="94"/>
        <v>826438.00184052042</v>
      </c>
      <c r="J362" s="120">
        <f t="shared" si="94"/>
        <v>167157.47089098659</v>
      </c>
      <c r="K362" s="120">
        <f t="shared" si="94"/>
        <v>166550.80117585787</v>
      </c>
      <c r="L362" s="120">
        <f t="shared" si="94"/>
        <v>1939934.9323517508</v>
      </c>
      <c r="M362" s="120">
        <f t="shared" si="94"/>
        <v>9264804.998370314</v>
      </c>
      <c r="N362" s="120">
        <f t="shared" si="94"/>
        <v>63802.392345591514</v>
      </c>
      <c r="O362" s="120">
        <f t="shared" si="94"/>
        <v>0</v>
      </c>
      <c r="P362" s="120">
        <f t="shared" si="94"/>
        <v>174048.82968270351</v>
      </c>
      <c r="Q362" s="120">
        <f t="shared" si="94"/>
        <v>2819385</v>
      </c>
      <c r="R362" s="120">
        <f t="shared" si="94"/>
        <v>4567017</v>
      </c>
      <c r="S362" s="120">
        <f t="shared" si="94"/>
        <v>4181510</v>
      </c>
      <c r="T362" s="120">
        <f t="shared" si="94"/>
        <v>17529629</v>
      </c>
      <c r="U362" s="120">
        <f t="shared" si="94"/>
        <v>9686828</v>
      </c>
      <c r="V362" s="120">
        <f t="shared" ref="V362:AE362" si="95">V324-V125</f>
        <v>0</v>
      </c>
      <c r="W362" s="120">
        <f t="shared" si="95"/>
        <v>0</v>
      </c>
      <c r="X362" s="120">
        <f t="shared" si="95"/>
        <v>0</v>
      </c>
      <c r="Y362" s="120">
        <f t="shared" si="95"/>
        <v>0</v>
      </c>
      <c r="Z362" s="120">
        <f t="shared" si="95"/>
        <v>0</v>
      </c>
      <c r="AA362" s="120">
        <f t="shared" si="95"/>
        <v>0</v>
      </c>
      <c r="AB362" s="120">
        <f t="shared" si="95"/>
        <v>0</v>
      </c>
      <c r="AC362" s="120">
        <f t="shared" si="95"/>
        <v>0</v>
      </c>
      <c r="AD362" s="120">
        <f t="shared" si="95"/>
        <v>0</v>
      </c>
      <c r="AE362" s="120">
        <f t="shared" si="95"/>
        <v>0</v>
      </c>
      <c r="AF362" s="120">
        <f>AF324</f>
        <v>0</v>
      </c>
      <c r="AG362" s="120">
        <f>SUM(F362:AF362)</f>
        <v>93676104.830090255</v>
      </c>
      <c r="AH362" s="103" t="str">
        <f>IF(ABS(E362-AG362)&lt;0.01,"ok","err")</f>
        <v>ok</v>
      </c>
      <c r="AM362" s="152">
        <v>0</v>
      </c>
    </row>
    <row r="363" spans="1:39" x14ac:dyDescent="0.25">
      <c r="AM363" s="152">
        <v>0</v>
      </c>
    </row>
    <row r="364" spans="1:39" x14ac:dyDescent="0.25">
      <c r="A364" s="102" t="s">
        <v>569</v>
      </c>
      <c r="AM364" s="152">
        <v>0</v>
      </c>
    </row>
    <row r="365" spans="1:39" x14ac:dyDescent="0.25">
      <c r="A365" s="102">
        <v>1</v>
      </c>
      <c r="B365" s="102" t="s">
        <v>931</v>
      </c>
      <c r="D365" s="102" t="s">
        <v>214</v>
      </c>
      <c r="E365" s="153">
        <v>-11162273</v>
      </c>
      <c r="F365" s="119">
        <f>IF(VLOOKUP($D365,$C$5:$AT$528,3,)=0,0,(VLOOKUP($D365,$C$5:$AT$528,4,)/VLOOKUP($D365,$C$5:$AT$528,3,))*$E365)</f>
        <v>-3537339.4799766229</v>
      </c>
      <c r="G365" s="119">
        <f>IF(VLOOKUP($D365,$C$5:$AT$528,3,)=0,0,(VLOOKUP($D365,$C$5:$AT$528,5,)/VLOOKUP($D365,$C$5:$AT$528,3,))*$E365)</f>
        <v>-10440.999944104309</v>
      </c>
      <c r="H365" s="119">
        <f>IF(VLOOKUP($D365,$C$5:$AT$528,3,)=0,0,(VLOOKUP($D365,$C$5:$AT$528,6,)/VLOOKUP($D365,$C$5:$AT$528,3,))*$E365)</f>
        <v>-90777.09635188432</v>
      </c>
      <c r="I365" s="119">
        <f>IF(VLOOKUP($D365,$C$5:$AT$528,3,)=0,0,(VLOOKUP($D365,$C$5:$AT$528,7,)/VLOOKUP($D365,$C$5:$AT$528,3,))*$E365)</f>
        <v>-9145.8480340716014</v>
      </c>
      <c r="J365" s="119">
        <f>IF(VLOOKUP($D365,$C$5:$AT$528,3,)=0,0,(VLOOKUP($D365,$C$5:$AT$528,8,)/VLOOKUP($D365,$C$5:$AT$528,3,))*$E365)</f>
        <v>-4010.1608816553412</v>
      </c>
      <c r="K365" s="119">
        <f>IF(VLOOKUP($D365,$C$5:$AT$528,3,)=0,0,(VLOOKUP($D365,$C$5:$AT$528,9,)/VLOOKUP($D365,$C$5:$AT$528,3,))*$E365)</f>
        <v>-10568.58652740606</v>
      </c>
      <c r="L365" s="119">
        <f>IF(VLOOKUP($D365,$C$5:$AT$528,3,)=0,0,(VLOOKUP($D365,$C$5:$AT$528,10,)/VLOOKUP($D365,$C$5:$AT$528,3,))*$E365)</f>
        <v>-206834.27913702404</v>
      </c>
      <c r="M365" s="119">
        <f>IF(VLOOKUP($D365,$C$5:$AT$528,3,)=0,0,(VLOOKUP($D365,$C$5:$AT$528,11,)/VLOOKUP($D365,$C$5:$AT$528,3,))*$E365)</f>
        <v>-1157737.2107628572</v>
      </c>
      <c r="N365" s="119">
        <f>IF(VLOOKUP($D365,$C$5:$AT$528,3,)=0,0,(VLOOKUP($D365,$C$5:$AT$528,12,)/VLOOKUP($D365,$C$5:$AT$528,3,))*$E365)</f>
        <v>-7110.1337262706793</v>
      </c>
      <c r="O365" s="119">
        <f>IF(VLOOKUP($D365,$C$5:$AT$528,3,)=0,0,(VLOOKUP($D365,$C$5:$AT$528,13,)/VLOOKUP($D365,$C$5:$AT$528,3,))*$E365)</f>
        <v>0</v>
      </c>
      <c r="P365" s="119">
        <f>IF(VLOOKUP($D365,$C$5:$AT$528,3,)=0,0,(VLOOKUP($D365,$C$5:$AT$528,14,)/VLOOKUP($D365,$C$5:$AT$528,3,))*$E365)</f>
        <v>-1824.2218096753018</v>
      </c>
      <c r="Q365" s="119">
        <f>IF(VLOOKUP($D365,$C$5:$AT$528,3,)=0,0,(VLOOKUP($D365,$C$5:$AT$528,15,)/VLOOKUP($D365,$C$5:$AT$528,3,))*$E365)</f>
        <v>-452193.55440220516</v>
      </c>
      <c r="R365" s="119">
        <f>IF(VLOOKUP($D365,$C$5:$AT$528,3,)=0,0,(VLOOKUP($D365,$C$5:$AT$528,16,)/VLOOKUP($D365,$C$5:$AT$528,3,))*$E365)</f>
        <v>-647516.84146833117</v>
      </c>
      <c r="S365" s="119">
        <f>IF(VLOOKUP($D365,$C$5:$AT$528,3,)=0,0,(VLOOKUP($D365,$C$5:$AT$528,17,)/VLOOKUP($D365,$C$5:$AT$528,3,))*$E365)</f>
        <v>-612612.80572578765</v>
      </c>
      <c r="T365" s="119">
        <f>IF(VLOOKUP($D365,$C$5:$AT$528,3,)=0,0,(VLOOKUP($D365,$C$5:$AT$528,18,)/VLOOKUP($D365,$C$5:$AT$528,3,))*$E365)</f>
        <v>-2881163.7197215934</v>
      </c>
      <c r="U365" s="119">
        <f>IF(VLOOKUP($D365,$C$5:$AT$528,3,)=0,0,(VLOOKUP($D365,$C$5:$AT$528,19,)/VLOOKUP($D365,$C$5:$AT$528,3,))*$E365)</f>
        <v>-1532998.0615305104</v>
      </c>
      <c r="V365" s="119">
        <f>IF(VLOOKUP($D365,$C$5:$AT$528,3,)=0,0,(VLOOKUP($D365,$C$5:$AT$528,20,)/VLOOKUP($D365,$C$5:$AT$528,3,))*$E365)</f>
        <v>0</v>
      </c>
      <c r="W365" s="119">
        <f>IF(VLOOKUP($D365,$C$5:$AT$528,3,)=0,0,(VLOOKUP($D365,$C$5:$AT$528,21,)/VLOOKUP($D365,$C$5:$AT$528,3,))*$E365)</f>
        <v>0</v>
      </c>
      <c r="X365" s="119">
        <f>IF(VLOOKUP($D365,$C$5:$AT$528,3,)=0,0,(VLOOKUP($D365,$C$5:$AT$528,22,)/VLOOKUP($D365,$C$5:$AT$528,3,))*$E365)</f>
        <v>0</v>
      </c>
      <c r="Y365" s="119">
        <f>IF(VLOOKUP($D365,$C$5:$AT$528,3,)=0,0,(VLOOKUP($D365,$C$5:$AT$528,23,)/VLOOKUP($D365,$C$5:$AT$528,3,))*$E365)</f>
        <v>0</v>
      </c>
      <c r="Z365" s="119">
        <f>IF(VLOOKUP($D365,$C$5:$AT$528,3,)=0,0,(VLOOKUP($D365,$C$5:$AT$528,24,)/VLOOKUP($D365,$C$5:$AT$528,3,))*$E365)</f>
        <v>0</v>
      </c>
      <c r="AA365" s="119">
        <f>IF(VLOOKUP($D365,$C$5:$AT$528,3,)=0,0,(VLOOKUP($D365,$C$5:$AT$528,25,)/VLOOKUP($D365,$C$5:$AT$528,3,))*$E365)</f>
        <v>0</v>
      </c>
      <c r="AB365" s="119">
        <f>IF(VLOOKUP($D365,$C$5:$AT$528,3,)=0,0,(VLOOKUP($D365,$C$5:$AT$528,26,)/VLOOKUP($D365,$C$5:$AT$528,3,))*$E365)</f>
        <v>0</v>
      </c>
      <c r="AC365" s="119">
        <f>IF(VLOOKUP($D365,$C$5:$AT$528,3,)=0,0,(VLOOKUP($D365,$C$5:$AT$528,27,)/VLOOKUP($D365,$C$5:$AT$528,3,))*$E365)</f>
        <v>0</v>
      </c>
      <c r="AD365" s="119">
        <f>IF(VLOOKUP($D365,$C$5:$AT$528,3,)=0,0,(VLOOKUP($D365,$C$5:$AT$528,28,)/VLOOKUP($D365,$C$5:$AT$528,3,))*$E365)</f>
        <v>0</v>
      </c>
      <c r="AE365" s="119">
        <f>IF(VLOOKUP($D365,$C$5:$AT$528,3,)=0,0,(VLOOKUP($D365,$C$5:$AT$528,29,)/VLOOKUP($D365,$C$5:$AT$528,3,))*$E365)</f>
        <v>0</v>
      </c>
      <c r="AF365" s="119">
        <f>IF(VLOOKUP($D365,$C$5:$AT$528,3,)=0,0,(VLOOKUP($D365,$C$5:$AT$528,30,)/VLOOKUP($D365,$C$5:$AT$528,3,))*$E365)</f>
        <v>0</v>
      </c>
      <c r="AG365" s="120">
        <f t="shared" ref="AG365:AG391" si="96">SUM(F365:AF365)</f>
        <v>-11162273</v>
      </c>
      <c r="AH365" s="103" t="str">
        <f t="shared" ref="AH365:AH391" si="97">IF(ABS(E365-AG365)&lt;0.01,"ok","err")</f>
        <v>ok</v>
      </c>
      <c r="AJ365" s="110">
        <f>AJ339</f>
        <v>1</v>
      </c>
      <c r="AM365" s="152">
        <v>0</v>
      </c>
    </row>
    <row r="366" spans="1:39" x14ac:dyDescent="0.25">
      <c r="A366" s="117">
        <v>2</v>
      </c>
      <c r="B366" s="102" t="s">
        <v>930</v>
      </c>
      <c r="D366" s="102" t="s">
        <v>936</v>
      </c>
      <c r="E366" s="153">
        <v>-9613093</v>
      </c>
      <c r="F366" s="119">
        <f>IF(VLOOKUP($D366,$C$5:$AT$528,3,)=0,0,(VLOOKUP($D366,$C$5:$AT$528,4,)/VLOOKUP($D366,$C$5:$AT$528,3,))*$E366)</f>
        <v>-4515980.7025737362</v>
      </c>
      <c r="G366" s="119">
        <f>IF(VLOOKUP($D366,$C$5:$AT$528,3,)=0,0,(VLOOKUP($D366,$C$5:$AT$528,5,)/VLOOKUP($D366,$C$5:$AT$528,3,))*$E366)</f>
        <v>-13271.697511673934</v>
      </c>
      <c r="H366" s="119">
        <f>IF(VLOOKUP($D366,$C$5:$AT$528,3,)=0,0,(VLOOKUP($D366,$C$5:$AT$528,6,)/VLOOKUP($D366,$C$5:$AT$528,3,))*$E366)</f>
        <v>-115968.47497516495</v>
      </c>
      <c r="I366" s="119">
        <f>IF(VLOOKUP($D366,$C$5:$AT$528,3,)=0,0,(VLOOKUP($D366,$C$5:$AT$528,7,)/VLOOKUP($D366,$C$5:$AT$528,3,))*$E366)</f>
        <v>-9107.676274416106</v>
      </c>
      <c r="J366" s="119">
        <f>IF(VLOOKUP($D366,$C$5:$AT$528,3,)=0,0,(VLOOKUP($D366,$C$5:$AT$528,8,)/VLOOKUP($D366,$C$5:$AT$528,3,))*$E366)</f>
        <v>-5123.1383186823041</v>
      </c>
      <c r="K366" s="119">
        <f>IF(VLOOKUP($D366,$C$5:$AT$528,3,)=0,0,(VLOOKUP($D366,$C$5:$AT$528,9,)/VLOOKUP($D366,$C$5:$AT$528,3,))*$E366)</f>
        <v>-13558.524999208163</v>
      </c>
      <c r="L366" s="119">
        <f>IF(VLOOKUP($D366,$C$5:$AT$528,3,)=0,0,(VLOOKUP($D366,$C$5:$AT$528,10,)/VLOOKUP($D366,$C$5:$AT$528,3,))*$E366)</f>
        <v>-220314.84667925147</v>
      </c>
      <c r="M366" s="119">
        <f>IF(VLOOKUP($D366,$C$5:$AT$528,3,)=0,0,(VLOOKUP($D366,$C$5:$AT$528,11,)/VLOOKUP($D366,$C$5:$AT$528,3,))*$E366)</f>
        <v>-657696.7310040195</v>
      </c>
      <c r="N366" s="119">
        <f>IF(VLOOKUP($D366,$C$5:$AT$528,3,)=0,0,(VLOOKUP($D366,$C$5:$AT$528,12,)/VLOOKUP($D366,$C$5:$AT$528,3,))*$E366)</f>
        <v>-6737.4303089865143</v>
      </c>
      <c r="O366" s="119">
        <f>IF(VLOOKUP($D366,$C$5:$AT$528,3,)=0,0,(VLOOKUP($D366,$C$5:$AT$528,13,)/VLOOKUP($D366,$C$5:$AT$528,3,))*$E366)</f>
        <v>0</v>
      </c>
      <c r="P366" s="119">
        <f>IF(VLOOKUP($D366,$C$5:$AT$528,3,)=0,0,(VLOOKUP($D366,$C$5:$AT$528,14,)/VLOOKUP($D366,$C$5:$AT$528,3,))*$E366)</f>
        <v>-1295.0848275892788</v>
      </c>
      <c r="Q366" s="119">
        <f>IF(VLOOKUP($D366,$C$5:$AT$528,3,)=0,0,(VLOOKUP($D366,$C$5:$AT$528,15,)/VLOOKUP($D366,$C$5:$AT$528,3,))*$E366)</f>
        <v>-297655.1111564766</v>
      </c>
      <c r="R366" s="119">
        <f>IF(VLOOKUP($D366,$C$5:$AT$528,3,)=0,0,(VLOOKUP($D366,$C$5:$AT$528,16,)/VLOOKUP($D366,$C$5:$AT$528,3,))*$E366)</f>
        <v>-448205.36629449576</v>
      </c>
      <c r="S366" s="119">
        <f>IF(VLOOKUP($D366,$C$5:$AT$528,3,)=0,0,(VLOOKUP($D366,$C$5:$AT$528,17,)/VLOOKUP($D366,$C$5:$AT$528,3,))*$E366)</f>
        <v>-485652.51078396436</v>
      </c>
      <c r="T366" s="119">
        <f>IF(VLOOKUP($D366,$C$5:$AT$528,3,)=0,0,(VLOOKUP($D366,$C$5:$AT$528,18,)/VLOOKUP($D366,$C$5:$AT$528,3,))*$E366)</f>
        <v>-1936974.822123379</v>
      </c>
      <c r="U366" s="119">
        <f>IF(VLOOKUP($D366,$C$5:$AT$528,3,)=0,0,(VLOOKUP($D366,$C$5:$AT$528,19,)/VLOOKUP($D366,$C$5:$AT$528,3,))*$E366)</f>
        <v>-885550.88216895645</v>
      </c>
      <c r="V366" s="119">
        <f>IF(VLOOKUP($D366,$C$5:$AT$528,3,)=0,0,(VLOOKUP($D366,$C$5:$AT$528,20,)/VLOOKUP($D366,$C$5:$AT$528,3,))*$E366)</f>
        <v>0</v>
      </c>
      <c r="W366" s="119">
        <f>IF(VLOOKUP($D366,$C$5:$AT$528,3,)=0,0,(VLOOKUP($D366,$C$5:$AT$528,21,)/VLOOKUP($D366,$C$5:$AT$528,3,))*$E366)</f>
        <v>0</v>
      </c>
      <c r="X366" s="119">
        <f>IF(VLOOKUP($D366,$C$5:$AT$528,3,)=0,0,(VLOOKUP($D366,$C$5:$AT$528,22,)/VLOOKUP($D366,$C$5:$AT$528,3,))*$E366)</f>
        <v>0</v>
      </c>
      <c r="Y366" s="119">
        <f>IF(VLOOKUP($D366,$C$5:$AT$528,3,)=0,0,(VLOOKUP($D366,$C$5:$AT$528,23,)/VLOOKUP($D366,$C$5:$AT$528,3,))*$E366)</f>
        <v>0</v>
      </c>
      <c r="Z366" s="119">
        <f>IF(VLOOKUP($D366,$C$5:$AT$528,3,)=0,0,(VLOOKUP($D366,$C$5:$AT$528,24,)/VLOOKUP($D366,$C$5:$AT$528,3,))*$E366)</f>
        <v>0</v>
      </c>
      <c r="AA366" s="119">
        <f>IF(VLOOKUP($D366,$C$5:$AT$528,3,)=0,0,(VLOOKUP($D366,$C$5:$AT$528,25,)/VLOOKUP($D366,$C$5:$AT$528,3,))*$E366)</f>
        <v>0</v>
      </c>
      <c r="AB366" s="119">
        <f>IF(VLOOKUP($D366,$C$5:$AT$528,3,)=0,0,(VLOOKUP($D366,$C$5:$AT$528,26,)/VLOOKUP($D366,$C$5:$AT$528,3,))*$E366)</f>
        <v>0</v>
      </c>
      <c r="AC366" s="119">
        <f>IF(VLOOKUP($D366,$C$5:$AT$528,3,)=0,0,(VLOOKUP($D366,$C$5:$AT$528,27,)/VLOOKUP($D366,$C$5:$AT$528,3,))*$E366)</f>
        <v>0</v>
      </c>
      <c r="AD366" s="119">
        <f>IF(VLOOKUP($D366,$C$5:$AT$528,3,)=0,0,(VLOOKUP($D366,$C$5:$AT$528,28,)/VLOOKUP($D366,$C$5:$AT$528,3,))*$E366)</f>
        <v>0</v>
      </c>
      <c r="AE366" s="119">
        <f>IF(VLOOKUP($D366,$C$5:$AT$528,3,)=0,0,(VLOOKUP($D366,$C$5:$AT$528,29,)/VLOOKUP($D366,$C$5:$AT$528,3,))*$E366)</f>
        <v>0</v>
      </c>
      <c r="AF366" s="119">
        <f>IF(VLOOKUP($D366,$C$5:$AT$528,3,)=0,0,(VLOOKUP($D366,$C$5:$AT$528,30,)/VLOOKUP($D366,$C$5:$AT$528,3,))*$E366)</f>
        <v>0</v>
      </c>
      <c r="AG366" s="120">
        <f t="shared" si="96"/>
        <v>-9613093</v>
      </c>
      <c r="AH366" s="103" t="str">
        <f t="shared" si="97"/>
        <v>ok</v>
      </c>
      <c r="AJ366" s="110">
        <f>AJ365</f>
        <v>1</v>
      </c>
      <c r="AM366" s="152">
        <v>0</v>
      </c>
    </row>
    <row r="367" spans="1:39" x14ac:dyDescent="0.25">
      <c r="A367" s="117">
        <v>3</v>
      </c>
      <c r="B367" s="102" t="s">
        <v>1099</v>
      </c>
      <c r="D367" s="102" t="s">
        <v>261</v>
      </c>
      <c r="E367" s="120">
        <v>0</v>
      </c>
      <c r="F367" s="119">
        <f>IF(VLOOKUP($D367,$C$5:$AT$528,3,)=0,0,(VLOOKUP($D367,$C$5:$AT$528,4,)/VLOOKUP($D367,$C$5:$AT$528,3,))*$E367)</f>
        <v>0</v>
      </c>
      <c r="G367" s="119">
        <f>IF(VLOOKUP($D367,$C$5:$AT$528,3,)=0,0,(VLOOKUP($D367,$C$5:$AT$528,5,)/VLOOKUP($D367,$C$5:$AT$528,3,))*$E367)</f>
        <v>0</v>
      </c>
      <c r="H367" s="119">
        <f>IF(VLOOKUP($D367,$C$5:$AT$528,3,)=0,0,(VLOOKUP($D367,$C$5:$AT$528,6,)/VLOOKUP($D367,$C$5:$AT$528,3,))*$E367)</f>
        <v>0</v>
      </c>
      <c r="I367" s="119">
        <f>IF(VLOOKUP($D367,$C$5:$AT$528,3,)=0,0,(VLOOKUP($D367,$C$5:$AT$528,7,)/VLOOKUP($D367,$C$5:$AT$528,3,))*$E367)</f>
        <v>0</v>
      </c>
      <c r="J367" s="119">
        <f>IF(VLOOKUP($D367,$C$5:$AT$528,3,)=0,0,(VLOOKUP($D367,$C$5:$AT$528,8,)/VLOOKUP($D367,$C$5:$AT$528,3,))*$E367)</f>
        <v>0</v>
      </c>
      <c r="K367" s="119">
        <f>IF(VLOOKUP($D367,$C$5:$AT$528,3,)=0,0,(VLOOKUP($D367,$C$5:$AT$528,9,)/VLOOKUP($D367,$C$5:$AT$528,3,))*$E367)</f>
        <v>0</v>
      </c>
      <c r="L367" s="119">
        <f>IF(VLOOKUP($D367,$C$5:$AT$528,3,)=0,0,(VLOOKUP($D367,$C$5:$AT$528,10,)/VLOOKUP($D367,$C$5:$AT$528,3,))*$E367)</f>
        <v>0</v>
      </c>
      <c r="M367" s="119">
        <f>IF(VLOOKUP($D367,$C$5:$AT$528,3,)=0,0,(VLOOKUP($D367,$C$5:$AT$528,11,)/VLOOKUP($D367,$C$5:$AT$528,3,))*$E367)</f>
        <v>0</v>
      </c>
      <c r="N367" s="119">
        <f>IF(VLOOKUP($D367,$C$5:$AT$528,3,)=0,0,(VLOOKUP($D367,$C$5:$AT$528,12,)/VLOOKUP($D367,$C$5:$AT$528,3,))*$E367)</f>
        <v>0</v>
      </c>
      <c r="O367" s="119">
        <f>IF(VLOOKUP($D367,$C$5:$AT$528,3,)=0,0,(VLOOKUP($D367,$C$5:$AT$528,13,)/VLOOKUP($D367,$C$5:$AT$528,3,))*$E367)</f>
        <v>0</v>
      </c>
      <c r="P367" s="119">
        <f>IF(VLOOKUP($D367,$C$5:$AT$528,3,)=0,0,(VLOOKUP($D367,$C$5:$AT$528,14,)/VLOOKUP($D367,$C$5:$AT$528,3,))*$E367)</f>
        <v>0</v>
      </c>
      <c r="Q367" s="119">
        <f>IF(VLOOKUP($D367,$C$5:$AT$528,3,)=0,0,(VLOOKUP($D367,$C$5:$AT$528,15,)/VLOOKUP($D367,$C$5:$AT$528,3,))*$E367)</f>
        <v>0</v>
      </c>
      <c r="R367" s="119">
        <f>IF(VLOOKUP($D367,$C$5:$AT$528,3,)=0,0,(VLOOKUP($D367,$C$5:$AT$528,16,)/VLOOKUP($D367,$C$5:$AT$528,3,))*$E367)</f>
        <v>0</v>
      </c>
      <c r="S367" s="119">
        <f>IF(VLOOKUP($D367,$C$5:$AT$528,3,)=0,0,(VLOOKUP($D367,$C$5:$AT$528,17,)/VLOOKUP($D367,$C$5:$AT$528,3,))*$E367)</f>
        <v>0</v>
      </c>
      <c r="T367" s="119">
        <f>IF(VLOOKUP($D367,$C$5:$AT$528,3,)=0,0,(VLOOKUP($D367,$C$5:$AT$528,18,)/VLOOKUP($D367,$C$5:$AT$528,3,))*$E367)</f>
        <v>0</v>
      </c>
      <c r="U367" s="119">
        <f>IF(VLOOKUP($D367,$C$5:$AT$528,3,)=0,0,(VLOOKUP($D367,$C$5:$AT$528,19,)/VLOOKUP($D367,$C$5:$AT$528,3,))*$E367)</f>
        <v>0</v>
      </c>
      <c r="V367" s="119">
        <f>IF(VLOOKUP($D367,$C$5:$AT$528,3,)=0,0,(VLOOKUP($D367,$C$5:$AT$528,20,)/VLOOKUP($D367,$C$5:$AT$528,3,))*$E367)</f>
        <v>0</v>
      </c>
      <c r="W367" s="119">
        <f>IF(VLOOKUP($D367,$C$5:$AT$528,3,)=0,0,(VLOOKUP($D367,$C$5:$AT$528,21,)/VLOOKUP($D367,$C$5:$AT$528,3,))*$E367)</f>
        <v>0</v>
      </c>
      <c r="X367" s="119">
        <f>IF(VLOOKUP($D367,$C$5:$AT$528,3,)=0,0,(VLOOKUP($D367,$C$5:$AT$528,22,)/VLOOKUP($D367,$C$5:$AT$528,3,))*$E367)</f>
        <v>0</v>
      </c>
      <c r="Y367" s="119">
        <f>IF(VLOOKUP($D367,$C$5:$AT$528,3,)=0,0,(VLOOKUP($D367,$C$5:$AT$528,23,)/VLOOKUP($D367,$C$5:$AT$528,3,))*$E367)</f>
        <v>0</v>
      </c>
      <c r="Z367" s="119">
        <f>IF(VLOOKUP($D367,$C$5:$AT$528,3,)=0,0,(VLOOKUP($D367,$C$5:$AT$528,24,)/VLOOKUP($D367,$C$5:$AT$528,3,))*$E367)</f>
        <v>0</v>
      </c>
      <c r="AA367" s="119">
        <f>IF(VLOOKUP($D367,$C$5:$AT$528,3,)=0,0,(VLOOKUP($D367,$C$5:$AT$528,25,)/VLOOKUP($D367,$C$5:$AT$528,3,))*$E367)</f>
        <v>0</v>
      </c>
      <c r="AB367" s="119">
        <f>IF(VLOOKUP($D367,$C$5:$AT$528,3,)=0,0,(VLOOKUP($D367,$C$5:$AT$528,26,)/VLOOKUP($D367,$C$5:$AT$528,3,))*$E367)</f>
        <v>0</v>
      </c>
      <c r="AC367" s="119">
        <f>IF(VLOOKUP($D367,$C$5:$AT$528,3,)=0,0,(VLOOKUP($D367,$C$5:$AT$528,27,)/VLOOKUP($D367,$C$5:$AT$528,3,))*$E367)</f>
        <v>0</v>
      </c>
      <c r="AD367" s="119">
        <f>IF(VLOOKUP($D367,$C$5:$AT$528,3,)=0,0,(VLOOKUP($D367,$C$5:$AT$528,28,)/VLOOKUP($D367,$C$5:$AT$528,3,))*$E367)</f>
        <v>0</v>
      </c>
      <c r="AE367" s="119">
        <f>IF(VLOOKUP($D367,$C$5:$AT$528,3,)=0,0,(VLOOKUP($D367,$C$5:$AT$528,29,)/VLOOKUP($D367,$C$5:$AT$528,3,))*$E367)</f>
        <v>0</v>
      </c>
      <c r="AF367" s="119">
        <f>IF(VLOOKUP($D367,$C$5:$AT$528,3,)=0,0,(VLOOKUP($D367,$C$5:$AT$528,30,)/VLOOKUP($D367,$C$5:$AT$528,3,))*$E367)</f>
        <v>0</v>
      </c>
      <c r="AG367" s="120">
        <f t="shared" ref="AG367" si="98">SUM(F367:AF367)</f>
        <v>0</v>
      </c>
      <c r="AH367" s="103" t="str">
        <f t="shared" ref="AH367:AH370" si="99">IF(ABS(E367-AG367)&lt;0.01,"ok","err")</f>
        <v>ok</v>
      </c>
      <c r="AJ367" s="110">
        <f t="shared" ref="AJ367:AJ379" si="100">AJ366</f>
        <v>1</v>
      </c>
      <c r="AM367" s="152">
        <v>0</v>
      </c>
    </row>
    <row r="368" spans="1:39" x14ac:dyDescent="0.25">
      <c r="A368" s="102">
        <v>4</v>
      </c>
      <c r="B368" s="102" t="s">
        <v>1100</v>
      </c>
      <c r="D368" s="102" t="s">
        <v>297</v>
      </c>
      <c r="E368" s="120">
        <f>-47643.8122999999*AJ368</f>
        <v>-47643.812299999903</v>
      </c>
      <c r="F368" s="119">
        <f>IF(VLOOKUP($D368,$C$5:$AT$528,3,)=0,0,(VLOOKUP($D368,$C$5:$AT$528,4,)/VLOOKUP($D368,$C$5:$AT$528,3,))*$E368)</f>
        <v>-37083.465526240492</v>
      </c>
      <c r="G368" s="119">
        <f>IF(VLOOKUP($D368,$C$5:$AT$528,3,)=0,0,(VLOOKUP($D368,$C$5:$AT$528,5,)/VLOOKUP($D368,$C$5:$AT$528,3,))*$E368)</f>
        <v>-95.819988118285366</v>
      </c>
      <c r="H368" s="119">
        <f>IF(VLOOKUP($D368,$C$5:$AT$528,3,)=0,0,(VLOOKUP($D368,$C$5:$AT$528,6,)/VLOOKUP($D368,$C$5:$AT$528,3,))*$E368)</f>
        <v>-1471.6817205942007</v>
      </c>
      <c r="I368" s="119">
        <f>IF(VLOOKUP($D368,$C$5:$AT$528,3,)=0,0,(VLOOKUP($D368,$C$5:$AT$528,7,)/VLOOKUP($D368,$C$5:$AT$528,3,))*$E368)</f>
        <v>-2974.9455122308073</v>
      </c>
      <c r="J368" s="119">
        <f>IF(VLOOKUP($D368,$C$5:$AT$528,3,)=0,0,(VLOOKUP($D368,$C$5:$AT$528,8,)/VLOOKUP($D368,$C$5:$AT$528,3,))*$E368)</f>
        <v>-522.18184011941696</v>
      </c>
      <c r="K368" s="119">
        <f>IF(VLOOKUP($D368,$C$5:$AT$528,3,)=0,0,(VLOOKUP($D368,$C$5:$AT$528,9,)/VLOOKUP($D368,$C$5:$AT$528,3,))*$E368)</f>
        <v>-237.09479660174438</v>
      </c>
      <c r="L368" s="119">
        <f>IF(VLOOKUP($D368,$C$5:$AT$528,3,)=0,0,(VLOOKUP($D368,$C$5:$AT$528,10,)/VLOOKUP($D368,$C$5:$AT$528,3,))*$E368)</f>
        <v>-870.24746997601642</v>
      </c>
      <c r="M368" s="119">
        <f>IF(VLOOKUP($D368,$C$5:$AT$528,3,)=0,0,(VLOOKUP($D368,$C$5:$AT$528,11,)/VLOOKUP($D368,$C$5:$AT$528,3,))*$E368)</f>
        <v>-2779.8565457254981</v>
      </c>
      <c r="N368" s="119">
        <f>IF(VLOOKUP($D368,$C$5:$AT$528,3,)=0,0,(VLOOKUP($D368,$C$5:$AT$528,12,)/VLOOKUP($D368,$C$5:$AT$528,3,))*$E368)</f>
        <v>-25.658866148044208</v>
      </c>
      <c r="O368" s="119">
        <f>IF(VLOOKUP($D368,$C$5:$AT$528,3,)=0,0,(VLOOKUP($D368,$C$5:$AT$528,13,)/VLOOKUP($D368,$C$5:$AT$528,3,))*$E368)</f>
        <v>0</v>
      </c>
      <c r="P368" s="119">
        <f>IF(VLOOKUP($D368,$C$5:$AT$528,3,)=0,0,(VLOOKUP($D368,$C$5:$AT$528,14,)/VLOOKUP($D368,$C$5:$AT$528,3,))*$E368)</f>
        <v>-1582.8600342453981</v>
      </c>
      <c r="Q368" s="119">
        <f>IF(VLOOKUP($D368,$C$5:$AT$528,3,)=0,0,(VLOOKUP($D368,$C$5:$AT$528,15,)/VLOOKUP($D368,$C$5:$AT$528,3,))*$E368)</f>
        <v>0</v>
      </c>
      <c r="R368" s="119">
        <f>IF(VLOOKUP($D368,$C$5:$AT$528,3,)=0,0,(VLOOKUP($D368,$C$5:$AT$528,16,)/VLOOKUP($D368,$C$5:$AT$528,3,))*$E368)</f>
        <v>0</v>
      </c>
      <c r="S368" s="119">
        <f>IF(VLOOKUP($D368,$C$5:$AT$528,3,)=0,0,(VLOOKUP($D368,$C$5:$AT$528,17,)/VLOOKUP($D368,$C$5:$AT$528,3,))*$E368)</f>
        <v>0</v>
      </c>
      <c r="T368" s="119">
        <f>IF(VLOOKUP($D368,$C$5:$AT$528,3,)=0,0,(VLOOKUP($D368,$C$5:$AT$528,18,)/VLOOKUP($D368,$C$5:$AT$528,3,))*$E368)</f>
        <v>0</v>
      </c>
      <c r="U368" s="119">
        <f>IF(VLOOKUP($D368,$C$5:$AT$528,3,)=0,0,(VLOOKUP($D368,$C$5:$AT$528,19,)/VLOOKUP($D368,$C$5:$AT$528,3,))*$E368)</f>
        <v>0</v>
      </c>
      <c r="V368" s="119">
        <f>IF(VLOOKUP($D368,$C$5:$AT$528,3,)=0,0,(VLOOKUP($D368,$C$5:$AT$528,20,)/VLOOKUP($D368,$C$5:$AT$528,3,))*$E368)</f>
        <v>0</v>
      </c>
      <c r="W368" s="119">
        <f>IF(VLOOKUP($D368,$C$5:$AT$528,3,)=0,0,(VLOOKUP($D368,$C$5:$AT$528,21,)/VLOOKUP($D368,$C$5:$AT$528,3,))*$E368)</f>
        <v>0</v>
      </c>
      <c r="X368" s="119">
        <f>IF(VLOOKUP($D368,$C$5:$AT$528,3,)=0,0,(VLOOKUP($D368,$C$5:$AT$528,22,)/VLOOKUP($D368,$C$5:$AT$528,3,))*$E368)</f>
        <v>0</v>
      </c>
      <c r="Y368" s="119">
        <f>IF(VLOOKUP($D368,$C$5:$AT$528,3,)=0,0,(VLOOKUP($D368,$C$5:$AT$528,23,)/VLOOKUP($D368,$C$5:$AT$528,3,))*$E368)</f>
        <v>0</v>
      </c>
      <c r="Z368" s="119">
        <f>IF(VLOOKUP($D368,$C$5:$AT$528,3,)=0,0,(VLOOKUP($D368,$C$5:$AT$528,24,)/VLOOKUP($D368,$C$5:$AT$528,3,))*$E368)</f>
        <v>0</v>
      </c>
      <c r="AA368" s="119">
        <f>IF(VLOOKUP($D368,$C$5:$AT$528,3,)=0,0,(VLOOKUP($D368,$C$5:$AT$528,25,)/VLOOKUP($D368,$C$5:$AT$528,3,))*$E368)</f>
        <v>0</v>
      </c>
      <c r="AB368" s="119">
        <f>IF(VLOOKUP($D368,$C$5:$AT$528,3,)=0,0,(VLOOKUP($D368,$C$5:$AT$528,26,)/VLOOKUP($D368,$C$5:$AT$528,3,))*$E368)</f>
        <v>0</v>
      </c>
      <c r="AC368" s="119">
        <f>IF(VLOOKUP($D368,$C$5:$AT$528,3,)=0,0,(VLOOKUP($D368,$C$5:$AT$528,27,)/VLOOKUP($D368,$C$5:$AT$528,3,))*$E368)</f>
        <v>0</v>
      </c>
      <c r="AD368" s="119">
        <f>IF(VLOOKUP($D368,$C$5:$AT$528,3,)=0,0,(VLOOKUP($D368,$C$5:$AT$528,28,)/VLOOKUP($D368,$C$5:$AT$528,3,))*$E368)</f>
        <v>0</v>
      </c>
      <c r="AE368" s="119">
        <f>IF(VLOOKUP($D368,$C$5:$AT$528,3,)=0,0,(VLOOKUP($D368,$C$5:$AT$528,29,)/VLOOKUP($D368,$C$5:$AT$528,3,))*$E368)</f>
        <v>0</v>
      </c>
      <c r="AF368" s="119">
        <f>IF(VLOOKUP($D368,$C$5:$AT$528,3,)=0,0,(VLOOKUP($D368,$C$5:$AT$528,30,)/VLOOKUP($D368,$C$5:$AT$528,3,))*$E368)</f>
        <v>0</v>
      </c>
      <c r="AG368" s="120">
        <f t="shared" ref="AG368" si="101">SUM(F368:AF368)</f>
        <v>-47643.812299999896</v>
      </c>
      <c r="AH368" s="103" t="str">
        <f t="shared" si="99"/>
        <v>ok</v>
      </c>
      <c r="AJ368" s="110">
        <f t="shared" si="100"/>
        <v>1</v>
      </c>
      <c r="AM368" s="152">
        <v>0</v>
      </c>
    </row>
    <row r="369" spans="1:39" x14ac:dyDescent="0.25">
      <c r="A369" s="102">
        <v>5</v>
      </c>
      <c r="B369" s="102" t="s">
        <v>1101</v>
      </c>
      <c r="D369" s="102" t="s">
        <v>605</v>
      </c>
      <c r="E369" s="153">
        <v>326888.64999999991</v>
      </c>
      <c r="F369" s="119">
        <f>IF(VLOOKUP($D369,$C$5:$AT$528,3,)=0,0,(VLOOKUP($D369,$C$5:$AT$528,4,)/VLOOKUP($D369,$C$5:$AT$528,3,))*$E369)</f>
        <v>236071.37968305204</v>
      </c>
      <c r="G369" s="119">
        <f>IF(VLOOKUP($D369,$C$5:$AT$528,3,)=0,0,(VLOOKUP($D369,$C$5:$AT$528,5,)/VLOOKUP($D369,$C$5:$AT$528,3,))*$E369)</f>
        <v>698.22152274027178</v>
      </c>
      <c r="H369" s="119">
        <f>IF(VLOOKUP($D369,$C$5:$AT$528,3,)=0,0,(VLOOKUP($D369,$C$5:$AT$528,6,)/VLOOKUP($D369,$C$5:$AT$528,3,))*$E369)</f>
        <v>12788.92284983723</v>
      </c>
      <c r="I369" s="119">
        <f>IF(VLOOKUP($D369,$C$5:$AT$528,3,)=0,0,(VLOOKUP($D369,$C$5:$AT$528,7,)/VLOOKUP($D369,$C$5:$AT$528,3,))*$E369)</f>
        <v>33755.749726396636</v>
      </c>
      <c r="J369" s="119">
        <f>IF(VLOOKUP($D369,$C$5:$AT$528,3,)=0,0,(VLOOKUP($D369,$C$5:$AT$528,8,)/VLOOKUP($D369,$C$5:$AT$528,3,))*$E369)</f>
        <v>5827.5048108983319</v>
      </c>
      <c r="K369" s="119">
        <f>IF(VLOOKUP($D369,$C$5:$AT$528,3,)=0,0,(VLOOKUP($D369,$C$5:$AT$528,9,)/VLOOKUP($D369,$C$5:$AT$528,3,))*$E369)</f>
        <v>253.58107083444969</v>
      </c>
      <c r="L369" s="119">
        <f>IF(VLOOKUP($D369,$C$5:$AT$528,3,)=0,0,(VLOOKUP($D369,$C$5:$AT$528,10,)/VLOOKUP($D369,$C$5:$AT$528,3,))*$E369)</f>
        <v>7165.5746621581084</v>
      </c>
      <c r="M369" s="119">
        <f>IF(VLOOKUP($D369,$C$5:$AT$528,3,)=0,0,(VLOOKUP($D369,$C$5:$AT$528,11,)/VLOOKUP($D369,$C$5:$AT$528,3,))*$E369)</f>
        <v>30026.723681392006</v>
      </c>
      <c r="N369" s="119">
        <f>IF(VLOOKUP($D369,$C$5:$AT$528,3,)=0,0,(VLOOKUP($D369,$C$5:$AT$528,12,)/VLOOKUP($D369,$C$5:$AT$528,3,))*$E369)</f>
        <v>257.23394680349992</v>
      </c>
      <c r="O369" s="119">
        <f>IF(VLOOKUP($D369,$C$5:$AT$528,3,)=0,0,(VLOOKUP($D369,$C$5:$AT$528,13,)/VLOOKUP($D369,$C$5:$AT$528,3,))*$E369)</f>
        <v>0</v>
      </c>
      <c r="P369" s="119">
        <f>IF(VLOOKUP($D369,$C$5:$AT$528,3,)=0,0,(VLOOKUP($D369,$C$5:$AT$528,14,)/VLOOKUP($D369,$C$5:$AT$528,3,))*$E369)</f>
        <v>43.758045887372077</v>
      </c>
      <c r="Q369" s="119">
        <f>IF(VLOOKUP($D369,$C$5:$AT$528,3,)=0,0,(VLOOKUP($D369,$C$5:$AT$528,15,)/VLOOKUP($D369,$C$5:$AT$528,3,))*$E369)</f>
        <v>0</v>
      </c>
      <c r="R369" s="119">
        <f>IF(VLOOKUP($D369,$C$5:$AT$528,3,)=0,0,(VLOOKUP($D369,$C$5:$AT$528,16,)/VLOOKUP($D369,$C$5:$AT$528,3,))*$E369)</f>
        <v>0</v>
      </c>
      <c r="S369" s="119">
        <f>IF(VLOOKUP($D369,$C$5:$AT$528,3,)=0,0,(VLOOKUP($D369,$C$5:$AT$528,17,)/VLOOKUP($D369,$C$5:$AT$528,3,))*$E369)</f>
        <v>0</v>
      </c>
      <c r="T369" s="119">
        <f>IF(VLOOKUP($D369,$C$5:$AT$528,3,)=0,0,(VLOOKUP($D369,$C$5:$AT$528,18,)/VLOOKUP($D369,$C$5:$AT$528,3,))*$E369)</f>
        <v>0</v>
      </c>
      <c r="U369" s="119">
        <f>IF(VLOOKUP($D369,$C$5:$AT$528,3,)=0,0,(VLOOKUP($D369,$C$5:$AT$528,19,)/VLOOKUP($D369,$C$5:$AT$528,3,))*$E369)</f>
        <v>0</v>
      </c>
      <c r="V369" s="119">
        <f>IF(VLOOKUP($D369,$C$5:$AT$528,3,)=0,0,(VLOOKUP($D369,$C$5:$AT$528,20,)/VLOOKUP($D369,$C$5:$AT$528,3,))*$E369)</f>
        <v>0</v>
      </c>
      <c r="W369" s="119">
        <f>IF(VLOOKUP($D369,$C$5:$AT$528,3,)=0,0,(VLOOKUP($D369,$C$5:$AT$528,21,)/VLOOKUP($D369,$C$5:$AT$528,3,))*$E369)</f>
        <v>0</v>
      </c>
      <c r="X369" s="119">
        <f>IF(VLOOKUP($D369,$C$5:$AT$528,3,)=0,0,(VLOOKUP($D369,$C$5:$AT$528,22,)/VLOOKUP($D369,$C$5:$AT$528,3,))*$E369)</f>
        <v>0</v>
      </c>
      <c r="Y369" s="119">
        <f>IF(VLOOKUP($D369,$C$5:$AT$528,3,)=0,0,(VLOOKUP($D369,$C$5:$AT$528,23,)/VLOOKUP($D369,$C$5:$AT$528,3,))*$E369)</f>
        <v>0</v>
      </c>
      <c r="Z369" s="119">
        <f>IF(VLOOKUP($D369,$C$5:$AT$528,3,)=0,0,(VLOOKUP($D369,$C$5:$AT$528,24,)/VLOOKUP($D369,$C$5:$AT$528,3,))*$E369)</f>
        <v>0</v>
      </c>
      <c r="AA369" s="119">
        <f>IF(VLOOKUP($D369,$C$5:$AT$528,3,)=0,0,(VLOOKUP($D369,$C$5:$AT$528,25,)/VLOOKUP($D369,$C$5:$AT$528,3,))*$E369)</f>
        <v>0</v>
      </c>
      <c r="AB369" s="119">
        <f>IF(VLOOKUP($D369,$C$5:$AT$528,3,)=0,0,(VLOOKUP($D369,$C$5:$AT$528,26,)/VLOOKUP($D369,$C$5:$AT$528,3,))*$E369)</f>
        <v>0</v>
      </c>
      <c r="AC369" s="119">
        <f>IF(VLOOKUP($D369,$C$5:$AT$528,3,)=0,0,(VLOOKUP($D369,$C$5:$AT$528,27,)/VLOOKUP($D369,$C$5:$AT$528,3,))*$E369)</f>
        <v>0</v>
      </c>
      <c r="AD369" s="119">
        <f>IF(VLOOKUP($D369,$C$5:$AT$528,3,)=0,0,(VLOOKUP($D369,$C$5:$AT$528,28,)/VLOOKUP($D369,$C$5:$AT$528,3,))*$E369)</f>
        <v>0</v>
      </c>
      <c r="AE369" s="119">
        <f>IF(VLOOKUP($D369,$C$5:$AT$528,3,)=0,0,(VLOOKUP($D369,$C$5:$AT$528,29,)/VLOOKUP($D369,$C$5:$AT$528,3,))*$E369)</f>
        <v>0</v>
      </c>
      <c r="AF369" s="119">
        <f>IF(VLOOKUP($D369,$C$5:$AT$528,3,)=0,0,(VLOOKUP($D369,$C$5:$AT$528,30,)/VLOOKUP($D369,$C$5:$AT$528,3,))*$E369)</f>
        <v>0</v>
      </c>
      <c r="AG369" s="120">
        <f t="shared" ref="AG369" si="102">SUM(F369:AF369)</f>
        <v>326888.64999999991</v>
      </c>
      <c r="AH369" s="103" t="str">
        <f t="shared" ref="AH369" si="103">IF(ABS(E369-AG369)&lt;0.01,"ok","err")</f>
        <v>ok</v>
      </c>
      <c r="AJ369" s="110">
        <f t="shared" si="100"/>
        <v>1</v>
      </c>
      <c r="AM369" s="152">
        <v>0</v>
      </c>
    </row>
    <row r="370" spans="1:39" x14ac:dyDescent="0.25">
      <c r="A370" s="117">
        <v>6</v>
      </c>
      <c r="B370" s="102" t="s">
        <v>1102</v>
      </c>
      <c r="E370" s="119">
        <f>207275*AJ370</f>
        <v>207275</v>
      </c>
      <c r="F370" s="119">
        <f>176445*AJ370</f>
        <v>176445</v>
      </c>
      <c r="G370" s="119">
        <f>-1040*AJ370</f>
        <v>-1040</v>
      </c>
      <c r="H370" s="119">
        <f>6174*AJ370</f>
        <v>6174</v>
      </c>
      <c r="I370" s="119">
        <f>3809*AJ370</f>
        <v>3809</v>
      </c>
      <c r="J370" s="119">
        <v>0</v>
      </c>
      <c r="K370" s="119">
        <f>172*AJ370</f>
        <v>172</v>
      </c>
      <c r="L370" s="119">
        <f>21715*AJ370</f>
        <v>21715</v>
      </c>
      <c r="M370" s="119">
        <v>0</v>
      </c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20">
        <f t="shared" ref="AG370" si="104">SUM(F370:AF370)</f>
        <v>207275</v>
      </c>
      <c r="AH370" s="103" t="str">
        <f t="shared" si="99"/>
        <v>ok</v>
      </c>
      <c r="AJ370" s="110">
        <f t="shared" si="100"/>
        <v>1</v>
      </c>
      <c r="AM370" s="152">
        <v>0</v>
      </c>
    </row>
    <row r="371" spans="1:39" x14ac:dyDescent="0.25">
      <c r="A371" s="117">
        <v>7</v>
      </c>
      <c r="B371" s="102" t="s">
        <v>1203</v>
      </c>
      <c r="D371" s="102" t="s">
        <v>261</v>
      </c>
      <c r="E371" s="120">
        <v>0</v>
      </c>
      <c r="F371" s="119">
        <f t="shared" ref="F371:F390" si="105">IF(VLOOKUP($D371,$C$5:$AT$528,3,)=0,0,(VLOOKUP($D371,$C$5:$AT$528,4,)/VLOOKUP($D371,$C$5:$AT$528,3,))*$E371)</f>
        <v>0</v>
      </c>
      <c r="G371" s="119">
        <f t="shared" ref="G371:G390" si="106">IF(VLOOKUP($D371,$C$5:$AT$528,3,)=0,0,(VLOOKUP($D371,$C$5:$AT$528,5,)/VLOOKUP($D371,$C$5:$AT$528,3,))*$E371)</f>
        <v>0</v>
      </c>
      <c r="H371" s="119">
        <f t="shared" ref="H371:H390" si="107">IF(VLOOKUP($D371,$C$5:$AT$528,3,)=0,0,(VLOOKUP($D371,$C$5:$AT$528,6,)/VLOOKUP($D371,$C$5:$AT$528,3,))*$E371)</f>
        <v>0</v>
      </c>
      <c r="I371" s="119">
        <f t="shared" ref="I371:I390" si="108">IF(VLOOKUP($D371,$C$5:$AT$528,3,)=0,0,(VLOOKUP($D371,$C$5:$AT$528,7,)/VLOOKUP($D371,$C$5:$AT$528,3,))*$E371)</f>
        <v>0</v>
      </c>
      <c r="J371" s="119">
        <f t="shared" ref="J371:J390" si="109">IF(VLOOKUP($D371,$C$5:$AT$528,3,)=0,0,(VLOOKUP($D371,$C$5:$AT$528,8,)/VLOOKUP($D371,$C$5:$AT$528,3,))*$E371)</f>
        <v>0</v>
      </c>
      <c r="K371" s="119">
        <f t="shared" ref="K371:K390" si="110">IF(VLOOKUP($D371,$C$5:$AT$528,3,)=0,0,(VLOOKUP($D371,$C$5:$AT$528,9,)/VLOOKUP($D371,$C$5:$AT$528,3,))*$E371)</f>
        <v>0</v>
      </c>
      <c r="L371" s="119">
        <f t="shared" ref="L371:L390" si="111">IF(VLOOKUP($D371,$C$5:$AT$528,3,)=0,0,(VLOOKUP($D371,$C$5:$AT$528,10,)/VLOOKUP($D371,$C$5:$AT$528,3,))*$E371)</f>
        <v>0</v>
      </c>
      <c r="M371" s="119">
        <f t="shared" ref="M371:M390" si="112">IF(VLOOKUP($D371,$C$5:$AT$528,3,)=0,0,(VLOOKUP($D371,$C$5:$AT$528,11,)/VLOOKUP($D371,$C$5:$AT$528,3,))*$E371)</f>
        <v>0</v>
      </c>
      <c r="N371" s="119">
        <f t="shared" ref="N371:N390" si="113">IF(VLOOKUP($D371,$C$5:$AT$528,3,)=0,0,(VLOOKUP($D371,$C$5:$AT$528,12,)/VLOOKUP($D371,$C$5:$AT$528,3,))*$E371)</f>
        <v>0</v>
      </c>
      <c r="O371" s="119">
        <f t="shared" ref="O371:O390" si="114">IF(VLOOKUP($D371,$C$5:$AT$528,3,)=0,0,(VLOOKUP($D371,$C$5:$AT$528,13,)/VLOOKUP($D371,$C$5:$AT$528,3,))*$E371)</f>
        <v>0</v>
      </c>
      <c r="P371" s="119">
        <f t="shared" ref="P371:P390" si="115">IF(VLOOKUP($D371,$C$5:$AT$528,3,)=0,0,(VLOOKUP($D371,$C$5:$AT$528,14,)/VLOOKUP($D371,$C$5:$AT$528,3,))*$E371)</f>
        <v>0</v>
      </c>
      <c r="Q371" s="119">
        <f t="shared" ref="Q371:Q390" si="116">IF(VLOOKUP($D371,$C$5:$AT$528,3,)=0,0,(VLOOKUP($D371,$C$5:$AT$528,15,)/VLOOKUP($D371,$C$5:$AT$528,3,))*$E371)</f>
        <v>0</v>
      </c>
      <c r="R371" s="119">
        <f t="shared" ref="R371:R390" si="117">IF(VLOOKUP($D371,$C$5:$AT$528,3,)=0,0,(VLOOKUP($D371,$C$5:$AT$528,16,)/VLOOKUP($D371,$C$5:$AT$528,3,))*$E371)</f>
        <v>0</v>
      </c>
      <c r="S371" s="119">
        <f t="shared" ref="S371:S390" si="118">IF(VLOOKUP($D371,$C$5:$AT$528,3,)=0,0,(VLOOKUP($D371,$C$5:$AT$528,17,)/VLOOKUP($D371,$C$5:$AT$528,3,))*$E371)</f>
        <v>0</v>
      </c>
      <c r="T371" s="119">
        <f t="shared" ref="T371:T390" si="119">IF(VLOOKUP($D371,$C$5:$AT$528,3,)=0,0,(VLOOKUP($D371,$C$5:$AT$528,18,)/VLOOKUP($D371,$C$5:$AT$528,3,))*$E371)</f>
        <v>0</v>
      </c>
      <c r="U371" s="119">
        <f t="shared" ref="U371:U390" si="120">IF(VLOOKUP($D371,$C$5:$AT$528,3,)=0,0,(VLOOKUP($D371,$C$5:$AT$528,19,)/VLOOKUP($D371,$C$5:$AT$528,3,))*$E371)</f>
        <v>0</v>
      </c>
      <c r="V371" s="119">
        <f t="shared" ref="V371:V390" si="121">IF(VLOOKUP($D371,$C$5:$AT$528,3,)=0,0,(VLOOKUP($D371,$C$5:$AT$528,20,)/VLOOKUP($D371,$C$5:$AT$528,3,))*$E371)</f>
        <v>0</v>
      </c>
      <c r="W371" s="119">
        <f t="shared" ref="W371:W390" si="122">IF(VLOOKUP($D371,$C$5:$AT$528,3,)=0,0,(VLOOKUP($D371,$C$5:$AT$528,21,)/VLOOKUP($D371,$C$5:$AT$528,3,))*$E371)</f>
        <v>0</v>
      </c>
      <c r="X371" s="119">
        <f t="shared" ref="X371:X390" si="123">IF(VLOOKUP($D371,$C$5:$AT$528,3,)=0,0,(VLOOKUP($D371,$C$5:$AT$528,22,)/VLOOKUP($D371,$C$5:$AT$528,3,))*$E371)</f>
        <v>0</v>
      </c>
      <c r="Y371" s="119">
        <f t="shared" ref="Y371:Y390" si="124">IF(VLOOKUP($D371,$C$5:$AT$528,3,)=0,0,(VLOOKUP($D371,$C$5:$AT$528,23,)/VLOOKUP($D371,$C$5:$AT$528,3,))*$E371)</f>
        <v>0</v>
      </c>
      <c r="Z371" s="119">
        <f t="shared" ref="Z371:Z390" si="125">IF(VLOOKUP($D371,$C$5:$AT$528,3,)=0,0,(VLOOKUP($D371,$C$5:$AT$528,24,)/VLOOKUP($D371,$C$5:$AT$528,3,))*$E371)</f>
        <v>0</v>
      </c>
      <c r="AA371" s="119">
        <f t="shared" ref="AA371:AA390" si="126">IF(VLOOKUP($D371,$C$5:$AT$528,3,)=0,0,(VLOOKUP($D371,$C$5:$AT$528,25,)/VLOOKUP($D371,$C$5:$AT$528,3,))*$E371)</f>
        <v>0</v>
      </c>
      <c r="AB371" s="119">
        <f t="shared" ref="AB371:AB390" si="127">IF(VLOOKUP($D371,$C$5:$AT$528,3,)=0,0,(VLOOKUP($D371,$C$5:$AT$528,26,)/VLOOKUP($D371,$C$5:$AT$528,3,))*$E371)</f>
        <v>0</v>
      </c>
      <c r="AC371" s="119">
        <f t="shared" ref="AC371:AC390" si="128">IF(VLOOKUP($D371,$C$5:$AT$528,3,)=0,0,(VLOOKUP($D371,$C$5:$AT$528,27,)/VLOOKUP($D371,$C$5:$AT$528,3,))*$E371)</f>
        <v>0</v>
      </c>
      <c r="AD371" s="119">
        <f t="shared" ref="AD371:AD390" si="129">IF(VLOOKUP($D371,$C$5:$AT$528,3,)=0,0,(VLOOKUP($D371,$C$5:$AT$528,28,)/VLOOKUP($D371,$C$5:$AT$528,3,))*$E371)</f>
        <v>0</v>
      </c>
      <c r="AE371" s="119">
        <f t="shared" ref="AE371:AE390" si="130">IF(VLOOKUP($D371,$C$5:$AT$528,3,)=0,0,(VLOOKUP($D371,$C$5:$AT$528,29,)/VLOOKUP($D371,$C$5:$AT$528,3,))*$E371)</f>
        <v>0</v>
      </c>
      <c r="AF371" s="119">
        <f t="shared" ref="AF371:AF390" si="131">IF(VLOOKUP($D371,$C$5:$AT$528,3,)=0,0,(VLOOKUP($D371,$C$5:$AT$528,30,)/VLOOKUP($D371,$C$5:$AT$528,3,))*$E371)</f>
        <v>0</v>
      </c>
      <c r="AG371" s="120">
        <f t="shared" si="96"/>
        <v>0</v>
      </c>
      <c r="AH371" s="103" t="str">
        <f t="shared" si="97"/>
        <v>ok</v>
      </c>
      <c r="AJ371" s="110">
        <f t="shared" si="100"/>
        <v>1</v>
      </c>
      <c r="AM371" s="152">
        <v>0</v>
      </c>
    </row>
    <row r="372" spans="1:39" x14ac:dyDescent="0.25">
      <c r="A372" s="102">
        <v>8</v>
      </c>
      <c r="B372" s="102" t="s">
        <v>1103</v>
      </c>
      <c r="D372" s="102" t="s">
        <v>261</v>
      </c>
      <c r="E372" s="120">
        <f>-191500.95*AJ372</f>
        <v>-191500.95</v>
      </c>
      <c r="F372" s="119">
        <f t="shared" si="105"/>
        <v>-149175.7941066495</v>
      </c>
      <c r="G372" s="119">
        <f t="shared" si="106"/>
        <v>-385.28358041470148</v>
      </c>
      <c r="H372" s="119">
        <f t="shared" si="107"/>
        <v>-5913.4785234695682</v>
      </c>
      <c r="I372" s="119">
        <f t="shared" si="108"/>
        <v>-11938.467440151431</v>
      </c>
      <c r="J372" s="119">
        <f t="shared" si="109"/>
        <v>-2095.7076016960573</v>
      </c>
      <c r="K372" s="119">
        <f t="shared" si="110"/>
        <v>-956.20769266868535</v>
      </c>
      <c r="L372" s="119">
        <f t="shared" si="111"/>
        <v>-3496.8948914682956</v>
      </c>
      <c r="M372" s="119">
        <f t="shared" si="112"/>
        <v>-11157.350579422149</v>
      </c>
      <c r="N372" s="119">
        <f t="shared" si="113"/>
        <v>-103.01241398785587</v>
      </c>
      <c r="O372" s="119">
        <f t="shared" si="114"/>
        <v>0</v>
      </c>
      <c r="P372" s="119">
        <f t="shared" si="115"/>
        <v>-6278.7531700717191</v>
      </c>
      <c r="Q372" s="119">
        <f t="shared" si="116"/>
        <v>0</v>
      </c>
      <c r="R372" s="119">
        <f t="shared" si="117"/>
        <v>0</v>
      </c>
      <c r="S372" s="119">
        <f t="shared" si="118"/>
        <v>0</v>
      </c>
      <c r="T372" s="119">
        <f t="shared" si="119"/>
        <v>0</v>
      </c>
      <c r="U372" s="119">
        <f t="shared" si="120"/>
        <v>0</v>
      </c>
      <c r="V372" s="119">
        <f t="shared" si="121"/>
        <v>0</v>
      </c>
      <c r="W372" s="119">
        <f t="shared" si="122"/>
        <v>0</v>
      </c>
      <c r="X372" s="119">
        <f t="shared" si="123"/>
        <v>0</v>
      </c>
      <c r="Y372" s="119">
        <f t="shared" si="124"/>
        <v>0</v>
      </c>
      <c r="Z372" s="119">
        <f t="shared" si="125"/>
        <v>0</v>
      </c>
      <c r="AA372" s="119">
        <f t="shared" si="126"/>
        <v>0</v>
      </c>
      <c r="AB372" s="119">
        <f t="shared" si="127"/>
        <v>0</v>
      </c>
      <c r="AC372" s="119">
        <f t="shared" si="128"/>
        <v>0</v>
      </c>
      <c r="AD372" s="119">
        <f t="shared" si="129"/>
        <v>0</v>
      </c>
      <c r="AE372" s="119">
        <f t="shared" si="130"/>
        <v>0</v>
      </c>
      <c r="AF372" s="119">
        <f t="shared" si="131"/>
        <v>0</v>
      </c>
      <c r="AG372" s="120">
        <f t="shared" si="96"/>
        <v>-191500.94999999992</v>
      </c>
      <c r="AH372" s="103" t="str">
        <f t="shared" si="97"/>
        <v>ok</v>
      </c>
      <c r="AJ372" s="110">
        <f t="shared" si="100"/>
        <v>1</v>
      </c>
      <c r="AM372" s="154">
        <f>SUM(AM356:AM371)</f>
        <v>1941487.18</v>
      </c>
    </row>
    <row r="373" spans="1:39" x14ac:dyDescent="0.25">
      <c r="A373" s="102">
        <v>9</v>
      </c>
      <c r="B373" s="102" t="s">
        <v>1104</v>
      </c>
      <c r="D373" s="102" t="s">
        <v>285</v>
      </c>
      <c r="E373" s="120">
        <f>-13188.62*AJ373</f>
        <v>-13188.62</v>
      </c>
      <c r="F373" s="119">
        <f t="shared" si="105"/>
        <v>-11050.239032911759</v>
      </c>
      <c r="G373" s="119">
        <f t="shared" si="106"/>
        <v>-27.006092881016311</v>
      </c>
      <c r="H373" s="119">
        <f t="shared" si="107"/>
        <v>-378.58480716730656</v>
      </c>
      <c r="I373" s="119">
        <f t="shared" si="108"/>
        <v>-626.76078713321556</v>
      </c>
      <c r="J373" s="119">
        <f t="shared" si="109"/>
        <v>-111.72256930915312</v>
      </c>
      <c r="K373" s="119">
        <f t="shared" si="110"/>
        <v>-92.6612437301158</v>
      </c>
      <c r="L373" s="119">
        <f t="shared" si="111"/>
        <v>-245.09527901925011</v>
      </c>
      <c r="M373" s="119">
        <f t="shared" si="112"/>
        <v>-617.02796045670459</v>
      </c>
      <c r="N373" s="119">
        <f t="shared" si="113"/>
        <v>-6.0931854627347155</v>
      </c>
      <c r="O373" s="119">
        <f t="shared" si="114"/>
        <v>0</v>
      </c>
      <c r="P373" s="119">
        <f t="shared" si="115"/>
        <v>-33.429041928744986</v>
      </c>
      <c r="Q373" s="119">
        <f t="shared" si="116"/>
        <v>0</v>
      </c>
      <c r="R373" s="119">
        <f t="shared" si="117"/>
        <v>0</v>
      </c>
      <c r="S373" s="119">
        <f t="shared" si="118"/>
        <v>0</v>
      </c>
      <c r="T373" s="119">
        <f t="shared" si="119"/>
        <v>0</v>
      </c>
      <c r="U373" s="119">
        <f t="shared" si="120"/>
        <v>0</v>
      </c>
      <c r="V373" s="119">
        <f t="shared" si="121"/>
        <v>0</v>
      </c>
      <c r="W373" s="119">
        <f t="shared" si="122"/>
        <v>0</v>
      </c>
      <c r="X373" s="119">
        <f t="shared" si="123"/>
        <v>0</v>
      </c>
      <c r="Y373" s="119">
        <f t="shared" si="124"/>
        <v>0</v>
      </c>
      <c r="Z373" s="119">
        <f t="shared" si="125"/>
        <v>0</v>
      </c>
      <c r="AA373" s="119">
        <f t="shared" si="126"/>
        <v>0</v>
      </c>
      <c r="AB373" s="119">
        <f t="shared" si="127"/>
        <v>0</v>
      </c>
      <c r="AC373" s="119">
        <f t="shared" si="128"/>
        <v>0</v>
      </c>
      <c r="AD373" s="119">
        <f t="shared" si="129"/>
        <v>0</v>
      </c>
      <c r="AE373" s="119">
        <f t="shared" si="130"/>
        <v>0</v>
      </c>
      <c r="AF373" s="119">
        <f t="shared" si="131"/>
        <v>0</v>
      </c>
      <c r="AG373" s="120">
        <f t="shared" si="96"/>
        <v>-13188.619999999997</v>
      </c>
      <c r="AH373" s="103" t="str">
        <f t="shared" si="97"/>
        <v>ok</v>
      </c>
      <c r="AJ373" s="110">
        <f t="shared" si="100"/>
        <v>1</v>
      </c>
    </row>
    <row r="374" spans="1:39" x14ac:dyDescent="0.25">
      <c r="A374" s="117">
        <v>10</v>
      </c>
      <c r="B374" s="102" t="s">
        <v>1105</v>
      </c>
      <c r="D374" s="102" t="s">
        <v>285</v>
      </c>
      <c r="E374" s="120">
        <f>41529.6586569344*AJ374</f>
        <v>41529.6586569344</v>
      </c>
      <c r="F374" s="119">
        <f t="shared" si="105"/>
        <v>34796.108699345212</v>
      </c>
      <c r="G374" s="119">
        <f t="shared" si="106"/>
        <v>85.039512777384857</v>
      </c>
      <c r="H374" s="119">
        <f t="shared" si="107"/>
        <v>1192.1260764476929</v>
      </c>
      <c r="I374" s="119">
        <f t="shared" si="108"/>
        <v>1973.6076670033683</v>
      </c>
      <c r="J374" s="119">
        <f t="shared" si="109"/>
        <v>351.80330979926816</v>
      </c>
      <c r="K374" s="119">
        <f t="shared" si="110"/>
        <v>291.78108269392186</v>
      </c>
      <c r="L374" s="119">
        <f t="shared" si="111"/>
        <v>771.7807682756461</v>
      </c>
      <c r="M374" s="119">
        <f t="shared" si="112"/>
        <v>1942.9599593855426</v>
      </c>
      <c r="N374" s="119">
        <f t="shared" si="113"/>
        <v>19.186837773835897</v>
      </c>
      <c r="O374" s="119">
        <f t="shared" si="114"/>
        <v>0</v>
      </c>
      <c r="P374" s="119">
        <f t="shared" si="115"/>
        <v>105.2647434325295</v>
      </c>
      <c r="Q374" s="119">
        <f t="shared" si="116"/>
        <v>0</v>
      </c>
      <c r="R374" s="119">
        <f t="shared" si="117"/>
        <v>0</v>
      </c>
      <c r="S374" s="119">
        <f t="shared" si="118"/>
        <v>0</v>
      </c>
      <c r="T374" s="119">
        <f t="shared" si="119"/>
        <v>0</v>
      </c>
      <c r="U374" s="119">
        <f t="shared" si="120"/>
        <v>0</v>
      </c>
      <c r="V374" s="119">
        <f t="shared" si="121"/>
        <v>0</v>
      </c>
      <c r="W374" s="119">
        <f t="shared" si="122"/>
        <v>0</v>
      </c>
      <c r="X374" s="119">
        <f t="shared" si="123"/>
        <v>0</v>
      </c>
      <c r="Y374" s="119">
        <f t="shared" si="124"/>
        <v>0</v>
      </c>
      <c r="Z374" s="119">
        <f t="shared" si="125"/>
        <v>0</v>
      </c>
      <c r="AA374" s="119">
        <f t="shared" si="126"/>
        <v>0</v>
      </c>
      <c r="AB374" s="119">
        <f t="shared" si="127"/>
        <v>0</v>
      </c>
      <c r="AC374" s="119">
        <f t="shared" si="128"/>
        <v>0</v>
      </c>
      <c r="AD374" s="119">
        <f t="shared" si="129"/>
        <v>0</v>
      </c>
      <c r="AE374" s="119">
        <f t="shared" si="130"/>
        <v>0</v>
      </c>
      <c r="AF374" s="119">
        <f t="shared" si="131"/>
        <v>0</v>
      </c>
      <c r="AG374" s="120">
        <f t="shared" si="96"/>
        <v>41529.6586569344</v>
      </c>
      <c r="AH374" s="103" t="str">
        <f t="shared" si="97"/>
        <v>ok</v>
      </c>
      <c r="AJ374" s="110">
        <f t="shared" si="100"/>
        <v>1</v>
      </c>
    </row>
    <row r="375" spans="1:39" x14ac:dyDescent="0.25">
      <c r="A375" s="117">
        <v>11</v>
      </c>
      <c r="B375" s="102" t="s">
        <v>1106</v>
      </c>
      <c r="D375" s="102" t="s">
        <v>285</v>
      </c>
      <c r="E375" s="120">
        <f>-35780.24*AJ375</f>
        <v>-35780.239999999998</v>
      </c>
      <c r="F375" s="119">
        <f t="shared" si="105"/>
        <v>-29978.891245251634</v>
      </c>
      <c r="G375" s="119">
        <f t="shared" si="106"/>
        <v>-73.266534690138542</v>
      </c>
      <c r="H375" s="119">
        <f t="shared" si="107"/>
        <v>-1027.0866292910059</v>
      </c>
      <c r="I375" s="119">
        <f t="shared" si="108"/>
        <v>-1700.3789165367843</v>
      </c>
      <c r="J375" s="119">
        <f t="shared" si="109"/>
        <v>-303.09921305626608</v>
      </c>
      <c r="K375" s="119">
        <f t="shared" si="110"/>
        <v>-251.38653925596748</v>
      </c>
      <c r="L375" s="119">
        <f t="shared" si="111"/>
        <v>-664.93445911518666</v>
      </c>
      <c r="M375" s="119">
        <f t="shared" si="112"/>
        <v>-1673.9741164618736</v>
      </c>
      <c r="N375" s="119">
        <f t="shared" si="113"/>
        <v>-16.5305875990937</v>
      </c>
      <c r="O375" s="119">
        <f t="shared" si="114"/>
        <v>0</v>
      </c>
      <c r="P375" s="119">
        <f t="shared" si="115"/>
        <v>-90.691758742048705</v>
      </c>
      <c r="Q375" s="119">
        <f t="shared" si="116"/>
        <v>0</v>
      </c>
      <c r="R375" s="119">
        <f t="shared" si="117"/>
        <v>0</v>
      </c>
      <c r="S375" s="119">
        <f t="shared" si="118"/>
        <v>0</v>
      </c>
      <c r="T375" s="119">
        <f t="shared" si="119"/>
        <v>0</v>
      </c>
      <c r="U375" s="119">
        <f t="shared" si="120"/>
        <v>0</v>
      </c>
      <c r="V375" s="119">
        <f t="shared" si="121"/>
        <v>0</v>
      </c>
      <c r="W375" s="119">
        <f t="shared" si="122"/>
        <v>0</v>
      </c>
      <c r="X375" s="119">
        <f t="shared" si="123"/>
        <v>0</v>
      </c>
      <c r="Y375" s="119">
        <f t="shared" si="124"/>
        <v>0</v>
      </c>
      <c r="Z375" s="119">
        <f t="shared" si="125"/>
        <v>0</v>
      </c>
      <c r="AA375" s="119">
        <f t="shared" si="126"/>
        <v>0</v>
      </c>
      <c r="AB375" s="119">
        <f t="shared" si="127"/>
        <v>0</v>
      </c>
      <c r="AC375" s="119">
        <f t="shared" si="128"/>
        <v>0</v>
      </c>
      <c r="AD375" s="119">
        <f t="shared" si="129"/>
        <v>0</v>
      </c>
      <c r="AE375" s="119">
        <f t="shared" si="130"/>
        <v>0</v>
      </c>
      <c r="AF375" s="119">
        <f t="shared" si="131"/>
        <v>0</v>
      </c>
      <c r="AG375" s="120">
        <f>SUM(F375:AF375)</f>
        <v>-35780.240000000005</v>
      </c>
      <c r="AH375" s="103" t="str">
        <f>IF(ABS(E375-AG375)&lt;0.01,"ok","err")</f>
        <v>ok</v>
      </c>
      <c r="AJ375" s="110">
        <f t="shared" si="100"/>
        <v>1</v>
      </c>
    </row>
    <row r="376" spans="1:39" x14ac:dyDescent="0.25">
      <c r="A376" s="102">
        <v>12</v>
      </c>
      <c r="B376" s="102" t="s">
        <v>1107</v>
      </c>
      <c r="D376" s="102" t="s">
        <v>285</v>
      </c>
      <c r="E376" s="153">
        <v>24457.541095838118</v>
      </c>
      <c r="F376" s="119">
        <f t="shared" si="105"/>
        <v>20492.035957232358</v>
      </c>
      <c r="G376" s="119">
        <f t="shared" si="106"/>
        <v>50.081253874588668</v>
      </c>
      <c r="H376" s="119">
        <f t="shared" si="107"/>
        <v>702.06386108283868</v>
      </c>
      <c r="I376" s="119">
        <f t="shared" si="108"/>
        <v>1162.2920145224039</v>
      </c>
      <c r="J376" s="119">
        <f t="shared" si="109"/>
        <v>207.18311166833487</v>
      </c>
      <c r="K376" s="119">
        <f t="shared" si="110"/>
        <v>171.83497413078692</v>
      </c>
      <c r="L376" s="119">
        <f t="shared" si="111"/>
        <v>454.51516982134746</v>
      </c>
      <c r="M376" s="119">
        <f t="shared" si="112"/>
        <v>1144.2430443936537</v>
      </c>
      <c r="N376" s="119">
        <f t="shared" si="113"/>
        <v>11.299463769476844</v>
      </c>
      <c r="O376" s="119">
        <f t="shared" si="114"/>
        <v>0</v>
      </c>
      <c r="P376" s="119">
        <f t="shared" si="115"/>
        <v>61.992245342331195</v>
      </c>
      <c r="Q376" s="119">
        <f t="shared" si="116"/>
        <v>0</v>
      </c>
      <c r="R376" s="119">
        <f t="shared" si="117"/>
        <v>0</v>
      </c>
      <c r="S376" s="119">
        <f t="shared" si="118"/>
        <v>0</v>
      </c>
      <c r="T376" s="119">
        <f t="shared" si="119"/>
        <v>0</v>
      </c>
      <c r="U376" s="119">
        <f t="shared" si="120"/>
        <v>0</v>
      </c>
      <c r="V376" s="119">
        <f t="shared" si="121"/>
        <v>0</v>
      </c>
      <c r="W376" s="119">
        <f t="shared" si="122"/>
        <v>0</v>
      </c>
      <c r="X376" s="119">
        <f t="shared" si="123"/>
        <v>0</v>
      </c>
      <c r="Y376" s="119">
        <f t="shared" si="124"/>
        <v>0</v>
      </c>
      <c r="Z376" s="119">
        <f t="shared" si="125"/>
        <v>0</v>
      </c>
      <c r="AA376" s="119">
        <f t="shared" si="126"/>
        <v>0</v>
      </c>
      <c r="AB376" s="119">
        <f t="shared" si="127"/>
        <v>0</v>
      </c>
      <c r="AC376" s="119">
        <f t="shared" si="128"/>
        <v>0</v>
      </c>
      <c r="AD376" s="119">
        <f t="shared" si="129"/>
        <v>0</v>
      </c>
      <c r="AE376" s="119">
        <f t="shared" si="130"/>
        <v>0</v>
      </c>
      <c r="AF376" s="119">
        <f t="shared" si="131"/>
        <v>0</v>
      </c>
      <c r="AG376" s="120">
        <f>SUM(F376:AF376)</f>
        <v>24457.541095838122</v>
      </c>
      <c r="AH376" s="103" t="str">
        <f>IF(ABS(E376-AG376)&lt;0.01,"ok","err")</f>
        <v>ok</v>
      </c>
      <c r="AJ376" s="110">
        <f t="shared" si="100"/>
        <v>1</v>
      </c>
    </row>
    <row r="377" spans="1:39" x14ac:dyDescent="0.25">
      <c r="A377" s="102">
        <v>13</v>
      </c>
      <c r="B377" s="102" t="s">
        <v>1108</v>
      </c>
      <c r="D377" s="102" t="s">
        <v>261</v>
      </c>
      <c r="E377" s="120">
        <f>48333.33*AJ377</f>
        <v>48333.33</v>
      </c>
      <c r="F377" s="119">
        <f t="shared" si="105"/>
        <v>37650.794341065906</v>
      </c>
      <c r="G377" s="119">
        <f t="shared" si="106"/>
        <v>97.242538148062991</v>
      </c>
      <c r="H377" s="119">
        <f t="shared" si="107"/>
        <v>1492.5153578755999</v>
      </c>
      <c r="I377" s="119">
        <f t="shared" si="108"/>
        <v>3013.1750598578983</v>
      </c>
      <c r="J377" s="119">
        <f t="shared" si="109"/>
        <v>528.94007625697986</v>
      </c>
      <c r="K377" s="119">
        <f t="shared" si="110"/>
        <v>241.3392829554848</v>
      </c>
      <c r="L377" s="119">
        <f t="shared" si="111"/>
        <v>882.58870133360335</v>
      </c>
      <c r="M377" s="119">
        <f t="shared" si="112"/>
        <v>2816.0273224801335</v>
      </c>
      <c r="N377" s="119">
        <f t="shared" si="113"/>
        <v>25.999521147919388</v>
      </c>
      <c r="O377" s="119">
        <f t="shared" si="114"/>
        <v>0</v>
      </c>
      <c r="P377" s="119">
        <f t="shared" si="115"/>
        <v>1584.7077988783999</v>
      </c>
      <c r="Q377" s="119">
        <f t="shared" si="116"/>
        <v>0</v>
      </c>
      <c r="R377" s="119">
        <f t="shared" si="117"/>
        <v>0</v>
      </c>
      <c r="S377" s="119">
        <f t="shared" si="118"/>
        <v>0</v>
      </c>
      <c r="T377" s="119">
        <f t="shared" si="119"/>
        <v>0</v>
      </c>
      <c r="U377" s="119">
        <f t="shared" si="120"/>
        <v>0</v>
      </c>
      <c r="V377" s="119">
        <f t="shared" si="121"/>
        <v>0</v>
      </c>
      <c r="W377" s="119">
        <f t="shared" si="122"/>
        <v>0</v>
      </c>
      <c r="X377" s="119">
        <f t="shared" si="123"/>
        <v>0</v>
      </c>
      <c r="Y377" s="119">
        <f t="shared" si="124"/>
        <v>0</v>
      </c>
      <c r="Z377" s="119">
        <f t="shared" si="125"/>
        <v>0</v>
      </c>
      <c r="AA377" s="119">
        <f t="shared" si="126"/>
        <v>0</v>
      </c>
      <c r="AB377" s="119">
        <f t="shared" si="127"/>
        <v>0</v>
      </c>
      <c r="AC377" s="119">
        <f t="shared" si="128"/>
        <v>0</v>
      </c>
      <c r="AD377" s="119">
        <f t="shared" si="129"/>
        <v>0</v>
      </c>
      <c r="AE377" s="119">
        <f t="shared" si="130"/>
        <v>0</v>
      </c>
      <c r="AF377" s="119">
        <f t="shared" si="131"/>
        <v>0</v>
      </c>
      <c r="AG377" s="120">
        <f t="shared" si="96"/>
        <v>48333.329999999994</v>
      </c>
      <c r="AH377" s="103" t="str">
        <f t="shared" si="97"/>
        <v>ok</v>
      </c>
      <c r="AJ377" s="110">
        <f t="shared" si="100"/>
        <v>1</v>
      </c>
    </row>
    <row r="378" spans="1:39" x14ac:dyDescent="0.25">
      <c r="A378" s="117">
        <v>14</v>
      </c>
      <c r="B378" s="102" t="s">
        <v>1204</v>
      </c>
      <c r="D378" s="102" t="s">
        <v>285</v>
      </c>
      <c r="E378" s="120">
        <f>-7503.2860445528*AJ378</f>
        <v>-7503.2860445528004</v>
      </c>
      <c r="F378" s="119">
        <f t="shared" si="105"/>
        <v>-6286.7156931217542</v>
      </c>
      <c r="G378" s="119">
        <f t="shared" si="106"/>
        <v>-15.36433984996356</v>
      </c>
      <c r="H378" s="119">
        <f t="shared" si="107"/>
        <v>-215.38493794636315</v>
      </c>
      <c r="I378" s="119">
        <f t="shared" si="108"/>
        <v>-356.5775242117511</v>
      </c>
      <c r="J378" s="119">
        <f t="shared" si="109"/>
        <v>-63.561342669585713</v>
      </c>
      <c r="K378" s="119">
        <f t="shared" si="110"/>
        <v>-52.71694968473453</v>
      </c>
      <c r="L378" s="119">
        <f t="shared" si="111"/>
        <v>-139.43991006268391</v>
      </c>
      <c r="M378" s="119">
        <f t="shared" si="112"/>
        <v>-351.04031239005053</v>
      </c>
      <c r="N378" s="119">
        <f t="shared" si="113"/>
        <v>-3.4665426291309771</v>
      </c>
      <c r="O378" s="119">
        <f t="shared" si="114"/>
        <v>0</v>
      </c>
      <c r="P378" s="119">
        <f t="shared" si="115"/>
        <v>-19.018491986782749</v>
      </c>
      <c r="Q378" s="119">
        <f t="shared" si="116"/>
        <v>0</v>
      </c>
      <c r="R378" s="119">
        <f t="shared" si="117"/>
        <v>0</v>
      </c>
      <c r="S378" s="119">
        <f t="shared" si="118"/>
        <v>0</v>
      </c>
      <c r="T378" s="119">
        <f t="shared" si="119"/>
        <v>0</v>
      </c>
      <c r="U378" s="119">
        <f t="shared" si="120"/>
        <v>0</v>
      </c>
      <c r="V378" s="119">
        <f t="shared" si="121"/>
        <v>0</v>
      </c>
      <c r="W378" s="119">
        <f t="shared" si="122"/>
        <v>0</v>
      </c>
      <c r="X378" s="119">
        <f t="shared" si="123"/>
        <v>0</v>
      </c>
      <c r="Y378" s="119">
        <f t="shared" si="124"/>
        <v>0</v>
      </c>
      <c r="Z378" s="119">
        <f t="shared" si="125"/>
        <v>0</v>
      </c>
      <c r="AA378" s="119">
        <f t="shared" si="126"/>
        <v>0</v>
      </c>
      <c r="AB378" s="119">
        <f t="shared" si="127"/>
        <v>0</v>
      </c>
      <c r="AC378" s="119">
        <f t="shared" si="128"/>
        <v>0</v>
      </c>
      <c r="AD378" s="119">
        <f t="shared" si="129"/>
        <v>0</v>
      </c>
      <c r="AE378" s="119">
        <f t="shared" si="130"/>
        <v>0</v>
      </c>
      <c r="AF378" s="119">
        <f t="shared" si="131"/>
        <v>0</v>
      </c>
      <c r="AG378" s="120">
        <f t="shared" si="96"/>
        <v>-7503.2860445528004</v>
      </c>
      <c r="AH378" s="103" t="str">
        <f t="shared" si="97"/>
        <v>ok</v>
      </c>
      <c r="AJ378" s="110">
        <f t="shared" si="100"/>
        <v>1</v>
      </c>
    </row>
    <row r="379" spans="1:39" x14ac:dyDescent="0.25">
      <c r="A379" s="117">
        <v>15</v>
      </c>
      <c r="C379" s="155"/>
      <c r="D379" s="155" t="s">
        <v>261</v>
      </c>
      <c r="E379" s="120">
        <v>0</v>
      </c>
      <c r="F379" s="119">
        <f t="shared" si="105"/>
        <v>0</v>
      </c>
      <c r="G379" s="119">
        <f t="shared" si="106"/>
        <v>0</v>
      </c>
      <c r="H379" s="119">
        <f t="shared" si="107"/>
        <v>0</v>
      </c>
      <c r="I379" s="119">
        <f t="shared" si="108"/>
        <v>0</v>
      </c>
      <c r="J379" s="119">
        <f t="shared" si="109"/>
        <v>0</v>
      </c>
      <c r="K379" s="119">
        <f t="shared" si="110"/>
        <v>0</v>
      </c>
      <c r="L379" s="119">
        <f t="shared" si="111"/>
        <v>0</v>
      </c>
      <c r="M379" s="119">
        <f t="shared" si="112"/>
        <v>0</v>
      </c>
      <c r="N379" s="119">
        <f t="shared" si="113"/>
        <v>0</v>
      </c>
      <c r="O379" s="119">
        <f t="shared" si="114"/>
        <v>0</v>
      </c>
      <c r="P379" s="119">
        <f t="shared" si="115"/>
        <v>0</v>
      </c>
      <c r="Q379" s="119">
        <f t="shared" si="116"/>
        <v>0</v>
      </c>
      <c r="R379" s="119">
        <f t="shared" si="117"/>
        <v>0</v>
      </c>
      <c r="S379" s="119">
        <f t="shared" si="118"/>
        <v>0</v>
      </c>
      <c r="T379" s="119">
        <f t="shared" si="119"/>
        <v>0</v>
      </c>
      <c r="U379" s="119">
        <f t="shared" si="120"/>
        <v>0</v>
      </c>
      <c r="V379" s="119">
        <f t="shared" si="121"/>
        <v>0</v>
      </c>
      <c r="W379" s="119">
        <f t="shared" si="122"/>
        <v>0</v>
      </c>
      <c r="X379" s="119">
        <f t="shared" si="123"/>
        <v>0</v>
      </c>
      <c r="Y379" s="119">
        <f t="shared" si="124"/>
        <v>0</v>
      </c>
      <c r="Z379" s="119">
        <f t="shared" si="125"/>
        <v>0</v>
      </c>
      <c r="AA379" s="119">
        <f t="shared" si="126"/>
        <v>0</v>
      </c>
      <c r="AB379" s="119">
        <f t="shared" si="127"/>
        <v>0</v>
      </c>
      <c r="AC379" s="119">
        <f t="shared" si="128"/>
        <v>0</v>
      </c>
      <c r="AD379" s="119">
        <f t="shared" si="129"/>
        <v>0</v>
      </c>
      <c r="AE379" s="119">
        <f t="shared" si="130"/>
        <v>0</v>
      </c>
      <c r="AF379" s="119">
        <f t="shared" si="131"/>
        <v>0</v>
      </c>
      <c r="AG379" s="120">
        <f t="shared" si="96"/>
        <v>0</v>
      </c>
      <c r="AH379" s="103" t="str">
        <f t="shared" si="97"/>
        <v>ok</v>
      </c>
      <c r="AJ379" s="110">
        <f t="shared" si="100"/>
        <v>1</v>
      </c>
    </row>
    <row r="380" spans="1:39" hidden="1" x14ac:dyDescent="0.25">
      <c r="A380" s="156">
        <v>16</v>
      </c>
      <c r="B380" s="156"/>
      <c r="C380" s="156"/>
      <c r="D380" s="156" t="s">
        <v>261</v>
      </c>
      <c r="E380" s="157">
        <v>0</v>
      </c>
      <c r="F380" s="158">
        <f t="shared" si="105"/>
        <v>0</v>
      </c>
      <c r="G380" s="158">
        <f t="shared" si="106"/>
        <v>0</v>
      </c>
      <c r="H380" s="158">
        <f t="shared" si="107"/>
        <v>0</v>
      </c>
      <c r="I380" s="158">
        <f t="shared" si="108"/>
        <v>0</v>
      </c>
      <c r="J380" s="158">
        <f t="shared" si="109"/>
        <v>0</v>
      </c>
      <c r="K380" s="158">
        <f t="shared" si="110"/>
        <v>0</v>
      </c>
      <c r="L380" s="158">
        <f t="shared" si="111"/>
        <v>0</v>
      </c>
      <c r="M380" s="119">
        <f t="shared" si="112"/>
        <v>0</v>
      </c>
      <c r="N380" s="119">
        <f t="shared" si="113"/>
        <v>0</v>
      </c>
      <c r="O380" s="119">
        <f t="shared" si="114"/>
        <v>0</v>
      </c>
      <c r="P380" s="119">
        <f t="shared" si="115"/>
        <v>0</v>
      </c>
      <c r="Q380" s="119">
        <f t="shared" si="116"/>
        <v>0</v>
      </c>
      <c r="R380" s="119">
        <f t="shared" si="117"/>
        <v>0</v>
      </c>
      <c r="S380" s="119">
        <f t="shared" si="118"/>
        <v>0</v>
      </c>
      <c r="T380" s="119">
        <f t="shared" si="119"/>
        <v>0</v>
      </c>
      <c r="U380" s="119">
        <f t="shared" si="120"/>
        <v>0</v>
      </c>
      <c r="V380" s="119">
        <f t="shared" si="121"/>
        <v>0</v>
      </c>
      <c r="W380" s="119">
        <f t="shared" si="122"/>
        <v>0</v>
      </c>
      <c r="X380" s="119">
        <f t="shared" si="123"/>
        <v>0</v>
      </c>
      <c r="Y380" s="119">
        <f t="shared" si="124"/>
        <v>0</v>
      </c>
      <c r="Z380" s="119">
        <f t="shared" si="125"/>
        <v>0</v>
      </c>
      <c r="AA380" s="119">
        <f t="shared" si="126"/>
        <v>0</v>
      </c>
      <c r="AB380" s="119">
        <f t="shared" si="127"/>
        <v>0</v>
      </c>
      <c r="AC380" s="119">
        <f t="shared" si="128"/>
        <v>0</v>
      </c>
      <c r="AD380" s="119">
        <f t="shared" si="129"/>
        <v>0</v>
      </c>
      <c r="AE380" s="119">
        <f t="shared" si="130"/>
        <v>0</v>
      </c>
      <c r="AF380" s="119">
        <f t="shared" si="131"/>
        <v>0</v>
      </c>
      <c r="AG380" s="120">
        <f t="shared" si="96"/>
        <v>0</v>
      </c>
      <c r="AH380" s="103" t="str">
        <f t="shared" si="97"/>
        <v>ok</v>
      </c>
    </row>
    <row r="381" spans="1:39" hidden="1" x14ac:dyDescent="0.25">
      <c r="A381" s="156">
        <v>17</v>
      </c>
      <c r="B381" s="156"/>
      <c r="C381" s="156"/>
      <c r="D381" s="156" t="s">
        <v>261</v>
      </c>
      <c r="E381" s="157">
        <v>0</v>
      </c>
      <c r="F381" s="158">
        <f t="shared" si="105"/>
        <v>0</v>
      </c>
      <c r="G381" s="158">
        <f t="shared" si="106"/>
        <v>0</v>
      </c>
      <c r="H381" s="158">
        <f t="shared" si="107"/>
        <v>0</v>
      </c>
      <c r="I381" s="158">
        <f t="shared" si="108"/>
        <v>0</v>
      </c>
      <c r="J381" s="158">
        <f t="shared" si="109"/>
        <v>0</v>
      </c>
      <c r="K381" s="158">
        <f t="shared" si="110"/>
        <v>0</v>
      </c>
      <c r="L381" s="158">
        <f t="shared" si="111"/>
        <v>0</v>
      </c>
      <c r="M381" s="119">
        <f t="shared" si="112"/>
        <v>0</v>
      </c>
      <c r="N381" s="119">
        <f t="shared" si="113"/>
        <v>0</v>
      </c>
      <c r="O381" s="119">
        <f t="shared" si="114"/>
        <v>0</v>
      </c>
      <c r="P381" s="119">
        <f t="shared" si="115"/>
        <v>0</v>
      </c>
      <c r="Q381" s="119">
        <f t="shared" si="116"/>
        <v>0</v>
      </c>
      <c r="R381" s="119">
        <f t="shared" si="117"/>
        <v>0</v>
      </c>
      <c r="S381" s="119">
        <f t="shared" si="118"/>
        <v>0</v>
      </c>
      <c r="T381" s="119">
        <f t="shared" si="119"/>
        <v>0</v>
      </c>
      <c r="U381" s="119">
        <f t="shared" si="120"/>
        <v>0</v>
      </c>
      <c r="V381" s="119">
        <f t="shared" si="121"/>
        <v>0</v>
      </c>
      <c r="W381" s="119">
        <f t="shared" si="122"/>
        <v>0</v>
      </c>
      <c r="X381" s="119">
        <f t="shared" si="123"/>
        <v>0</v>
      </c>
      <c r="Y381" s="119">
        <f t="shared" si="124"/>
        <v>0</v>
      </c>
      <c r="Z381" s="119">
        <f t="shared" si="125"/>
        <v>0</v>
      </c>
      <c r="AA381" s="119">
        <f t="shared" si="126"/>
        <v>0</v>
      </c>
      <c r="AB381" s="119">
        <f t="shared" si="127"/>
        <v>0</v>
      </c>
      <c r="AC381" s="119">
        <f t="shared" si="128"/>
        <v>0</v>
      </c>
      <c r="AD381" s="119">
        <f t="shared" si="129"/>
        <v>0</v>
      </c>
      <c r="AE381" s="119">
        <f t="shared" si="130"/>
        <v>0</v>
      </c>
      <c r="AF381" s="119">
        <f t="shared" si="131"/>
        <v>0</v>
      </c>
      <c r="AG381" s="120">
        <f t="shared" ref="AG381" si="132">SUM(F381:AF381)</f>
        <v>0</v>
      </c>
      <c r="AH381" s="103" t="str">
        <f t="shared" ref="AH381" si="133">IF(ABS(E381-AG381)&lt;0.01,"ok","err")</f>
        <v>ok</v>
      </c>
    </row>
    <row r="382" spans="1:39" hidden="1" x14ac:dyDescent="0.25">
      <c r="A382" s="159">
        <v>18</v>
      </c>
      <c r="B382" s="156"/>
      <c r="C382" s="156"/>
      <c r="D382" s="156" t="s">
        <v>261</v>
      </c>
      <c r="E382" s="157">
        <v>0</v>
      </c>
      <c r="F382" s="158">
        <f t="shared" si="105"/>
        <v>0</v>
      </c>
      <c r="G382" s="158">
        <f t="shared" si="106"/>
        <v>0</v>
      </c>
      <c r="H382" s="158">
        <f t="shared" si="107"/>
        <v>0</v>
      </c>
      <c r="I382" s="158">
        <f t="shared" si="108"/>
        <v>0</v>
      </c>
      <c r="J382" s="158">
        <f t="shared" si="109"/>
        <v>0</v>
      </c>
      <c r="K382" s="158">
        <f t="shared" si="110"/>
        <v>0</v>
      </c>
      <c r="L382" s="158">
        <f t="shared" si="111"/>
        <v>0</v>
      </c>
      <c r="M382" s="119">
        <f t="shared" si="112"/>
        <v>0</v>
      </c>
      <c r="N382" s="119">
        <f t="shared" si="113"/>
        <v>0</v>
      </c>
      <c r="O382" s="119">
        <f t="shared" si="114"/>
        <v>0</v>
      </c>
      <c r="P382" s="119">
        <f t="shared" si="115"/>
        <v>0</v>
      </c>
      <c r="Q382" s="119">
        <f t="shared" si="116"/>
        <v>0</v>
      </c>
      <c r="R382" s="119">
        <f t="shared" si="117"/>
        <v>0</v>
      </c>
      <c r="S382" s="119">
        <f t="shared" si="118"/>
        <v>0</v>
      </c>
      <c r="T382" s="119">
        <f t="shared" si="119"/>
        <v>0</v>
      </c>
      <c r="U382" s="119">
        <f t="shared" si="120"/>
        <v>0</v>
      </c>
      <c r="V382" s="119">
        <f t="shared" si="121"/>
        <v>0</v>
      </c>
      <c r="W382" s="119">
        <f t="shared" si="122"/>
        <v>0</v>
      </c>
      <c r="X382" s="119">
        <f t="shared" si="123"/>
        <v>0</v>
      </c>
      <c r="Y382" s="119">
        <f t="shared" si="124"/>
        <v>0</v>
      </c>
      <c r="Z382" s="119">
        <f t="shared" si="125"/>
        <v>0</v>
      </c>
      <c r="AA382" s="119">
        <f t="shared" si="126"/>
        <v>0</v>
      </c>
      <c r="AB382" s="119">
        <f t="shared" si="127"/>
        <v>0</v>
      </c>
      <c r="AC382" s="119">
        <f t="shared" si="128"/>
        <v>0</v>
      </c>
      <c r="AD382" s="119">
        <f t="shared" si="129"/>
        <v>0</v>
      </c>
      <c r="AE382" s="119">
        <f t="shared" si="130"/>
        <v>0</v>
      </c>
      <c r="AF382" s="119">
        <f t="shared" si="131"/>
        <v>0</v>
      </c>
      <c r="AG382" s="120">
        <f>SUM(F382:AF382)</f>
        <v>0</v>
      </c>
      <c r="AH382" s="103" t="str">
        <f>IF(ABS(E382-AG382)&lt;0.01,"ok","err")</f>
        <v>ok</v>
      </c>
    </row>
    <row r="383" spans="1:39" hidden="1" x14ac:dyDescent="0.25">
      <c r="A383" s="159">
        <v>19</v>
      </c>
      <c r="B383" s="156"/>
      <c r="C383" s="156"/>
      <c r="D383" s="156" t="s">
        <v>261</v>
      </c>
      <c r="E383" s="157">
        <v>0</v>
      </c>
      <c r="F383" s="158">
        <f t="shared" si="105"/>
        <v>0</v>
      </c>
      <c r="G383" s="158">
        <f t="shared" si="106"/>
        <v>0</v>
      </c>
      <c r="H383" s="158">
        <f t="shared" si="107"/>
        <v>0</v>
      </c>
      <c r="I383" s="158">
        <f t="shared" si="108"/>
        <v>0</v>
      </c>
      <c r="J383" s="158">
        <f t="shared" si="109"/>
        <v>0</v>
      </c>
      <c r="K383" s="158">
        <f t="shared" si="110"/>
        <v>0</v>
      </c>
      <c r="L383" s="158">
        <f t="shared" si="111"/>
        <v>0</v>
      </c>
      <c r="M383" s="119">
        <f t="shared" si="112"/>
        <v>0</v>
      </c>
      <c r="N383" s="119">
        <f t="shared" si="113"/>
        <v>0</v>
      </c>
      <c r="O383" s="119">
        <f t="shared" si="114"/>
        <v>0</v>
      </c>
      <c r="P383" s="119">
        <f t="shared" si="115"/>
        <v>0</v>
      </c>
      <c r="Q383" s="119">
        <f t="shared" si="116"/>
        <v>0</v>
      </c>
      <c r="R383" s="119">
        <f t="shared" si="117"/>
        <v>0</v>
      </c>
      <c r="S383" s="119">
        <f t="shared" si="118"/>
        <v>0</v>
      </c>
      <c r="T383" s="119">
        <f t="shared" si="119"/>
        <v>0</v>
      </c>
      <c r="U383" s="119">
        <f t="shared" si="120"/>
        <v>0</v>
      </c>
      <c r="V383" s="119">
        <f t="shared" si="121"/>
        <v>0</v>
      </c>
      <c r="W383" s="119">
        <f t="shared" si="122"/>
        <v>0</v>
      </c>
      <c r="X383" s="119">
        <f t="shared" si="123"/>
        <v>0</v>
      </c>
      <c r="Y383" s="119">
        <f t="shared" si="124"/>
        <v>0</v>
      </c>
      <c r="Z383" s="119">
        <f t="shared" si="125"/>
        <v>0</v>
      </c>
      <c r="AA383" s="119">
        <f t="shared" si="126"/>
        <v>0</v>
      </c>
      <c r="AB383" s="119">
        <f t="shared" si="127"/>
        <v>0</v>
      </c>
      <c r="AC383" s="119">
        <f t="shared" si="128"/>
        <v>0</v>
      </c>
      <c r="AD383" s="119">
        <f t="shared" si="129"/>
        <v>0</v>
      </c>
      <c r="AE383" s="119">
        <f t="shared" si="130"/>
        <v>0</v>
      </c>
      <c r="AF383" s="119">
        <f t="shared" si="131"/>
        <v>0</v>
      </c>
      <c r="AG383" s="120">
        <f t="shared" ref="AG383:AG386" si="134">SUM(F383:AF383)</f>
        <v>0</v>
      </c>
      <c r="AH383" s="103" t="str">
        <f t="shared" ref="AH383:AH386" si="135">IF(ABS(E383-AG383)&lt;0.01,"ok","err")</f>
        <v>ok</v>
      </c>
    </row>
    <row r="384" spans="1:39" hidden="1" x14ac:dyDescent="0.25">
      <c r="A384" s="156">
        <v>20</v>
      </c>
      <c r="B384" s="156"/>
      <c r="C384" s="156"/>
      <c r="D384" s="156" t="s">
        <v>261</v>
      </c>
      <c r="E384" s="158">
        <v>0</v>
      </c>
      <c r="F384" s="158">
        <f t="shared" si="105"/>
        <v>0</v>
      </c>
      <c r="G384" s="158">
        <f t="shared" si="106"/>
        <v>0</v>
      </c>
      <c r="H384" s="158">
        <f t="shared" si="107"/>
        <v>0</v>
      </c>
      <c r="I384" s="158">
        <f t="shared" si="108"/>
        <v>0</v>
      </c>
      <c r="J384" s="158">
        <f t="shared" si="109"/>
        <v>0</v>
      </c>
      <c r="K384" s="158">
        <f t="shared" si="110"/>
        <v>0</v>
      </c>
      <c r="L384" s="158">
        <f t="shared" si="111"/>
        <v>0</v>
      </c>
      <c r="M384" s="119">
        <f t="shared" si="112"/>
        <v>0</v>
      </c>
      <c r="N384" s="119">
        <f t="shared" si="113"/>
        <v>0</v>
      </c>
      <c r="O384" s="119">
        <f t="shared" si="114"/>
        <v>0</v>
      </c>
      <c r="P384" s="119">
        <f t="shared" si="115"/>
        <v>0</v>
      </c>
      <c r="Q384" s="119">
        <f t="shared" si="116"/>
        <v>0</v>
      </c>
      <c r="R384" s="119">
        <f t="shared" si="117"/>
        <v>0</v>
      </c>
      <c r="S384" s="119">
        <f t="shared" si="118"/>
        <v>0</v>
      </c>
      <c r="T384" s="119">
        <f t="shared" si="119"/>
        <v>0</v>
      </c>
      <c r="U384" s="119">
        <f t="shared" si="120"/>
        <v>0</v>
      </c>
      <c r="V384" s="119">
        <f t="shared" si="121"/>
        <v>0</v>
      </c>
      <c r="W384" s="119">
        <f t="shared" si="122"/>
        <v>0</v>
      </c>
      <c r="X384" s="119">
        <f t="shared" si="123"/>
        <v>0</v>
      </c>
      <c r="Y384" s="119">
        <f t="shared" si="124"/>
        <v>0</v>
      </c>
      <c r="Z384" s="119">
        <f t="shared" si="125"/>
        <v>0</v>
      </c>
      <c r="AA384" s="119">
        <f t="shared" si="126"/>
        <v>0</v>
      </c>
      <c r="AB384" s="119">
        <f t="shared" si="127"/>
        <v>0</v>
      </c>
      <c r="AC384" s="119">
        <f t="shared" si="128"/>
        <v>0</v>
      </c>
      <c r="AD384" s="119">
        <f t="shared" si="129"/>
        <v>0</v>
      </c>
      <c r="AE384" s="119">
        <f t="shared" si="130"/>
        <v>0</v>
      </c>
      <c r="AF384" s="119">
        <f t="shared" si="131"/>
        <v>0</v>
      </c>
      <c r="AG384" s="120">
        <f t="shared" si="134"/>
        <v>0</v>
      </c>
      <c r="AH384" s="103" t="str">
        <f t="shared" si="135"/>
        <v>ok</v>
      </c>
    </row>
    <row r="385" spans="1:34" hidden="1" x14ac:dyDescent="0.25">
      <c r="A385" s="156">
        <v>21</v>
      </c>
      <c r="B385" s="156"/>
      <c r="C385" s="156"/>
      <c r="D385" s="156" t="s">
        <v>261</v>
      </c>
      <c r="E385" s="158">
        <v>0</v>
      </c>
      <c r="F385" s="158">
        <f t="shared" si="105"/>
        <v>0</v>
      </c>
      <c r="G385" s="158">
        <f t="shared" si="106"/>
        <v>0</v>
      </c>
      <c r="H385" s="158">
        <f t="shared" si="107"/>
        <v>0</v>
      </c>
      <c r="I385" s="158">
        <f t="shared" si="108"/>
        <v>0</v>
      </c>
      <c r="J385" s="158">
        <f t="shared" si="109"/>
        <v>0</v>
      </c>
      <c r="K385" s="158">
        <f t="shared" si="110"/>
        <v>0</v>
      </c>
      <c r="L385" s="158">
        <f t="shared" si="111"/>
        <v>0</v>
      </c>
      <c r="M385" s="119">
        <f t="shared" si="112"/>
        <v>0</v>
      </c>
      <c r="N385" s="119">
        <f t="shared" si="113"/>
        <v>0</v>
      </c>
      <c r="O385" s="119">
        <f t="shared" si="114"/>
        <v>0</v>
      </c>
      <c r="P385" s="119">
        <f t="shared" si="115"/>
        <v>0</v>
      </c>
      <c r="Q385" s="119">
        <f t="shared" si="116"/>
        <v>0</v>
      </c>
      <c r="R385" s="119">
        <f t="shared" si="117"/>
        <v>0</v>
      </c>
      <c r="S385" s="119">
        <f t="shared" si="118"/>
        <v>0</v>
      </c>
      <c r="T385" s="119">
        <f t="shared" si="119"/>
        <v>0</v>
      </c>
      <c r="U385" s="119">
        <f t="shared" si="120"/>
        <v>0</v>
      </c>
      <c r="V385" s="119">
        <f t="shared" si="121"/>
        <v>0</v>
      </c>
      <c r="W385" s="119">
        <f t="shared" si="122"/>
        <v>0</v>
      </c>
      <c r="X385" s="119">
        <f t="shared" si="123"/>
        <v>0</v>
      </c>
      <c r="Y385" s="119">
        <f t="shared" si="124"/>
        <v>0</v>
      </c>
      <c r="Z385" s="119">
        <f t="shared" si="125"/>
        <v>0</v>
      </c>
      <c r="AA385" s="119">
        <f t="shared" si="126"/>
        <v>0</v>
      </c>
      <c r="AB385" s="119">
        <f t="shared" si="127"/>
        <v>0</v>
      </c>
      <c r="AC385" s="119">
        <f t="shared" si="128"/>
        <v>0</v>
      </c>
      <c r="AD385" s="119">
        <f t="shared" si="129"/>
        <v>0</v>
      </c>
      <c r="AE385" s="119">
        <f t="shared" si="130"/>
        <v>0</v>
      </c>
      <c r="AF385" s="119">
        <f t="shared" si="131"/>
        <v>0</v>
      </c>
      <c r="AG385" s="120">
        <f t="shared" si="134"/>
        <v>0</v>
      </c>
      <c r="AH385" s="103" t="str">
        <f t="shared" si="135"/>
        <v>ok</v>
      </c>
    </row>
    <row r="386" spans="1:34" hidden="1" x14ac:dyDescent="0.25">
      <c r="A386" s="159">
        <v>22</v>
      </c>
      <c r="B386" s="156"/>
      <c r="C386" s="156"/>
      <c r="D386" s="156" t="s">
        <v>261</v>
      </c>
      <c r="E386" s="158">
        <v>0</v>
      </c>
      <c r="F386" s="158">
        <f t="shared" si="105"/>
        <v>0</v>
      </c>
      <c r="G386" s="158">
        <f t="shared" si="106"/>
        <v>0</v>
      </c>
      <c r="H386" s="158">
        <f t="shared" si="107"/>
        <v>0</v>
      </c>
      <c r="I386" s="158">
        <f t="shared" si="108"/>
        <v>0</v>
      </c>
      <c r="J386" s="158">
        <f t="shared" si="109"/>
        <v>0</v>
      </c>
      <c r="K386" s="158">
        <f t="shared" si="110"/>
        <v>0</v>
      </c>
      <c r="L386" s="158">
        <f t="shared" si="111"/>
        <v>0</v>
      </c>
      <c r="M386" s="119">
        <f t="shared" si="112"/>
        <v>0</v>
      </c>
      <c r="N386" s="119">
        <f t="shared" si="113"/>
        <v>0</v>
      </c>
      <c r="O386" s="119">
        <f t="shared" si="114"/>
        <v>0</v>
      </c>
      <c r="P386" s="119">
        <f t="shared" si="115"/>
        <v>0</v>
      </c>
      <c r="Q386" s="119">
        <f t="shared" si="116"/>
        <v>0</v>
      </c>
      <c r="R386" s="119">
        <f t="shared" si="117"/>
        <v>0</v>
      </c>
      <c r="S386" s="119">
        <f t="shared" si="118"/>
        <v>0</v>
      </c>
      <c r="T386" s="119">
        <f t="shared" si="119"/>
        <v>0</v>
      </c>
      <c r="U386" s="119">
        <f t="shared" si="120"/>
        <v>0</v>
      </c>
      <c r="V386" s="119">
        <f t="shared" si="121"/>
        <v>0</v>
      </c>
      <c r="W386" s="119">
        <f t="shared" si="122"/>
        <v>0</v>
      </c>
      <c r="X386" s="119">
        <f t="shared" si="123"/>
        <v>0</v>
      </c>
      <c r="Y386" s="119">
        <f t="shared" si="124"/>
        <v>0</v>
      </c>
      <c r="Z386" s="119">
        <f t="shared" si="125"/>
        <v>0</v>
      </c>
      <c r="AA386" s="119">
        <f t="shared" si="126"/>
        <v>0</v>
      </c>
      <c r="AB386" s="119">
        <f t="shared" si="127"/>
        <v>0</v>
      </c>
      <c r="AC386" s="119">
        <f t="shared" si="128"/>
        <v>0</v>
      </c>
      <c r="AD386" s="119">
        <f t="shared" si="129"/>
        <v>0</v>
      </c>
      <c r="AE386" s="119">
        <f t="shared" si="130"/>
        <v>0</v>
      </c>
      <c r="AF386" s="119">
        <f t="shared" si="131"/>
        <v>0</v>
      </c>
      <c r="AG386" s="120">
        <f t="shared" si="134"/>
        <v>0</v>
      </c>
      <c r="AH386" s="103" t="str">
        <f t="shared" si="135"/>
        <v>ok</v>
      </c>
    </row>
    <row r="387" spans="1:34" hidden="1" x14ac:dyDescent="0.25">
      <c r="A387" s="159">
        <v>23</v>
      </c>
      <c r="B387" s="156"/>
      <c r="C387" s="156"/>
      <c r="D387" s="156" t="s">
        <v>261</v>
      </c>
      <c r="E387" s="158">
        <v>0</v>
      </c>
      <c r="F387" s="158">
        <f t="shared" si="105"/>
        <v>0</v>
      </c>
      <c r="G387" s="158">
        <f t="shared" si="106"/>
        <v>0</v>
      </c>
      <c r="H387" s="158">
        <f t="shared" si="107"/>
        <v>0</v>
      </c>
      <c r="I387" s="158">
        <f t="shared" si="108"/>
        <v>0</v>
      </c>
      <c r="J387" s="158">
        <f t="shared" si="109"/>
        <v>0</v>
      </c>
      <c r="K387" s="158">
        <f t="shared" si="110"/>
        <v>0</v>
      </c>
      <c r="L387" s="158">
        <f t="shared" si="111"/>
        <v>0</v>
      </c>
      <c r="M387" s="119">
        <f t="shared" si="112"/>
        <v>0</v>
      </c>
      <c r="N387" s="119">
        <f t="shared" si="113"/>
        <v>0</v>
      </c>
      <c r="O387" s="119">
        <f t="shared" si="114"/>
        <v>0</v>
      </c>
      <c r="P387" s="119">
        <f t="shared" si="115"/>
        <v>0</v>
      </c>
      <c r="Q387" s="119">
        <f t="shared" si="116"/>
        <v>0</v>
      </c>
      <c r="R387" s="119">
        <f t="shared" si="117"/>
        <v>0</v>
      </c>
      <c r="S387" s="119">
        <f t="shared" si="118"/>
        <v>0</v>
      </c>
      <c r="T387" s="119">
        <f t="shared" si="119"/>
        <v>0</v>
      </c>
      <c r="U387" s="119">
        <f t="shared" si="120"/>
        <v>0</v>
      </c>
      <c r="V387" s="119">
        <f t="shared" si="121"/>
        <v>0</v>
      </c>
      <c r="W387" s="119">
        <f t="shared" si="122"/>
        <v>0</v>
      </c>
      <c r="X387" s="119">
        <f t="shared" si="123"/>
        <v>0</v>
      </c>
      <c r="Y387" s="119">
        <f t="shared" si="124"/>
        <v>0</v>
      </c>
      <c r="Z387" s="119">
        <f t="shared" si="125"/>
        <v>0</v>
      </c>
      <c r="AA387" s="119">
        <f t="shared" si="126"/>
        <v>0</v>
      </c>
      <c r="AB387" s="119">
        <f t="shared" si="127"/>
        <v>0</v>
      </c>
      <c r="AC387" s="119">
        <f t="shared" si="128"/>
        <v>0</v>
      </c>
      <c r="AD387" s="119">
        <f t="shared" si="129"/>
        <v>0</v>
      </c>
      <c r="AE387" s="119">
        <f t="shared" si="130"/>
        <v>0</v>
      </c>
      <c r="AF387" s="119">
        <f t="shared" si="131"/>
        <v>0</v>
      </c>
      <c r="AG387" s="120">
        <f t="shared" ref="AG387:AG388" si="136">SUM(F387:AF387)</f>
        <v>0</v>
      </c>
      <c r="AH387" s="103" t="str">
        <f t="shared" ref="AH387:AH388" si="137">IF(ABS(E387-AG387)&lt;0.01,"ok","err")</f>
        <v>ok</v>
      </c>
    </row>
    <row r="388" spans="1:34" hidden="1" x14ac:dyDescent="0.25">
      <c r="A388" s="156">
        <v>24</v>
      </c>
      <c r="B388" s="156"/>
      <c r="C388" s="156"/>
      <c r="D388" s="156" t="s">
        <v>261</v>
      </c>
      <c r="E388" s="158">
        <v>0</v>
      </c>
      <c r="F388" s="158">
        <f t="shared" si="105"/>
        <v>0</v>
      </c>
      <c r="G388" s="158">
        <f t="shared" si="106"/>
        <v>0</v>
      </c>
      <c r="H388" s="158">
        <f t="shared" si="107"/>
        <v>0</v>
      </c>
      <c r="I388" s="158">
        <f t="shared" si="108"/>
        <v>0</v>
      </c>
      <c r="J388" s="158">
        <f t="shared" si="109"/>
        <v>0</v>
      </c>
      <c r="K388" s="158">
        <f t="shared" si="110"/>
        <v>0</v>
      </c>
      <c r="L388" s="158">
        <f t="shared" si="111"/>
        <v>0</v>
      </c>
      <c r="M388" s="119">
        <f t="shared" si="112"/>
        <v>0</v>
      </c>
      <c r="N388" s="119">
        <f t="shared" si="113"/>
        <v>0</v>
      </c>
      <c r="O388" s="119">
        <f t="shared" si="114"/>
        <v>0</v>
      </c>
      <c r="P388" s="119">
        <f t="shared" si="115"/>
        <v>0</v>
      </c>
      <c r="Q388" s="119">
        <f t="shared" si="116"/>
        <v>0</v>
      </c>
      <c r="R388" s="119">
        <f t="shared" si="117"/>
        <v>0</v>
      </c>
      <c r="S388" s="119">
        <f t="shared" si="118"/>
        <v>0</v>
      </c>
      <c r="T388" s="119">
        <f t="shared" si="119"/>
        <v>0</v>
      </c>
      <c r="U388" s="119">
        <f t="shared" si="120"/>
        <v>0</v>
      </c>
      <c r="V388" s="119">
        <f t="shared" si="121"/>
        <v>0</v>
      </c>
      <c r="W388" s="119">
        <f t="shared" si="122"/>
        <v>0</v>
      </c>
      <c r="X388" s="119">
        <f t="shared" si="123"/>
        <v>0</v>
      </c>
      <c r="Y388" s="119">
        <f t="shared" si="124"/>
        <v>0</v>
      </c>
      <c r="Z388" s="119">
        <f t="shared" si="125"/>
        <v>0</v>
      </c>
      <c r="AA388" s="119">
        <f t="shared" si="126"/>
        <v>0</v>
      </c>
      <c r="AB388" s="119">
        <f t="shared" si="127"/>
        <v>0</v>
      </c>
      <c r="AC388" s="119">
        <f t="shared" si="128"/>
        <v>0</v>
      </c>
      <c r="AD388" s="119">
        <f t="shared" si="129"/>
        <v>0</v>
      </c>
      <c r="AE388" s="119">
        <f t="shared" si="130"/>
        <v>0</v>
      </c>
      <c r="AF388" s="119">
        <f t="shared" si="131"/>
        <v>0</v>
      </c>
      <c r="AG388" s="120">
        <f t="shared" si="136"/>
        <v>0</v>
      </c>
      <c r="AH388" s="103" t="str">
        <f t="shared" si="137"/>
        <v>ok</v>
      </c>
    </row>
    <row r="389" spans="1:34" hidden="1" x14ac:dyDescent="0.25">
      <c r="A389" s="156">
        <v>25</v>
      </c>
      <c r="B389" s="156"/>
      <c r="C389" s="156"/>
      <c r="D389" s="156" t="s">
        <v>261</v>
      </c>
      <c r="E389" s="158">
        <v>0</v>
      </c>
      <c r="F389" s="158">
        <f t="shared" si="105"/>
        <v>0</v>
      </c>
      <c r="G389" s="158">
        <f t="shared" si="106"/>
        <v>0</v>
      </c>
      <c r="H389" s="158">
        <f t="shared" si="107"/>
        <v>0</v>
      </c>
      <c r="I389" s="158">
        <f t="shared" si="108"/>
        <v>0</v>
      </c>
      <c r="J389" s="158">
        <f t="shared" si="109"/>
        <v>0</v>
      </c>
      <c r="K389" s="158">
        <f t="shared" si="110"/>
        <v>0</v>
      </c>
      <c r="L389" s="158">
        <f t="shared" si="111"/>
        <v>0</v>
      </c>
      <c r="M389" s="119">
        <f t="shared" si="112"/>
        <v>0</v>
      </c>
      <c r="N389" s="119">
        <f t="shared" si="113"/>
        <v>0</v>
      </c>
      <c r="O389" s="119">
        <f t="shared" si="114"/>
        <v>0</v>
      </c>
      <c r="P389" s="119">
        <f t="shared" si="115"/>
        <v>0</v>
      </c>
      <c r="Q389" s="119">
        <f t="shared" si="116"/>
        <v>0</v>
      </c>
      <c r="R389" s="119">
        <f t="shared" si="117"/>
        <v>0</v>
      </c>
      <c r="S389" s="119">
        <f t="shared" si="118"/>
        <v>0</v>
      </c>
      <c r="T389" s="119">
        <f t="shared" si="119"/>
        <v>0</v>
      </c>
      <c r="U389" s="119">
        <f t="shared" si="120"/>
        <v>0</v>
      </c>
      <c r="V389" s="119">
        <f t="shared" si="121"/>
        <v>0</v>
      </c>
      <c r="W389" s="119">
        <f t="shared" si="122"/>
        <v>0</v>
      </c>
      <c r="X389" s="119">
        <f t="shared" si="123"/>
        <v>0</v>
      </c>
      <c r="Y389" s="119">
        <f t="shared" si="124"/>
        <v>0</v>
      </c>
      <c r="Z389" s="119">
        <f t="shared" si="125"/>
        <v>0</v>
      </c>
      <c r="AA389" s="119">
        <f t="shared" si="126"/>
        <v>0</v>
      </c>
      <c r="AB389" s="119">
        <f t="shared" si="127"/>
        <v>0</v>
      </c>
      <c r="AC389" s="119">
        <f t="shared" si="128"/>
        <v>0</v>
      </c>
      <c r="AD389" s="119">
        <f t="shared" si="129"/>
        <v>0</v>
      </c>
      <c r="AE389" s="119">
        <f t="shared" si="130"/>
        <v>0</v>
      </c>
      <c r="AF389" s="119">
        <f t="shared" si="131"/>
        <v>0</v>
      </c>
      <c r="AG389" s="120">
        <f t="shared" ref="AG389" si="138">SUM(F389:AF389)</f>
        <v>0</v>
      </c>
      <c r="AH389" s="103" t="str">
        <f t="shared" ref="AH389" si="139">IF(ABS(E389-AG389)&lt;0.01,"ok","err")</f>
        <v>ok</v>
      </c>
    </row>
    <row r="390" spans="1:34" hidden="1" x14ac:dyDescent="0.25">
      <c r="A390" s="159">
        <v>26</v>
      </c>
      <c r="B390" s="156"/>
      <c r="C390" s="156"/>
      <c r="D390" s="156" t="s">
        <v>261</v>
      </c>
      <c r="E390" s="158">
        <v>0</v>
      </c>
      <c r="F390" s="158">
        <f t="shared" si="105"/>
        <v>0</v>
      </c>
      <c r="G390" s="158">
        <f t="shared" si="106"/>
        <v>0</v>
      </c>
      <c r="H390" s="158">
        <f t="shared" si="107"/>
        <v>0</v>
      </c>
      <c r="I390" s="158">
        <f t="shared" si="108"/>
        <v>0</v>
      </c>
      <c r="J390" s="158">
        <f t="shared" si="109"/>
        <v>0</v>
      </c>
      <c r="K390" s="158">
        <f t="shared" si="110"/>
        <v>0</v>
      </c>
      <c r="L390" s="158">
        <f t="shared" si="111"/>
        <v>0</v>
      </c>
      <c r="M390" s="119">
        <f t="shared" si="112"/>
        <v>0</v>
      </c>
      <c r="N390" s="119">
        <f t="shared" si="113"/>
        <v>0</v>
      </c>
      <c r="O390" s="119">
        <f t="shared" si="114"/>
        <v>0</v>
      </c>
      <c r="P390" s="119">
        <f t="shared" si="115"/>
        <v>0</v>
      </c>
      <c r="Q390" s="119">
        <f t="shared" si="116"/>
        <v>0</v>
      </c>
      <c r="R390" s="119">
        <f t="shared" si="117"/>
        <v>0</v>
      </c>
      <c r="S390" s="119">
        <f t="shared" si="118"/>
        <v>0</v>
      </c>
      <c r="T390" s="119">
        <f t="shared" si="119"/>
        <v>0</v>
      </c>
      <c r="U390" s="119">
        <f t="shared" si="120"/>
        <v>0</v>
      </c>
      <c r="V390" s="119">
        <f t="shared" si="121"/>
        <v>0</v>
      </c>
      <c r="W390" s="119">
        <f t="shared" si="122"/>
        <v>0</v>
      </c>
      <c r="X390" s="119">
        <f t="shared" si="123"/>
        <v>0</v>
      </c>
      <c r="Y390" s="119">
        <f t="shared" si="124"/>
        <v>0</v>
      </c>
      <c r="Z390" s="119">
        <f t="shared" si="125"/>
        <v>0</v>
      </c>
      <c r="AA390" s="119">
        <f t="shared" si="126"/>
        <v>0</v>
      </c>
      <c r="AB390" s="119">
        <f t="shared" si="127"/>
        <v>0</v>
      </c>
      <c r="AC390" s="119">
        <f t="shared" si="128"/>
        <v>0</v>
      </c>
      <c r="AD390" s="119">
        <f t="shared" si="129"/>
        <v>0</v>
      </c>
      <c r="AE390" s="119">
        <f t="shared" si="130"/>
        <v>0</v>
      </c>
      <c r="AF390" s="119">
        <f t="shared" si="131"/>
        <v>0</v>
      </c>
      <c r="AG390" s="120">
        <f t="shared" si="96"/>
        <v>0</v>
      </c>
      <c r="AH390" s="103" t="str">
        <f t="shared" si="97"/>
        <v>ok</v>
      </c>
    </row>
    <row r="391" spans="1:34" x14ac:dyDescent="0.25">
      <c r="B391" s="151" t="s">
        <v>892</v>
      </c>
      <c r="E391" s="137">
        <f>SUM(E365:E390)</f>
        <v>-20422498.728591781</v>
      </c>
      <c r="F391" s="137">
        <f t="shared" ref="F391:U391" si="140">SUM(F365:F390)</f>
        <v>-7781439.9694738397</v>
      </c>
      <c r="G391" s="137">
        <f t="shared" si="140"/>
        <v>-24418.853164192038</v>
      </c>
      <c r="H391" s="137">
        <f t="shared" si="140"/>
        <v>-193402.15980027438</v>
      </c>
      <c r="I391" s="137">
        <f t="shared" si="140"/>
        <v>7863.1699790286111</v>
      </c>
      <c r="J391" s="137">
        <f t="shared" si="140"/>
        <v>-5314.1404585652108</v>
      </c>
      <c r="K391" s="137">
        <f t="shared" si="140"/>
        <v>-24586.64233794083</v>
      </c>
      <c r="L391" s="137">
        <f t="shared" si="140"/>
        <v>-401576.27852432826</v>
      </c>
      <c r="M391" s="137">
        <f t="shared" si="140"/>
        <v>-1796083.2372736819</v>
      </c>
      <c r="N391" s="137">
        <f t="shared" si="140"/>
        <v>-13688.605861589318</v>
      </c>
      <c r="O391" s="137">
        <f t="shared" si="140"/>
        <v>0</v>
      </c>
      <c r="P391" s="137">
        <f t="shared" si="140"/>
        <v>-9328.3363006986401</v>
      </c>
      <c r="Q391" s="137">
        <f t="shared" si="140"/>
        <v>-749848.66555868182</v>
      </c>
      <c r="R391" s="137">
        <f t="shared" si="140"/>
        <v>-1095722.2077628269</v>
      </c>
      <c r="S391" s="137">
        <f t="shared" si="140"/>
        <v>-1098265.3165097521</v>
      </c>
      <c r="T391" s="137">
        <f t="shared" si="140"/>
        <v>-4818138.5418449724</v>
      </c>
      <c r="U391" s="137">
        <f t="shared" si="140"/>
        <v>-2418548.943699467</v>
      </c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37">
        <f t="shared" si="96"/>
        <v>-20422498.728591785</v>
      </c>
      <c r="AH391" s="103" t="str">
        <f t="shared" si="97"/>
        <v>ok</v>
      </c>
    </row>
    <row r="392" spans="1:34" x14ac:dyDescent="0.25">
      <c r="E392" s="120"/>
    </row>
    <row r="393" spans="1:34" x14ac:dyDescent="0.25">
      <c r="A393" s="102" t="s">
        <v>572</v>
      </c>
      <c r="E393" s="120">
        <f>E362+E391</f>
        <v>73253606.111408249</v>
      </c>
      <c r="F393" s="120">
        <f t="shared" ref="F393:U393" si="141">F362+F391</f>
        <v>33212775.789654426</v>
      </c>
      <c r="G393" s="120">
        <f t="shared" si="141"/>
        <v>92038.226091064571</v>
      </c>
      <c r="H393" s="120">
        <f t="shared" si="141"/>
        <v>984923.40524875757</v>
      </c>
      <c r="I393" s="120">
        <f t="shared" si="141"/>
        <v>834301.17181954905</v>
      </c>
      <c r="J393" s="120">
        <f t="shared" si="141"/>
        <v>161843.33043242138</v>
      </c>
      <c r="K393" s="120">
        <f t="shared" si="141"/>
        <v>141964.15883791703</v>
      </c>
      <c r="L393" s="120">
        <f t="shared" si="141"/>
        <v>1538358.6538274225</v>
      </c>
      <c r="M393" s="120">
        <f t="shared" si="141"/>
        <v>7468721.7610966321</v>
      </c>
      <c r="N393" s="120">
        <f t="shared" si="141"/>
        <v>50113.786484002194</v>
      </c>
      <c r="O393" s="120">
        <f t="shared" si="141"/>
        <v>0</v>
      </c>
      <c r="P393" s="120">
        <f t="shared" si="141"/>
        <v>164720.49338200488</v>
      </c>
      <c r="Q393" s="120">
        <f t="shared" si="141"/>
        <v>2069536.3344413182</v>
      </c>
      <c r="R393" s="120">
        <f t="shared" si="141"/>
        <v>3471294.7922371728</v>
      </c>
      <c r="S393" s="120">
        <f t="shared" si="141"/>
        <v>3083244.6834902479</v>
      </c>
      <c r="T393" s="120">
        <f t="shared" si="141"/>
        <v>12711490.458155029</v>
      </c>
      <c r="U393" s="120">
        <f t="shared" si="141"/>
        <v>7268279.056300533</v>
      </c>
      <c r="V393" s="120">
        <f t="shared" ref="V393:AF393" si="142">SUM(V362:V392)</f>
        <v>0</v>
      </c>
      <c r="W393" s="120">
        <f t="shared" si="142"/>
        <v>0</v>
      </c>
      <c r="X393" s="120">
        <f t="shared" si="142"/>
        <v>0</v>
      </c>
      <c r="Y393" s="120">
        <f t="shared" si="142"/>
        <v>0</v>
      </c>
      <c r="Z393" s="120">
        <f t="shared" si="142"/>
        <v>0</v>
      </c>
      <c r="AA393" s="120">
        <f t="shared" si="142"/>
        <v>0</v>
      </c>
      <c r="AB393" s="120">
        <f t="shared" si="142"/>
        <v>0</v>
      </c>
      <c r="AC393" s="120">
        <f t="shared" si="142"/>
        <v>0</v>
      </c>
      <c r="AD393" s="120">
        <f t="shared" si="142"/>
        <v>0</v>
      </c>
      <c r="AE393" s="120">
        <f t="shared" si="142"/>
        <v>0</v>
      </c>
      <c r="AF393" s="120">
        <f t="shared" si="142"/>
        <v>0</v>
      </c>
      <c r="AG393" s="120">
        <f>SUM(F393:AF393)</f>
        <v>73253606.1014985</v>
      </c>
      <c r="AH393" s="103" t="str">
        <f>IF(ABS(E393-AG393)&lt;0.01,"ok","err")</f>
        <v>ok</v>
      </c>
    </row>
    <row r="395" spans="1:34" x14ac:dyDescent="0.25">
      <c r="A395" s="132" t="s">
        <v>573</v>
      </c>
      <c r="E395" s="120">
        <f t="shared" ref="E395:AF395" si="143">E358-E393</f>
        <v>1472093.3799415678</v>
      </c>
      <c r="F395" s="120">
        <f t="shared" si="143"/>
        <v>-1984530.0560350567</v>
      </c>
      <c r="G395" s="120">
        <f t="shared" si="143"/>
        <v>-20312.368688140748</v>
      </c>
      <c r="H395" s="120">
        <f t="shared" si="143"/>
        <v>-82041.244453397929</v>
      </c>
      <c r="I395" s="120">
        <f t="shared" si="143"/>
        <v>-558826.2266405666</v>
      </c>
      <c r="J395" s="120">
        <f t="shared" si="143"/>
        <v>16614.663730337896</v>
      </c>
      <c r="K395" s="120">
        <f t="shared" si="143"/>
        <v>18747.015936501732</v>
      </c>
      <c r="L395" s="120">
        <f t="shared" si="143"/>
        <v>331663.09235546063</v>
      </c>
      <c r="M395" s="120">
        <f t="shared" si="143"/>
        <v>260173.20096205361</v>
      </c>
      <c r="N395" s="120">
        <f t="shared" si="143"/>
        <v>2800.3592170220218</v>
      </c>
      <c r="O395" s="120">
        <f t="shared" si="143"/>
        <v>0</v>
      </c>
      <c r="P395" s="120">
        <f t="shared" si="143"/>
        <v>930745.75911656849</v>
      </c>
      <c r="Q395" s="120">
        <f t="shared" si="143"/>
        <v>190578.17410488334</v>
      </c>
      <c r="R395" s="120">
        <f t="shared" si="143"/>
        <v>68787.826986273285</v>
      </c>
      <c r="S395" s="120">
        <f t="shared" si="143"/>
        <v>190762.50237123342</v>
      </c>
      <c r="T395" s="120">
        <f t="shared" si="143"/>
        <v>1806883.126533052</v>
      </c>
      <c r="U395" s="120">
        <f t="shared" si="143"/>
        <v>300047.56435510051</v>
      </c>
      <c r="V395" s="120">
        <f t="shared" si="143"/>
        <v>0</v>
      </c>
      <c r="W395" s="120">
        <f t="shared" si="143"/>
        <v>0</v>
      </c>
      <c r="X395" s="120">
        <f t="shared" si="143"/>
        <v>0</v>
      </c>
      <c r="Y395" s="120">
        <f t="shared" si="143"/>
        <v>0</v>
      </c>
      <c r="Z395" s="120">
        <f t="shared" si="143"/>
        <v>0</v>
      </c>
      <c r="AA395" s="120">
        <f t="shared" si="143"/>
        <v>0</v>
      </c>
      <c r="AB395" s="120">
        <f t="shared" si="143"/>
        <v>0</v>
      </c>
      <c r="AC395" s="120">
        <f t="shared" si="143"/>
        <v>0</v>
      </c>
      <c r="AD395" s="120">
        <f t="shared" si="143"/>
        <v>0</v>
      </c>
      <c r="AE395" s="120">
        <f t="shared" si="143"/>
        <v>0</v>
      </c>
      <c r="AF395" s="120">
        <f t="shared" si="143"/>
        <v>0</v>
      </c>
      <c r="AG395" s="120">
        <f>SUM(F395:AF395)</f>
        <v>1472093.3898513247</v>
      </c>
      <c r="AH395" s="103" t="str">
        <f>IF(ABS(E395-AG395)&lt;0.01,"ok","err")</f>
        <v>ok</v>
      </c>
    </row>
    <row r="397" spans="1:34" x14ac:dyDescent="0.25">
      <c r="A397" s="132" t="s">
        <v>249</v>
      </c>
      <c r="E397" s="120">
        <f t="shared" ref="E397:AF397" si="144">E328</f>
        <v>78429275.0319231</v>
      </c>
      <c r="F397" s="120">
        <f t="shared" si="144"/>
        <v>61094993.962671965</v>
      </c>
      <c r="G397" s="120">
        <f t="shared" si="144"/>
        <v>157793.01300400172</v>
      </c>
      <c r="H397" s="120">
        <f t="shared" si="144"/>
        <v>2421867.0116914054</v>
      </c>
      <c r="I397" s="120">
        <f t="shared" si="144"/>
        <v>4889403.1404193845</v>
      </c>
      <c r="J397" s="120">
        <f t="shared" si="144"/>
        <v>858297.71538946417</v>
      </c>
      <c r="K397" s="120">
        <f t="shared" si="144"/>
        <v>391615.16491669056</v>
      </c>
      <c r="L397" s="120">
        <f t="shared" si="144"/>
        <v>1432154.4159477737</v>
      </c>
      <c r="M397" s="120">
        <f t="shared" si="144"/>
        <v>4569496.4814591585</v>
      </c>
      <c r="N397" s="120">
        <f t="shared" si="144"/>
        <v>42188.766940090216</v>
      </c>
      <c r="O397" s="120">
        <f t="shared" si="144"/>
        <v>0</v>
      </c>
      <c r="P397" s="120">
        <f t="shared" si="144"/>
        <v>2571465.3594831452</v>
      </c>
      <c r="Q397" s="120">
        <f t="shared" si="144"/>
        <v>0</v>
      </c>
      <c r="R397" s="120">
        <f t="shared" si="144"/>
        <v>0</v>
      </c>
      <c r="S397" s="120">
        <f t="shared" si="144"/>
        <v>0</v>
      </c>
      <c r="T397" s="120">
        <f t="shared" si="144"/>
        <v>0</v>
      </c>
      <c r="U397" s="120">
        <f t="shared" si="144"/>
        <v>0</v>
      </c>
      <c r="V397" s="120">
        <f t="shared" si="144"/>
        <v>0</v>
      </c>
      <c r="W397" s="120">
        <f t="shared" si="144"/>
        <v>0</v>
      </c>
      <c r="X397" s="120">
        <f t="shared" si="144"/>
        <v>0</v>
      </c>
      <c r="Y397" s="120">
        <f t="shared" si="144"/>
        <v>0</v>
      </c>
      <c r="Z397" s="120">
        <f t="shared" si="144"/>
        <v>0</v>
      </c>
      <c r="AA397" s="120">
        <f t="shared" si="144"/>
        <v>0</v>
      </c>
      <c r="AB397" s="120">
        <f t="shared" si="144"/>
        <v>0</v>
      </c>
      <c r="AC397" s="120">
        <f t="shared" si="144"/>
        <v>0</v>
      </c>
      <c r="AD397" s="120">
        <f t="shared" si="144"/>
        <v>0</v>
      </c>
      <c r="AE397" s="120">
        <f t="shared" si="144"/>
        <v>0</v>
      </c>
      <c r="AF397" s="120">
        <f t="shared" si="144"/>
        <v>0</v>
      </c>
      <c r="AG397" s="120">
        <f>SUM(F397:AF397)</f>
        <v>78429275.031923085</v>
      </c>
      <c r="AH397" s="103" t="str">
        <f>IF(ABS(E397-AG397)&lt;0.01,"ok","err")</f>
        <v>ok</v>
      </c>
    </row>
    <row r="398" spans="1:34" x14ac:dyDescent="0.25">
      <c r="A398" s="102" t="s">
        <v>747</v>
      </c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03"/>
    </row>
    <row r="399" spans="1:34" x14ac:dyDescent="0.25">
      <c r="A399" s="132"/>
      <c r="B399" s="102" t="s">
        <v>1014</v>
      </c>
      <c r="D399" s="102" t="s">
        <v>261</v>
      </c>
      <c r="E399" s="120">
        <v>0</v>
      </c>
      <c r="F399" s="119">
        <f>IF(VLOOKUP($D399,$C$5:$AT$528,3,)=0,0,(VLOOKUP($D399,$C$5:$AT$528,4,)/VLOOKUP($D399,$C$5:$AT$528,3,))*$E399)</f>
        <v>0</v>
      </c>
      <c r="G399" s="119">
        <f>IF(VLOOKUP($D399,$C$5:$AT$528,3,)=0,0,(VLOOKUP($D399,$C$5:$AT$528,5,)/VLOOKUP($D399,$C$5:$AT$528,3,))*$E399)</f>
        <v>0</v>
      </c>
      <c r="H399" s="119">
        <f>IF(VLOOKUP($D399,$C$5:$AT$528,3,)=0,0,(VLOOKUP($D399,$C$5:$AT$528,6,)/VLOOKUP($D399,$C$5:$AT$528,3,))*$E399)</f>
        <v>0</v>
      </c>
      <c r="I399" s="119">
        <f>IF(VLOOKUP($D399,$C$5:$AT$528,3,)=0,0,(VLOOKUP($D399,$C$5:$AT$528,7,)/VLOOKUP($D399,$C$5:$AT$528,3,))*$E399)</f>
        <v>0</v>
      </c>
      <c r="J399" s="119">
        <f>IF(VLOOKUP($D399,$C$5:$AT$528,3,)=0,0,(VLOOKUP($D399,$C$5:$AT$528,8,)/VLOOKUP($D399,$C$5:$AT$528,3,))*$E399)</f>
        <v>0</v>
      </c>
      <c r="K399" s="119">
        <f>IF(VLOOKUP($D399,$C$5:$AT$528,3,)=0,0,(VLOOKUP($D399,$C$5:$AT$528,9,)/VLOOKUP($D399,$C$5:$AT$528,3,))*$E399)</f>
        <v>0</v>
      </c>
      <c r="L399" s="119">
        <f>IF(VLOOKUP($D399,$C$5:$AT$528,3,)=0,0,(VLOOKUP($D399,$C$5:$AT$528,10,)/VLOOKUP($D399,$C$5:$AT$528,3,))*$E399)</f>
        <v>0</v>
      </c>
      <c r="M399" s="119">
        <f>IF(VLOOKUP($D399,$C$5:$AT$528,3,)=0,0,(VLOOKUP($D399,$C$5:$AT$528,11,)/VLOOKUP($D399,$C$5:$AT$528,3,))*$E399)</f>
        <v>0</v>
      </c>
      <c r="N399" s="119">
        <f>IF(VLOOKUP($D399,$C$5:$AT$528,3,)=0,0,(VLOOKUP($D399,$C$5:$AT$528,12,)/VLOOKUP($D399,$C$5:$AT$528,3,))*$E399)</f>
        <v>0</v>
      </c>
      <c r="O399" s="119">
        <f>IF(VLOOKUP($D399,$C$5:$AT$528,3,)=0,0,(VLOOKUP($D399,$C$5:$AT$528,13,)/VLOOKUP($D399,$C$5:$AT$528,3,))*$E399)</f>
        <v>0</v>
      </c>
      <c r="P399" s="119">
        <f>IF(VLOOKUP($D399,$C$5:$AT$528,3,)=0,0,(VLOOKUP($D399,$C$5:$AT$528,14,)/VLOOKUP($D399,$C$5:$AT$528,3,))*$E399)</f>
        <v>0</v>
      </c>
      <c r="Q399" s="119">
        <f>IF(VLOOKUP($D399,$C$5:$AT$528,3,)=0,0,(VLOOKUP($D399,$C$5:$AT$528,15,)/VLOOKUP($D399,$C$5:$AT$528,3,))*$E399)</f>
        <v>0</v>
      </c>
      <c r="R399" s="119">
        <f>IF(VLOOKUP($D399,$C$5:$AT$528,3,)=0,0,(VLOOKUP($D399,$C$5:$AT$528,16,)/VLOOKUP($D399,$C$5:$AT$528,3,))*$E399)</f>
        <v>0</v>
      </c>
      <c r="S399" s="119">
        <f>IF(VLOOKUP($D399,$C$5:$AT$528,3,)=0,0,(VLOOKUP($D399,$C$5:$AT$528,17,)/VLOOKUP($D399,$C$5:$AT$528,3,))*$E399)</f>
        <v>0</v>
      </c>
      <c r="T399" s="119">
        <f>IF(VLOOKUP($D399,$C$5:$AT$528,3,)=0,0,(VLOOKUP($D399,$C$5:$AT$528,18,)/VLOOKUP($D399,$C$5:$AT$528,3,))*$E399)</f>
        <v>0</v>
      </c>
      <c r="U399" s="119">
        <f>IF(VLOOKUP($D399,$C$5:$AT$528,3,)=0,0,(VLOOKUP($D399,$C$5:$AT$528,19,)/VLOOKUP($D399,$C$5:$AT$528,3,))*$E399)</f>
        <v>0</v>
      </c>
      <c r="V399" s="119">
        <f>IF(VLOOKUP($D399,$C$5:$AT$528,3,)=0,0,(VLOOKUP($D399,$C$5:$AT$528,20,)/VLOOKUP($D399,$C$5:$AT$528,3,))*$E399)</f>
        <v>0</v>
      </c>
      <c r="W399" s="119">
        <f>IF(VLOOKUP($D399,$C$5:$AT$528,3,)=0,0,(VLOOKUP($D399,$C$5:$AT$528,21,)/VLOOKUP($D399,$C$5:$AT$528,3,))*$E399)</f>
        <v>0</v>
      </c>
      <c r="X399" s="119">
        <f>IF(VLOOKUP($D399,$C$5:$AT$528,3,)=0,0,(VLOOKUP($D399,$C$5:$AT$528,22,)/VLOOKUP($D399,$C$5:$AT$528,3,))*$E399)</f>
        <v>0</v>
      </c>
      <c r="Y399" s="119">
        <f>IF(VLOOKUP($D399,$C$5:$AT$528,3,)=0,0,(VLOOKUP($D399,$C$5:$AT$528,23,)/VLOOKUP($D399,$C$5:$AT$528,3,))*$E399)</f>
        <v>0</v>
      </c>
      <c r="Z399" s="119">
        <f>IF(VLOOKUP($D399,$C$5:$AT$528,3,)=0,0,(VLOOKUP($D399,$C$5:$AT$528,24,)/VLOOKUP($D399,$C$5:$AT$528,3,))*$E399)</f>
        <v>0</v>
      </c>
      <c r="AA399" s="119">
        <f>IF(VLOOKUP($D399,$C$5:$AT$528,3,)=0,0,(VLOOKUP($D399,$C$5:$AT$528,25,)/VLOOKUP($D399,$C$5:$AT$528,3,))*$E399)</f>
        <v>0</v>
      </c>
      <c r="AB399" s="119">
        <f>IF(VLOOKUP($D399,$C$5:$AT$528,3,)=0,0,(VLOOKUP($D399,$C$5:$AT$528,26,)/VLOOKUP($D399,$C$5:$AT$528,3,))*$E399)</f>
        <v>0</v>
      </c>
      <c r="AC399" s="119">
        <f>IF(VLOOKUP($D399,$C$5:$AT$528,3,)=0,0,(VLOOKUP($D399,$C$5:$AT$528,27,)/VLOOKUP($D399,$C$5:$AT$528,3,))*$E399)</f>
        <v>0</v>
      </c>
      <c r="AD399" s="119">
        <f>IF(VLOOKUP($D399,$C$5:$AT$528,3,)=0,0,(VLOOKUP($D399,$C$5:$AT$528,28,)/VLOOKUP($D399,$C$5:$AT$528,3,))*$E399)</f>
        <v>0</v>
      </c>
      <c r="AE399" s="119">
        <f>IF(VLOOKUP($D399,$C$5:$AT$528,3,)=0,0,(VLOOKUP($D399,$C$5:$AT$528,29,)/VLOOKUP($D399,$C$5:$AT$528,3,))*$E399)</f>
        <v>0</v>
      </c>
      <c r="AF399" s="119">
        <f>IF(VLOOKUP($D399,$C$5:$AT$528,3,)=0,0,(VLOOKUP($D399,$C$5:$AT$528,30,)/VLOOKUP($D399,$C$5:$AT$528,3,))*$E399)</f>
        <v>0</v>
      </c>
      <c r="AG399" s="120">
        <f>SUM(F399:AF399)</f>
        <v>0</v>
      </c>
      <c r="AH399" s="103" t="str">
        <f>IF(ABS(E399-AG399)&lt;0.01,"ok","err")</f>
        <v>ok</v>
      </c>
    </row>
    <row r="400" spans="1:34" x14ac:dyDescent="0.25">
      <c r="A400" s="132"/>
      <c r="E400" s="120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20"/>
      <c r="AH400" s="103"/>
    </row>
    <row r="401" spans="1:34" x14ac:dyDescent="0.25">
      <c r="A401" s="102" t="s">
        <v>746</v>
      </c>
      <c r="E401" s="120">
        <f>E397+E399</f>
        <v>78429275.0319231</v>
      </c>
      <c r="F401" s="120">
        <f t="shared" ref="F401:U401" si="145">F397+F399</f>
        <v>61094993.962671965</v>
      </c>
      <c r="G401" s="120">
        <f t="shared" si="145"/>
        <v>157793.01300400172</v>
      </c>
      <c r="H401" s="120">
        <f t="shared" si="145"/>
        <v>2421867.0116914054</v>
      </c>
      <c r="I401" s="120">
        <f t="shared" si="145"/>
        <v>4889403.1404193845</v>
      </c>
      <c r="J401" s="120">
        <f t="shared" si="145"/>
        <v>858297.71538946417</v>
      </c>
      <c r="K401" s="120">
        <f t="shared" si="145"/>
        <v>391615.16491669056</v>
      </c>
      <c r="L401" s="120">
        <f t="shared" si="145"/>
        <v>1432154.4159477737</v>
      </c>
      <c r="M401" s="120">
        <f t="shared" si="145"/>
        <v>4569496.4814591585</v>
      </c>
      <c r="N401" s="120">
        <f t="shared" si="145"/>
        <v>42188.766940090216</v>
      </c>
      <c r="O401" s="120">
        <f t="shared" si="145"/>
        <v>0</v>
      </c>
      <c r="P401" s="120">
        <f>P397+P399</f>
        <v>2571465.3594831452</v>
      </c>
      <c r="Q401" s="120">
        <f t="shared" si="145"/>
        <v>0</v>
      </c>
      <c r="R401" s="120">
        <f t="shared" si="145"/>
        <v>0</v>
      </c>
      <c r="S401" s="119">
        <f t="shared" si="145"/>
        <v>0</v>
      </c>
      <c r="T401" s="119">
        <f t="shared" si="145"/>
        <v>0</v>
      </c>
      <c r="U401" s="119">
        <f t="shared" si="145"/>
        <v>0</v>
      </c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20">
        <f>SUM(F401:AF401)</f>
        <v>78429275.031923085</v>
      </c>
      <c r="AH401" s="103" t="str">
        <f>IF(ABS(E401-AG401)&lt;0.01,"ok","err")</f>
        <v>ok</v>
      </c>
    </row>
    <row r="402" spans="1:34" ht="13.8" thickBot="1" x14ac:dyDescent="0.3"/>
    <row r="403" spans="1:34" ht="13.8" thickBot="1" x14ac:dyDescent="0.3">
      <c r="A403" s="142" t="s">
        <v>334</v>
      </c>
      <c r="B403" s="143"/>
      <c r="C403" s="143"/>
      <c r="D403" s="143"/>
      <c r="E403" s="160">
        <f>IF(E401=0,"NA",E395/E401)</f>
        <v>1.8769692558580721E-2</v>
      </c>
      <c r="F403" s="160">
        <f t="shared" ref="F403:U403" si="146">IF(F401=0,"NA",F395/F401)</f>
        <v>-3.2482695018311518E-2</v>
      </c>
      <c r="G403" s="160">
        <f t="shared" si="146"/>
        <v>-0.12872793478901132</v>
      </c>
      <c r="H403" s="160">
        <f t="shared" si="146"/>
        <v>-3.3875206217909223E-2</v>
      </c>
      <c r="I403" s="160">
        <f t="shared" si="146"/>
        <v>-0.11429334227339531</v>
      </c>
      <c r="J403" s="160">
        <f t="shared" si="146"/>
        <v>1.935769306201493E-2</v>
      </c>
      <c r="K403" s="160">
        <f t="shared" si="146"/>
        <v>4.7871016283268397E-2</v>
      </c>
      <c r="L403" s="160">
        <f t="shared" si="146"/>
        <v>0.2315833325388813</v>
      </c>
      <c r="M403" s="160">
        <f t="shared" si="146"/>
        <v>5.693695181027332E-2</v>
      </c>
      <c r="N403" s="160">
        <f t="shared" si="146"/>
        <v>6.63768917683384E-2</v>
      </c>
      <c r="O403" s="160" t="str">
        <f t="shared" si="146"/>
        <v>NA</v>
      </c>
      <c r="P403" s="160">
        <f t="shared" si="146"/>
        <v>0.36195150585409591</v>
      </c>
      <c r="Q403" s="160" t="str">
        <f t="shared" si="146"/>
        <v>NA</v>
      </c>
      <c r="R403" s="160" t="str">
        <f t="shared" si="146"/>
        <v>NA</v>
      </c>
      <c r="S403" s="160" t="str">
        <f t="shared" si="146"/>
        <v>NA</v>
      </c>
      <c r="T403" s="160" t="str">
        <f t="shared" si="146"/>
        <v>NA</v>
      </c>
      <c r="U403" s="160" t="str">
        <f t="shared" si="146"/>
        <v>NA</v>
      </c>
      <c r="V403" s="144" t="e">
        <f t="shared" ref="V403:AF403" si="147">V395/V397</f>
        <v>#DIV/0!</v>
      </c>
      <c r="W403" s="144" t="e">
        <f t="shared" si="147"/>
        <v>#DIV/0!</v>
      </c>
      <c r="X403" s="144" t="e">
        <f t="shared" si="147"/>
        <v>#DIV/0!</v>
      </c>
      <c r="Y403" s="144" t="e">
        <f t="shared" si="147"/>
        <v>#DIV/0!</v>
      </c>
      <c r="Z403" s="144" t="e">
        <f t="shared" si="147"/>
        <v>#DIV/0!</v>
      </c>
      <c r="AA403" s="144" t="e">
        <f t="shared" si="147"/>
        <v>#DIV/0!</v>
      </c>
      <c r="AB403" s="144" t="e">
        <f t="shared" si="147"/>
        <v>#DIV/0!</v>
      </c>
      <c r="AC403" s="144" t="e">
        <f t="shared" si="147"/>
        <v>#DIV/0!</v>
      </c>
      <c r="AD403" s="144" t="e">
        <f t="shared" si="147"/>
        <v>#DIV/0!</v>
      </c>
      <c r="AE403" s="144" t="e">
        <f t="shared" si="147"/>
        <v>#DIV/0!</v>
      </c>
      <c r="AF403" s="144" t="e">
        <f t="shared" si="147"/>
        <v>#DIV/0!</v>
      </c>
      <c r="AG403" s="120"/>
      <c r="AH403" s="103"/>
    </row>
    <row r="404" spans="1:34" x14ac:dyDescent="0.25">
      <c r="A404" s="132"/>
      <c r="B404" s="132"/>
      <c r="C404" s="132"/>
      <c r="D404" s="132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20"/>
      <c r="AH404" s="103"/>
    </row>
    <row r="407" spans="1:34" x14ac:dyDescent="0.25">
      <c r="A407" s="131" t="s">
        <v>567</v>
      </c>
    </row>
    <row r="409" spans="1:34" x14ac:dyDescent="0.25">
      <c r="A409" s="132" t="s">
        <v>335</v>
      </c>
    </row>
    <row r="410" spans="1:34" x14ac:dyDescent="0.25">
      <c r="A410" s="102" t="s">
        <v>336</v>
      </c>
      <c r="C410" s="102" t="s">
        <v>214</v>
      </c>
      <c r="D410" s="102" t="s">
        <v>11</v>
      </c>
      <c r="E410" s="161">
        <v>1</v>
      </c>
      <c r="F410" s="161">
        <f>IF(VLOOKUP($D410,$C$5:$AT$510,3,)=0,0,(VLOOKUP($D410,$C$5:$AT$510,4,)/VLOOKUP($D410,$C$5:$AT$510,3,))*$E410)</f>
        <v>0.31690135870862707</v>
      </c>
      <c r="G410" s="161">
        <f>IF(VLOOKUP($D410,$C$5:$AT$510,3,)=0,0,(VLOOKUP($D410,$C$5:$AT$510,5,)/VLOOKUP($D410,$C$5:$AT$510,3,))*$E410)</f>
        <v>9.3538295865943342E-4</v>
      </c>
      <c r="H410" s="161">
        <f>IF(VLOOKUP($D410,$C$5:$AT$510,3,)=0,0,(VLOOKUP($D410,$C$5:$AT$510,6,)/VLOOKUP($D410,$C$5:$AT$510,3,))*$E410)</f>
        <v>8.1324920427841459E-3</v>
      </c>
      <c r="I410" s="161">
        <f>IF(VLOOKUP($D410,$C$5:$AT$510,3,)=0,0,(VLOOKUP($D410,$C$5:$AT$510,7,)/VLOOKUP($D410,$C$5:$AT$510,3,))*$E410)</f>
        <v>8.1935355228022122E-4</v>
      </c>
      <c r="J410" s="161">
        <f>IF(VLOOKUP($D410,$C$5:$AT$510,3,)=0,0,(VLOOKUP($D410,$C$5:$AT$510,8,)/VLOOKUP($D410,$C$5:$AT$510,3,))*$E410)</f>
        <v>3.5926024042373282E-4</v>
      </c>
      <c r="K410" s="161">
        <f>IF(VLOOKUP($D410,$C$5:$AT$510,3,)=0,0,(VLOOKUP($D410,$C$5:$AT$510,9,)/VLOOKUP($D410,$C$5:$AT$510,3,))*$E410)</f>
        <v>9.4681312017776836E-4</v>
      </c>
      <c r="L410" s="161">
        <f>IF(VLOOKUP($D410,$C$5:$AT$510,3,)=0,0,(VLOOKUP($D410,$C$5:$AT$510,10,)/VLOOKUP($D410,$C$5:$AT$510,3,))*$E410)</f>
        <v>1.8529763529079073E-2</v>
      </c>
      <c r="M410" s="161">
        <f>IF(VLOOKUP($D410,$C$5:$AT$510,3,)=0,0,(VLOOKUP($D410,$C$5:$AT$510,11,)/VLOOKUP($D410,$C$5:$AT$510,3,))*$E410)</f>
        <v>0.10371876863814899</v>
      </c>
      <c r="N410" s="161">
        <f>IF(VLOOKUP($D410,$C$5:$AT$510,3,)=0,0,(VLOOKUP($D410,$C$5:$AT$510,12,)/VLOOKUP($D410,$C$5:$AT$510,3,))*$E410)</f>
        <v>6.3697902087421433E-4</v>
      </c>
      <c r="O410" s="161">
        <f>IF(VLOOKUP($D410,$C$5:$AT$510,3,)=0,0,(VLOOKUP($D410,$C$5:$AT$510,13,)/VLOOKUP($D410,$C$5:$AT$510,3,))*$E410)</f>
        <v>0</v>
      </c>
      <c r="P410" s="161">
        <f>IF(VLOOKUP($D410,$C$5:$AT$510,3,)=0,0,(VLOOKUP($D410,$C$5:$AT$510,14,)/VLOOKUP($D410,$C$5:$AT$510,3,))*$E410)</f>
        <v>1.6342744973853459E-4</v>
      </c>
      <c r="Q410" s="161">
        <f>IF(VLOOKUP($D410,$C$5:$AT$510,3,)=0,0,(VLOOKUP($D410,$C$5:$AT$510,15,)/VLOOKUP($D410,$C$5:$AT$510,3,))*$E410)</f>
        <v>4.0510884691872806E-2</v>
      </c>
      <c r="R410" s="161">
        <f>IF(VLOOKUP($D410,$C$5:$AT$510,3,)=0,0,(VLOOKUP($D410,$C$5:$AT$510,16,)/VLOOKUP($D410,$C$5:$AT$510,3,))*$E410)</f>
        <v>5.80094073553237E-2</v>
      </c>
      <c r="S410" s="161">
        <f>IF(VLOOKUP($D410,$C$5:$AT$510,3,)=0,0,(VLOOKUP($D410,$C$5:$AT$510,17,)/VLOOKUP($D410,$C$5:$AT$510,3,))*$E410)</f>
        <v>5.4882442467209649E-2</v>
      </c>
      <c r="T410" s="161">
        <f>IF(VLOOKUP($D410,$C$5:$AT$510,3,)=0,0,(VLOOKUP($D410,$C$5:$AT$510,18,)/VLOOKUP($D410,$C$5:$AT$510,3,))*$E410)</f>
        <v>0.25811622056919709</v>
      </c>
      <c r="U410" s="161">
        <f>IF(VLOOKUP($D410,$C$5:$AT$510,3,)=0,0,(VLOOKUP($D410,$C$5:$AT$510,19,)/VLOOKUP($D410,$C$5:$AT$510,3,))*$E410)</f>
        <v>0.13733744565560352</v>
      </c>
      <c r="V410" s="161">
        <f>IF(VLOOKUP($D410,$C$5:$AT$510,3,)=0,0,(VLOOKUP($D410,$C$5:$AT$510,20,)/VLOOKUP($D410,$C$5:$AT$510,3,))*$E410)</f>
        <v>0</v>
      </c>
      <c r="W410" s="161">
        <f>IF(VLOOKUP($D410,$C$5:$AT$510,3,)=0,0,(VLOOKUP($D410,$C$5:$AT$510,21,)/VLOOKUP($D410,$C$5:$AT$510,3,))*$E410)</f>
        <v>0</v>
      </c>
      <c r="X410" s="161">
        <f>IF(VLOOKUP($D410,$C$5:$AT$510,3,)=0,0,(VLOOKUP($D410,$C$5:$AT$510,22,)/VLOOKUP($D410,$C$5:$AT$510,3,))*$E410)</f>
        <v>0</v>
      </c>
      <c r="Y410" s="161">
        <f>IF(VLOOKUP($D410,$C$5:$AT$510,3,)=0,0,(VLOOKUP($D410,$C$5:$AT$510,23,)/VLOOKUP($D410,$C$5:$AT$510,3,))*$E410)</f>
        <v>0</v>
      </c>
      <c r="Z410" s="161">
        <f>IF(VLOOKUP($D410,$C$5:$AT$510,3,)=0,0,(VLOOKUP($D410,$C$5:$AT$510,24,)/VLOOKUP($D410,$C$5:$AT$510,3,))*$E410)</f>
        <v>0</v>
      </c>
      <c r="AA410" s="161">
        <f>IF(VLOOKUP($D410,$C$5:$AT$510,3,)=0,0,(VLOOKUP($D410,$C$5:$AT$510,25,)/VLOOKUP($D410,$C$5:$AT$510,3,))*$E410)</f>
        <v>0</v>
      </c>
      <c r="AB410" s="161">
        <f>IF(VLOOKUP($D410,$C$5:$AT$510,3,)=0,0,(VLOOKUP($D410,$C$5:$AT$510,26,)/VLOOKUP($D410,$C$5:$AT$510,3,))*$E410)</f>
        <v>0</v>
      </c>
      <c r="AC410" s="161">
        <f>IF(VLOOKUP($D410,$C$5:$AT$510,3,)=0,0,(VLOOKUP($D410,$C$5:$AT$510,27,)/VLOOKUP($D410,$C$5:$AT$510,3,))*$E410)</f>
        <v>0</v>
      </c>
      <c r="AD410" s="161">
        <f>IF(VLOOKUP($D410,$C$5:$AT$510,3,)=0,0,(VLOOKUP($D410,$C$5:$AT$510,28,)/VLOOKUP($D410,$C$5:$AT$510,3,))*$E410)</f>
        <v>0</v>
      </c>
      <c r="AE410" s="161">
        <f>IF(VLOOKUP($D410,$C$5:$AT$510,3,)=0,0,(VLOOKUP($D410,$C$5:$AT$510,29,)/VLOOKUP($D410,$C$5:$AT$510,3,))*$E410)</f>
        <v>0</v>
      </c>
      <c r="AF410" s="161">
        <f>IF(VLOOKUP($D410,$C$5:$AT$510,3,)=0,0,(VLOOKUP($D410,$C$5:$AT$510,30,)/VLOOKUP($D410,$C$5:$AT$510,3,))*$E410)</f>
        <v>0</v>
      </c>
      <c r="AG410" s="161">
        <f>SUM(F410:AF410)</f>
        <v>1</v>
      </c>
      <c r="AH410" s="103" t="str">
        <f>IF(ABS(E410-AG410)&lt;0.01,"ok","err")</f>
        <v>ok</v>
      </c>
    </row>
    <row r="412" spans="1:34" x14ac:dyDescent="0.25">
      <c r="A412" s="132" t="s">
        <v>337</v>
      </c>
    </row>
    <row r="413" spans="1:34" x14ac:dyDescent="0.25">
      <c r="A413" s="102" t="s">
        <v>338</v>
      </c>
      <c r="C413" s="102" t="s">
        <v>211</v>
      </c>
      <c r="D413" s="102" t="s">
        <v>936</v>
      </c>
      <c r="E413" s="122">
        <v>1</v>
      </c>
      <c r="F413" s="161">
        <f>IF(VLOOKUP($D413,$C$5:$AT$510,3,)=0,0,(VLOOKUP($D413,$C$5:$AT$510,4,)/VLOOKUP($D413,$C$5:$AT$510,3,))*$E413)</f>
        <v>0.46977395335442362</v>
      </c>
      <c r="G413" s="161">
        <f>IF(VLOOKUP($D413,$C$5:$AT$510,3,)=0,0,(VLOOKUP($D413,$C$5:$AT$510,5,)/VLOOKUP($D413,$C$5:$AT$510,3,))*$E413)</f>
        <v>1.3805855734126294E-3</v>
      </c>
      <c r="H413" s="161">
        <f>IF(VLOOKUP($D413,$C$5:$AT$510,3,)=0,0,(VLOOKUP($D413,$C$5:$AT$510,6,)/VLOOKUP($D413,$C$5:$AT$510,3,))*$E413)</f>
        <v>1.206359649024148E-2</v>
      </c>
      <c r="I413" s="161">
        <f>IF(VLOOKUP($D413,$C$5:$AT$510,3,)=0,0,(VLOOKUP($D413,$C$5:$AT$510,7,)/VLOOKUP($D413,$C$5:$AT$510,3,))*$E413)</f>
        <v>9.4742413023738629E-4</v>
      </c>
      <c r="J413" s="161">
        <f>IF(VLOOKUP($D413,$C$5:$AT$510,3,)=0,0,(VLOOKUP($D413,$C$5:$AT$510,8,)/VLOOKUP($D413,$C$5:$AT$510,3,))*$E413)</f>
        <v>5.3293339809386059E-4</v>
      </c>
      <c r="K413" s="161">
        <f>IF(VLOOKUP($D413,$C$5:$AT$510,3,)=0,0,(VLOOKUP($D413,$C$5:$AT$510,9,)/VLOOKUP($D413,$C$5:$AT$510,3,))*$E413)</f>
        <v>1.4104227431491782E-3</v>
      </c>
      <c r="L413" s="161">
        <f>IF(VLOOKUP($D413,$C$5:$AT$510,3,)=0,0,(VLOOKUP($D413,$C$5:$AT$510,10,)/VLOOKUP($D413,$C$5:$AT$510,3,))*$E413)</f>
        <v>2.2918206104866713E-2</v>
      </c>
      <c r="M413" s="161">
        <f>IF(VLOOKUP($D413,$C$5:$AT$510,3,)=0,0,(VLOOKUP($D413,$C$5:$AT$510,11,)/VLOOKUP($D413,$C$5:$AT$510,3,))*$E413)</f>
        <v>6.8416765655343131E-2</v>
      </c>
      <c r="N413" s="161">
        <f>IF(VLOOKUP($D413,$C$5:$AT$510,3,)=0,0,(VLOOKUP($D413,$C$5:$AT$510,12,)/VLOOKUP($D413,$C$5:$AT$510,3,))*$E413)</f>
        <v>7.0085978664582917E-4</v>
      </c>
      <c r="O413" s="161">
        <f>IF(VLOOKUP($D413,$C$5:$AT$510,3,)=0,0,(VLOOKUP($D413,$C$5:$AT$510,13,)/VLOOKUP($D413,$C$5:$AT$510,3,))*$E413)</f>
        <v>0</v>
      </c>
      <c r="P413" s="161">
        <f>IF(VLOOKUP($D413,$C$5:$AT$510,3,)=0,0,(VLOOKUP($D413,$C$5:$AT$510,14,)/VLOOKUP($D413,$C$5:$AT$510,3,))*$E413)</f>
        <v>1.3472092983905169E-4</v>
      </c>
      <c r="Q413" s="161">
        <f>IF(VLOOKUP($D413,$C$5:$AT$510,3,)=0,0,(VLOOKUP($D413,$C$5:$AT$510,15,)/VLOOKUP($D413,$C$5:$AT$510,3,))*$E413)</f>
        <v>3.0963511031930784E-2</v>
      </c>
      <c r="R413" s="161">
        <f>IF(VLOOKUP($D413,$C$5:$AT$510,3,)=0,0,(VLOOKUP($D413,$C$5:$AT$510,16,)/VLOOKUP($D413,$C$5:$AT$510,3,))*$E413)</f>
        <v>4.6624470011316414E-2</v>
      </c>
      <c r="S413" s="161">
        <f>IF(VLOOKUP($D413,$C$5:$AT$510,3,)=0,0,(VLOOKUP($D413,$C$5:$AT$510,17,)/VLOOKUP($D413,$C$5:$AT$510,3,))*$E413)</f>
        <v>5.0519901428599967E-2</v>
      </c>
      <c r="T413" s="161">
        <f>IF(VLOOKUP($D413,$C$5:$AT$510,3,)=0,0,(VLOOKUP($D413,$C$5:$AT$510,18,)/VLOOKUP($D413,$C$5:$AT$510,3,))*$E413)</f>
        <v>0.20149340302058649</v>
      </c>
      <c r="U413" s="161">
        <f>IF(VLOOKUP($D413,$C$5:$AT$510,3,)=0,0,(VLOOKUP($D413,$C$5:$AT$510,19,)/VLOOKUP($D413,$C$5:$AT$510,3,))*$E413)</f>
        <v>9.2119246341313507E-2</v>
      </c>
      <c r="V413" s="161">
        <f>IF(VLOOKUP($D413,$C$5:$AT$510,3,)=0,0,(VLOOKUP($D413,$C$5:$AT$510,20,)/VLOOKUP($D413,$C$5:$AT$510,3,))*$E413)</f>
        <v>0</v>
      </c>
      <c r="W413" s="161">
        <f>IF(VLOOKUP($D413,$C$5:$AT$510,3,)=0,0,(VLOOKUP($D413,$C$5:$AT$510,21,)/VLOOKUP($D413,$C$5:$AT$510,3,))*$E413)</f>
        <v>0</v>
      </c>
      <c r="X413" s="161">
        <f>IF(VLOOKUP($D413,$C$5:$AT$510,3,)=0,0,(VLOOKUP($D413,$C$5:$AT$510,22,)/VLOOKUP($D413,$C$5:$AT$510,3,))*$E413)</f>
        <v>0</v>
      </c>
      <c r="Y413" s="161">
        <f>IF(VLOOKUP($D413,$C$5:$AT$510,3,)=0,0,(VLOOKUP($D413,$C$5:$AT$510,23,)/VLOOKUP($D413,$C$5:$AT$510,3,))*$E413)</f>
        <v>0</v>
      </c>
      <c r="Z413" s="161">
        <f>IF(VLOOKUP($D413,$C$5:$AT$510,3,)=0,0,(VLOOKUP($D413,$C$5:$AT$510,24,)/VLOOKUP($D413,$C$5:$AT$510,3,))*$E413)</f>
        <v>0</v>
      </c>
      <c r="AA413" s="161">
        <f>IF(VLOOKUP($D413,$C$5:$AT$510,3,)=0,0,(VLOOKUP($D413,$C$5:$AT$510,25,)/VLOOKUP($D413,$C$5:$AT$510,3,))*$E413)</f>
        <v>0</v>
      </c>
      <c r="AB413" s="161">
        <f>IF(VLOOKUP($D413,$C$5:$AT$510,3,)=0,0,(VLOOKUP($D413,$C$5:$AT$510,26,)/VLOOKUP($D413,$C$5:$AT$510,3,))*$E413)</f>
        <v>0</v>
      </c>
      <c r="AC413" s="161">
        <f>IF(VLOOKUP($D413,$C$5:$AT$510,3,)=0,0,(VLOOKUP($D413,$C$5:$AT$510,27,)/VLOOKUP($D413,$C$5:$AT$510,3,))*$E413)</f>
        <v>0</v>
      </c>
      <c r="AD413" s="161">
        <f>IF(VLOOKUP($D413,$C$5:$AT$510,3,)=0,0,(VLOOKUP($D413,$C$5:$AT$510,28,)/VLOOKUP($D413,$C$5:$AT$510,3,))*$E413)</f>
        <v>0</v>
      </c>
      <c r="AE413" s="161">
        <f>IF(VLOOKUP($D413,$C$5:$AT$510,3,)=0,0,(VLOOKUP($D413,$C$5:$AT$510,29,)/VLOOKUP($D413,$C$5:$AT$510,3,))*$E413)</f>
        <v>0</v>
      </c>
      <c r="AF413" s="161">
        <f>IF(VLOOKUP($D413,$C$5:$AT$510,3,)=0,0,(VLOOKUP($D413,$C$5:$AT$510,30,)/VLOOKUP($D413,$C$5:$AT$510,3,))*$E413)</f>
        <v>0</v>
      </c>
      <c r="AG413" s="161">
        <f>SUM(F413:AF413)</f>
        <v>1</v>
      </c>
      <c r="AH413" s="103" t="str">
        <f t="shared" ref="AH413:AH418" si="148">IF(ABS(E413-AG413)&lt;0.01,"ok","err")</f>
        <v>ok</v>
      </c>
    </row>
    <row r="414" spans="1:34" x14ac:dyDescent="0.25">
      <c r="A414" s="102" t="s">
        <v>339</v>
      </c>
      <c r="C414" s="102" t="s">
        <v>218</v>
      </c>
      <c r="D414" s="102" t="s">
        <v>566</v>
      </c>
      <c r="E414" s="122">
        <v>1</v>
      </c>
      <c r="F414" s="161">
        <f ca="1">IF(VLOOKUP($D414,$C$5:$AT$510,3,)=0,0,(VLOOKUP($D414,$C$5:$AT$510,4,)/VLOOKUP($D414,$C$5:$AT$510,3,))*$E414)</f>
        <v>0.4854541053772356</v>
      </c>
      <c r="G414" s="161">
        <f ca="1">IF(VLOOKUP($D414,$C$5:$AT$510,3,)=0,0,(VLOOKUP($D414,$C$5:$AT$510,5,)/VLOOKUP($D414,$C$5:$AT$510,3,))*$E414)</f>
        <v>1.6513812941485709E-3</v>
      </c>
      <c r="H414" s="161">
        <f ca="1">IF(VLOOKUP($D414,$C$5:$AT$510,3,)=0,0,(VLOOKUP($D414,$C$5:$AT$510,6,)/VLOOKUP($D414,$C$5:$AT$510,3,))*$E414)</f>
        <v>1.2803706265861452E-2</v>
      </c>
      <c r="I414" s="161">
        <f ca="1">IF(VLOOKUP($D414,$C$5:$AT$510,3,)=0,0,(VLOOKUP($D414,$C$5:$AT$510,7,)/VLOOKUP($D414,$C$5:$AT$510,3,))*$E414)</f>
        <v>1.6283799519336898E-3</v>
      </c>
      <c r="J414" s="161">
        <f ca="1">IF(VLOOKUP($D414,$C$5:$AT$510,3,)=0,0,(VLOOKUP($D414,$C$5:$AT$510,8,)/VLOOKUP($D414,$C$5:$AT$510,3,))*$E414)</f>
        <v>4.3713777220947918E-4</v>
      </c>
      <c r="K414" s="161">
        <f ca="1">IF(VLOOKUP($D414,$C$5:$AT$510,3,)=0,0,(VLOOKUP($D414,$C$5:$AT$510,9,)/VLOOKUP($D414,$C$5:$AT$510,3,))*$E414)</f>
        <v>1.1889967771895058E-3</v>
      </c>
      <c r="L414" s="161">
        <f ca="1">IF(VLOOKUP($D414,$C$5:$AT$510,3,)=0,0,(VLOOKUP($D414,$C$5:$AT$510,10,)/VLOOKUP($D414,$C$5:$AT$510,3,))*$E414)</f>
        <v>2.155185703267502E-2</v>
      </c>
      <c r="M414" s="161">
        <f ca="1">IF(VLOOKUP($D414,$C$5:$AT$510,3,)=0,0,(VLOOKUP($D414,$C$5:$AT$510,11,)/VLOOKUP($D414,$C$5:$AT$510,3,))*$E414)</f>
        <v>9.3036989753184862E-2</v>
      </c>
      <c r="N414" s="161">
        <f ca="1">IF(VLOOKUP($D414,$C$5:$AT$510,3,)=0,0,(VLOOKUP($D414,$C$5:$AT$510,12,)/VLOOKUP($D414,$C$5:$AT$510,3,))*$E414)</f>
        <v>6.2766578763769868E-4</v>
      </c>
      <c r="O414" s="161">
        <f ca="1">IF(VLOOKUP($D414,$C$5:$AT$510,3,)=0,0,(VLOOKUP($D414,$C$5:$AT$510,13,)/VLOOKUP($D414,$C$5:$AT$510,3,))*$E414)</f>
        <v>0</v>
      </c>
      <c r="P414" s="161">
        <f ca="1">IF(VLOOKUP($D414,$C$5:$AT$510,3,)=0,0,(VLOOKUP($D414,$C$5:$AT$510,14,)/VLOOKUP($D414,$C$5:$AT$510,3,))*$E414)</f>
        <v>1.417369173833274E-4</v>
      </c>
      <c r="Q414" s="161">
        <f ca="1">IF(VLOOKUP($D414,$C$5:$AT$510,3,)=0,0,(VLOOKUP($D414,$C$5:$AT$510,15,)/VLOOKUP($D414,$C$5:$AT$510,3,))*$E414)</f>
        <v>9.2533003674385716E-2</v>
      </c>
      <c r="R414" s="161">
        <f ca="1">IF(VLOOKUP($D414,$C$5:$AT$510,3,)=0,0,(VLOOKUP($D414,$C$5:$AT$510,16,)/VLOOKUP($D414,$C$5:$AT$510,3,))*$E414)</f>
        <v>3.1544930369513516E-2</v>
      </c>
      <c r="S414" s="161">
        <f ca="1">IF(VLOOKUP($D414,$C$5:$AT$510,3,)=0,0,(VLOOKUP($D414,$C$5:$AT$510,17,)/VLOOKUP($D414,$C$5:$AT$510,3,))*$E414)</f>
        <v>2.8385001675404867E-2</v>
      </c>
      <c r="T414" s="161">
        <f ca="1">IF(VLOOKUP($D414,$C$5:$AT$510,3,)=0,0,(VLOOKUP($D414,$C$5:$AT$510,18,)/VLOOKUP($D414,$C$5:$AT$510,3,))*$E414)</f>
        <v>0.12552381884774022</v>
      </c>
      <c r="U414" s="161">
        <f ca="1">IF(VLOOKUP($D414,$C$5:$AT$510,3,)=0,0,(VLOOKUP($D414,$C$5:$AT$510,19,)/VLOOKUP($D414,$C$5:$AT$510,3,))*$E414)</f>
        <v>0.10349128850349644</v>
      </c>
      <c r="V414" s="161">
        <f ca="1">IF(VLOOKUP($D414,$C$5:$AT$510,3,)=0,0,(VLOOKUP($D414,$C$5:$AT$510,20,)/VLOOKUP($D414,$C$5:$AT$510,3,))*$E414)</f>
        <v>0</v>
      </c>
      <c r="W414" s="161">
        <f ca="1">IF(VLOOKUP($D414,$C$5:$AT$510,3,)=0,0,(VLOOKUP($D414,$C$5:$AT$510,21,)/VLOOKUP($D414,$C$5:$AT$510,3,))*$E414)</f>
        <v>0</v>
      </c>
      <c r="X414" s="161">
        <f ca="1">IF(VLOOKUP($D414,$C$5:$AT$510,3,)=0,0,(VLOOKUP($D414,$C$5:$AT$510,22,)/VLOOKUP($D414,$C$5:$AT$510,3,))*$E414)</f>
        <v>0</v>
      </c>
      <c r="Y414" s="161">
        <f ca="1">IF(VLOOKUP($D414,$C$5:$AT$510,3,)=0,0,(VLOOKUP($D414,$C$5:$AT$510,23,)/VLOOKUP($D414,$C$5:$AT$510,3,))*$E414)</f>
        <v>0</v>
      </c>
      <c r="Z414" s="161">
        <f ca="1">IF(VLOOKUP($D414,$C$5:$AT$510,3,)=0,0,(VLOOKUP($D414,$C$5:$AT$510,24,)/VLOOKUP($D414,$C$5:$AT$510,3,))*$E414)</f>
        <v>0</v>
      </c>
      <c r="AA414" s="161">
        <f ca="1">IF(VLOOKUP($D414,$C$5:$AT$510,3,)=0,0,(VLOOKUP($D414,$C$5:$AT$510,25,)/VLOOKUP($D414,$C$5:$AT$510,3,))*$E414)</f>
        <v>0</v>
      </c>
      <c r="AB414" s="161">
        <f ca="1">IF(VLOOKUP($D414,$C$5:$AT$510,3,)=0,0,(VLOOKUP($D414,$C$5:$AT$510,26,)/VLOOKUP($D414,$C$5:$AT$510,3,))*$E414)</f>
        <v>0</v>
      </c>
      <c r="AC414" s="161">
        <f ca="1">IF(VLOOKUP($D414,$C$5:$AT$510,3,)=0,0,(VLOOKUP($D414,$C$5:$AT$510,27,)/VLOOKUP($D414,$C$5:$AT$510,3,))*$E414)</f>
        <v>0</v>
      </c>
      <c r="AD414" s="161">
        <f ca="1">IF(VLOOKUP($D414,$C$5:$AT$510,3,)=0,0,(VLOOKUP($D414,$C$5:$AT$510,28,)/VLOOKUP($D414,$C$5:$AT$510,3,))*$E414)</f>
        <v>0</v>
      </c>
      <c r="AE414" s="161">
        <f ca="1">IF(VLOOKUP($D414,$C$5:$AT$510,3,)=0,0,(VLOOKUP($D414,$C$5:$AT$510,29,)/VLOOKUP($D414,$C$5:$AT$510,3,))*$E414)</f>
        <v>0</v>
      </c>
      <c r="AF414" s="161">
        <f ca="1">IF(VLOOKUP($D414,$C$5:$AT$510,3,)=0,0,(VLOOKUP($D414,$C$5:$AT$510,30,)/VLOOKUP($D414,$C$5:$AT$510,3,))*$E414)</f>
        <v>0</v>
      </c>
      <c r="AG414" s="161">
        <f ca="1">SUM(F414:AF414)</f>
        <v>1.0000000000000002</v>
      </c>
      <c r="AH414" s="103" t="str">
        <f t="shared" ca="1" si="148"/>
        <v>ok</v>
      </c>
    </row>
    <row r="415" spans="1:34" x14ac:dyDescent="0.25">
      <c r="A415" s="102" t="s">
        <v>340</v>
      </c>
      <c r="C415" s="102" t="s">
        <v>220</v>
      </c>
      <c r="D415" s="102" t="s">
        <v>566</v>
      </c>
      <c r="E415" s="122">
        <v>1</v>
      </c>
      <c r="F415" s="161">
        <f ca="1">IF(VLOOKUP($D415,$C$5:$AT$510,3,)=0,0,(VLOOKUP($D415,$C$5:$AT$510,4,)/VLOOKUP($D415,$C$5:$AT$510,3,))*$E415)</f>
        <v>0.4854541053772356</v>
      </c>
      <c r="G415" s="161">
        <f ca="1">IF(VLOOKUP($D415,$C$5:$AT$510,3,)=0,0,(VLOOKUP($D415,$C$5:$AT$510,5,)/VLOOKUP($D415,$C$5:$AT$510,3,))*$E415)</f>
        <v>1.6513812941485709E-3</v>
      </c>
      <c r="H415" s="161">
        <f ca="1">IF(VLOOKUP($D415,$C$5:$AT$510,3,)=0,0,(VLOOKUP($D415,$C$5:$AT$510,6,)/VLOOKUP($D415,$C$5:$AT$510,3,))*$E415)</f>
        <v>1.2803706265861452E-2</v>
      </c>
      <c r="I415" s="161">
        <f ca="1">IF(VLOOKUP($D415,$C$5:$AT$510,3,)=0,0,(VLOOKUP($D415,$C$5:$AT$510,7,)/VLOOKUP($D415,$C$5:$AT$510,3,))*$E415)</f>
        <v>1.6283799519336898E-3</v>
      </c>
      <c r="J415" s="161">
        <f ca="1">IF(VLOOKUP($D415,$C$5:$AT$510,3,)=0,0,(VLOOKUP($D415,$C$5:$AT$510,8,)/VLOOKUP($D415,$C$5:$AT$510,3,))*$E415)</f>
        <v>4.3713777220947918E-4</v>
      </c>
      <c r="K415" s="161">
        <f ca="1">IF(VLOOKUP($D415,$C$5:$AT$510,3,)=0,0,(VLOOKUP($D415,$C$5:$AT$510,9,)/VLOOKUP($D415,$C$5:$AT$510,3,))*$E415)</f>
        <v>1.1889967771895058E-3</v>
      </c>
      <c r="L415" s="161">
        <f ca="1">IF(VLOOKUP($D415,$C$5:$AT$510,3,)=0,0,(VLOOKUP($D415,$C$5:$AT$510,10,)/VLOOKUP($D415,$C$5:$AT$510,3,))*$E415)</f>
        <v>2.155185703267502E-2</v>
      </c>
      <c r="M415" s="161">
        <f ca="1">IF(VLOOKUP($D415,$C$5:$AT$510,3,)=0,0,(VLOOKUP($D415,$C$5:$AT$510,11,)/VLOOKUP($D415,$C$5:$AT$510,3,))*$E415)</f>
        <v>9.3036989753184862E-2</v>
      </c>
      <c r="N415" s="161">
        <f ca="1">IF(VLOOKUP($D415,$C$5:$AT$510,3,)=0,0,(VLOOKUP($D415,$C$5:$AT$510,12,)/VLOOKUP($D415,$C$5:$AT$510,3,))*$E415)</f>
        <v>6.2766578763769868E-4</v>
      </c>
      <c r="O415" s="161">
        <f ca="1">IF(VLOOKUP($D415,$C$5:$AT$510,3,)=0,0,(VLOOKUP($D415,$C$5:$AT$510,13,)/VLOOKUP($D415,$C$5:$AT$510,3,))*$E415)</f>
        <v>0</v>
      </c>
      <c r="P415" s="161">
        <f ca="1">IF(VLOOKUP($D415,$C$5:$AT$510,3,)=0,0,(VLOOKUP($D415,$C$5:$AT$510,14,)/VLOOKUP($D415,$C$5:$AT$510,3,))*$E415)</f>
        <v>1.417369173833274E-4</v>
      </c>
      <c r="Q415" s="161">
        <f ca="1">IF(VLOOKUP($D415,$C$5:$AT$510,3,)=0,0,(VLOOKUP($D415,$C$5:$AT$510,15,)/VLOOKUP($D415,$C$5:$AT$510,3,))*$E415)</f>
        <v>9.2533003674385716E-2</v>
      </c>
      <c r="R415" s="161">
        <f ca="1">IF(VLOOKUP($D415,$C$5:$AT$510,3,)=0,0,(VLOOKUP($D415,$C$5:$AT$510,16,)/VLOOKUP($D415,$C$5:$AT$510,3,))*$E415)</f>
        <v>3.1544930369513516E-2</v>
      </c>
      <c r="S415" s="161">
        <f ca="1">IF(VLOOKUP($D415,$C$5:$AT$510,3,)=0,0,(VLOOKUP($D415,$C$5:$AT$510,17,)/VLOOKUP($D415,$C$5:$AT$510,3,))*$E415)</f>
        <v>2.8385001675404867E-2</v>
      </c>
      <c r="T415" s="161">
        <f ca="1">IF(VLOOKUP($D415,$C$5:$AT$510,3,)=0,0,(VLOOKUP($D415,$C$5:$AT$510,18,)/VLOOKUP($D415,$C$5:$AT$510,3,))*$E415)</f>
        <v>0.12552381884774022</v>
      </c>
      <c r="U415" s="161">
        <f ca="1">IF(VLOOKUP($D415,$C$5:$AT$510,3,)=0,0,(VLOOKUP($D415,$C$5:$AT$510,19,)/VLOOKUP($D415,$C$5:$AT$510,3,))*$E415)</f>
        <v>0.10349128850349644</v>
      </c>
      <c r="V415" s="161">
        <f ca="1">IF(VLOOKUP($D415,$C$5:$AT$510,3,)=0,0,(VLOOKUP($D415,$C$5:$AT$510,20,)/VLOOKUP($D415,$C$5:$AT$510,3,))*$E415)</f>
        <v>0</v>
      </c>
      <c r="W415" s="161">
        <f ca="1">IF(VLOOKUP($D415,$C$5:$AT$510,3,)=0,0,(VLOOKUP($D415,$C$5:$AT$510,21,)/VLOOKUP($D415,$C$5:$AT$510,3,))*$E415)</f>
        <v>0</v>
      </c>
      <c r="X415" s="161">
        <f ca="1">IF(VLOOKUP($D415,$C$5:$AT$510,3,)=0,0,(VLOOKUP($D415,$C$5:$AT$510,22,)/VLOOKUP($D415,$C$5:$AT$510,3,))*$E415)</f>
        <v>0</v>
      </c>
      <c r="Y415" s="161">
        <f ca="1">IF(VLOOKUP($D415,$C$5:$AT$510,3,)=0,0,(VLOOKUP($D415,$C$5:$AT$510,23,)/VLOOKUP($D415,$C$5:$AT$510,3,))*$E415)</f>
        <v>0</v>
      </c>
      <c r="Z415" s="161">
        <f ca="1">IF(VLOOKUP($D415,$C$5:$AT$510,3,)=0,0,(VLOOKUP($D415,$C$5:$AT$510,24,)/VLOOKUP($D415,$C$5:$AT$510,3,))*$E415)</f>
        <v>0</v>
      </c>
      <c r="AA415" s="161">
        <f ca="1">IF(VLOOKUP($D415,$C$5:$AT$510,3,)=0,0,(VLOOKUP($D415,$C$5:$AT$510,25,)/VLOOKUP($D415,$C$5:$AT$510,3,))*$E415)</f>
        <v>0</v>
      </c>
      <c r="AB415" s="161">
        <f ca="1">IF(VLOOKUP($D415,$C$5:$AT$510,3,)=0,0,(VLOOKUP($D415,$C$5:$AT$510,26,)/VLOOKUP($D415,$C$5:$AT$510,3,))*$E415)</f>
        <v>0</v>
      </c>
      <c r="AC415" s="161">
        <f ca="1">IF(VLOOKUP($D415,$C$5:$AT$510,3,)=0,0,(VLOOKUP($D415,$C$5:$AT$510,27,)/VLOOKUP($D415,$C$5:$AT$510,3,))*$E415)</f>
        <v>0</v>
      </c>
      <c r="AD415" s="161">
        <f ca="1">IF(VLOOKUP($D415,$C$5:$AT$510,3,)=0,0,(VLOOKUP($D415,$C$5:$AT$510,28,)/VLOOKUP($D415,$C$5:$AT$510,3,))*$E415)</f>
        <v>0</v>
      </c>
      <c r="AE415" s="161">
        <f ca="1">IF(VLOOKUP($D415,$C$5:$AT$510,3,)=0,0,(VLOOKUP($D415,$C$5:$AT$510,29,)/VLOOKUP($D415,$C$5:$AT$510,3,))*$E415)</f>
        <v>0</v>
      </c>
      <c r="AF415" s="161">
        <f ca="1">IF(VLOOKUP($D415,$C$5:$AT$510,3,)=0,0,(VLOOKUP($D415,$C$5:$AT$510,30,)/VLOOKUP($D415,$C$5:$AT$510,3,))*$E415)</f>
        <v>0</v>
      </c>
      <c r="AG415" s="161">
        <f ca="1">SUM(F415:AF415)</f>
        <v>1.0000000000000002</v>
      </c>
      <c r="AH415" s="103" t="str">
        <f t="shared" ca="1" si="148"/>
        <v>ok</v>
      </c>
    </row>
    <row r="416" spans="1:34" x14ac:dyDescent="0.25">
      <c r="A416" s="102" t="s">
        <v>697</v>
      </c>
      <c r="C416" s="102" t="s">
        <v>698</v>
      </c>
      <c r="E416" s="122">
        <f>Services!G33</f>
        <v>0.99999999999999989</v>
      </c>
      <c r="F416" s="161">
        <f>Services!G6</f>
        <v>0.94157328279314467</v>
      </c>
      <c r="G416" s="161">
        <f>Services!G7</f>
        <v>1.9973478671678887E-3</v>
      </c>
      <c r="H416" s="161">
        <f>Services!G8</f>
        <v>2.0482606559388349E-2</v>
      </c>
      <c r="I416" s="161">
        <f>Services!G9</f>
        <v>2.388984703867475E-3</v>
      </c>
      <c r="J416" s="161">
        <f>Services!G10</f>
        <v>9.0076472440904791E-4</v>
      </c>
      <c r="K416" s="161">
        <f>Services!G11</f>
        <v>1.2219069305027084E-2</v>
      </c>
      <c r="L416" s="161">
        <f>Services!G12</f>
        <v>1.0200733946881209E-2</v>
      </c>
      <c r="M416" s="161">
        <f>Services!G13</f>
        <v>1.0042832693150028E-2</v>
      </c>
      <c r="N416" s="161">
        <f>Services!G14</f>
        <v>1.9437740696419409E-4</v>
      </c>
      <c r="O416" s="161">
        <f>Services!$G15</f>
        <v>0</v>
      </c>
      <c r="P416" s="161">
        <f>Services!$G16</f>
        <v>0</v>
      </c>
      <c r="Q416" s="161">
        <f>Services!$G17</f>
        <v>0</v>
      </c>
      <c r="R416" s="161">
        <f>Services!$G18</f>
        <v>0</v>
      </c>
      <c r="S416" s="161">
        <f>Services!$G19</f>
        <v>0</v>
      </c>
      <c r="T416" s="161">
        <f>Services!$G20</f>
        <v>0</v>
      </c>
      <c r="U416" s="161">
        <f>Services!$G21</f>
        <v>0</v>
      </c>
      <c r="V416" s="161">
        <f>Services!W6</f>
        <v>0</v>
      </c>
      <c r="W416" s="161">
        <f>Services!X6</f>
        <v>0</v>
      </c>
      <c r="X416" s="161">
        <f>Services!Y6</f>
        <v>0</v>
      </c>
      <c r="Y416" s="161">
        <f>Services!Z6</f>
        <v>0</v>
      </c>
      <c r="Z416" s="161">
        <f>Services!AA6</f>
        <v>0</v>
      </c>
      <c r="AA416" s="161">
        <f>Services!AB6</f>
        <v>0</v>
      </c>
      <c r="AB416" s="161">
        <f>Services!AC6</f>
        <v>0</v>
      </c>
      <c r="AC416" s="161">
        <f>Services!AD6</f>
        <v>0</v>
      </c>
      <c r="AD416" s="161">
        <f>Services!AE6</f>
        <v>0</v>
      </c>
      <c r="AE416" s="161">
        <f>Services!AF6</f>
        <v>0</v>
      </c>
      <c r="AF416" s="161">
        <f>Services!AG6</f>
        <v>0</v>
      </c>
      <c r="AG416" s="161">
        <f>SUM(F416:AF416)</f>
        <v>0.99999999999999989</v>
      </c>
      <c r="AH416" s="103" t="str">
        <f t="shared" si="148"/>
        <v>ok</v>
      </c>
    </row>
    <row r="417" spans="1:34" x14ac:dyDescent="0.25">
      <c r="A417" s="102" t="s">
        <v>744</v>
      </c>
      <c r="C417" s="102" t="s">
        <v>745</v>
      </c>
      <c r="E417" s="122">
        <f>E416</f>
        <v>0.99999999999999989</v>
      </c>
      <c r="F417" s="161">
        <f t="shared" ref="F417:AF417" si="149">F416</f>
        <v>0.94157328279314467</v>
      </c>
      <c r="G417" s="161">
        <f t="shared" si="149"/>
        <v>1.9973478671678887E-3</v>
      </c>
      <c r="H417" s="161">
        <f t="shared" si="149"/>
        <v>2.0482606559388349E-2</v>
      </c>
      <c r="I417" s="161">
        <f t="shared" si="149"/>
        <v>2.388984703867475E-3</v>
      </c>
      <c r="J417" s="161">
        <f t="shared" si="149"/>
        <v>9.0076472440904791E-4</v>
      </c>
      <c r="K417" s="161">
        <f t="shared" si="149"/>
        <v>1.2219069305027084E-2</v>
      </c>
      <c r="L417" s="161">
        <f t="shared" si="149"/>
        <v>1.0200733946881209E-2</v>
      </c>
      <c r="M417" s="161">
        <f t="shared" si="149"/>
        <v>1.0042832693150028E-2</v>
      </c>
      <c r="N417" s="161">
        <f t="shared" si="149"/>
        <v>1.9437740696419409E-4</v>
      </c>
      <c r="O417" s="161">
        <f t="shared" si="149"/>
        <v>0</v>
      </c>
      <c r="P417" s="161">
        <f t="shared" si="149"/>
        <v>0</v>
      </c>
      <c r="Q417" s="161">
        <f t="shared" si="149"/>
        <v>0</v>
      </c>
      <c r="R417" s="161">
        <f t="shared" si="149"/>
        <v>0</v>
      </c>
      <c r="S417" s="161">
        <f t="shared" si="149"/>
        <v>0</v>
      </c>
      <c r="T417" s="161">
        <f t="shared" si="149"/>
        <v>0</v>
      </c>
      <c r="U417" s="161">
        <f t="shared" si="149"/>
        <v>0</v>
      </c>
      <c r="V417" s="161">
        <f t="shared" si="149"/>
        <v>0</v>
      </c>
      <c r="W417" s="161">
        <f t="shared" si="149"/>
        <v>0</v>
      </c>
      <c r="X417" s="161">
        <f t="shared" si="149"/>
        <v>0</v>
      </c>
      <c r="Y417" s="161">
        <f t="shared" si="149"/>
        <v>0</v>
      </c>
      <c r="Z417" s="161">
        <f t="shared" si="149"/>
        <v>0</v>
      </c>
      <c r="AA417" s="161">
        <f t="shared" si="149"/>
        <v>0</v>
      </c>
      <c r="AB417" s="161">
        <f t="shared" si="149"/>
        <v>0</v>
      </c>
      <c r="AC417" s="161">
        <f t="shared" si="149"/>
        <v>0</v>
      </c>
      <c r="AD417" s="161">
        <f t="shared" si="149"/>
        <v>0</v>
      </c>
      <c r="AE417" s="161">
        <f t="shared" si="149"/>
        <v>0</v>
      </c>
      <c r="AF417" s="161">
        <f t="shared" si="149"/>
        <v>0</v>
      </c>
      <c r="AG417" s="161">
        <f>SUM(F417:AF417)</f>
        <v>0.99999999999999989</v>
      </c>
      <c r="AH417" s="103" t="str">
        <f t="shared" si="148"/>
        <v>ok</v>
      </c>
    </row>
    <row r="418" spans="1:34" x14ac:dyDescent="0.25">
      <c r="A418" s="102" t="s">
        <v>934</v>
      </c>
      <c r="C418" s="102" t="s">
        <v>935</v>
      </c>
      <c r="E418" s="110">
        <f>F418+G418+K418</f>
        <v>37017521.159999996</v>
      </c>
      <c r="F418" s="110">
        <f>F313</f>
        <v>36776700.68</v>
      </c>
      <c r="G418" s="110">
        <f>G313</f>
        <v>93595.260000000009</v>
      </c>
      <c r="H418" s="110">
        <v>0</v>
      </c>
      <c r="I418" s="110">
        <v>0</v>
      </c>
      <c r="J418" s="110">
        <v>0</v>
      </c>
      <c r="K418" s="110">
        <f t="shared" ref="K418" si="150">K313</f>
        <v>147225.21999999997</v>
      </c>
      <c r="L418" s="110">
        <v>0</v>
      </c>
      <c r="M418" s="110">
        <v>0</v>
      </c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10">
        <f>SUM(F418:R418)</f>
        <v>37017521.159999996</v>
      </c>
      <c r="AH418" s="103" t="str">
        <f t="shared" si="148"/>
        <v>ok</v>
      </c>
    </row>
    <row r="419" spans="1:34" x14ac:dyDescent="0.25">
      <c r="F419" s="162"/>
    </row>
    <row r="420" spans="1:34" x14ac:dyDescent="0.25">
      <c r="A420" s="132" t="s">
        <v>341</v>
      </c>
    </row>
    <row r="421" spans="1:34" x14ac:dyDescent="0.25">
      <c r="A421" s="102" t="s">
        <v>342</v>
      </c>
      <c r="C421" s="102" t="s">
        <v>223</v>
      </c>
      <c r="D421" s="102" t="s">
        <v>564</v>
      </c>
      <c r="E421" s="122">
        <v>1</v>
      </c>
      <c r="F421" s="161">
        <f>IF(VLOOKUP($D421,$C$5:$AT$510,3,)=0,0,(VLOOKUP($D421,$C$5:$AT$510,4,)/VLOOKUP($D421,$C$5:$AT$510,3,))*$E421)</f>
        <v>0.94603965201088847</v>
      </c>
      <c r="G421" s="161">
        <f>IF(VLOOKUP($D421,$C$5:$AT$510,3,)=0,0,(VLOOKUP($D421,$C$5:$AT$510,5,)/VLOOKUP($D421,$C$5:$AT$510,3,))*$E421)</f>
        <v>2.0068223214605818E-3</v>
      </c>
      <c r="H421" s="161">
        <f>IF(VLOOKUP($D421,$C$5:$AT$510,3,)=0,0,(VLOOKUP($D421,$C$5:$AT$510,6,)/VLOOKUP($D421,$C$5:$AT$510,3,))*$E421)</f>
        <v>2.057976615929185E-2</v>
      </c>
      <c r="I421" s="161">
        <f>IF(VLOOKUP($D421,$C$5:$AT$510,3,)=0,0,(VLOOKUP($D421,$C$5:$AT$510,7,)/VLOOKUP($D421,$C$5:$AT$510,3,))*$E421)</f>
        <v>2.4003168942959901E-3</v>
      </c>
      <c r="J421" s="161">
        <f>IF(VLOOKUP($D421,$C$5:$AT$510,3,)=0,0,(VLOOKUP($D421,$C$5:$AT$510,8,)/VLOOKUP($D421,$C$5:$AT$510,3,))*$E421)</f>
        <v>9.0503751752143893E-4</v>
      </c>
      <c r="K421" s="161">
        <f>IF(VLOOKUP($D421,$C$5:$AT$510,3,)=0,0,(VLOOKUP($D421,$C$5:$AT$510,9,)/VLOOKUP($D421,$C$5:$AT$510,3,))*$E421)</f>
        <v>1.2277030672464736E-2</v>
      </c>
      <c r="L421" s="161">
        <f>IF(VLOOKUP($D421,$C$5:$AT$510,3,)=0,0,(VLOOKUP($D421,$C$5:$AT$510,10,)/VLOOKUP($D421,$C$5:$AT$510,3,))*$E421)</f>
        <v>9.5225686626168784E-3</v>
      </c>
      <c r="M421" s="161">
        <f>IF(VLOOKUP($D421,$C$5:$AT$510,3,)=0,0,(VLOOKUP($D421,$C$5:$AT$510,11,)/VLOOKUP($D421,$C$5:$AT$510,3,))*$E421)</f>
        <v>6.0991658789488279E-3</v>
      </c>
      <c r="N421" s="161">
        <f>IF(VLOOKUP($D421,$C$5:$AT$510,3,)=0,0,(VLOOKUP($D421,$C$5:$AT$510,12,)/VLOOKUP($D421,$C$5:$AT$510,3,))*$E421)</f>
        <v>1.1804837185062247E-4</v>
      </c>
      <c r="O421" s="161">
        <f>IF(VLOOKUP($D421,$C$5:$AT$510,3,)=0,0,(VLOOKUP($D421,$C$5:$AT$510,13,)/VLOOKUP($D421,$C$5:$AT$510,3,))*$E421)</f>
        <v>0</v>
      </c>
      <c r="P421" s="161">
        <f>IF(VLOOKUP($D421,$C$5:$AT$510,3,)=0,0,(VLOOKUP($D421,$C$5:$AT$510,14,)/VLOOKUP($D421,$C$5:$AT$510,3,))*$E421)</f>
        <v>5.1591510660642415E-5</v>
      </c>
      <c r="Q421" s="161">
        <f>IF(VLOOKUP($D421,$C$5:$AT$510,3,)=0,0,(VLOOKUP($D421,$C$5:$AT$510,15,)/VLOOKUP($D421,$C$5:$AT$510,3,))*$E421)</f>
        <v>0</v>
      </c>
      <c r="R421" s="161">
        <f>IF(VLOOKUP($D421,$C$5:$AT$510,3,)=0,0,(VLOOKUP($D421,$C$5:$AT$510,16,)/VLOOKUP($D421,$C$5:$AT$510,3,))*$E421)</f>
        <v>0</v>
      </c>
      <c r="S421" s="161">
        <f>IF(VLOOKUP($D421,$C$5:$AT$510,3,)=0,0,(VLOOKUP($D421,$C$5:$AT$510,17,)/VLOOKUP($D421,$C$5:$AT$510,3,))*$E421)</f>
        <v>0</v>
      </c>
      <c r="T421" s="161">
        <f>IF(VLOOKUP($D421,$C$5:$AT$510,3,)=0,0,(VLOOKUP($D421,$C$5:$AT$510,18,)/VLOOKUP($D421,$C$5:$AT$510,3,))*$E421)</f>
        <v>0</v>
      </c>
      <c r="U421" s="161">
        <f>IF(VLOOKUP($D421,$C$5:$AT$510,3,)=0,0,(VLOOKUP($D421,$C$5:$AT$510,19,)/VLOOKUP($D421,$C$5:$AT$510,3,))*$E421)</f>
        <v>0</v>
      </c>
      <c r="V421" s="161">
        <f>IF(VLOOKUP($D421,$C$5:$AT$510,3,)=0,0,(VLOOKUP($D421,$C$5:$AT$510,20,)/VLOOKUP($D421,$C$5:$AT$510,3,))*$E421)</f>
        <v>0</v>
      </c>
      <c r="W421" s="161">
        <f>IF(VLOOKUP($D421,$C$5:$AT$510,3,)=0,0,(VLOOKUP($D421,$C$5:$AT$510,21,)/VLOOKUP($D421,$C$5:$AT$510,3,))*$E421)</f>
        <v>0</v>
      </c>
      <c r="X421" s="161">
        <f>IF(VLOOKUP($D421,$C$5:$AT$510,3,)=0,0,(VLOOKUP($D421,$C$5:$AT$510,22,)/VLOOKUP($D421,$C$5:$AT$510,3,))*$E421)</f>
        <v>0</v>
      </c>
      <c r="Y421" s="161">
        <f>IF(VLOOKUP($D421,$C$5:$AT$510,3,)=0,0,(VLOOKUP($D421,$C$5:$AT$510,23,)/VLOOKUP($D421,$C$5:$AT$510,3,))*$E421)</f>
        <v>0</v>
      </c>
      <c r="Z421" s="161">
        <f>IF(VLOOKUP($D421,$C$5:$AT$510,3,)=0,0,(VLOOKUP($D421,$C$5:$AT$510,24,)/VLOOKUP($D421,$C$5:$AT$510,3,))*$E421)</f>
        <v>0</v>
      </c>
      <c r="AA421" s="161">
        <f>IF(VLOOKUP($D421,$C$5:$AT$510,3,)=0,0,(VLOOKUP($D421,$C$5:$AT$510,25,)/VLOOKUP($D421,$C$5:$AT$510,3,))*$E421)</f>
        <v>0</v>
      </c>
      <c r="AB421" s="161">
        <f>IF(VLOOKUP($D421,$C$5:$AT$510,3,)=0,0,(VLOOKUP($D421,$C$5:$AT$510,26,)/VLOOKUP($D421,$C$5:$AT$510,3,))*$E421)</f>
        <v>0</v>
      </c>
      <c r="AC421" s="161">
        <f>IF(VLOOKUP($D421,$C$5:$AT$510,3,)=0,0,(VLOOKUP($D421,$C$5:$AT$510,27,)/VLOOKUP($D421,$C$5:$AT$510,3,))*$E421)</f>
        <v>0</v>
      </c>
      <c r="AD421" s="161">
        <f>IF(VLOOKUP($D421,$C$5:$AT$510,3,)=0,0,(VLOOKUP($D421,$C$5:$AT$510,28,)/VLOOKUP($D421,$C$5:$AT$510,3,))*$E421)</f>
        <v>0</v>
      </c>
      <c r="AE421" s="161">
        <f>IF(VLOOKUP($D421,$C$5:$AT$510,3,)=0,0,(VLOOKUP($D421,$C$5:$AT$510,29,)/VLOOKUP($D421,$C$5:$AT$510,3,))*$E421)</f>
        <v>0</v>
      </c>
      <c r="AF421" s="161">
        <f>IF(VLOOKUP($D421,$C$5:$AT$510,3,)=0,0,(VLOOKUP($D421,$C$5:$AT$510,30,)/VLOOKUP($D421,$C$5:$AT$510,3,))*$E421)</f>
        <v>0</v>
      </c>
      <c r="AG421" s="163">
        <f t="shared" ref="AG421:AG426" si="151">SUM(F421:AF421)</f>
        <v>1</v>
      </c>
      <c r="AH421" s="103" t="str">
        <f t="shared" ref="AH421:AH426" si="152">IF(ABS(E421-AG421)&lt;0.01,"ok","err")</f>
        <v>ok</v>
      </c>
    </row>
    <row r="422" spans="1:34" x14ac:dyDescent="0.25">
      <c r="A422" s="102" t="s">
        <v>343</v>
      </c>
      <c r="C422" s="102" t="s">
        <v>227</v>
      </c>
      <c r="D422" s="102" t="s">
        <v>564</v>
      </c>
      <c r="E422" s="122">
        <v>1</v>
      </c>
      <c r="F422" s="161">
        <f>IF(VLOOKUP($D422,$C$5:$AT$510,3,)=0,0,(VLOOKUP($D422,$C$5:$AT$510,4,)/VLOOKUP($D422,$C$5:$AT$510,3,))*$E422)</f>
        <v>0.94603965201088847</v>
      </c>
      <c r="G422" s="161">
        <f>IF(VLOOKUP($D422,$C$5:$AT$510,3,)=0,0,(VLOOKUP($D422,$C$5:$AT$510,5,)/VLOOKUP($D422,$C$5:$AT$510,3,))*$E422)</f>
        <v>2.0068223214605818E-3</v>
      </c>
      <c r="H422" s="161">
        <f>IF(VLOOKUP($D422,$C$5:$AT$510,3,)=0,0,(VLOOKUP($D422,$C$5:$AT$510,6,)/VLOOKUP($D422,$C$5:$AT$510,3,))*$E422)</f>
        <v>2.057976615929185E-2</v>
      </c>
      <c r="I422" s="161">
        <f>IF(VLOOKUP($D422,$C$5:$AT$510,3,)=0,0,(VLOOKUP($D422,$C$5:$AT$510,7,)/VLOOKUP($D422,$C$5:$AT$510,3,))*$E422)</f>
        <v>2.4003168942959901E-3</v>
      </c>
      <c r="J422" s="161">
        <f>IF(VLOOKUP($D422,$C$5:$AT$510,3,)=0,0,(VLOOKUP($D422,$C$5:$AT$510,8,)/VLOOKUP($D422,$C$5:$AT$510,3,))*$E422)</f>
        <v>9.0503751752143893E-4</v>
      </c>
      <c r="K422" s="161">
        <f>IF(VLOOKUP($D422,$C$5:$AT$510,3,)=0,0,(VLOOKUP($D422,$C$5:$AT$510,9,)/VLOOKUP($D422,$C$5:$AT$510,3,))*$E422)</f>
        <v>1.2277030672464736E-2</v>
      </c>
      <c r="L422" s="161">
        <f>IF(VLOOKUP($D422,$C$5:$AT$510,3,)=0,0,(VLOOKUP($D422,$C$5:$AT$510,10,)/VLOOKUP($D422,$C$5:$AT$510,3,))*$E422)</f>
        <v>9.5225686626168784E-3</v>
      </c>
      <c r="M422" s="161">
        <f>IF(VLOOKUP($D422,$C$5:$AT$510,3,)=0,0,(VLOOKUP($D422,$C$5:$AT$510,11,)/VLOOKUP($D422,$C$5:$AT$510,3,))*$E422)</f>
        <v>6.0991658789488279E-3</v>
      </c>
      <c r="N422" s="161">
        <f>IF(VLOOKUP($D422,$C$5:$AT$510,3,)=0,0,(VLOOKUP($D422,$C$5:$AT$510,12,)/VLOOKUP($D422,$C$5:$AT$510,3,))*$E422)</f>
        <v>1.1804837185062247E-4</v>
      </c>
      <c r="O422" s="161">
        <f>IF(VLOOKUP($D422,$C$5:$AT$510,3,)=0,0,(VLOOKUP($D422,$C$5:$AT$510,13,)/VLOOKUP($D422,$C$5:$AT$510,3,))*$E422)</f>
        <v>0</v>
      </c>
      <c r="P422" s="161">
        <f>IF(VLOOKUP($D422,$C$5:$AT$510,3,)=0,0,(VLOOKUP($D422,$C$5:$AT$510,14,)/VLOOKUP($D422,$C$5:$AT$510,3,))*$E422)</f>
        <v>5.1591510660642415E-5</v>
      </c>
      <c r="Q422" s="161">
        <f>IF(VLOOKUP($D422,$C$5:$AT$510,3,)=0,0,(VLOOKUP($D422,$C$5:$AT$510,15,)/VLOOKUP($D422,$C$5:$AT$510,3,))*$E422)</f>
        <v>0</v>
      </c>
      <c r="R422" s="161">
        <f>IF(VLOOKUP($D422,$C$5:$AT$510,3,)=0,0,(VLOOKUP($D422,$C$5:$AT$510,16,)/VLOOKUP($D422,$C$5:$AT$510,3,))*$E422)</f>
        <v>0</v>
      </c>
      <c r="S422" s="161">
        <f>IF(VLOOKUP($D422,$C$5:$AT$510,3,)=0,0,(VLOOKUP($D422,$C$5:$AT$510,17,)/VLOOKUP($D422,$C$5:$AT$510,3,))*$E422)</f>
        <v>0</v>
      </c>
      <c r="T422" s="161">
        <f>IF(VLOOKUP($D422,$C$5:$AT$510,3,)=0,0,(VLOOKUP($D422,$C$5:$AT$510,18,)/VLOOKUP($D422,$C$5:$AT$510,3,))*$E422)</f>
        <v>0</v>
      </c>
      <c r="U422" s="161">
        <f>IF(VLOOKUP($D422,$C$5:$AT$510,3,)=0,0,(VLOOKUP($D422,$C$5:$AT$510,19,)/VLOOKUP($D422,$C$5:$AT$510,3,))*$E422)</f>
        <v>0</v>
      </c>
      <c r="V422" s="161">
        <f>IF(VLOOKUP($D422,$C$5:$AT$510,3,)=0,0,(VLOOKUP($D422,$C$5:$AT$510,20,)/VLOOKUP($D422,$C$5:$AT$510,3,))*$E422)</f>
        <v>0</v>
      </c>
      <c r="W422" s="161">
        <f>IF(VLOOKUP($D422,$C$5:$AT$510,3,)=0,0,(VLOOKUP($D422,$C$5:$AT$510,21,)/VLOOKUP($D422,$C$5:$AT$510,3,))*$E422)</f>
        <v>0</v>
      </c>
      <c r="X422" s="161">
        <f>IF(VLOOKUP($D422,$C$5:$AT$510,3,)=0,0,(VLOOKUP($D422,$C$5:$AT$510,22,)/VLOOKUP($D422,$C$5:$AT$510,3,))*$E422)</f>
        <v>0</v>
      </c>
      <c r="Y422" s="161">
        <f>IF(VLOOKUP($D422,$C$5:$AT$510,3,)=0,0,(VLOOKUP($D422,$C$5:$AT$510,23,)/VLOOKUP($D422,$C$5:$AT$510,3,))*$E422)</f>
        <v>0</v>
      </c>
      <c r="Z422" s="161">
        <f>IF(VLOOKUP($D422,$C$5:$AT$510,3,)=0,0,(VLOOKUP($D422,$C$5:$AT$510,24,)/VLOOKUP($D422,$C$5:$AT$510,3,))*$E422)</f>
        <v>0</v>
      </c>
      <c r="AA422" s="161">
        <f>IF(VLOOKUP($D422,$C$5:$AT$510,3,)=0,0,(VLOOKUP($D422,$C$5:$AT$510,25,)/VLOOKUP($D422,$C$5:$AT$510,3,))*$E422)</f>
        <v>0</v>
      </c>
      <c r="AB422" s="161">
        <f>IF(VLOOKUP($D422,$C$5:$AT$510,3,)=0,0,(VLOOKUP($D422,$C$5:$AT$510,26,)/VLOOKUP($D422,$C$5:$AT$510,3,))*$E422)</f>
        <v>0</v>
      </c>
      <c r="AC422" s="161">
        <f>IF(VLOOKUP($D422,$C$5:$AT$510,3,)=0,0,(VLOOKUP($D422,$C$5:$AT$510,27,)/VLOOKUP($D422,$C$5:$AT$510,3,))*$E422)</f>
        <v>0</v>
      </c>
      <c r="AD422" s="161">
        <f>IF(VLOOKUP($D422,$C$5:$AT$510,3,)=0,0,(VLOOKUP($D422,$C$5:$AT$510,28,)/VLOOKUP($D422,$C$5:$AT$510,3,))*$E422)</f>
        <v>0</v>
      </c>
      <c r="AE422" s="161">
        <f>IF(VLOOKUP($D422,$C$5:$AT$510,3,)=0,0,(VLOOKUP($D422,$C$5:$AT$510,29,)/VLOOKUP($D422,$C$5:$AT$510,3,))*$E422)</f>
        <v>0</v>
      </c>
      <c r="AF422" s="161">
        <f>IF(VLOOKUP($D422,$C$5:$AT$510,3,)=0,0,(VLOOKUP($D422,$C$5:$AT$510,30,)/VLOOKUP($D422,$C$5:$AT$510,3,))*$E422)</f>
        <v>0</v>
      </c>
      <c r="AG422" s="163">
        <f t="shared" si="151"/>
        <v>1</v>
      </c>
      <c r="AH422" s="103" t="str">
        <f t="shared" si="152"/>
        <v>ok</v>
      </c>
    </row>
    <row r="423" spans="1:34" x14ac:dyDescent="0.25">
      <c r="A423" s="102" t="s">
        <v>344</v>
      </c>
      <c r="C423" s="102" t="s">
        <v>230</v>
      </c>
      <c r="E423" s="122">
        <f>Meters!$G32</f>
        <v>1</v>
      </c>
      <c r="F423" s="161">
        <f>Meters!$G6</f>
        <v>0.90164964476567322</v>
      </c>
      <c r="G423" s="161">
        <f>Meters!$G7</f>
        <v>1.9126583430267587E-3</v>
      </c>
      <c r="H423" s="161">
        <f>Meters!$G8</f>
        <v>1.9614123792215585E-2</v>
      </c>
      <c r="I423" s="161">
        <f>Meters!$G9</f>
        <v>2.2876893906790645E-3</v>
      </c>
      <c r="J423" s="161">
        <f>Meters!$G10</f>
        <v>8.6257140960030302E-4</v>
      </c>
      <c r="K423" s="161">
        <f>Meters!$G11</f>
        <v>1.1700968686751936E-2</v>
      </c>
      <c r="L423" s="161">
        <f>Meters!$G12</f>
        <v>3.7493267885292142E-2</v>
      </c>
      <c r="M423" s="161">
        <f>Meters!$G13</f>
        <v>2.4014283149670586E-2</v>
      </c>
      <c r="N423" s="161">
        <f>Meters!$G14</f>
        <v>4.6479257709039848E-4</v>
      </c>
      <c r="O423" s="161">
        <f>Meters!$G15</f>
        <v>0</v>
      </c>
      <c r="P423" s="161">
        <f>Meters!$G16</f>
        <v>0</v>
      </c>
      <c r="Q423" s="161">
        <f>Meters!$G17</f>
        <v>0</v>
      </c>
      <c r="R423" s="161">
        <f>Meters!$G18</f>
        <v>0</v>
      </c>
      <c r="S423" s="161">
        <f>Meters!$G19</f>
        <v>0</v>
      </c>
      <c r="T423" s="161">
        <f>Meters!$G20</f>
        <v>0</v>
      </c>
      <c r="U423" s="161">
        <f>Meters!$G21</f>
        <v>0</v>
      </c>
      <c r="V423" s="161">
        <f>Meters!X6</f>
        <v>0</v>
      </c>
      <c r="W423" s="161">
        <f>Meters!Y6</f>
        <v>0</v>
      </c>
      <c r="X423" s="161">
        <f>Meters!Z6</f>
        <v>0</v>
      </c>
      <c r="Y423" s="161">
        <f>Meters!AA6</f>
        <v>0</v>
      </c>
      <c r="Z423" s="161">
        <f>Meters!AB6</f>
        <v>0</v>
      </c>
      <c r="AA423" s="161">
        <f>Meters!AC6</f>
        <v>0</v>
      </c>
      <c r="AB423" s="161">
        <f>Meters!AD6</f>
        <v>0</v>
      </c>
      <c r="AC423" s="161">
        <f>Meters!AE6</f>
        <v>0</v>
      </c>
      <c r="AD423" s="161">
        <f>Meters!AF6</f>
        <v>0</v>
      </c>
      <c r="AE423" s="161">
        <f>Meters!AG6</f>
        <v>0</v>
      </c>
      <c r="AF423" s="161">
        <f>Meters!AH6</f>
        <v>0</v>
      </c>
      <c r="AG423" s="163">
        <f t="shared" si="151"/>
        <v>1</v>
      </c>
      <c r="AH423" s="103" t="str">
        <f t="shared" si="152"/>
        <v>ok</v>
      </c>
    </row>
    <row r="424" spans="1:34" x14ac:dyDescent="0.25">
      <c r="A424" s="102" t="s">
        <v>345</v>
      </c>
      <c r="C424" s="102" t="s">
        <v>232</v>
      </c>
      <c r="D424" s="102" t="s">
        <v>565</v>
      </c>
      <c r="E424" s="122">
        <v>1</v>
      </c>
      <c r="F424" s="161">
        <f>IF(VLOOKUP($D424,$C$5:$AT$510,3,)=0,0,(VLOOKUP($D424,$C$5:$AT$510,4,)/VLOOKUP($D424,$C$5:$AT$510,3,))*$E424)</f>
        <v>0</v>
      </c>
      <c r="G424" s="161">
        <f>IF(VLOOKUP($D424,$C$5:$AT$510,3,)=0,0,(VLOOKUP($D424,$C$5:$AT$510,5,)/VLOOKUP($D424,$C$5:$AT$510,3,))*$E424)</f>
        <v>0</v>
      </c>
      <c r="H424" s="161">
        <f>IF(VLOOKUP($D424,$C$5:$AT$510,3,)=0,0,(VLOOKUP($D424,$C$5:$AT$510,6,)/VLOOKUP($D424,$C$5:$AT$510,3,))*$E424)</f>
        <v>0</v>
      </c>
      <c r="I424" s="161">
        <f>IF(VLOOKUP($D424,$C$5:$AT$510,3,)=0,0,(VLOOKUP($D424,$C$5:$AT$510,7,)/VLOOKUP($D424,$C$5:$AT$510,3,))*$E424)</f>
        <v>0</v>
      </c>
      <c r="J424" s="161">
        <f>IF(VLOOKUP($D424,$C$5:$AT$510,3,)=0,0,(VLOOKUP($D424,$C$5:$AT$510,8,)/VLOOKUP($D424,$C$5:$AT$510,3,))*$E424)</f>
        <v>0</v>
      </c>
      <c r="K424" s="161">
        <f>IF(VLOOKUP($D424,$C$5:$AT$510,3,)=0,0,(VLOOKUP($D424,$C$5:$AT$510,9,)/VLOOKUP($D424,$C$5:$AT$510,3,))*$E424)</f>
        <v>0</v>
      </c>
      <c r="L424" s="161">
        <f>IF(VLOOKUP($D424,$C$5:$AT$510,3,)=0,0,(VLOOKUP($D424,$C$5:$AT$510,10,)/VLOOKUP($D424,$C$5:$AT$510,3,))*$E424)</f>
        <v>0</v>
      </c>
      <c r="M424" s="161">
        <f>IF(VLOOKUP($D424,$C$5:$AT$510,3,)=0,0,(VLOOKUP($D424,$C$5:$AT$510,11,)/VLOOKUP($D424,$C$5:$AT$510,3,))*$E424)</f>
        <v>0</v>
      </c>
      <c r="N424" s="161">
        <f>IF(VLOOKUP($D424,$C$5:$AT$510,3,)=0,0,(VLOOKUP($D424,$C$5:$AT$510,12,)/VLOOKUP($D424,$C$5:$AT$510,3,))*$E424)</f>
        <v>0</v>
      </c>
      <c r="O424" s="161">
        <f>IF(VLOOKUP($D424,$C$5:$AT$510,3,)=0,0,(VLOOKUP($D424,$C$5:$AT$510,13,)/VLOOKUP($D424,$C$5:$AT$510,3,))*$E424)</f>
        <v>0</v>
      </c>
      <c r="P424" s="161">
        <f>IF(VLOOKUP($D424,$C$5:$AT$510,3,)=0,0,(VLOOKUP($D424,$C$5:$AT$510,14,)/VLOOKUP($D424,$C$5:$AT$510,3,))*$E424)</f>
        <v>1</v>
      </c>
      <c r="Q424" s="161">
        <f>IF(VLOOKUP($D424,$C$5:$AT$510,3,)=0,0,(VLOOKUP($D424,$C$5:$AT$510,15,)/VLOOKUP($D424,$C$5:$AT$510,3,))*$E424)</f>
        <v>0</v>
      </c>
      <c r="R424" s="161">
        <f>IF(VLOOKUP($D424,$C$5:$AT$510,3,)=0,0,(VLOOKUP($D424,$C$5:$AT$510,16,)/VLOOKUP($D424,$C$5:$AT$510,3,))*$E424)</f>
        <v>0</v>
      </c>
      <c r="S424" s="161">
        <f>IF(VLOOKUP($D424,$C$5:$AT$510,3,)=0,0,(VLOOKUP($D424,$C$5:$AT$510,17,)/VLOOKUP($D424,$C$5:$AT$510,3,))*$E424)</f>
        <v>0</v>
      </c>
      <c r="T424" s="161">
        <f>IF(VLOOKUP($D424,$C$5:$AT$510,3,)=0,0,(VLOOKUP($D424,$C$5:$AT$510,18,)/VLOOKUP($D424,$C$5:$AT$510,3,))*$E424)</f>
        <v>0</v>
      </c>
      <c r="U424" s="161">
        <f>IF(VLOOKUP($D424,$C$5:$AT$510,3,)=0,0,(VLOOKUP($D424,$C$5:$AT$510,19,)/VLOOKUP($D424,$C$5:$AT$510,3,))*$E424)</f>
        <v>0</v>
      </c>
      <c r="V424" s="161">
        <f>IF(VLOOKUP($D424,$C$5:$AT$510,3,)=0,0,(VLOOKUP($D424,$C$5:$AT$510,20,)/VLOOKUP($D424,$C$5:$AT$510,3,))*$E424)</f>
        <v>0</v>
      </c>
      <c r="W424" s="161">
        <f>IF(VLOOKUP($D424,$C$5:$AT$510,3,)=0,0,(VLOOKUP($D424,$C$5:$AT$510,21,)/VLOOKUP($D424,$C$5:$AT$510,3,))*$E424)</f>
        <v>0</v>
      </c>
      <c r="X424" s="161">
        <f>IF(VLOOKUP($D424,$C$5:$AT$510,3,)=0,0,(VLOOKUP($D424,$C$5:$AT$510,22,)/VLOOKUP($D424,$C$5:$AT$510,3,))*$E424)</f>
        <v>0</v>
      </c>
      <c r="Y424" s="161">
        <f>IF(VLOOKUP($D424,$C$5:$AT$510,3,)=0,0,(VLOOKUP($D424,$C$5:$AT$510,23,)/VLOOKUP($D424,$C$5:$AT$510,3,))*$E424)</f>
        <v>0</v>
      </c>
      <c r="Z424" s="161">
        <f>IF(VLOOKUP($D424,$C$5:$AT$510,3,)=0,0,(VLOOKUP($D424,$C$5:$AT$510,24,)/VLOOKUP($D424,$C$5:$AT$510,3,))*$E424)</f>
        <v>0</v>
      </c>
      <c r="AA424" s="161">
        <f>IF(VLOOKUP($D424,$C$5:$AT$510,3,)=0,0,(VLOOKUP($D424,$C$5:$AT$510,25,)/VLOOKUP($D424,$C$5:$AT$510,3,))*$E424)</f>
        <v>0</v>
      </c>
      <c r="AB424" s="161">
        <f>IF(VLOOKUP($D424,$C$5:$AT$510,3,)=0,0,(VLOOKUP($D424,$C$5:$AT$510,26,)/VLOOKUP($D424,$C$5:$AT$510,3,))*$E424)</f>
        <v>0</v>
      </c>
      <c r="AC424" s="161">
        <f>IF(VLOOKUP($D424,$C$5:$AT$510,3,)=0,0,(VLOOKUP($D424,$C$5:$AT$510,27,)/VLOOKUP($D424,$C$5:$AT$510,3,))*$E424)</f>
        <v>0</v>
      </c>
      <c r="AD424" s="161">
        <f>IF(VLOOKUP($D424,$C$5:$AT$510,3,)=0,0,(VLOOKUP($D424,$C$5:$AT$510,28,)/VLOOKUP($D424,$C$5:$AT$510,3,))*$E424)</f>
        <v>0</v>
      </c>
      <c r="AE424" s="161">
        <f>IF(VLOOKUP($D424,$C$5:$AT$510,3,)=0,0,(VLOOKUP($D424,$C$5:$AT$510,29,)/VLOOKUP($D424,$C$5:$AT$510,3,))*$E424)</f>
        <v>0</v>
      </c>
      <c r="AF424" s="161">
        <f>IF(VLOOKUP($D424,$C$5:$AT$510,3,)=0,0,(VLOOKUP($D424,$C$5:$AT$510,30,)/VLOOKUP($D424,$C$5:$AT$510,3,))*$E424)</f>
        <v>0</v>
      </c>
      <c r="AG424" s="163">
        <f t="shared" si="151"/>
        <v>1</v>
      </c>
      <c r="AH424" s="103" t="str">
        <f t="shared" si="152"/>
        <v>ok</v>
      </c>
    </row>
    <row r="425" spans="1:34" x14ac:dyDescent="0.25">
      <c r="A425" s="102" t="s">
        <v>346</v>
      </c>
      <c r="C425" s="102" t="s">
        <v>234</v>
      </c>
      <c r="D425" s="102" t="s">
        <v>615</v>
      </c>
      <c r="E425" s="122">
        <v>1</v>
      </c>
      <c r="F425" s="161">
        <f>IF(VLOOKUP($D425,$C$5:$AT$510,3,)=0,0,(VLOOKUP($D425,$C$5:$AT$510,4,)/VLOOKUP($D425,$C$5:$AT$510,3,))*$E425)</f>
        <v>0.94603965201088847</v>
      </c>
      <c r="G425" s="161">
        <f>IF(VLOOKUP($D425,$C$5:$AT$510,3,)=0,0,(VLOOKUP($D425,$C$5:$AT$510,5,)/VLOOKUP($D425,$C$5:$AT$510,3,))*$E425)</f>
        <v>2.0068223214605818E-3</v>
      </c>
      <c r="H425" s="161">
        <f>IF(VLOOKUP($D425,$C$5:$AT$510,3,)=0,0,(VLOOKUP($D425,$C$5:$AT$510,6,)/VLOOKUP($D425,$C$5:$AT$510,3,))*$E425)</f>
        <v>2.057976615929185E-2</v>
      </c>
      <c r="I425" s="161">
        <f>IF(VLOOKUP($D425,$C$5:$AT$510,3,)=0,0,(VLOOKUP($D425,$C$5:$AT$510,7,)/VLOOKUP($D425,$C$5:$AT$510,3,))*$E425)</f>
        <v>2.4003168942959901E-3</v>
      </c>
      <c r="J425" s="161">
        <f>IF(VLOOKUP($D425,$C$5:$AT$510,3,)=0,0,(VLOOKUP($D425,$C$5:$AT$510,8,)/VLOOKUP($D425,$C$5:$AT$510,3,))*$E425)</f>
        <v>9.0503751752143893E-4</v>
      </c>
      <c r="K425" s="161">
        <f>IF(VLOOKUP($D425,$C$5:$AT$510,3,)=0,0,(VLOOKUP($D425,$C$5:$AT$510,9,)/VLOOKUP($D425,$C$5:$AT$510,3,))*$E425)</f>
        <v>1.2277030672464736E-2</v>
      </c>
      <c r="L425" s="161">
        <f>IF(VLOOKUP($D425,$C$5:$AT$510,3,)=0,0,(VLOOKUP($D425,$C$5:$AT$510,10,)/VLOOKUP($D425,$C$5:$AT$510,3,))*$E425)</f>
        <v>9.5225686626168784E-3</v>
      </c>
      <c r="M425" s="161">
        <f>IF(VLOOKUP($D425,$C$5:$AT$510,3,)=0,0,(VLOOKUP($D425,$C$5:$AT$510,11,)/VLOOKUP($D425,$C$5:$AT$510,3,))*$E425)</f>
        <v>6.0991658789488279E-3</v>
      </c>
      <c r="N425" s="161">
        <f>IF(VLOOKUP($D425,$C$5:$AT$510,3,)=0,0,(VLOOKUP($D425,$C$5:$AT$510,12,)/VLOOKUP($D425,$C$5:$AT$510,3,))*$E425)</f>
        <v>1.1804837185062247E-4</v>
      </c>
      <c r="O425" s="161">
        <f>IF(VLOOKUP($D425,$C$5:$AT$510,3,)=0,0,(VLOOKUP($D425,$C$5:$AT$510,13,)/VLOOKUP($D425,$C$5:$AT$510,3,))*$E425)</f>
        <v>0</v>
      </c>
      <c r="P425" s="161">
        <f>IF(VLOOKUP($D425,$C$5:$AT$510,3,)=0,0,(VLOOKUP($D425,$C$5:$AT$510,14,)/VLOOKUP($D425,$C$5:$AT$510,3,))*$E425)</f>
        <v>5.1591510660642415E-5</v>
      </c>
      <c r="Q425" s="161">
        <f>IF(VLOOKUP($D425,$C$5:$AT$510,3,)=0,0,(VLOOKUP($D425,$C$5:$AT$510,15,)/VLOOKUP($D425,$C$5:$AT$510,3,))*$E425)</f>
        <v>0</v>
      </c>
      <c r="R425" s="161">
        <f>IF(VLOOKUP($D425,$C$5:$AT$510,3,)=0,0,(VLOOKUP($D425,$C$5:$AT$510,16,)/VLOOKUP($D425,$C$5:$AT$510,3,))*$E425)</f>
        <v>0</v>
      </c>
      <c r="S425" s="161">
        <f>IF(VLOOKUP($D425,$C$5:$AT$510,3,)=0,0,(VLOOKUP($D425,$C$5:$AT$510,17,)/VLOOKUP($D425,$C$5:$AT$510,3,))*$E425)</f>
        <v>0</v>
      </c>
      <c r="T425" s="161">
        <f>IF(VLOOKUP($D425,$C$5:$AT$510,3,)=0,0,(VLOOKUP($D425,$C$5:$AT$510,18,)/VLOOKUP($D425,$C$5:$AT$510,3,))*$E425)</f>
        <v>0</v>
      </c>
      <c r="U425" s="161">
        <f>IF(VLOOKUP($D425,$C$5:$AT$510,3,)=0,0,(VLOOKUP($D425,$C$5:$AT$510,19,)/VLOOKUP($D425,$C$5:$AT$510,3,))*$E425)</f>
        <v>0</v>
      </c>
      <c r="V425" s="161">
        <f>IF(VLOOKUP($D425,$C$5:$AT$510,3,)=0,0,(VLOOKUP($D425,$C$5:$AT$510,20,)/VLOOKUP($D425,$C$5:$AT$510,3,))*$E425)</f>
        <v>0</v>
      </c>
      <c r="W425" s="161">
        <f>IF(VLOOKUP($D425,$C$5:$AT$510,3,)=0,0,(VLOOKUP($D425,$C$5:$AT$510,21,)/VLOOKUP($D425,$C$5:$AT$510,3,))*$E425)</f>
        <v>0</v>
      </c>
      <c r="X425" s="161">
        <f>IF(VLOOKUP($D425,$C$5:$AT$510,3,)=0,0,(VLOOKUP($D425,$C$5:$AT$510,22,)/VLOOKUP($D425,$C$5:$AT$510,3,))*$E425)</f>
        <v>0</v>
      </c>
      <c r="Y425" s="161">
        <f>IF(VLOOKUP($D425,$C$5:$AT$510,3,)=0,0,(VLOOKUP($D425,$C$5:$AT$510,23,)/VLOOKUP($D425,$C$5:$AT$510,3,))*$E425)</f>
        <v>0</v>
      </c>
      <c r="Z425" s="161">
        <f>IF(VLOOKUP($D425,$C$5:$AT$510,3,)=0,0,(VLOOKUP($D425,$C$5:$AT$510,24,)/VLOOKUP($D425,$C$5:$AT$510,3,))*$E425)</f>
        <v>0</v>
      </c>
      <c r="AA425" s="161">
        <f>IF(VLOOKUP($D425,$C$5:$AT$510,3,)=0,0,(VLOOKUP($D425,$C$5:$AT$510,25,)/VLOOKUP($D425,$C$5:$AT$510,3,))*$E425)</f>
        <v>0</v>
      </c>
      <c r="AB425" s="161">
        <f>IF(VLOOKUP($D425,$C$5:$AT$510,3,)=0,0,(VLOOKUP($D425,$C$5:$AT$510,26,)/VLOOKUP($D425,$C$5:$AT$510,3,))*$E425)</f>
        <v>0</v>
      </c>
      <c r="AC425" s="161">
        <f>IF(VLOOKUP($D425,$C$5:$AT$510,3,)=0,0,(VLOOKUP($D425,$C$5:$AT$510,27,)/VLOOKUP($D425,$C$5:$AT$510,3,))*$E425)</f>
        <v>0</v>
      </c>
      <c r="AD425" s="161">
        <f>IF(VLOOKUP($D425,$C$5:$AT$510,3,)=0,0,(VLOOKUP($D425,$C$5:$AT$510,28,)/VLOOKUP($D425,$C$5:$AT$510,3,))*$E425)</f>
        <v>0</v>
      </c>
      <c r="AE425" s="161">
        <f>IF(VLOOKUP($D425,$C$5:$AT$510,3,)=0,0,(VLOOKUP($D425,$C$5:$AT$510,29,)/VLOOKUP($D425,$C$5:$AT$510,3,))*$E425)</f>
        <v>0</v>
      </c>
      <c r="AF425" s="161">
        <f>IF(VLOOKUP($D425,$C$5:$AT$510,3,)=0,0,(VLOOKUP($D425,$C$5:$AT$510,30,)/VLOOKUP($D425,$C$5:$AT$510,3,))*$E425)</f>
        <v>0</v>
      </c>
      <c r="AG425" s="163">
        <f t="shared" si="151"/>
        <v>1</v>
      </c>
      <c r="AH425" s="103" t="str">
        <f t="shared" si="152"/>
        <v>ok</v>
      </c>
    </row>
    <row r="426" spans="1:34" x14ac:dyDescent="0.25">
      <c r="A426" s="102" t="s">
        <v>470</v>
      </c>
      <c r="C426" s="102" t="s">
        <v>235</v>
      </c>
      <c r="D426" s="102" t="s">
        <v>564</v>
      </c>
      <c r="E426" s="122">
        <v>1</v>
      </c>
      <c r="F426" s="161">
        <f>IF(VLOOKUP($D426,$C$5:$AT$510,3,)=0,0,(VLOOKUP($D426,$C$5:$AT$510,4,)/VLOOKUP($D426,$C$5:$AT$510,3,))*$E426)</f>
        <v>0.94603965201088847</v>
      </c>
      <c r="G426" s="161">
        <f>IF(VLOOKUP($D426,$C$5:$AT$510,3,)=0,0,(VLOOKUP($D426,$C$5:$AT$510,5,)/VLOOKUP($D426,$C$5:$AT$510,3,))*$E426)</f>
        <v>2.0068223214605818E-3</v>
      </c>
      <c r="H426" s="161">
        <f>IF(VLOOKUP($D426,$C$5:$AT$510,3,)=0,0,(VLOOKUP($D426,$C$5:$AT$510,6,)/VLOOKUP($D426,$C$5:$AT$510,3,))*$E426)</f>
        <v>2.057976615929185E-2</v>
      </c>
      <c r="I426" s="161">
        <f>IF(VLOOKUP($D426,$C$5:$AT$510,3,)=0,0,(VLOOKUP($D426,$C$5:$AT$510,7,)/VLOOKUP($D426,$C$5:$AT$510,3,))*$E426)</f>
        <v>2.4003168942959901E-3</v>
      </c>
      <c r="J426" s="161">
        <f>IF(VLOOKUP($D426,$C$5:$AT$510,3,)=0,0,(VLOOKUP($D426,$C$5:$AT$510,8,)/VLOOKUP($D426,$C$5:$AT$510,3,))*$E426)</f>
        <v>9.0503751752143893E-4</v>
      </c>
      <c r="K426" s="161">
        <f>IF(VLOOKUP($D426,$C$5:$AT$510,3,)=0,0,(VLOOKUP($D426,$C$5:$AT$510,9,)/VLOOKUP($D426,$C$5:$AT$510,3,))*$E426)</f>
        <v>1.2277030672464736E-2</v>
      </c>
      <c r="L426" s="161">
        <f>IF(VLOOKUP($D426,$C$5:$AT$510,3,)=0,0,(VLOOKUP($D426,$C$5:$AT$510,10,)/VLOOKUP($D426,$C$5:$AT$510,3,))*$E426)</f>
        <v>9.5225686626168784E-3</v>
      </c>
      <c r="M426" s="161">
        <f>IF(VLOOKUP($D426,$C$5:$AT$510,3,)=0,0,(VLOOKUP($D426,$C$5:$AT$510,11,)/VLOOKUP($D426,$C$5:$AT$510,3,))*$E426)</f>
        <v>6.0991658789488279E-3</v>
      </c>
      <c r="N426" s="161">
        <f>IF(VLOOKUP($D426,$C$5:$AT$510,3,)=0,0,(VLOOKUP($D426,$C$5:$AT$510,12,)/VLOOKUP($D426,$C$5:$AT$510,3,))*$E426)</f>
        <v>1.1804837185062247E-4</v>
      </c>
      <c r="O426" s="161">
        <f>IF(VLOOKUP($D426,$C$5:$AT$510,3,)=0,0,(VLOOKUP($D426,$C$5:$AT$510,13,)/VLOOKUP($D426,$C$5:$AT$510,3,))*$E426)</f>
        <v>0</v>
      </c>
      <c r="P426" s="161">
        <f>IF(VLOOKUP($D426,$C$5:$AT$510,3,)=0,0,(VLOOKUP($D426,$C$5:$AT$510,14,)/VLOOKUP($D426,$C$5:$AT$510,3,))*$E426)</f>
        <v>5.1591510660642415E-5</v>
      </c>
      <c r="Q426" s="161">
        <f>IF(VLOOKUP($D426,$C$5:$AT$510,3,)=0,0,(VLOOKUP($D426,$C$5:$AT$510,15,)/VLOOKUP($D426,$C$5:$AT$510,3,))*$E426)</f>
        <v>0</v>
      </c>
      <c r="R426" s="161">
        <f>IF(VLOOKUP($D426,$C$5:$AT$510,3,)=0,0,(VLOOKUP($D426,$C$5:$AT$510,16,)/VLOOKUP($D426,$C$5:$AT$510,3,))*$E426)</f>
        <v>0</v>
      </c>
      <c r="S426" s="161">
        <f>IF(VLOOKUP($D426,$C$5:$AT$510,3,)=0,0,(VLOOKUP($D426,$C$5:$AT$510,17,)/VLOOKUP($D426,$C$5:$AT$510,3,))*$E426)</f>
        <v>0</v>
      </c>
      <c r="T426" s="161">
        <f>IF(VLOOKUP($D426,$C$5:$AT$510,3,)=0,0,(VLOOKUP($D426,$C$5:$AT$510,18,)/VLOOKUP($D426,$C$5:$AT$510,3,))*$E426)</f>
        <v>0</v>
      </c>
      <c r="U426" s="161">
        <f>IF(VLOOKUP($D426,$C$5:$AT$510,3,)=0,0,(VLOOKUP($D426,$C$5:$AT$510,19,)/VLOOKUP($D426,$C$5:$AT$510,3,))*$E426)</f>
        <v>0</v>
      </c>
      <c r="V426" s="161">
        <f>IF(VLOOKUP($D426,$C$5:$AT$510,3,)=0,0,(VLOOKUP($D426,$C$5:$AT$510,20,)/VLOOKUP($D426,$C$5:$AT$510,3,))*$E426)</f>
        <v>0</v>
      </c>
      <c r="W426" s="161">
        <f>IF(VLOOKUP($D426,$C$5:$AT$510,3,)=0,0,(VLOOKUP($D426,$C$5:$AT$510,21,)/VLOOKUP($D426,$C$5:$AT$510,3,))*$E426)</f>
        <v>0</v>
      </c>
      <c r="X426" s="161">
        <f>IF(VLOOKUP($D426,$C$5:$AT$510,3,)=0,0,(VLOOKUP($D426,$C$5:$AT$510,22,)/VLOOKUP($D426,$C$5:$AT$510,3,))*$E426)</f>
        <v>0</v>
      </c>
      <c r="Y426" s="161">
        <f>IF(VLOOKUP($D426,$C$5:$AT$510,3,)=0,0,(VLOOKUP($D426,$C$5:$AT$510,23,)/VLOOKUP($D426,$C$5:$AT$510,3,))*$E426)</f>
        <v>0</v>
      </c>
      <c r="Z426" s="161">
        <f>IF(VLOOKUP($D426,$C$5:$AT$510,3,)=0,0,(VLOOKUP($D426,$C$5:$AT$510,24,)/VLOOKUP($D426,$C$5:$AT$510,3,))*$E426)</f>
        <v>0</v>
      </c>
      <c r="AA426" s="161">
        <f>IF(VLOOKUP($D426,$C$5:$AT$510,3,)=0,0,(VLOOKUP($D426,$C$5:$AT$510,25,)/VLOOKUP($D426,$C$5:$AT$510,3,))*$E426)</f>
        <v>0</v>
      </c>
      <c r="AB426" s="161">
        <f>IF(VLOOKUP($D426,$C$5:$AT$510,3,)=0,0,(VLOOKUP($D426,$C$5:$AT$510,26,)/VLOOKUP($D426,$C$5:$AT$510,3,))*$E426)</f>
        <v>0</v>
      </c>
      <c r="AC426" s="161">
        <f>IF(VLOOKUP($D426,$C$5:$AT$510,3,)=0,0,(VLOOKUP($D426,$C$5:$AT$510,27,)/VLOOKUP($D426,$C$5:$AT$510,3,))*$E426)</f>
        <v>0</v>
      </c>
      <c r="AD426" s="161">
        <f>IF(VLOOKUP($D426,$C$5:$AT$510,3,)=0,0,(VLOOKUP($D426,$C$5:$AT$510,28,)/VLOOKUP($D426,$C$5:$AT$510,3,))*$E426)</f>
        <v>0</v>
      </c>
      <c r="AE426" s="161">
        <f>IF(VLOOKUP($D426,$C$5:$AT$510,3,)=0,0,(VLOOKUP($D426,$C$5:$AT$510,29,)/VLOOKUP($D426,$C$5:$AT$510,3,))*$E426)</f>
        <v>0</v>
      </c>
      <c r="AF426" s="161">
        <f>IF(VLOOKUP($D426,$C$5:$AT$510,3,)=0,0,(VLOOKUP($D426,$C$5:$AT$510,30,)/VLOOKUP($D426,$C$5:$AT$510,3,))*$E426)</f>
        <v>0</v>
      </c>
      <c r="AG426" s="163">
        <f t="shared" si="151"/>
        <v>1</v>
      </c>
      <c r="AH426" s="103" t="str">
        <f t="shared" si="152"/>
        <v>ok</v>
      </c>
    </row>
    <row r="428" spans="1:34" x14ac:dyDescent="0.25">
      <c r="A428" s="132" t="s">
        <v>861</v>
      </c>
      <c r="D428" s="164"/>
    </row>
    <row r="429" spans="1:34" x14ac:dyDescent="0.25">
      <c r="A429" s="102" t="s">
        <v>349</v>
      </c>
      <c r="C429" s="102" t="s">
        <v>561</v>
      </c>
      <c r="E429" s="110">
        <f>'Billing Det'!E25</f>
        <v>92579155.396589994</v>
      </c>
      <c r="F429" s="110">
        <f>'Billing Det'!$E8</f>
        <v>36776700.68</v>
      </c>
      <c r="G429" s="110">
        <f>'Billing Det'!$E9</f>
        <v>93595.260000000009</v>
      </c>
      <c r="H429" s="110">
        <f>'Billing Det'!$E10</f>
        <v>957340.95</v>
      </c>
      <c r="I429" s="110">
        <f>'Billing Det'!$E11</f>
        <v>70525.460000000006</v>
      </c>
      <c r="J429" s="110">
        <f>'Billing Det'!$E12</f>
        <v>124328.96999999997</v>
      </c>
      <c r="K429" s="110">
        <f>'Billing Det'!$E13</f>
        <v>147225.21999999997</v>
      </c>
      <c r="L429" s="110">
        <f>'Billing Det'!$E14</f>
        <v>2247413.7800000003</v>
      </c>
      <c r="M429" s="110">
        <f>'Billing Det'!$E15</f>
        <v>9550097.4600000009</v>
      </c>
      <c r="N429" s="110">
        <f>'Billing Det'!$E16</f>
        <v>66590.199999999983</v>
      </c>
      <c r="O429" s="110">
        <f>'Billing Det'!$E17</f>
        <v>0</v>
      </c>
      <c r="P429" s="110">
        <f>'Billing Det'!$E18</f>
        <v>1098616.48</v>
      </c>
      <c r="Q429" s="110">
        <f>'Billing Det'!$E19</f>
        <v>3017742.4965900006</v>
      </c>
      <c r="R429" s="110">
        <f>'Billing Det'!$E20</f>
        <v>4646836.6700000009</v>
      </c>
      <c r="S429" s="110">
        <f>'Billing Det'!$E21</f>
        <v>4382407.72</v>
      </c>
      <c r="T429" s="110">
        <f>'Billing Det'!$E22</f>
        <v>19385879.999999996</v>
      </c>
      <c r="U429" s="110">
        <f>'Billing Det'!$E23</f>
        <v>10013854.050000001</v>
      </c>
      <c r="V429" s="110">
        <v>0</v>
      </c>
      <c r="W429" s="110">
        <v>0</v>
      </c>
      <c r="X429" s="110">
        <v>0</v>
      </c>
      <c r="Y429" s="110">
        <v>0</v>
      </c>
      <c r="Z429" s="110">
        <v>0</v>
      </c>
      <c r="AA429" s="110">
        <v>0</v>
      </c>
      <c r="AB429" s="110">
        <v>0</v>
      </c>
      <c r="AC429" s="110">
        <v>0</v>
      </c>
      <c r="AD429" s="110">
        <v>0</v>
      </c>
      <c r="AE429" s="110"/>
      <c r="AF429" s="110"/>
      <c r="AG429" s="110">
        <f t="shared" ref="AG429:AG439" si="153">SUM(F429:AF429)</f>
        <v>92579155.396589994</v>
      </c>
      <c r="AH429" s="103" t="str">
        <f t="shared" ref="AH429:AH439" si="154">IF(ABS(E429-AG429)&lt;0.01,"ok","err")</f>
        <v>ok</v>
      </c>
    </row>
    <row r="430" spans="1:34" x14ac:dyDescent="0.25">
      <c r="A430" s="102" t="s">
        <v>11</v>
      </c>
      <c r="C430" s="102" t="s">
        <v>214</v>
      </c>
      <c r="E430" s="110">
        <f>'Billing Det'!D25</f>
        <v>1000427867</v>
      </c>
      <c r="F430" s="110">
        <f>'Billing Det'!D8</f>
        <v>308135777</v>
      </c>
      <c r="G430" s="110">
        <f>'Billing Det'!D9</f>
        <v>909510</v>
      </c>
      <c r="H430" s="110">
        <f>'Billing Det'!D10</f>
        <v>7907545</v>
      </c>
      <c r="I430" s="110">
        <f>'Billing Det'!D11</f>
        <v>796690</v>
      </c>
      <c r="J430" s="110">
        <f>'Billing Det'!D12</f>
        <v>349323</v>
      </c>
      <c r="K430" s="110">
        <f>'Billing Det'!D13</f>
        <v>920624</v>
      </c>
      <c r="L430" s="110">
        <f>'Billing Det'!D14</f>
        <v>18017225</v>
      </c>
      <c r="M430" s="110">
        <f>'Billing Det'!D15</f>
        <v>100849878</v>
      </c>
      <c r="N430" s="110">
        <f>'Billing Det'!D16</f>
        <v>619360</v>
      </c>
      <c r="O430" s="110">
        <f>'Billing Det'!D17</f>
        <v>0</v>
      </c>
      <c r="P430" s="110">
        <f>'Billing Det'!D18</f>
        <v>158907</v>
      </c>
      <c r="Q430" s="110">
        <f>'Billing Det'!D19</f>
        <v>41463518</v>
      </c>
      <c r="R430" s="110">
        <f>'Billing Det'!D20</f>
        <v>59373527</v>
      </c>
      <c r="S430" s="110">
        <f>'Billing Det'!$D21</f>
        <v>56173030</v>
      </c>
      <c r="T430" s="110">
        <f>'Billing Det'!$D22</f>
        <v>264185950</v>
      </c>
      <c r="U430" s="110">
        <f>'Billing Det'!$D23</f>
        <v>140567003</v>
      </c>
      <c r="V430" s="110">
        <v>0</v>
      </c>
      <c r="W430" s="110">
        <v>0</v>
      </c>
      <c r="X430" s="110">
        <v>0</v>
      </c>
      <c r="Y430" s="110">
        <v>0</v>
      </c>
      <c r="Z430" s="110">
        <v>0</v>
      </c>
      <c r="AA430" s="110">
        <v>0</v>
      </c>
      <c r="AB430" s="110">
        <v>0</v>
      </c>
      <c r="AC430" s="110">
        <v>0</v>
      </c>
      <c r="AD430" s="110">
        <v>0</v>
      </c>
      <c r="AE430" s="110"/>
      <c r="AF430" s="110"/>
      <c r="AG430" s="110">
        <f>SUM(F430:AF430)</f>
        <v>1000427867</v>
      </c>
      <c r="AH430" s="103" t="str">
        <f t="shared" si="154"/>
        <v>ok</v>
      </c>
    </row>
    <row r="431" spans="1:34" x14ac:dyDescent="0.25">
      <c r="A431" s="102" t="s">
        <v>741</v>
      </c>
      <c r="E431" s="165">
        <v>0.05</v>
      </c>
      <c r="F431" s="165">
        <v>0.05</v>
      </c>
      <c r="G431" s="165">
        <v>0.05</v>
      </c>
      <c r="H431" s="165">
        <v>0.05</v>
      </c>
      <c r="I431" s="165">
        <v>0.05</v>
      </c>
      <c r="J431" s="138">
        <v>0.05</v>
      </c>
      <c r="K431" s="138">
        <v>0.05</v>
      </c>
      <c r="L431" s="121">
        <v>0.05</v>
      </c>
      <c r="M431" s="121">
        <v>0.05</v>
      </c>
      <c r="N431" s="165">
        <v>0.05</v>
      </c>
      <c r="O431" s="165">
        <v>2.5000000000000001E-2</v>
      </c>
      <c r="P431" s="165">
        <v>0.05</v>
      </c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6"/>
      <c r="AH431" s="103"/>
    </row>
    <row r="432" spans="1:34" x14ac:dyDescent="0.25">
      <c r="A432" s="102" t="s">
        <v>742</v>
      </c>
      <c r="C432" s="102" t="s">
        <v>11</v>
      </c>
      <c r="E432" s="110">
        <v>1023515490.1052632</v>
      </c>
      <c r="F432" s="110">
        <f t="shared" ref="F432:AF432" si="155">F430/(1-F431)</f>
        <v>324353449.47368425</v>
      </c>
      <c r="G432" s="110">
        <f t="shared" si="155"/>
        <v>957378.94736842113</v>
      </c>
      <c r="H432" s="110">
        <f t="shared" si="155"/>
        <v>8323731.578947369</v>
      </c>
      <c r="I432" s="110">
        <f t="shared" si="155"/>
        <v>838621.05263157899</v>
      </c>
      <c r="J432" s="110">
        <f t="shared" si="155"/>
        <v>367708.42105263157</v>
      </c>
      <c r="K432" s="110">
        <f t="shared" si="155"/>
        <v>969077.89473684214</v>
      </c>
      <c r="L432" s="110">
        <f t="shared" si="155"/>
        <v>18965500</v>
      </c>
      <c r="M432" s="110">
        <f t="shared" si="155"/>
        <v>106157766.31578948</v>
      </c>
      <c r="N432" s="110">
        <f t="shared" si="155"/>
        <v>651957.89473684214</v>
      </c>
      <c r="O432" s="110">
        <f t="shared" si="155"/>
        <v>0</v>
      </c>
      <c r="P432" s="110">
        <f t="shared" si="155"/>
        <v>167270.5263157895</v>
      </c>
      <c r="Q432" s="110">
        <f t="shared" si="155"/>
        <v>41463518</v>
      </c>
      <c r="R432" s="110">
        <f t="shared" si="155"/>
        <v>59373527</v>
      </c>
      <c r="S432" s="110">
        <f t="shared" si="155"/>
        <v>56173030</v>
      </c>
      <c r="T432" s="110">
        <f t="shared" si="155"/>
        <v>264185950</v>
      </c>
      <c r="U432" s="110">
        <f t="shared" si="155"/>
        <v>140567003</v>
      </c>
      <c r="V432" s="110">
        <f t="shared" si="155"/>
        <v>0</v>
      </c>
      <c r="W432" s="110">
        <f t="shared" si="155"/>
        <v>0</v>
      </c>
      <c r="X432" s="110">
        <f t="shared" si="155"/>
        <v>0</v>
      </c>
      <c r="Y432" s="110">
        <f t="shared" si="155"/>
        <v>0</v>
      </c>
      <c r="Z432" s="110">
        <f t="shared" si="155"/>
        <v>0</v>
      </c>
      <c r="AA432" s="110">
        <f t="shared" si="155"/>
        <v>0</v>
      </c>
      <c r="AB432" s="110">
        <f t="shared" si="155"/>
        <v>0</v>
      </c>
      <c r="AC432" s="110">
        <f t="shared" si="155"/>
        <v>0</v>
      </c>
      <c r="AD432" s="110">
        <f t="shared" si="155"/>
        <v>0</v>
      </c>
      <c r="AE432" s="110">
        <f t="shared" si="155"/>
        <v>0</v>
      </c>
      <c r="AF432" s="110">
        <f t="shared" si="155"/>
        <v>0</v>
      </c>
      <c r="AG432" s="110">
        <f t="shared" si="153"/>
        <v>1023515490.1052632</v>
      </c>
      <c r="AH432" s="103" t="str">
        <f t="shared" si="154"/>
        <v>ok</v>
      </c>
    </row>
    <row r="433" spans="1:34" x14ac:dyDescent="0.25">
      <c r="A433" s="102" t="s">
        <v>558</v>
      </c>
      <c r="E433" s="110">
        <f>'Billing Det'!C25*12</f>
        <v>305712</v>
      </c>
      <c r="F433" s="110">
        <f>'Billing Det'!$C8*12</f>
        <v>288504</v>
      </c>
      <c r="G433" s="110">
        <f>'Billing Det'!$C9*12</f>
        <v>612</v>
      </c>
      <c r="H433" s="110">
        <f>'Billing Det'!$C10*12</f>
        <v>6276</v>
      </c>
      <c r="I433" s="110">
        <f>'Billing Det'!$C11*12</f>
        <v>732</v>
      </c>
      <c r="J433" s="110">
        <f>'Billing Det'!$C12*12</f>
        <v>276</v>
      </c>
      <c r="K433" s="110">
        <f>'Billing Det'!$C13*12</f>
        <v>3744</v>
      </c>
      <c r="L433" s="110">
        <f>'Billing Det'!$C14*12</f>
        <v>2904</v>
      </c>
      <c r="M433" s="110">
        <f>'Billing Det'!$C15*12</f>
        <v>1860</v>
      </c>
      <c r="N433" s="110">
        <f>'Billing Det'!$C16*12</f>
        <v>36</v>
      </c>
      <c r="O433" s="110">
        <f>'Billing Det'!$C17*12</f>
        <v>0</v>
      </c>
      <c r="P433" s="110">
        <f>'Billing Det'!$C18*12</f>
        <v>708</v>
      </c>
      <c r="Q433" s="110">
        <f>'Billing Det'!$C19*12</f>
        <v>12</v>
      </c>
      <c r="R433" s="110">
        <f>'Billing Det'!$C20*12</f>
        <v>12</v>
      </c>
      <c r="S433" s="110">
        <f>'Billing Det'!$C21*12</f>
        <v>12</v>
      </c>
      <c r="T433" s="110">
        <f>'Billing Det'!$C22*12</f>
        <v>12</v>
      </c>
      <c r="U433" s="110">
        <f>'Billing Det'!$C23*12</f>
        <v>12</v>
      </c>
      <c r="V433" s="110">
        <v>0</v>
      </c>
      <c r="W433" s="110">
        <v>0</v>
      </c>
      <c r="X433" s="110">
        <v>0</v>
      </c>
      <c r="Y433" s="110">
        <v>0</v>
      </c>
      <c r="Z433" s="110">
        <v>0</v>
      </c>
      <c r="AA433" s="110">
        <v>0</v>
      </c>
      <c r="AB433" s="110">
        <v>0</v>
      </c>
      <c r="AC433" s="110">
        <v>0</v>
      </c>
      <c r="AD433" s="110">
        <v>0</v>
      </c>
      <c r="AE433" s="110"/>
      <c r="AF433" s="110"/>
      <c r="AG433" s="110">
        <f t="shared" si="153"/>
        <v>305712</v>
      </c>
      <c r="AH433" s="103" t="str">
        <f t="shared" si="154"/>
        <v>ok</v>
      </c>
    </row>
    <row r="434" spans="1:34" x14ac:dyDescent="0.25">
      <c r="A434" s="102" t="s">
        <v>559</v>
      </c>
      <c r="C434" s="102" t="s">
        <v>562</v>
      </c>
      <c r="E434" s="110">
        <v>25471</v>
      </c>
      <c r="F434" s="110">
        <f>F433/12</f>
        <v>24042</v>
      </c>
      <c r="G434" s="110">
        <f t="shared" ref="G434:AF434" si="156">G433/12</f>
        <v>51</v>
      </c>
      <c r="H434" s="110">
        <f>H433/12</f>
        <v>523</v>
      </c>
      <c r="I434" s="110">
        <f t="shared" si="156"/>
        <v>61</v>
      </c>
      <c r="J434" s="110">
        <f t="shared" si="156"/>
        <v>23</v>
      </c>
      <c r="K434" s="110">
        <f t="shared" si="156"/>
        <v>312</v>
      </c>
      <c r="L434" s="110">
        <f t="shared" si="156"/>
        <v>242</v>
      </c>
      <c r="M434" s="110">
        <f t="shared" si="156"/>
        <v>155</v>
      </c>
      <c r="N434" s="110">
        <f t="shared" si="156"/>
        <v>3</v>
      </c>
      <c r="O434" s="110">
        <f t="shared" si="156"/>
        <v>0</v>
      </c>
      <c r="P434" s="110">
        <f t="shared" si="156"/>
        <v>59</v>
      </c>
      <c r="Q434" s="167">
        <v>0</v>
      </c>
      <c r="R434" s="167">
        <v>0</v>
      </c>
      <c r="S434" s="167">
        <v>0</v>
      </c>
      <c r="T434" s="167">
        <v>0</v>
      </c>
      <c r="U434" s="167">
        <v>0</v>
      </c>
      <c r="V434" s="110">
        <v>0</v>
      </c>
      <c r="W434" s="110">
        <v>0</v>
      </c>
      <c r="X434" s="110">
        <v>0</v>
      </c>
      <c r="Y434" s="110">
        <v>0</v>
      </c>
      <c r="Z434" s="110">
        <f t="shared" si="156"/>
        <v>0</v>
      </c>
      <c r="AA434" s="110">
        <f t="shared" si="156"/>
        <v>0</v>
      </c>
      <c r="AB434" s="110">
        <f t="shared" si="156"/>
        <v>0</v>
      </c>
      <c r="AC434" s="110">
        <f t="shared" si="156"/>
        <v>0</v>
      </c>
      <c r="AD434" s="110">
        <f t="shared" si="156"/>
        <v>0</v>
      </c>
      <c r="AE434" s="110">
        <f t="shared" si="156"/>
        <v>0</v>
      </c>
      <c r="AF434" s="110">
        <f t="shared" si="156"/>
        <v>0</v>
      </c>
      <c r="AG434" s="110">
        <f t="shared" si="153"/>
        <v>25471</v>
      </c>
      <c r="AH434" s="103" t="str">
        <f t="shared" si="154"/>
        <v>ok</v>
      </c>
    </row>
    <row r="435" spans="1:34" x14ac:dyDescent="0.25">
      <c r="A435" s="102" t="s">
        <v>560</v>
      </c>
      <c r="C435" s="102" t="s">
        <v>563</v>
      </c>
      <c r="E435" s="110">
        <f>E434</f>
        <v>25471</v>
      </c>
      <c r="F435" s="110">
        <f t="shared" ref="F435:O435" si="157">F434</f>
        <v>24042</v>
      </c>
      <c r="G435" s="110">
        <f t="shared" si="157"/>
        <v>51</v>
      </c>
      <c r="H435" s="110">
        <f t="shared" si="157"/>
        <v>523</v>
      </c>
      <c r="I435" s="110">
        <f t="shared" si="157"/>
        <v>61</v>
      </c>
      <c r="J435" s="110">
        <f t="shared" si="157"/>
        <v>23</v>
      </c>
      <c r="K435" s="110">
        <f t="shared" si="157"/>
        <v>312</v>
      </c>
      <c r="L435" s="110">
        <f t="shared" si="157"/>
        <v>242</v>
      </c>
      <c r="M435" s="110">
        <f t="shared" si="157"/>
        <v>155</v>
      </c>
      <c r="N435" s="110">
        <f t="shared" si="157"/>
        <v>3</v>
      </c>
      <c r="O435" s="110">
        <f t="shared" si="157"/>
        <v>0</v>
      </c>
      <c r="P435" s="110">
        <f t="shared" ref="P435:U435" si="158">P434</f>
        <v>59</v>
      </c>
      <c r="Q435" s="110">
        <f t="shared" si="158"/>
        <v>0</v>
      </c>
      <c r="R435" s="110">
        <f t="shared" si="158"/>
        <v>0</v>
      </c>
      <c r="S435" s="110">
        <f t="shared" si="158"/>
        <v>0</v>
      </c>
      <c r="T435" s="110">
        <f t="shared" si="158"/>
        <v>0</v>
      </c>
      <c r="U435" s="110">
        <f t="shared" si="158"/>
        <v>0</v>
      </c>
      <c r="V435" s="110">
        <v>0</v>
      </c>
      <c r="W435" s="110">
        <v>0</v>
      </c>
      <c r="X435" s="110">
        <v>0</v>
      </c>
      <c r="Y435" s="110">
        <v>0</v>
      </c>
      <c r="Z435" s="123">
        <f t="shared" ref="Z435:AF435" si="159">Z434</f>
        <v>0</v>
      </c>
      <c r="AA435" s="123">
        <f t="shared" si="159"/>
        <v>0</v>
      </c>
      <c r="AB435" s="123">
        <f t="shared" si="159"/>
        <v>0</v>
      </c>
      <c r="AC435" s="123">
        <f t="shared" si="159"/>
        <v>0</v>
      </c>
      <c r="AD435" s="123">
        <f t="shared" si="159"/>
        <v>0</v>
      </c>
      <c r="AE435" s="123">
        <f t="shared" si="159"/>
        <v>0</v>
      </c>
      <c r="AF435" s="123">
        <f t="shared" si="159"/>
        <v>0</v>
      </c>
      <c r="AG435" s="110">
        <f t="shared" si="153"/>
        <v>25471</v>
      </c>
      <c r="AH435" s="103" t="str">
        <f t="shared" si="154"/>
        <v>ok</v>
      </c>
    </row>
    <row r="436" spans="1:34" x14ac:dyDescent="0.25">
      <c r="A436" s="102" t="s">
        <v>893</v>
      </c>
      <c r="C436" s="102" t="s">
        <v>564</v>
      </c>
      <c r="E436" s="110">
        <v>25413.31111111111</v>
      </c>
      <c r="F436" s="123">
        <f>F434</f>
        <v>24042</v>
      </c>
      <c r="G436" s="123">
        <f t="shared" ref="G436:J436" si="160">G434</f>
        <v>51</v>
      </c>
      <c r="H436" s="123">
        <f t="shared" si="160"/>
        <v>523</v>
      </c>
      <c r="I436" s="123">
        <f t="shared" si="160"/>
        <v>61</v>
      </c>
      <c r="J436" s="123">
        <f t="shared" si="160"/>
        <v>23</v>
      </c>
      <c r="K436" s="123">
        <f>K434</f>
        <v>312</v>
      </c>
      <c r="L436" s="123">
        <f>L434</f>
        <v>242</v>
      </c>
      <c r="M436" s="123">
        <f>M434</f>
        <v>155</v>
      </c>
      <c r="N436" s="123">
        <f>N434</f>
        <v>3</v>
      </c>
      <c r="O436" s="123">
        <f t="shared" ref="O436:U436" si="161">O434</f>
        <v>0</v>
      </c>
      <c r="P436" s="123">
        <f>P434/45</f>
        <v>1.3111111111111111</v>
      </c>
      <c r="Q436" s="123">
        <f t="shared" si="161"/>
        <v>0</v>
      </c>
      <c r="R436" s="123">
        <f t="shared" si="161"/>
        <v>0</v>
      </c>
      <c r="S436" s="123">
        <f t="shared" si="161"/>
        <v>0</v>
      </c>
      <c r="T436" s="123">
        <f t="shared" si="161"/>
        <v>0</v>
      </c>
      <c r="U436" s="123">
        <f t="shared" si="161"/>
        <v>0</v>
      </c>
      <c r="V436" s="110">
        <v>0</v>
      </c>
      <c r="W436" s="110">
        <v>0</v>
      </c>
      <c r="X436" s="110">
        <v>0</v>
      </c>
      <c r="Y436" s="110">
        <v>0</v>
      </c>
      <c r="Z436" s="123">
        <f t="shared" ref="Z436:AF436" si="162">Z434</f>
        <v>0</v>
      </c>
      <c r="AA436" s="123">
        <f t="shared" si="162"/>
        <v>0</v>
      </c>
      <c r="AB436" s="123">
        <f t="shared" si="162"/>
        <v>0</v>
      </c>
      <c r="AC436" s="123">
        <f t="shared" si="162"/>
        <v>0</v>
      </c>
      <c r="AD436" s="123">
        <f t="shared" si="162"/>
        <v>0</v>
      </c>
      <c r="AE436" s="123">
        <f t="shared" si="162"/>
        <v>0</v>
      </c>
      <c r="AF436" s="123">
        <f t="shared" si="162"/>
        <v>0</v>
      </c>
      <c r="AG436" s="110">
        <f>SUM(F436:AF436)</f>
        <v>25413.31111111111</v>
      </c>
      <c r="AH436" s="103" t="str">
        <f t="shared" si="154"/>
        <v>ok</v>
      </c>
    </row>
    <row r="437" spans="1:34" x14ac:dyDescent="0.25">
      <c r="A437" s="102" t="s">
        <v>751</v>
      </c>
      <c r="C437" s="102" t="s">
        <v>565</v>
      </c>
      <c r="E437" s="110">
        <v>1</v>
      </c>
      <c r="F437" s="110">
        <v>0</v>
      </c>
      <c r="G437" s="110">
        <v>0</v>
      </c>
      <c r="H437" s="110">
        <v>0</v>
      </c>
      <c r="I437" s="110">
        <v>0</v>
      </c>
      <c r="J437" s="110">
        <v>0</v>
      </c>
      <c r="K437" s="110">
        <v>0</v>
      </c>
      <c r="L437" s="110">
        <v>0</v>
      </c>
      <c r="M437" s="110">
        <v>0</v>
      </c>
      <c r="N437" s="110">
        <v>0</v>
      </c>
      <c r="O437" s="110">
        <v>0</v>
      </c>
      <c r="P437" s="110">
        <v>1</v>
      </c>
      <c r="Q437" s="110">
        <v>0</v>
      </c>
      <c r="R437" s="110">
        <v>0</v>
      </c>
      <c r="S437" s="110">
        <v>0</v>
      </c>
      <c r="T437" s="110">
        <v>0</v>
      </c>
      <c r="U437" s="110">
        <v>0</v>
      </c>
      <c r="V437" s="110">
        <v>0</v>
      </c>
      <c r="W437" s="110">
        <v>0</v>
      </c>
      <c r="X437" s="110">
        <v>0</v>
      </c>
      <c r="Y437" s="110">
        <v>0</v>
      </c>
      <c r="Z437" s="123"/>
      <c r="AA437" s="123"/>
      <c r="AB437" s="123"/>
      <c r="AC437" s="123"/>
      <c r="AD437" s="123"/>
      <c r="AE437" s="123"/>
      <c r="AF437" s="123"/>
      <c r="AG437" s="110">
        <f t="shared" si="153"/>
        <v>1</v>
      </c>
      <c r="AH437" s="103" t="str">
        <f t="shared" si="154"/>
        <v>ok</v>
      </c>
    </row>
    <row r="438" spans="1:34" x14ac:dyDescent="0.25">
      <c r="A438" s="102" t="s">
        <v>614</v>
      </c>
      <c r="C438" s="102" t="s">
        <v>615</v>
      </c>
      <c r="E438" s="110">
        <v>25413.31111111111</v>
      </c>
      <c r="F438" s="123">
        <f>F436</f>
        <v>24042</v>
      </c>
      <c r="G438" s="123">
        <f t="shared" ref="G438:O438" si="163">G436</f>
        <v>51</v>
      </c>
      <c r="H438" s="123">
        <f t="shared" si="163"/>
        <v>523</v>
      </c>
      <c r="I438" s="123">
        <f t="shared" si="163"/>
        <v>61</v>
      </c>
      <c r="J438" s="123">
        <f t="shared" si="163"/>
        <v>23</v>
      </c>
      <c r="K438" s="123">
        <f t="shared" si="163"/>
        <v>312</v>
      </c>
      <c r="L438" s="123">
        <f t="shared" si="163"/>
        <v>242</v>
      </c>
      <c r="M438" s="123">
        <f t="shared" si="163"/>
        <v>155</v>
      </c>
      <c r="N438" s="123">
        <f t="shared" si="163"/>
        <v>3</v>
      </c>
      <c r="O438" s="123">
        <f t="shared" si="163"/>
        <v>0</v>
      </c>
      <c r="P438" s="123">
        <f>P436</f>
        <v>1.3111111111111111</v>
      </c>
      <c r="Q438" s="123">
        <f t="shared" ref="Q438:U438" si="164">Q436</f>
        <v>0</v>
      </c>
      <c r="R438" s="123">
        <f t="shared" si="164"/>
        <v>0</v>
      </c>
      <c r="S438" s="123">
        <f t="shared" si="164"/>
        <v>0</v>
      </c>
      <c r="T438" s="123">
        <f t="shared" si="164"/>
        <v>0</v>
      </c>
      <c r="U438" s="123">
        <f t="shared" si="164"/>
        <v>0</v>
      </c>
      <c r="V438" s="123">
        <f t="shared" ref="V438:AF438" si="165">V436</f>
        <v>0</v>
      </c>
      <c r="W438" s="123">
        <f t="shared" si="165"/>
        <v>0</v>
      </c>
      <c r="X438" s="123">
        <f t="shared" si="165"/>
        <v>0</v>
      </c>
      <c r="Y438" s="123">
        <f t="shared" si="165"/>
        <v>0</v>
      </c>
      <c r="Z438" s="123">
        <f t="shared" si="165"/>
        <v>0</v>
      </c>
      <c r="AA438" s="123">
        <f t="shared" si="165"/>
        <v>0</v>
      </c>
      <c r="AB438" s="123">
        <f t="shared" si="165"/>
        <v>0</v>
      </c>
      <c r="AC438" s="123">
        <f t="shared" si="165"/>
        <v>0</v>
      </c>
      <c r="AD438" s="123">
        <f t="shared" si="165"/>
        <v>0</v>
      </c>
      <c r="AE438" s="123">
        <f t="shared" si="165"/>
        <v>0</v>
      </c>
      <c r="AF438" s="123">
        <f t="shared" si="165"/>
        <v>0</v>
      </c>
      <c r="AG438" s="110">
        <f t="shared" si="153"/>
        <v>25413.31111111111</v>
      </c>
      <c r="AH438" s="103" t="str">
        <f t="shared" si="154"/>
        <v>ok</v>
      </c>
    </row>
    <row r="439" spans="1:34" x14ac:dyDescent="0.25">
      <c r="A439" s="102" t="s">
        <v>470</v>
      </c>
      <c r="C439" s="102" t="s">
        <v>616</v>
      </c>
      <c r="E439" s="110">
        <f>E435</f>
        <v>25471</v>
      </c>
      <c r="F439" s="123">
        <f>F435</f>
        <v>24042</v>
      </c>
      <c r="G439" s="123">
        <f t="shared" ref="G439:AF439" si="166">G435</f>
        <v>51</v>
      </c>
      <c r="H439" s="123">
        <f t="shared" si="166"/>
        <v>523</v>
      </c>
      <c r="I439" s="123">
        <f t="shared" si="166"/>
        <v>61</v>
      </c>
      <c r="J439" s="123">
        <f t="shared" si="166"/>
        <v>23</v>
      </c>
      <c r="K439" s="123">
        <f t="shared" si="166"/>
        <v>312</v>
      </c>
      <c r="L439" s="123">
        <f t="shared" si="166"/>
        <v>242</v>
      </c>
      <c r="M439" s="123">
        <f t="shared" si="166"/>
        <v>155</v>
      </c>
      <c r="N439" s="123">
        <f t="shared" si="166"/>
        <v>3</v>
      </c>
      <c r="O439" s="123">
        <f t="shared" si="166"/>
        <v>0</v>
      </c>
      <c r="P439" s="123">
        <f t="shared" si="166"/>
        <v>59</v>
      </c>
      <c r="Q439" s="123">
        <f t="shared" si="166"/>
        <v>0</v>
      </c>
      <c r="R439" s="123">
        <f t="shared" si="166"/>
        <v>0</v>
      </c>
      <c r="S439" s="123">
        <f t="shared" si="166"/>
        <v>0</v>
      </c>
      <c r="T439" s="123">
        <f t="shared" si="166"/>
        <v>0</v>
      </c>
      <c r="U439" s="123">
        <f t="shared" si="166"/>
        <v>0</v>
      </c>
      <c r="V439" s="123">
        <f t="shared" si="166"/>
        <v>0</v>
      </c>
      <c r="W439" s="123">
        <f t="shared" si="166"/>
        <v>0</v>
      </c>
      <c r="X439" s="123">
        <f t="shared" si="166"/>
        <v>0</v>
      </c>
      <c r="Y439" s="123">
        <f t="shared" si="166"/>
        <v>0</v>
      </c>
      <c r="Z439" s="123">
        <f t="shared" si="166"/>
        <v>0</v>
      </c>
      <c r="AA439" s="123">
        <f t="shared" si="166"/>
        <v>0</v>
      </c>
      <c r="AB439" s="123">
        <f t="shared" si="166"/>
        <v>0</v>
      </c>
      <c r="AC439" s="123">
        <f t="shared" si="166"/>
        <v>0</v>
      </c>
      <c r="AD439" s="123">
        <f t="shared" si="166"/>
        <v>0</v>
      </c>
      <c r="AE439" s="123">
        <f t="shared" si="166"/>
        <v>0</v>
      </c>
      <c r="AF439" s="123">
        <f t="shared" si="166"/>
        <v>0</v>
      </c>
      <c r="AG439" s="110">
        <f t="shared" si="153"/>
        <v>25471</v>
      </c>
      <c r="AH439" s="103" t="str">
        <f t="shared" si="154"/>
        <v>ok</v>
      </c>
    </row>
    <row r="441" spans="1:34" x14ac:dyDescent="0.25">
      <c r="A441" s="102" t="s">
        <v>688</v>
      </c>
      <c r="C441" s="102" t="s">
        <v>937</v>
      </c>
      <c r="E441" s="110">
        <f>'Billing Det'!$K$25</f>
        <v>1210080.4209992529</v>
      </c>
      <c r="F441" s="110">
        <f>'Billing Det'!$K$8</f>
        <v>584764.49485933245</v>
      </c>
      <c r="G441" s="110">
        <f>'Billing Det'!$K$9</f>
        <v>1884.6279434791427</v>
      </c>
      <c r="H441" s="110">
        <f>'Billing Det'!$K$10</f>
        <v>15214.433228692073</v>
      </c>
      <c r="I441" s="110">
        <f>'Billing Det'!$K$11</f>
        <v>1231.6700574286256</v>
      </c>
      <c r="J441" s="110">
        <f>'Billing Det'!$K$12</f>
        <v>692.10206406211626</v>
      </c>
      <c r="K441" s="110">
        <f>'Billing Det'!$K$13</f>
        <v>1710.9354496250414</v>
      </c>
      <c r="L441" s="110">
        <f>'Billing Det'!$K$14</f>
        <v>26876.028067396313</v>
      </c>
      <c r="M441" s="110">
        <f>'Billing Det'!$K$15</f>
        <v>80436.031799795193</v>
      </c>
      <c r="N441" s="110">
        <f>'Billing Det'!$K$16</f>
        <v>908.4582693292374</v>
      </c>
      <c r="O441" s="110">
        <f>'Billing Det'!$K$17</f>
        <v>0</v>
      </c>
      <c r="P441" s="110">
        <f>'Billing Det'!$K$18</f>
        <v>217.63926011264721</v>
      </c>
      <c r="Q441" s="110">
        <f>'Billing Det'!$K$19</f>
        <v>48941</v>
      </c>
      <c r="R441" s="110">
        <f>'Billing Det'!$K$20</f>
        <v>52393</v>
      </c>
      <c r="S441" s="110">
        <f>'Billing Det'!$K$21</f>
        <v>58809</v>
      </c>
      <c r="T441" s="110">
        <f>'Billing Det'!$K$22</f>
        <v>229946</v>
      </c>
      <c r="U441" s="110">
        <f>'Billing Det'!$K$23</f>
        <v>106055</v>
      </c>
      <c r="V441" s="110">
        <v>0</v>
      </c>
      <c r="W441" s="110">
        <v>0</v>
      </c>
      <c r="X441" s="110">
        <v>0</v>
      </c>
      <c r="Y441" s="110">
        <v>0</v>
      </c>
      <c r="Z441" s="110">
        <v>0</v>
      </c>
      <c r="AA441" s="110">
        <v>0</v>
      </c>
      <c r="AB441" s="110">
        <v>0</v>
      </c>
      <c r="AC441" s="110">
        <v>0</v>
      </c>
      <c r="AD441" s="110">
        <v>0</v>
      </c>
      <c r="AE441" s="110"/>
      <c r="AF441" s="110"/>
      <c r="AG441" s="120">
        <f>SUM(F441:AF441)</f>
        <v>1210080.4209992529</v>
      </c>
      <c r="AH441" s="103" t="str">
        <f>IF(ABS(E441-AG441)&lt;0.01,"ok","err")</f>
        <v>ok</v>
      </c>
    </row>
    <row r="442" spans="1:34" x14ac:dyDescent="0.25">
      <c r="A442" s="102" t="s">
        <v>689</v>
      </c>
      <c r="C442" s="102" t="s">
        <v>938</v>
      </c>
      <c r="E442" s="110">
        <f>'Billing Det'!$J$25</f>
        <v>405401.74923707452</v>
      </c>
      <c r="F442" s="110">
        <f>'Billing Det'!$J$8</f>
        <v>174146.95082617103</v>
      </c>
      <c r="G442" s="110">
        <f>'Billing Det'!$J$9</f>
        <v>345.68343485445632</v>
      </c>
      <c r="H442" s="110">
        <f>'Billing Det'!$J$10</f>
        <v>4274.0918102185751</v>
      </c>
      <c r="I442" s="110">
        <f>'Billing Det'!$J$11</f>
        <v>298.87673262153208</v>
      </c>
      <c r="J442" s="110">
        <f>'Billing Det'!$J$12</f>
        <v>168.84233848197411</v>
      </c>
      <c r="K442" s="110">
        <f>'Billing Det'!$J$13</f>
        <v>567.577344428267</v>
      </c>
      <c r="L442" s="110">
        <f>'Billing Det'!$J$14</f>
        <v>10147.925268817204</v>
      </c>
      <c r="M442" s="110">
        <f>'Billing Det'!$J$15</f>
        <v>30090.033261648747</v>
      </c>
      <c r="N442" s="110">
        <f>'Billing Det'!$J$16</f>
        <v>223.76821983273598</v>
      </c>
      <c r="O442" s="110">
        <f>'Billing Det'!$J$17</f>
        <v>0</v>
      </c>
      <c r="P442" s="110">
        <f>'Billing Det'!$J$18</f>
        <v>0</v>
      </c>
      <c r="Q442" s="110">
        <f>'Billing Det'!$J$19</f>
        <v>1080</v>
      </c>
      <c r="R442" s="110">
        <f>'Billing Det'!$J$20</f>
        <v>22928</v>
      </c>
      <c r="S442" s="110">
        <f>'Billing Det'!$J$21</f>
        <v>22805</v>
      </c>
      <c r="T442" s="110">
        <f>'Billing Det'!$J$22</f>
        <v>95563</v>
      </c>
      <c r="U442" s="110">
        <f>'Billing Det'!$J$23</f>
        <v>42762</v>
      </c>
      <c r="V442" s="110">
        <v>0</v>
      </c>
      <c r="W442" s="110">
        <v>0</v>
      </c>
      <c r="X442" s="110">
        <v>0</v>
      </c>
      <c r="Y442" s="110">
        <v>0</v>
      </c>
      <c r="Z442" s="110">
        <v>0</v>
      </c>
      <c r="AA442" s="110">
        <v>0</v>
      </c>
      <c r="AB442" s="110">
        <v>0</v>
      </c>
      <c r="AC442" s="110">
        <v>0</v>
      </c>
      <c r="AD442" s="110">
        <v>0</v>
      </c>
      <c r="AE442" s="110"/>
      <c r="AF442" s="110"/>
      <c r="AG442" s="120">
        <f>SUM(F442:AF442)</f>
        <v>405401.74923707452</v>
      </c>
      <c r="AH442" s="103" t="str">
        <f>IF(ABS(E442-AG442)&lt;0.01,"ok","err")</f>
        <v>ok</v>
      </c>
    </row>
    <row r="443" spans="1:34" x14ac:dyDescent="0.25">
      <c r="A443" s="102" t="s">
        <v>882</v>
      </c>
      <c r="C443" s="102" t="s">
        <v>936</v>
      </c>
      <c r="E443" s="110">
        <f>'Billing Det'!$I$25</f>
        <v>1615482.1702363272</v>
      </c>
      <c r="F443" s="110">
        <f>'Billing Det'!$I$8</f>
        <v>758911.44568550342</v>
      </c>
      <c r="G443" s="110">
        <f>'Billing Det'!$I$9</f>
        <v>2230.3113783335989</v>
      </c>
      <c r="H443" s="110">
        <f>'Billing Det'!$I$10</f>
        <v>19488.525038910648</v>
      </c>
      <c r="I443" s="110">
        <f>'Billing Det'!$I$11</f>
        <v>1530.5467900501576</v>
      </c>
      <c r="J443" s="110">
        <f>'Billing Det'!$I$12</f>
        <v>860.94440254409039</v>
      </c>
      <c r="K443" s="110">
        <f>'Billing Det'!$I$13</f>
        <v>2278.5127940533084</v>
      </c>
      <c r="L443" s="110">
        <f>'Billing Det'!$I$14</f>
        <v>37023.953336213519</v>
      </c>
      <c r="M443" s="110">
        <f>'Billing Det'!$I$15</f>
        <v>110526.06506144394</v>
      </c>
      <c r="N443" s="110">
        <f>'Billing Det'!$I$16</f>
        <v>1132.2264891619734</v>
      </c>
      <c r="O443" s="110">
        <f>'Billing Det'!$I$17</f>
        <v>0</v>
      </c>
      <c r="P443" s="110">
        <f>'Billing Det'!$I$18</f>
        <v>217.63926011264721</v>
      </c>
      <c r="Q443" s="110">
        <f>'Billing Det'!$I$19</f>
        <v>50021</v>
      </c>
      <c r="R443" s="110">
        <f>'Billing Det'!$I$20</f>
        <v>75321</v>
      </c>
      <c r="S443" s="110">
        <f>'Billing Det'!$I$21</f>
        <v>81614</v>
      </c>
      <c r="T443" s="110">
        <f>'Billing Det'!$I$22</f>
        <v>325509</v>
      </c>
      <c r="U443" s="110">
        <f>'Billing Det'!$I$23</f>
        <v>148817</v>
      </c>
      <c r="V443" s="110">
        <v>0</v>
      </c>
      <c r="W443" s="110">
        <v>0</v>
      </c>
      <c r="X443" s="110">
        <v>0</v>
      </c>
      <c r="Y443" s="110">
        <v>0</v>
      </c>
      <c r="Z443" s="110">
        <v>0</v>
      </c>
      <c r="AA443" s="110">
        <v>0</v>
      </c>
      <c r="AB443" s="110">
        <v>0</v>
      </c>
      <c r="AC443" s="110">
        <v>0</v>
      </c>
      <c r="AD443" s="110">
        <v>0</v>
      </c>
      <c r="AE443" s="110"/>
      <c r="AF443" s="110"/>
      <c r="AG443" s="120">
        <f>SUM(F443:AF443)</f>
        <v>1615482.1702363272</v>
      </c>
      <c r="AH443" s="103" t="str">
        <f>IF(ABS(E443-AG443)&lt;0.01,"ok","err")</f>
        <v>ok</v>
      </c>
    </row>
    <row r="444" spans="1:34" x14ac:dyDescent="0.25">
      <c r="A444" s="102" t="s">
        <v>690</v>
      </c>
      <c r="C444" s="102" t="s">
        <v>566</v>
      </c>
      <c r="E444" s="110">
        <f ca="1">'Billing Det'!$H$25</f>
        <v>275955.59406949638</v>
      </c>
      <c r="F444" s="110">
        <f>'Billing Det'!$H$8</f>
        <v>133963.77604285095</v>
      </c>
      <c r="G444" s="110">
        <f>'Billing Det'!$H$9</f>
        <v>455.70790606202263</v>
      </c>
      <c r="H444" s="110">
        <f>'Billing Det'!$H$10</f>
        <v>3533.2543688871301</v>
      </c>
      <c r="I444" s="110">
        <f>'Billing Det'!$H$11</f>
        <v>449.36055700671932</v>
      </c>
      <c r="J444" s="110">
        <f>'Billing Det'!$H$12</f>
        <v>120.63061362028301</v>
      </c>
      <c r="K444" s="110">
        <f>'Billing Det'!$H$13</f>
        <v>328.11031199604668</v>
      </c>
      <c r="L444" s="110">
        <f>'Billing Det'!$H$14</f>
        <v>5947.3555107526881</v>
      </c>
      <c r="M444" s="110">
        <f>'Billing Det'!$H$15</f>
        <v>25674.077777777777</v>
      </c>
      <c r="N444" s="110">
        <f>'Billing Det'!$H$16</f>
        <v>173.2078853046595</v>
      </c>
      <c r="O444" s="110">
        <f>'Billing Det'!$H$17</f>
        <v>0</v>
      </c>
      <c r="P444" s="110">
        <f>'Billing Det'!$H$18</f>
        <v>39.113095238095241</v>
      </c>
      <c r="Q444" s="110">
        <f>'Billing Det'!$H$19</f>
        <v>25535</v>
      </c>
      <c r="R444" s="110">
        <f>'Billing Det'!$H$20</f>
        <v>8705</v>
      </c>
      <c r="S444" s="110">
        <f ca="1">'Billing Det'!$H$21</f>
        <v>7833</v>
      </c>
      <c r="T444" s="110">
        <f ca="1">'Billing Det'!$H$22</f>
        <v>34639</v>
      </c>
      <c r="U444" s="110">
        <f>'Billing Det'!$H$23</f>
        <v>28559</v>
      </c>
      <c r="V444" s="110">
        <v>0</v>
      </c>
      <c r="W444" s="110">
        <v>0</v>
      </c>
      <c r="X444" s="110">
        <v>0</v>
      </c>
      <c r="Y444" s="110">
        <v>0</v>
      </c>
      <c r="Z444" s="110">
        <v>0</v>
      </c>
      <c r="AA444" s="110">
        <v>0</v>
      </c>
      <c r="AB444" s="110">
        <v>0</v>
      </c>
      <c r="AC444" s="110">
        <v>0</v>
      </c>
      <c r="AD444" s="110">
        <v>0</v>
      </c>
      <c r="AE444" s="110"/>
      <c r="AF444" s="110"/>
      <c r="AG444" s="120">
        <f ca="1">SUM(F444:AF444)</f>
        <v>275955.59406949638</v>
      </c>
      <c r="AH444" s="103" t="str">
        <f ca="1">IF(ABS(E444-AG444)&lt;0.01,"ok","err")</f>
        <v>ok</v>
      </c>
    </row>
    <row r="445" spans="1:34" x14ac:dyDescent="0.25">
      <c r="A445" s="102" t="s">
        <v>743</v>
      </c>
      <c r="C445" s="102" t="s">
        <v>883</v>
      </c>
      <c r="E445" s="110">
        <f ca="1">'Billing Det'!$F$25</f>
        <v>4277893.804745093</v>
      </c>
      <c r="F445" s="110">
        <f>'Billing Det'!$F$8</f>
        <v>2350674.3158673267</v>
      </c>
      <c r="G445" s="110">
        <f>'Billing Det'!$F$9</f>
        <v>6952.5217436138137</v>
      </c>
      <c r="H445" s="110">
        <f>'Billing Det'!$F$10</f>
        <v>127345.35</v>
      </c>
      <c r="I445" s="110">
        <f>'Billing Det'!$F$11</f>
        <v>336121.95600000001</v>
      </c>
      <c r="J445" s="110">
        <f>'Billing Det'!$F$12</f>
        <v>58027.22</v>
      </c>
      <c r="K445" s="110">
        <f>'Billing Det'!$F$13</f>
        <v>2525.0265873015869</v>
      </c>
      <c r="L445" s="110">
        <f>'Billing Det'!$F$14</f>
        <v>71351.013999999996</v>
      </c>
      <c r="M445" s="110">
        <f>'Billing Det'!$F$15</f>
        <v>298990.28099999996</v>
      </c>
      <c r="N445" s="110">
        <f>'Billing Det'!$F$16</f>
        <v>2561.3999999999996</v>
      </c>
      <c r="O445" s="110">
        <f>'Billing Det'!$F$17</f>
        <v>0</v>
      </c>
      <c r="P445" s="110">
        <f>'Billing Det'!$F$18</f>
        <v>435.71954685099848</v>
      </c>
      <c r="Q445" s="110">
        <f>'Billing Det'!$F$19</f>
        <v>155543</v>
      </c>
      <c r="R445" s="110">
        <f>'Billing Det'!$F$20</f>
        <v>96000</v>
      </c>
      <c r="S445" s="110">
        <f ca="1">'Billing Det'!$F$21</f>
        <v>83029</v>
      </c>
      <c r="T445" s="110">
        <f ca="1">'Billing Det'!$F$22</f>
        <v>395891</v>
      </c>
      <c r="U445" s="110">
        <f>'Billing Det'!$F$23</f>
        <v>292446</v>
      </c>
      <c r="V445" s="110">
        <v>0</v>
      </c>
      <c r="W445" s="110">
        <v>0</v>
      </c>
      <c r="X445" s="110">
        <v>0</v>
      </c>
      <c r="Y445" s="110">
        <v>0</v>
      </c>
      <c r="Z445" s="110">
        <v>0</v>
      </c>
      <c r="AA445" s="110">
        <v>0</v>
      </c>
      <c r="AB445" s="110">
        <v>0</v>
      </c>
      <c r="AC445" s="110">
        <v>0</v>
      </c>
      <c r="AD445" s="110">
        <v>0</v>
      </c>
      <c r="AE445" s="110"/>
      <c r="AF445" s="110"/>
      <c r="AG445" s="120">
        <f ca="1">SUM(F445:AF445)</f>
        <v>4277893.804745093</v>
      </c>
      <c r="AH445" s="103" t="str">
        <f ca="1">IF(ABS(E445-AG445)&lt;0.01,"ok","err")</f>
        <v>ok</v>
      </c>
    </row>
    <row r="447" spans="1:34" x14ac:dyDescent="0.25">
      <c r="A447" s="131" t="s">
        <v>894</v>
      </c>
    </row>
    <row r="448" spans="1:34" x14ac:dyDescent="0.25"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03"/>
    </row>
    <row r="449" spans="1:34" x14ac:dyDescent="0.25">
      <c r="A449" s="102" t="s">
        <v>595</v>
      </c>
      <c r="C449" s="102" t="s">
        <v>596</v>
      </c>
      <c r="E449" s="110">
        <v>1204354.1709996164</v>
      </c>
      <c r="F449" s="110">
        <f t="shared" ref="F449:S449" si="167">F443</f>
        <v>758911.44568550342</v>
      </c>
      <c r="G449" s="110">
        <f t="shared" si="167"/>
        <v>2230.3113783335989</v>
      </c>
      <c r="H449" s="110">
        <f t="shared" si="167"/>
        <v>19488.525038910648</v>
      </c>
      <c r="I449" s="110">
        <f t="shared" si="167"/>
        <v>1530.5467900501576</v>
      </c>
      <c r="J449" s="110">
        <f t="shared" si="167"/>
        <v>860.94440254409039</v>
      </c>
      <c r="K449" s="110">
        <f t="shared" si="167"/>
        <v>2278.5127940533084</v>
      </c>
      <c r="L449" s="110">
        <f t="shared" si="167"/>
        <v>37023.953336213519</v>
      </c>
      <c r="M449" s="110">
        <f t="shared" si="167"/>
        <v>110526.06506144394</v>
      </c>
      <c r="N449" s="110">
        <f t="shared" si="167"/>
        <v>1132.2264891619734</v>
      </c>
      <c r="O449" s="110">
        <f t="shared" si="167"/>
        <v>0</v>
      </c>
      <c r="P449" s="110">
        <f t="shared" si="167"/>
        <v>217.63926011264721</v>
      </c>
      <c r="Q449" s="110">
        <f t="shared" si="167"/>
        <v>50021</v>
      </c>
      <c r="R449" s="110">
        <f t="shared" si="167"/>
        <v>75321</v>
      </c>
      <c r="S449" s="110">
        <f t="shared" si="167"/>
        <v>81614</v>
      </c>
      <c r="T449" s="110">
        <f t="shared" ref="T449:AF449" ca="1" si="168">T444</f>
        <v>34639</v>
      </c>
      <c r="U449" s="110">
        <f t="shared" si="168"/>
        <v>28559</v>
      </c>
      <c r="V449" s="110">
        <f t="shared" si="168"/>
        <v>0</v>
      </c>
      <c r="W449" s="110">
        <f t="shared" si="168"/>
        <v>0</v>
      </c>
      <c r="X449" s="110">
        <f t="shared" si="168"/>
        <v>0</v>
      </c>
      <c r="Y449" s="110">
        <f t="shared" si="168"/>
        <v>0</v>
      </c>
      <c r="Z449" s="110">
        <f t="shared" si="168"/>
        <v>0</v>
      </c>
      <c r="AA449" s="110">
        <f t="shared" si="168"/>
        <v>0</v>
      </c>
      <c r="AB449" s="110">
        <f t="shared" si="168"/>
        <v>0</v>
      </c>
      <c r="AC449" s="110">
        <f t="shared" si="168"/>
        <v>0</v>
      </c>
      <c r="AD449" s="110">
        <f t="shared" si="168"/>
        <v>0</v>
      </c>
      <c r="AE449" s="110">
        <f t="shared" si="168"/>
        <v>0</v>
      </c>
      <c r="AF449" s="110">
        <f t="shared" si="168"/>
        <v>0</v>
      </c>
      <c r="AG449" s="110">
        <f ca="1">SUM(F449:AF449)</f>
        <v>1204354.1702363272</v>
      </c>
      <c r="AH449" s="103" t="str">
        <f t="shared" ref="AH449:AH454" ca="1" si="169">IF(ABS(E449-AG449)&lt;0.01,"ok","err")</f>
        <v>ok</v>
      </c>
    </row>
    <row r="450" spans="1:34" x14ac:dyDescent="0.25">
      <c r="A450" s="102" t="s">
        <v>594</v>
      </c>
      <c r="E450" s="120">
        <f>'Func &amp; Classif'!K35</f>
        <v>0</v>
      </c>
      <c r="AG450" s="120">
        <f>E450</f>
        <v>0</v>
      </c>
      <c r="AH450" s="103" t="str">
        <f t="shared" si="169"/>
        <v>ok</v>
      </c>
    </row>
    <row r="451" spans="1:34" x14ac:dyDescent="0.25">
      <c r="A451" s="102" t="s">
        <v>592</v>
      </c>
      <c r="E451" s="119">
        <v>0</v>
      </c>
      <c r="F451" s="102">
        <v>0</v>
      </c>
      <c r="G451" s="102">
        <v>0</v>
      </c>
      <c r="H451" s="102">
        <v>0</v>
      </c>
      <c r="I451" s="102">
        <v>0</v>
      </c>
      <c r="J451" s="102">
        <v>0</v>
      </c>
      <c r="K451" s="102">
        <v>0</v>
      </c>
      <c r="L451" s="102">
        <v>0</v>
      </c>
      <c r="M451" s="110">
        <v>0</v>
      </c>
      <c r="N451" s="110">
        <v>0</v>
      </c>
      <c r="O451" s="110">
        <v>0</v>
      </c>
      <c r="P451" s="110">
        <v>0</v>
      </c>
      <c r="Q451" s="102">
        <v>0</v>
      </c>
      <c r="R451" s="102">
        <v>0</v>
      </c>
      <c r="S451" s="102">
        <v>0</v>
      </c>
      <c r="T451" s="102">
        <v>0</v>
      </c>
      <c r="U451" s="102">
        <v>0</v>
      </c>
      <c r="AG451" s="120">
        <f>SUM(F451:AF451)</f>
        <v>0</v>
      </c>
      <c r="AH451" s="103" t="str">
        <f t="shared" si="169"/>
        <v>ok</v>
      </c>
    </row>
    <row r="452" spans="1:34" x14ac:dyDescent="0.25">
      <c r="A452" s="102" t="s">
        <v>593</v>
      </c>
      <c r="D452" s="102" t="s">
        <v>596</v>
      </c>
      <c r="E452" s="120">
        <f>E450-E451</f>
        <v>0</v>
      </c>
      <c r="F452" s="119">
        <f>IF(VLOOKUP($D452,$C$5:$AT$528,3,)=0,0,(VLOOKUP($D452,$C$5:$AT$528,4,)/VLOOKUP($D452,$C$5:$AT$528,3,))*$E452)</f>
        <v>0</v>
      </c>
      <c r="G452" s="119">
        <f>IF(VLOOKUP($D452,$C$5:$AT$528,3,)=0,0,(VLOOKUP($D452,$C$5:$AT$528,5,)/VLOOKUP($D452,$C$5:$AT$528,3,))*$E452)</f>
        <v>0</v>
      </c>
      <c r="H452" s="119">
        <f>IF(VLOOKUP($D452,$C$5:$AT$528,3,)=0,0,(VLOOKUP($D452,$C$5:$AT$528,6,)/VLOOKUP($D452,$C$5:$AT$528,3,))*$E452)</f>
        <v>0</v>
      </c>
      <c r="I452" s="119">
        <f>IF(VLOOKUP($D452,$C$5:$AT$528,3,)=0,0,(VLOOKUP($D452,$C$5:$AT$528,7,)/VLOOKUP($D452,$C$5:$AT$528,3,))*$E452)</f>
        <v>0</v>
      </c>
      <c r="J452" s="119">
        <f>IF(VLOOKUP($D452,$C$5:$AT$528,3,)=0,0,(VLOOKUP($D452,$C$5:$AT$528,8,)/VLOOKUP($D452,$C$5:$AT$528,3,))*$E452)</f>
        <v>0</v>
      </c>
      <c r="K452" s="119">
        <f>IF(VLOOKUP($D452,$C$5:$AT$528,3,)=0,0,(VLOOKUP($D452,$C$5:$AT$528,9,)/VLOOKUP($D452,$C$5:$AT$528,3,))*$E452)</f>
        <v>0</v>
      </c>
      <c r="L452" s="119">
        <f>IF(VLOOKUP($D452,$C$5:$AT$528,3,)=0,0,(VLOOKUP($D452,$C$5:$AT$528,10,)/VLOOKUP($D452,$C$5:$AT$528,3,))*$E452)</f>
        <v>0</v>
      </c>
      <c r="M452" s="119">
        <f>IF(VLOOKUP($D452,$C$5:$AT$528,3,)=0,0,(VLOOKUP($D452,$C$5:$AT$528,11,)/VLOOKUP($D452,$C$5:$AT$528,3,))*$E452)</f>
        <v>0</v>
      </c>
      <c r="N452" s="119">
        <f>IF(VLOOKUP($D452,$C$5:$AT$528,3,)=0,0,(VLOOKUP($D452,$C$5:$AT$528,12,)/VLOOKUP($D452,$C$5:$AT$528,3,))*$E452)</f>
        <v>0</v>
      </c>
      <c r="O452" s="119">
        <f>IF(VLOOKUP($D452,$C$5:$AT$528,3,)=0,0,(VLOOKUP($D452,$C$5:$AT$528,13,)/VLOOKUP($D452,$C$5:$AT$528,3,))*$E452)</f>
        <v>0</v>
      </c>
      <c r="P452" s="119">
        <f>IF(VLOOKUP($D452,$C$5:$AT$528,3,)=0,0,(VLOOKUP($D452,$C$5:$AT$528,14,)/VLOOKUP($D452,$C$5:$AT$528,3,))*$E452)</f>
        <v>0</v>
      </c>
      <c r="Q452" s="119">
        <f>IF(VLOOKUP($D452,$C$5:$AT$528,3,)=0,0,(VLOOKUP($D452,$C$5:$AT$528,15,)/VLOOKUP($D452,$C$5:$AT$528,3,))*$E452)</f>
        <v>0</v>
      </c>
      <c r="R452" s="119">
        <f>IF(VLOOKUP($D452,$C$5:$AT$528,3,)=0,0,(VLOOKUP($D452,$C$5:$AT$528,16,)/VLOOKUP($D452,$C$5:$AT$528,3,))*$E452)</f>
        <v>0</v>
      </c>
      <c r="S452" s="119">
        <f>IF(VLOOKUP($D452,$C$5:$AT$528,3,)=0,0,(VLOOKUP($D452,$C$5:$AT$528,17,)/VLOOKUP($D452,$C$5:$AT$528,3,))*$E452)</f>
        <v>0</v>
      </c>
      <c r="T452" s="119">
        <f ca="1">IF(VLOOKUP($D452,$C$5:$AT$528,3,)=0,0,(VLOOKUP($D452,$C$5:$AT$528,18,)/VLOOKUP($D452,$C$5:$AT$528,3,))*$E452)</f>
        <v>0</v>
      </c>
      <c r="U452" s="119">
        <f>IF(VLOOKUP($D452,$C$5:$AT$528,3,)=0,0,(VLOOKUP($D452,$C$5:$AT$528,19,)/VLOOKUP($D452,$C$5:$AT$528,3,))*$E452)</f>
        <v>0</v>
      </c>
      <c r="V452" s="119">
        <f>IF(VLOOKUP($D452,$C$5:$AT$528,3,)=0,0,(VLOOKUP($D452,$C$5:$AT$528,20,)/VLOOKUP($D452,$C$5:$AT$528,3,))*$E452)</f>
        <v>0</v>
      </c>
      <c r="W452" s="119">
        <f>IF(VLOOKUP($D452,$C$5:$AT$528,3,)=0,0,(VLOOKUP($D452,$C$5:$AT$528,21,)/VLOOKUP($D452,$C$5:$AT$528,3,))*$E452)</f>
        <v>0</v>
      </c>
      <c r="X452" s="119">
        <f>IF(VLOOKUP($D452,$C$5:$AT$528,3,)=0,0,(VLOOKUP($D452,$C$5:$AT$528,22,)/VLOOKUP($D452,$C$5:$AT$528,3,))*$E452)</f>
        <v>0</v>
      </c>
      <c r="Y452" s="119">
        <f>IF(VLOOKUP($D452,$C$5:$AT$528,3,)=0,0,(VLOOKUP($D452,$C$5:$AT$528,23,)/VLOOKUP($D452,$C$5:$AT$528,3,))*$E452)</f>
        <v>0</v>
      </c>
      <c r="Z452" s="119">
        <f>IF(VLOOKUP($D452,$C$5:$AT$528,3,)=0,0,(VLOOKUP($D452,$C$5:$AT$528,24,)/VLOOKUP($D452,$C$5:$AT$528,3,))*$E452)</f>
        <v>0</v>
      </c>
      <c r="AA452" s="119">
        <f>IF(VLOOKUP($D452,$C$5:$AT$528,3,)=0,0,(VLOOKUP($D452,$C$5:$AT$528,25,)/VLOOKUP($D452,$C$5:$AT$528,3,))*$E452)</f>
        <v>0</v>
      </c>
      <c r="AB452" s="119">
        <f>IF(VLOOKUP($D452,$C$5:$AT$528,3,)=0,0,(VLOOKUP($D452,$C$5:$AT$528,26,)/VLOOKUP($D452,$C$5:$AT$528,3,))*$E452)</f>
        <v>0</v>
      </c>
      <c r="AC452" s="119">
        <f>IF(VLOOKUP($D452,$C$5:$AT$528,3,)=0,0,(VLOOKUP($D452,$C$5:$AT$528,27,)/VLOOKUP($D452,$C$5:$AT$528,3,))*$E452)</f>
        <v>0</v>
      </c>
      <c r="AD452" s="119">
        <f>IF(VLOOKUP($D452,$C$5:$AT$528,3,)=0,0,(VLOOKUP($D452,$C$5:$AT$528,28,)/VLOOKUP($D452,$C$5:$AT$528,3,))*$E452)</f>
        <v>0</v>
      </c>
      <c r="AE452" s="119">
        <f>IF(VLOOKUP($D452,$C$5:$AT$528,3,)=0,0,(VLOOKUP($D452,$C$5:$AT$528,29,)/VLOOKUP($D452,$C$5:$AT$528,3,))*$E452)</f>
        <v>0</v>
      </c>
      <c r="AF452" s="119">
        <f>IF(VLOOKUP($D452,$C$5:$AT$528,3,)=0,0,(VLOOKUP($D452,$C$5:$AT$528,30,)/VLOOKUP($D452,$C$5:$AT$528,3,))*$E452)</f>
        <v>0</v>
      </c>
      <c r="AG452" s="120">
        <f ca="1">SUM(F452:AF452)</f>
        <v>0</v>
      </c>
      <c r="AH452" s="103" t="str">
        <f t="shared" ca="1" si="169"/>
        <v>ok</v>
      </c>
    </row>
    <row r="453" spans="1:34" x14ac:dyDescent="0.25">
      <c r="A453" s="102" t="s">
        <v>598</v>
      </c>
      <c r="C453" s="102" t="s">
        <v>597</v>
      </c>
      <c r="E453" s="120">
        <f>E451+E452</f>
        <v>0</v>
      </c>
      <c r="F453" s="120">
        <f t="shared" ref="F453:U453" si="170">F451+F452</f>
        <v>0</v>
      </c>
      <c r="G453" s="120">
        <f t="shared" si="170"/>
        <v>0</v>
      </c>
      <c r="H453" s="120">
        <f t="shared" si="170"/>
        <v>0</v>
      </c>
      <c r="I453" s="120">
        <f t="shared" si="170"/>
        <v>0</v>
      </c>
      <c r="J453" s="120">
        <f t="shared" si="170"/>
        <v>0</v>
      </c>
      <c r="K453" s="120">
        <f t="shared" si="170"/>
        <v>0</v>
      </c>
      <c r="L453" s="120">
        <f t="shared" si="170"/>
        <v>0</v>
      </c>
      <c r="M453" s="120">
        <f t="shared" si="170"/>
        <v>0</v>
      </c>
      <c r="N453" s="120">
        <f t="shared" si="170"/>
        <v>0</v>
      </c>
      <c r="O453" s="120">
        <f t="shared" si="170"/>
        <v>0</v>
      </c>
      <c r="P453" s="120">
        <f t="shared" si="170"/>
        <v>0</v>
      </c>
      <c r="Q453" s="120">
        <f t="shared" si="170"/>
        <v>0</v>
      </c>
      <c r="R453" s="120">
        <f t="shared" si="170"/>
        <v>0</v>
      </c>
      <c r="S453" s="120">
        <f t="shared" si="170"/>
        <v>0</v>
      </c>
      <c r="T453" s="120">
        <f t="shared" ca="1" si="170"/>
        <v>0</v>
      </c>
      <c r="U453" s="120">
        <f t="shared" si="170"/>
        <v>0</v>
      </c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>
        <f ca="1">SUM(F453:AF453)</f>
        <v>0</v>
      </c>
      <c r="AH453" s="103" t="str">
        <f t="shared" ca="1" si="169"/>
        <v>ok</v>
      </c>
    </row>
    <row r="454" spans="1:34" x14ac:dyDescent="0.25">
      <c r="A454" s="102" t="s">
        <v>621</v>
      </c>
      <c r="C454" s="102" t="s">
        <v>599</v>
      </c>
      <c r="D454" s="102" t="s">
        <v>597</v>
      </c>
      <c r="E454" s="161">
        <v>0</v>
      </c>
      <c r="F454" s="163">
        <f>IF(VLOOKUP($D454,$C$5:$AT$528,3,)=0,0,(VLOOKUP($D454,$C$5:$AT$528,4,)/VLOOKUP($D454,$C$5:$AT$528,3,))*$E454)</f>
        <v>0</v>
      </c>
      <c r="G454" s="163">
        <f>IF(VLOOKUP($D454,$C$5:$AT$528,3,)=0,0,(VLOOKUP($D454,$C$5:$AT$528,5,)/VLOOKUP($D454,$C$5:$AT$528,3,))*$E454)</f>
        <v>0</v>
      </c>
      <c r="H454" s="163">
        <f>IF(VLOOKUP($D454,$C$5:$AT$528,3,)=0,0,(VLOOKUP($D454,$C$5:$AT$528,6,)/VLOOKUP($D454,$C$5:$AT$528,3,))*$E454)</f>
        <v>0</v>
      </c>
      <c r="I454" s="163">
        <f>IF(VLOOKUP($D454,$C$5:$AT$528,3,)=0,0,(VLOOKUP($D454,$C$5:$AT$528,7,)/VLOOKUP($D454,$C$5:$AT$528,3,))*$E454)</f>
        <v>0</v>
      </c>
      <c r="J454" s="163">
        <f>IF(VLOOKUP($D454,$C$5:$AT$528,3,)=0,0,(VLOOKUP($D454,$C$5:$AT$528,8,)/VLOOKUP($D454,$C$5:$AT$528,3,))*$E454)</f>
        <v>0</v>
      </c>
      <c r="K454" s="163">
        <f>IF(VLOOKUP($D454,$C$5:$AT$528,3,)=0,0,(VLOOKUP($D454,$C$5:$AT$528,9,)/VLOOKUP($D454,$C$5:$AT$528,3,))*$E454)</f>
        <v>0</v>
      </c>
      <c r="L454" s="163">
        <f>IF(VLOOKUP($D454,$C$5:$AT$528,3,)=0,0,(VLOOKUP($D454,$C$5:$AT$528,10,)/VLOOKUP($D454,$C$5:$AT$528,3,))*$E454)</f>
        <v>0</v>
      </c>
      <c r="M454" s="163">
        <f>IF(VLOOKUP($D454,$C$5:$AT$528,3,)=0,0,(VLOOKUP($D454,$C$5:$AT$528,11,)/VLOOKUP($D454,$C$5:$AT$528,3,))*$E454)</f>
        <v>0</v>
      </c>
      <c r="N454" s="163">
        <f>IF(VLOOKUP($D454,$C$5:$AT$528,3,)=0,0,(VLOOKUP($D454,$C$5:$AT$528,12,)/VLOOKUP($D454,$C$5:$AT$528,3,))*$E454)</f>
        <v>0</v>
      </c>
      <c r="O454" s="163">
        <f>IF(VLOOKUP($D454,$C$5:$AT$528,3,)=0,0,(VLOOKUP($D454,$C$5:$AT$528,13,)/VLOOKUP($D454,$C$5:$AT$528,3,))*$E454)</f>
        <v>0</v>
      </c>
      <c r="P454" s="163">
        <f>IF(VLOOKUP($D454,$C$5:$AT$528,3,)=0,0,(VLOOKUP($D454,$C$5:$AT$528,14,)/VLOOKUP($D454,$C$5:$AT$528,3,))*$E454)</f>
        <v>0</v>
      </c>
      <c r="Q454" s="163">
        <f>IF(VLOOKUP($D454,$C$5:$AT$528,3,)=0,0,(VLOOKUP($D454,$C$5:$AT$528,15,)/VLOOKUP($D454,$C$5:$AT$528,3,))*$E454)</f>
        <v>0</v>
      </c>
      <c r="R454" s="163">
        <f>IF(VLOOKUP($D454,$C$5:$AT$528,3,)=0,0,(VLOOKUP($D454,$C$5:$AT$528,16,)/VLOOKUP($D454,$C$5:$AT$528,3,))*$E454)</f>
        <v>0</v>
      </c>
      <c r="S454" s="163">
        <f>IF(VLOOKUP($D454,$C$5:$AT$528,3,)=0,0,(VLOOKUP($D454,$C$5:$AT$528,17,)/VLOOKUP($D454,$C$5:$AT$528,3,))*$E454)</f>
        <v>0</v>
      </c>
      <c r="T454" s="163">
        <f>IF(VLOOKUP($D454,$C$5:$AT$528,3,)=0,0,(VLOOKUP($D454,$C$5:$AT$528,18,)/VLOOKUP($D454,$C$5:$AT$528,3,))*$E454)</f>
        <v>0</v>
      </c>
      <c r="U454" s="163">
        <f>IF(VLOOKUP($D454,$C$5:$AT$528,3,)=0,0,(VLOOKUP($D454,$C$5:$AT$528,19,)/VLOOKUP($D454,$C$5:$AT$528,3,))*$E454)</f>
        <v>0</v>
      </c>
      <c r="V454" s="163">
        <f>IF(VLOOKUP($D454,$C$5:$AT$528,3,)=0,0,(VLOOKUP($D454,$C$5:$AT$528,20,)/VLOOKUP($D454,$C$5:$AT$528,3,))*$E454)</f>
        <v>0</v>
      </c>
      <c r="W454" s="163">
        <f>IF(VLOOKUP($D454,$C$5:$AT$528,3,)=0,0,(VLOOKUP($D454,$C$5:$AT$528,21,)/VLOOKUP($D454,$C$5:$AT$528,3,))*$E454)</f>
        <v>0</v>
      </c>
      <c r="X454" s="163">
        <f>IF(VLOOKUP($D454,$C$5:$AT$528,3,)=0,0,(VLOOKUP($D454,$C$5:$AT$528,22,)/VLOOKUP($D454,$C$5:$AT$528,3,))*$E454)</f>
        <v>0</v>
      </c>
      <c r="Y454" s="163">
        <f>IF(VLOOKUP($D454,$C$5:$AT$528,3,)=0,0,(VLOOKUP($D454,$C$5:$AT$528,23,)/VLOOKUP($D454,$C$5:$AT$528,3,))*$E454)</f>
        <v>0</v>
      </c>
      <c r="Z454" s="163">
        <f>IF(VLOOKUP($D454,$C$5:$AT$528,3,)=0,0,(VLOOKUP($D454,$C$5:$AT$528,24,)/VLOOKUP($D454,$C$5:$AT$528,3,))*$E454)</f>
        <v>0</v>
      </c>
      <c r="AA454" s="163">
        <f>IF(VLOOKUP($D454,$C$5:$AT$528,3,)=0,0,(VLOOKUP($D454,$C$5:$AT$528,25,)/VLOOKUP($D454,$C$5:$AT$528,3,))*$E454)</f>
        <v>0</v>
      </c>
      <c r="AB454" s="163">
        <f>IF(VLOOKUP($D454,$C$5:$AT$528,3,)=0,0,(VLOOKUP($D454,$C$5:$AT$528,26,)/VLOOKUP($D454,$C$5:$AT$528,3,))*$E454)</f>
        <v>0</v>
      </c>
      <c r="AC454" s="163">
        <f>IF(VLOOKUP($D454,$C$5:$AT$528,3,)=0,0,(VLOOKUP($D454,$C$5:$AT$528,27,)/VLOOKUP($D454,$C$5:$AT$528,3,))*$E454)</f>
        <v>0</v>
      </c>
      <c r="AD454" s="163">
        <f>IF(VLOOKUP($D454,$C$5:$AT$528,3,)=0,0,(VLOOKUP($D454,$C$5:$AT$528,28,)/VLOOKUP($D454,$C$5:$AT$528,3,))*$E454)</f>
        <v>0</v>
      </c>
      <c r="AE454" s="163">
        <f>IF(VLOOKUP($D454,$C$5:$AT$528,3,)=0,0,(VLOOKUP($D454,$C$5:$AT$528,29,)/VLOOKUP($D454,$C$5:$AT$528,3,))*$E454)</f>
        <v>0</v>
      </c>
      <c r="AF454" s="163">
        <f>IF(VLOOKUP($D454,$C$5:$AT$528,3,)=0,0,(VLOOKUP($D454,$C$5:$AT$528,30,)/VLOOKUP($D454,$C$5:$AT$528,3,))*$E454)</f>
        <v>0</v>
      </c>
      <c r="AG454" s="163">
        <f>SUM(F454:AF454)</f>
        <v>0</v>
      </c>
      <c r="AH454" s="103" t="str">
        <f t="shared" si="169"/>
        <v>ok</v>
      </c>
    </row>
    <row r="455" spans="1:34" x14ac:dyDescent="0.25"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03"/>
    </row>
    <row r="456" spans="1:34" x14ac:dyDescent="0.25">
      <c r="A456" s="102" t="s">
        <v>595</v>
      </c>
      <c r="C456" s="102" t="s">
        <v>622</v>
      </c>
      <c r="E456" s="110">
        <f t="shared" ref="E456:AF456" si="171">E449</f>
        <v>1204354.1709996164</v>
      </c>
      <c r="F456" s="110">
        <f t="shared" si="171"/>
        <v>758911.44568550342</v>
      </c>
      <c r="G456" s="110">
        <f t="shared" si="171"/>
        <v>2230.3113783335989</v>
      </c>
      <c r="H456" s="110">
        <f t="shared" si="171"/>
        <v>19488.525038910648</v>
      </c>
      <c r="I456" s="110">
        <f t="shared" si="171"/>
        <v>1530.5467900501576</v>
      </c>
      <c r="J456" s="110">
        <f t="shared" si="171"/>
        <v>860.94440254409039</v>
      </c>
      <c r="K456" s="110">
        <f t="shared" si="171"/>
        <v>2278.5127940533084</v>
      </c>
      <c r="L456" s="110">
        <f t="shared" si="171"/>
        <v>37023.953336213519</v>
      </c>
      <c r="M456" s="110">
        <f t="shared" si="171"/>
        <v>110526.06506144394</v>
      </c>
      <c r="N456" s="110">
        <f t="shared" si="171"/>
        <v>1132.2264891619734</v>
      </c>
      <c r="O456" s="110">
        <f t="shared" si="171"/>
        <v>0</v>
      </c>
      <c r="P456" s="110">
        <f t="shared" si="171"/>
        <v>217.63926011264721</v>
      </c>
      <c r="Q456" s="110">
        <f t="shared" si="171"/>
        <v>50021</v>
      </c>
      <c r="R456" s="110">
        <f t="shared" si="171"/>
        <v>75321</v>
      </c>
      <c r="S456" s="110">
        <f t="shared" si="171"/>
        <v>81614</v>
      </c>
      <c r="T456" s="110">
        <f t="shared" ca="1" si="171"/>
        <v>34639</v>
      </c>
      <c r="U456" s="110">
        <f t="shared" si="171"/>
        <v>28559</v>
      </c>
      <c r="V456" s="110">
        <f t="shared" si="171"/>
        <v>0</v>
      </c>
      <c r="W456" s="110">
        <f t="shared" si="171"/>
        <v>0</v>
      </c>
      <c r="X456" s="110">
        <f t="shared" si="171"/>
        <v>0</v>
      </c>
      <c r="Y456" s="110">
        <f t="shared" si="171"/>
        <v>0</v>
      </c>
      <c r="Z456" s="110">
        <f t="shared" si="171"/>
        <v>0</v>
      </c>
      <c r="AA456" s="110">
        <f t="shared" si="171"/>
        <v>0</v>
      </c>
      <c r="AB456" s="110">
        <f t="shared" si="171"/>
        <v>0</v>
      </c>
      <c r="AC456" s="110">
        <f t="shared" si="171"/>
        <v>0</v>
      </c>
      <c r="AD456" s="110">
        <f t="shared" si="171"/>
        <v>0</v>
      </c>
      <c r="AE456" s="110">
        <f t="shared" si="171"/>
        <v>0</v>
      </c>
      <c r="AF456" s="110">
        <f t="shared" si="171"/>
        <v>0</v>
      </c>
      <c r="AG456" s="110">
        <f ca="1">SUM(F456:AF456)</f>
        <v>1204354.1702363272</v>
      </c>
      <c r="AH456" s="103" t="str">
        <f t="shared" ref="AH456:AH461" ca="1" si="172">IF(ABS(E456-AG456)&lt;0.01,"ok","err")</f>
        <v>ok</v>
      </c>
    </row>
    <row r="457" spans="1:34" x14ac:dyDescent="0.25">
      <c r="A457" s="102" t="s">
        <v>594</v>
      </c>
      <c r="E457" s="120">
        <f>E450</f>
        <v>0</v>
      </c>
      <c r="AG457" s="120">
        <f>E457</f>
        <v>0</v>
      </c>
      <c r="AH457" s="103" t="str">
        <f t="shared" si="172"/>
        <v>ok</v>
      </c>
    </row>
    <row r="458" spans="1:34" x14ac:dyDescent="0.25">
      <c r="A458" s="102" t="s">
        <v>592</v>
      </c>
      <c r="E458" s="119">
        <f>E451</f>
        <v>0</v>
      </c>
      <c r="F458" s="121">
        <f>F451</f>
        <v>0</v>
      </c>
      <c r="G458" s="121">
        <f t="shared" ref="G458:U458" si="173">G451</f>
        <v>0</v>
      </c>
      <c r="H458" s="121">
        <f t="shared" si="173"/>
        <v>0</v>
      </c>
      <c r="I458" s="121">
        <f t="shared" si="173"/>
        <v>0</v>
      </c>
      <c r="J458" s="121">
        <f t="shared" si="173"/>
        <v>0</v>
      </c>
      <c r="K458" s="121">
        <f t="shared" si="173"/>
        <v>0</v>
      </c>
      <c r="L458" s="121">
        <f t="shared" si="173"/>
        <v>0</v>
      </c>
      <c r="M458" s="121">
        <f t="shared" si="173"/>
        <v>0</v>
      </c>
      <c r="N458" s="121">
        <f t="shared" si="173"/>
        <v>0</v>
      </c>
      <c r="O458" s="110">
        <f t="shared" si="173"/>
        <v>0</v>
      </c>
      <c r="P458" s="110">
        <f t="shared" si="173"/>
        <v>0</v>
      </c>
      <c r="Q458" s="110">
        <f t="shared" si="173"/>
        <v>0</v>
      </c>
      <c r="R458" s="110">
        <f t="shared" si="173"/>
        <v>0</v>
      </c>
      <c r="S458" s="110">
        <f t="shared" si="173"/>
        <v>0</v>
      </c>
      <c r="T458" s="110">
        <f t="shared" si="173"/>
        <v>0</v>
      </c>
      <c r="U458" s="110">
        <f t="shared" si="173"/>
        <v>0</v>
      </c>
      <c r="AG458" s="120">
        <f>SUM(F458:AF458)</f>
        <v>0</v>
      </c>
      <c r="AH458" s="103" t="str">
        <f t="shared" si="172"/>
        <v>ok</v>
      </c>
    </row>
    <row r="459" spans="1:34" x14ac:dyDescent="0.25">
      <c r="A459" s="102" t="s">
        <v>593</v>
      </c>
      <c r="D459" s="102" t="s">
        <v>622</v>
      </c>
      <c r="E459" s="120">
        <f>E457-E458</f>
        <v>0</v>
      </c>
      <c r="F459" s="119">
        <f>IF(VLOOKUP($D459,$C$5:$AT$528,3,)=0,0,(VLOOKUP($D459,$C$5:$AT$528,4,)/VLOOKUP($D459,$C$5:$AT$528,3,))*$E459)</f>
        <v>0</v>
      </c>
      <c r="G459" s="119">
        <f>IF(VLOOKUP($D459,$C$5:$AT$528,3,)=0,0,(VLOOKUP($D459,$C$5:$AT$528,5,)/VLOOKUP($D459,$C$5:$AT$528,3,))*$E459)</f>
        <v>0</v>
      </c>
      <c r="H459" s="119">
        <f>IF(VLOOKUP($D459,$C$5:$AT$528,3,)=0,0,(VLOOKUP($D459,$C$5:$AT$528,6,)/VLOOKUP($D459,$C$5:$AT$528,3,))*$E459)</f>
        <v>0</v>
      </c>
      <c r="I459" s="119">
        <f>IF(VLOOKUP($D459,$C$5:$AT$528,3,)=0,0,(VLOOKUP($D459,$C$5:$AT$528,7,)/VLOOKUP($D459,$C$5:$AT$528,3,))*$E459)</f>
        <v>0</v>
      </c>
      <c r="J459" s="119">
        <f>IF(VLOOKUP($D459,$C$5:$AT$528,3,)=0,0,(VLOOKUP($D459,$C$5:$AT$528,8,)/VLOOKUP($D459,$C$5:$AT$528,3,))*$E459)</f>
        <v>0</v>
      </c>
      <c r="K459" s="119">
        <f>IF(VLOOKUP($D459,$C$5:$AT$528,3,)=0,0,(VLOOKUP($D459,$C$5:$AT$528,9,)/VLOOKUP($D459,$C$5:$AT$528,3,))*$E459)</f>
        <v>0</v>
      </c>
      <c r="L459" s="119">
        <f>IF(VLOOKUP($D459,$C$5:$AT$528,3,)=0,0,(VLOOKUP($D459,$C$5:$AT$528,10,)/VLOOKUP($D459,$C$5:$AT$528,3,))*$E459)</f>
        <v>0</v>
      </c>
      <c r="M459" s="119">
        <f>IF(VLOOKUP($D459,$C$5:$AT$528,3,)=0,0,(VLOOKUP($D459,$C$5:$AT$528,11,)/VLOOKUP($D459,$C$5:$AT$528,3,))*$E459)</f>
        <v>0</v>
      </c>
      <c r="N459" s="119">
        <f>IF(VLOOKUP($D459,$C$5:$AT$528,3,)=0,0,(VLOOKUP($D459,$C$5:$AT$528,12,)/VLOOKUP($D459,$C$5:$AT$528,3,))*$E459)</f>
        <v>0</v>
      </c>
      <c r="O459" s="119">
        <f>IF(VLOOKUP($D459,$C$5:$AT$528,3,)=0,0,(VLOOKUP($D459,$C$5:$AT$528,13,)/VLOOKUP($D459,$C$5:$AT$528,3,))*$E459)</f>
        <v>0</v>
      </c>
      <c r="P459" s="119">
        <f>IF(VLOOKUP($D459,$C$5:$AT$528,3,)=0,0,(VLOOKUP($D459,$C$5:$AT$528,14,)/VLOOKUP($D459,$C$5:$AT$528,3,))*$E459)</f>
        <v>0</v>
      </c>
      <c r="Q459" s="119">
        <f>IF(VLOOKUP($D459,$C$5:$AT$528,3,)=0,0,(VLOOKUP($D459,$C$5:$AT$528,15,)/VLOOKUP($D459,$C$5:$AT$528,3,))*$E459)</f>
        <v>0</v>
      </c>
      <c r="R459" s="119">
        <f>IF(VLOOKUP($D459,$C$5:$AT$528,3,)=0,0,(VLOOKUP($D459,$C$5:$AT$528,16,)/VLOOKUP($D459,$C$5:$AT$528,3,))*$E459)</f>
        <v>0</v>
      </c>
      <c r="S459" s="119">
        <f>IF(VLOOKUP($D459,$C$5:$AT$528,3,)=0,0,(VLOOKUP($D459,$C$5:$AT$528,17,)/VLOOKUP($D459,$C$5:$AT$528,3,))*$E459)</f>
        <v>0</v>
      </c>
      <c r="T459" s="119">
        <f ca="1">IF(VLOOKUP($D459,$C$5:$AT$528,3,)=0,0,(VLOOKUP($D459,$C$5:$AT$528,18,)/VLOOKUP($D459,$C$5:$AT$528,3,))*$E459)</f>
        <v>0</v>
      </c>
      <c r="U459" s="119">
        <f>IF(VLOOKUP($D459,$C$5:$AT$528,3,)=0,0,(VLOOKUP($D459,$C$5:$AT$528,19,)/VLOOKUP($D459,$C$5:$AT$528,3,))*$E459)</f>
        <v>0</v>
      </c>
      <c r="V459" s="119">
        <f>IF(VLOOKUP($D459,$C$5:$AT$528,3,)=0,0,(VLOOKUP($D459,$C$5:$AT$528,20,)/VLOOKUP($D459,$C$5:$AT$528,3,))*$E459)</f>
        <v>0</v>
      </c>
      <c r="W459" s="119">
        <f>IF(VLOOKUP($D459,$C$5:$AT$528,3,)=0,0,(VLOOKUP($D459,$C$5:$AT$528,21,)/VLOOKUP($D459,$C$5:$AT$528,3,))*$E459)</f>
        <v>0</v>
      </c>
      <c r="X459" s="119">
        <f>IF(VLOOKUP($D459,$C$5:$AT$528,3,)=0,0,(VLOOKUP($D459,$C$5:$AT$528,22,)/VLOOKUP($D459,$C$5:$AT$528,3,))*$E459)</f>
        <v>0</v>
      </c>
      <c r="Y459" s="119">
        <f>IF(VLOOKUP($D459,$C$5:$AT$528,3,)=0,0,(VLOOKUP($D459,$C$5:$AT$528,23,)/VLOOKUP($D459,$C$5:$AT$528,3,))*$E459)</f>
        <v>0</v>
      </c>
      <c r="Z459" s="119">
        <f>IF(VLOOKUP($D459,$C$5:$AT$528,3,)=0,0,(VLOOKUP($D459,$C$5:$AT$528,24,)/VLOOKUP($D459,$C$5:$AT$528,3,))*$E459)</f>
        <v>0</v>
      </c>
      <c r="AA459" s="119">
        <f>IF(VLOOKUP($D459,$C$5:$AT$528,3,)=0,0,(VLOOKUP($D459,$C$5:$AT$528,25,)/VLOOKUP($D459,$C$5:$AT$528,3,))*$E459)</f>
        <v>0</v>
      </c>
      <c r="AB459" s="119">
        <f>IF(VLOOKUP($D459,$C$5:$AT$528,3,)=0,0,(VLOOKUP($D459,$C$5:$AT$528,26,)/VLOOKUP($D459,$C$5:$AT$528,3,))*$E459)</f>
        <v>0</v>
      </c>
      <c r="AC459" s="119">
        <f>IF(VLOOKUP($D459,$C$5:$AT$528,3,)=0,0,(VLOOKUP($D459,$C$5:$AT$528,27,)/VLOOKUP($D459,$C$5:$AT$528,3,))*$E459)</f>
        <v>0</v>
      </c>
      <c r="AD459" s="119">
        <f>IF(VLOOKUP($D459,$C$5:$AT$528,3,)=0,0,(VLOOKUP($D459,$C$5:$AT$528,28,)/VLOOKUP($D459,$C$5:$AT$528,3,))*$E459)</f>
        <v>0</v>
      </c>
      <c r="AE459" s="119">
        <f>IF(VLOOKUP($D459,$C$5:$AT$528,3,)=0,0,(VLOOKUP($D459,$C$5:$AT$528,29,)/VLOOKUP($D459,$C$5:$AT$528,3,))*$E459)</f>
        <v>0</v>
      </c>
      <c r="AF459" s="119">
        <f>IF(VLOOKUP($D459,$C$5:$AT$528,3,)=0,0,(VLOOKUP($D459,$C$5:$AT$528,30,)/VLOOKUP($D459,$C$5:$AT$528,3,))*$E459)</f>
        <v>0</v>
      </c>
      <c r="AG459" s="120">
        <f ca="1">SUM(F459:AF459)</f>
        <v>0</v>
      </c>
      <c r="AH459" s="103" t="str">
        <f t="shared" ca="1" si="172"/>
        <v>ok</v>
      </c>
    </row>
    <row r="460" spans="1:34" x14ac:dyDescent="0.25">
      <c r="A460" s="102" t="s">
        <v>598</v>
      </c>
      <c r="C460" s="102" t="s">
        <v>623</v>
      </c>
      <c r="E460" s="120">
        <f t="shared" ref="E460:U460" si="174">E458+E459</f>
        <v>0</v>
      </c>
      <c r="F460" s="120">
        <f t="shared" si="174"/>
        <v>0</v>
      </c>
      <c r="G460" s="120">
        <f t="shared" si="174"/>
        <v>0</v>
      </c>
      <c r="H460" s="120">
        <f t="shared" si="174"/>
        <v>0</v>
      </c>
      <c r="I460" s="120">
        <f t="shared" si="174"/>
        <v>0</v>
      </c>
      <c r="J460" s="120">
        <f t="shared" si="174"/>
        <v>0</v>
      </c>
      <c r="K460" s="120">
        <f t="shared" si="174"/>
        <v>0</v>
      </c>
      <c r="L460" s="120">
        <f t="shared" si="174"/>
        <v>0</v>
      </c>
      <c r="M460" s="120">
        <f t="shared" si="174"/>
        <v>0</v>
      </c>
      <c r="N460" s="120">
        <f t="shared" si="174"/>
        <v>0</v>
      </c>
      <c r="O460" s="120">
        <f t="shared" si="174"/>
        <v>0</v>
      </c>
      <c r="P460" s="120">
        <f t="shared" si="174"/>
        <v>0</v>
      </c>
      <c r="Q460" s="120">
        <f t="shared" si="174"/>
        <v>0</v>
      </c>
      <c r="R460" s="120">
        <f t="shared" si="174"/>
        <v>0</v>
      </c>
      <c r="S460" s="120">
        <f t="shared" si="174"/>
        <v>0</v>
      </c>
      <c r="T460" s="120">
        <f t="shared" ca="1" si="174"/>
        <v>0</v>
      </c>
      <c r="U460" s="120">
        <f t="shared" si="174"/>
        <v>0</v>
      </c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>
        <f ca="1">SUM(F460:AF460)</f>
        <v>0</v>
      </c>
      <c r="AH460" s="103" t="str">
        <f t="shared" ca="1" si="172"/>
        <v>ok</v>
      </c>
    </row>
    <row r="461" spans="1:34" x14ac:dyDescent="0.25">
      <c r="A461" s="102" t="s">
        <v>631</v>
      </c>
      <c r="C461" s="102" t="s">
        <v>624</v>
      </c>
      <c r="D461" s="102" t="s">
        <v>623</v>
      </c>
      <c r="E461" s="161">
        <v>0</v>
      </c>
      <c r="F461" s="163">
        <f>IF(VLOOKUP($D461,$C$5:$AT$528,3,)=0,0,(VLOOKUP($D461,$C$5:$AT$528,4,)/VLOOKUP($D461,$C$5:$AT$528,3,))*$E461)</f>
        <v>0</v>
      </c>
      <c r="G461" s="163">
        <f>IF(VLOOKUP($D461,$C$5:$AT$528,3,)=0,0,(VLOOKUP($D461,$C$5:$AT$528,5,)/VLOOKUP($D461,$C$5:$AT$528,3,))*$E461)</f>
        <v>0</v>
      </c>
      <c r="H461" s="163">
        <f>IF(VLOOKUP($D461,$C$5:$AT$528,3,)=0,0,(VLOOKUP($D461,$C$5:$AT$528,6,)/VLOOKUP($D461,$C$5:$AT$528,3,))*$E461)</f>
        <v>0</v>
      </c>
      <c r="I461" s="163">
        <f>IF(VLOOKUP($D461,$C$5:$AT$528,3,)=0,0,(VLOOKUP($D461,$C$5:$AT$528,7,)/VLOOKUP($D461,$C$5:$AT$528,3,))*$E461)</f>
        <v>0</v>
      </c>
      <c r="J461" s="163">
        <f>IF(VLOOKUP($D461,$C$5:$AT$528,3,)=0,0,(VLOOKUP($D461,$C$5:$AT$528,8,)/VLOOKUP($D461,$C$5:$AT$528,3,))*$E461)</f>
        <v>0</v>
      </c>
      <c r="K461" s="163">
        <f>IF(VLOOKUP($D461,$C$5:$AT$528,3,)=0,0,(VLOOKUP($D461,$C$5:$AT$528,9,)/VLOOKUP($D461,$C$5:$AT$528,3,))*$E461)</f>
        <v>0</v>
      </c>
      <c r="L461" s="163">
        <f>IF(VLOOKUP($D461,$C$5:$AT$528,3,)=0,0,(VLOOKUP($D461,$C$5:$AT$528,10,)/VLOOKUP($D461,$C$5:$AT$528,3,))*$E461)</f>
        <v>0</v>
      </c>
      <c r="M461" s="163">
        <f>IF(VLOOKUP($D461,$C$5:$AT$528,3,)=0,0,(VLOOKUP($D461,$C$5:$AT$528,11,)/VLOOKUP($D461,$C$5:$AT$528,3,))*$E461)</f>
        <v>0</v>
      </c>
      <c r="N461" s="163">
        <f>IF(VLOOKUP($D461,$C$5:$AT$528,3,)=0,0,(VLOOKUP($D461,$C$5:$AT$528,12,)/VLOOKUP($D461,$C$5:$AT$528,3,))*$E461)</f>
        <v>0</v>
      </c>
      <c r="O461" s="163">
        <f>IF(VLOOKUP($D461,$C$5:$AT$528,3,)=0,0,(VLOOKUP($D461,$C$5:$AT$528,13,)/VLOOKUP($D461,$C$5:$AT$528,3,))*$E461)</f>
        <v>0</v>
      </c>
      <c r="P461" s="163">
        <f>IF(VLOOKUP($D461,$C$5:$AT$528,3,)=0,0,(VLOOKUP($D461,$C$5:$AT$528,14,)/VLOOKUP($D461,$C$5:$AT$528,3,))*$E461)</f>
        <v>0</v>
      </c>
      <c r="Q461" s="163">
        <f>IF(VLOOKUP($D461,$C$5:$AT$528,3,)=0,0,(VLOOKUP($D461,$C$5:$AT$528,15,)/VLOOKUP($D461,$C$5:$AT$528,3,))*$E461)</f>
        <v>0</v>
      </c>
      <c r="R461" s="163">
        <f>IF(VLOOKUP($D461,$C$5:$AT$528,3,)=0,0,(VLOOKUP($D461,$C$5:$AT$528,16,)/VLOOKUP($D461,$C$5:$AT$528,3,))*$E461)</f>
        <v>0</v>
      </c>
      <c r="S461" s="163">
        <f>IF(VLOOKUP($D461,$C$5:$AT$528,3,)=0,0,(VLOOKUP($D461,$C$5:$AT$528,17,)/VLOOKUP($D461,$C$5:$AT$528,3,))*$E461)</f>
        <v>0</v>
      </c>
      <c r="T461" s="163">
        <f>IF(VLOOKUP($D461,$C$5:$AT$528,3,)=0,0,(VLOOKUP($D461,$C$5:$AT$528,18,)/VLOOKUP($D461,$C$5:$AT$528,3,))*$E461)</f>
        <v>0</v>
      </c>
      <c r="U461" s="163">
        <f>IF(VLOOKUP($D461,$C$5:$AT$528,3,)=0,0,(VLOOKUP($D461,$C$5:$AT$528,19,)/VLOOKUP($D461,$C$5:$AT$528,3,))*$E461)</f>
        <v>0</v>
      </c>
      <c r="V461" s="163">
        <f>IF(VLOOKUP($D461,$C$5:$AT$528,3,)=0,0,(VLOOKUP($D461,$C$5:$AT$528,20,)/VLOOKUP($D461,$C$5:$AT$528,3,))*$E461)</f>
        <v>0</v>
      </c>
      <c r="W461" s="163">
        <f>IF(VLOOKUP($D461,$C$5:$AT$528,3,)=0,0,(VLOOKUP($D461,$C$5:$AT$528,21,)/VLOOKUP($D461,$C$5:$AT$528,3,))*$E461)</f>
        <v>0</v>
      </c>
      <c r="X461" s="163">
        <f>IF(VLOOKUP($D461,$C$5:$AT$528,3,)=0,0,(VLOOKUP($D461,$C$5:$AT$528,22,)/VLOOKUP($D461,$C$5:$AT$528,3,))*$E461)</f>
        <v>0</v>
      </c>
      <c r="Y461" s="163">
        <f>IF(VLOOKUP($D461,$C$5:$AT$528,3,)=0,0,(VLOOKUP($D461,$C$5:$AT$528,23,)/VLOOKUP($D461,$C$5:$AT$528,3,))*$E461)</f>
        <v>0</v>
      </c>
      <c r="Z461" s="163">
        <f>IF(VLOOKUP($D461,$C$5:$AT$528,3,)=0,0,(VLOOKUP($D461,$C$5:$AT$528,24,)/VLOOKUP($D461,$C$5:$AT$528,3,))*$E461)</f>
        <v>0</v>
      </c>
      <c r="AA461" s="163">
        <f>IF(VLOOKUP($D461,$C$5:$AT$528,3,)=0,0,(VLOOKUP($D461,$C$5:$AT$528,25,)/VLOOKUP($D461,$C$5:$AT$528,3,))*$E461)</f>
        <v>0</v>
      </c>
      <c r="AB461" s="163">
        <f>IF(VLOOKUP($D461,$C$5:$AT$528,3,)=0,0,(VLOOKUP($D461,$C$5:$AT$528,26,)/VLOOKUP($D461,$C$5:$AT$528,3,))*$E461)</f>
        <v>0</v>
      </c>
      <c r="AC461" s="163">
        <f>IF(VLOOKUP($D461,$C$5:$AT$528,3,)=0,0,(VLOOKUP($D461,$C$5:$AT$528,27,)/VLOOKUP($D461,$C$5:$AT$528,3,))*$E461)</f>
        <v>0</v>
      </c>
      <c r="AD461" s="163">
        <f>IF(VLOOKUP($D461,$C$5:$AT$528,3,)=0,0,(VLOOKUP($D461,$C$5:$AT$528,28,)/VLOOKUP($D461,$C$5:$AT$528,3,))*$E461)</f>
        <v>0</v>
      </c>
      <c r="AE461" s="163">
        <f>IF(VLOOKUP($D461,$C$5:$AT$528,3,)=0,0,(VLOOKUP($D461,$C$5:$AT$528,29,)/VLOOKUP($D461,$C$5:$AT$528,3,))*$E461)</f>
        <v>0</v>
      </c>
      <c r="AF461" s="163">
        <f>IF(VLOOKUP($D461,$C$5:$AT$528,3,)=0,0,(VLOOKUP($D461,$C$5:$AT$528,30,)/VLOOKUP($D461,$C$5:$AT$528,3,))*$E461)</f>
        <v>0</v>
      </c>
      <c r="AG461" s="163">
        <f>SUM(F461:AF461)</f>
        <v>0</v>
      </c>
      <c r="AH461" s="103" t="str">
        <f t="shared" si="172"/>
        <v>ok</v>
      </c>
    </row>
    <row r="462" spans="1:34" x14ac:dyDescent="0.25"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03"/>
    </row>
    <row r="463" spans="1:34" x14ac:dyDescent="0.25">
      <c r="A463" s="102" t="s">
        <v>600</v>
      </c>
      <c r="B463" s="110"/>
      <c r="C463" s="102" t="s">
        <v>604</v>
      </c>
      <c r="E463" s="110">
        <v>3254984.8047450925</v>
      </c>
      <c r="F463" s="110">
        <f t="shared" ref="F463:P463" si="175">F445</f>
        <v>2350674.3158673267</v>
      </c>
      <c r="G463" s="110">
        <f t="shared" si="175"/>
        <v>6952.5217436138137</v>
      </c>
      <c r="H463" s="110">
        <f t="shared" si="175"/>
        <v>127345.35</v>
      </c>
      <c r="I463" s="110">
        <f t="shared" si="175"/>
        <v>336121.95600000001</v>
      </c>
      <c r="J463" s="110">
        <f t="shared" si="175"/>
        <v>58027.22</v>
      </c>
      <c r="K463" s="110">
        <f t="shared" si="175"/>
        <v>2525.0265873015869</v>
      </c>
      <c r="L463" s="110">
        <f t="shared" si="175"/>
        <v>71351.013999999996</v>
      </c>
      <c r="M463" s="110">
        <f t="shared" si="175"/>
        <v>298990.28099999996</v>
      </c>
      <c r="N463" s="110">
        <f t="shared" si="175"/>
        <v>2561.3999999999996</v>
      </c>
      <c r="O463" s="110">
        <f t="shared" si="175"/>
        <v>0</v>
      </c>
      <c r="P463" s="110">
        <f t="shared" si="175"/>
        <v>435.71954685099848</v>
      </c>
      <c r="Q463" s="167">
        <v>0</v>
      </c>
      <c r="R463" s="167">
        <v>0</v>
      </c>
      <c r="S463" s="167">
        <v>0</v>
      </c>
      <c r="T463" s="167">
        <v>0</v>
      </c>
      <c r="U463" s="167">
        <v>0</v>
      </c>
      <c r="V463" s="110">
        <f t="shared" ref="V463:Z463" si="176">V445</f>
        <v>0</v>
      </c>
      <c r="W463" s="110">
        <f t="shared" si="176"/>
        <v>0</v>
      </c>
      <c r="X463" s="110">
        <f t="shared" si="176"/>
        <v>0</v>
      </c>
      <c r="Y463" s="110">
        <f t="shared" si="176"/>
        <v>0</v>
      </c>
      <c r="Z463" s="110">
        <f t="shared" si="176"/>
        <v>0</v>
      </c>
      <c r="AA463" s="110">
        <f>AA445*0.5</f>
        <v>0</v>
      </c>
      <c r="AB463" s="110">
        <f>AB445*0.1</f>
        <v>0</v>
      </c>
      <c r="AC463" s="110">
        <f>AC445*0.5</f>
        <v>0</v>
      </c>
      <c r="AD463" s="110">
        <f>AD445*0.07</f>
        <v>0</v>
      </c>
      <c r="AE463" s="110">
        <f>AE445*0.07</f>
        <v>0</v>
      </c>
      <c r="AF463" s="110">
        <f>AF445</f>
        <v>0</v>
      </c>
      <c r="AG463" s="110">
        <f>SUM(F463:AF463)</f>
        <v>3254984.8047450925</v>
      </c>
      <c r="AH463" s="103" t="str">
        <f t="shared" ref="AH463:AH468" si="177">IF(ABS(E463-AG463)&lt;0.01,"ok","err")</f>
        <v>ok</v>
      </c>
    </row>
    <row r="464" spans="1:34" x14ac:dyDescent="0.25">
      <c r="A464" s="102" t="s">
        <v>601</v>
      </c>
      <c r="E464" s="120">
        <f>'Func &amp; Classif'!O54</f>
        <v>67354032.509825826</v>
      </c>
      <c r="AG464" s="120">
        <f>E464</f>
        <v>67354032.509825826</v>
      </c>
      <c r="AH464" s="103" t="str">
        <f t="shared" si="177"/>
        <v>ok</v>
      </c>
    </row>
    <row r="465" spans="1:34" x14ac:dyDescent="0.25">
      <c r="A465" s="102" t="s">
        <v>592</v>
      </c>
      <c r="E465" s="119"/>
      <c r="M465" s="110">
        <v>0</v>
      </c>
      <c r="N465" s="110">
        <v>0</v>
      </c>
      <c r="P465" s="110"/>
      <c r="Q465" s="110">
        <f>(1/70)*'Func &amp; Classif'!F53</f>
        <v>0</v>
      </c>
      <c r="AA465" s="119">
        <v>0</v>
      </c>
      <c r="AB465" s="119">
        <v>0</v>
      </c>
      <c r="AC465" s="119">
        <v>0</v>
      </c>
      <c r="AD465" s="119">
        <v>0</v>
      </c>
      <c r="AE465" s="119">
        <v>0</v>
      </c>
      <c r="AG465" s="120">
        <f>SUM(F465:AF465)</f>
        <v>0</v>
      </c>
      <c r="AH465" s="103" t="str">
        <f t="shared" si="177"/>
        <v>ok</v>
      </c>
    </row>
    <row r="466" spans="1:34" x14ac:dyDescent="0.25">
      <c r="A466" s="102" t="s">
        <v>602</v>
      </c>
      <c r="D466" s="102" t="s">
        <v>625</v>
      </c>
      <c r="E466" s="120">
        <f>E464-E465</f>
        <v>67354032.509825826</v>
      </c>
      <c r="F466" s="168">
        <f>IF(VLOOKUP($D466,$C$5:$AT$528,3,)=0,0,(VLOOKUP($D466,$C$5:$AT$528,4,)/VLOOKUP($D466,$C$5:$AT$528,3,))*$E466)</f>
        <v>48641515.640912361</v>
      </c>
      <c r="G466" s="119">
        <f>IF(VLOOKUP($D466,$C$5:$AT$528,3,)=0,0,(VLOOKUP($D466,$C$5:$AT$528,5,)/VLOOKUP($D466,$C$5:$AT$528,3,))*$E466)</f>
        <v>143865.61032849678</v>
      </c>
      <c r="H466" s="119">
        <f>IF(VLOOKUP($D466,$C$5:$AT$528,3,)=0,0,(VLOOKUP($D466,$C$5:$AT$528,6,)/VLOOKUP($D466,$C$5:$AT$528,3,))*$E466)</f>
        <v>2635103.8048998993</v>
      </c>
      <c r="I466" s="119">
        <f>IF(VLOOKUP($D466,$C$5:$AT$528,3,)=0,0,(VLOOKUP($D466,$C$5:$AT$528,7,)/VLOOKUP($D466,$C$5:$AT$528,3,))*$E466)</f>
        <v>6955230.365034895</v>
      </c>
      <c r="J466" s="119">
        <f>IF(VLOOKUP($D466,$C$5:$AT$528,3,)=0,0,(VLOOKUP($D466,$C$5:$AT$528,8,)/VLOOKUP($D466,$C$5:$AT$528,3,))*$E466)</f>
        <v>1200732.8748930646</v>
      </c>
      <c r="K466" s="119">
        <f>IF(VLOOKUP($D466,$C$5:$AT$528,3,)=0,0,(VLOOKUP($D466,$C$5:$AT$528,9,)/VLOOKUP($D466,$C$5:$AT$528,3,))*$E466)</f>
        <v>52249.313914263999</v>
      </c>
      <c r="L466" s="119">
        <f>IF(VLOOKUP($D466,$C$5:$AT$528,3,)=0,0,(VLOOKUP($D466,$C$5:$AT$528,10,)/VLOOKUP($D466,$C$5:$AT$528,3,))*$E466)</f>
        <v>1476436.5442072754</v>
      </c>
      <c r="M466" s="119">
        <f>IF(VLOOKUP($D466,$C$5:$AT$528,3,)=0,0,(VLOOKUP($D466,$C$5:$AT$528,11,)/VLOOKUP($D466,$C$5:$AT$528,3,))*$E466)</f>
        <v>6186880.2205277998</v>
      </c>
      <c r="N466" s="119">
        <f>IF(VLOOKUP($D466,$C$5:$AT$528,3,)=0,0,(VLOOKUP($D466,$C$5:$AT$528,12,)/VLOOKUP($D466,$C$5:$AT$528,3,))*$E466)</f>
        <v>53001.973655658418</v>
      </c>
      <c r="O466" s="119">
        <f>IF(VLOOKUP($D466,$C$5:$AT$528,3,)=0,0,(VLOOKUP($D466,$C$5:$AT$528,13,)/VLOOKUP($D466,$C$5:$AT$528,3,))*$E466)</f>
        <v>0</v>
      </c>
      <c r="P466" s="119">
        <f>IF(VLOOKUP($D466,$C$5:$AT$528,3,)=0,0,(VLOOKUP($D466,$C$5:$AT$528,14,)/VLOOKUP($D466,$C$5:$AT$528,3,))*$E466)</f>
        <v>9016.1614521168285</v>
      </c>
      <c r="Q466" s="119">
        <f>IF(VLOOKUP($D466,$C$5:$AT$528,3,)=0,0,(VLOOKUP($D466,$C$5:$AT$528,15,)/VLOOKUP($D466,$C$5:$AT$528,3,))*$E466)</f>
        <v>0</v>
      </c>
      <c r="R466" s="119">
        <f>IF(VLOOKUP($D466,$C$5:$AT$528,3,)=0,0,(VLOOKUP($D466,$C$5:$AT$528,16,)/VLOOKUP($D466,$C$5:$AT$528,3,))*$E466)</f>
        <v>0</v>
      </c>
      <c r="S466" s="119">
        <f>IF(VLOOKUP($D466,$C$5:$AT$528,3,)=0,0,(VLOOKUP($D466,$C$5:$AT$528,17,)/VLOOKUP($D466,$C$5:$AT$528,3,))*$E466)</f>
        <v>0</v>
      </c>
      <c r="T466" s="119">
        <f>IF(VLOOKUP($D466,$C$5:$AT$528,3,)=0,0,(VLOOKUP($D466,$C$5:$AT$528,18,)/VLOOKUP($D466,$C$5:$AT$528,3,))*$E466)</f>
        <v>0</v>
      </c>
      <c r="U466" s="119">
        <f>IF(VLOOKUP($D466,$C$5:$AT$528,3,)=0,0,(VLOOKUP($D466,$C$5:$AT$528,19,)/VLOOKUP($D466,$C$5:$AT$528,3,))*$E466)</f>
        <v>0</v>
      </c>
      <c r="V466" s="119">
        <f>IF(VLOOKUP($D466,$C$5:$AT$528,3,)=0,0,(VLOOKUP($D466,$C$5:$AT$528,20,)/VLOOKUP($D466,$C$5:$AT$528,3,))*$E466)</f>
        <v>0</v>
      </c>
      <c r="W466" s="119">
        <f>IF(VLOOKUP($D466,$C$5:$AT$528,3,)=0,0,(VLOOKUP($D466,$C$5:$AT$528,21,)/VLOOKUP($D466,$C$5:$AT$528,3,))*$E466)</f>
        <v>0</v>
      </c>
      <c r="X466" s="119">
        <f>IF(VLOOKUP($D466,$C$5:$AT$528,3,)=0,0,(VLOOKUP($D466,$C$5:$AT$528,22,)/VLOOKUP($D466,$C$5:$AT$528,3,))*$E466)</f>
        <v>0</v>
      </c>
      <c r="Y466" s="119">
        <f>IF(VLOOKUP($D466,$C$5:$AT$528,3,)=0,0,(VLOOKUP($D466,$C$5:$AT$528,23,)/VLOOKUP($D466,$C$5:$AT$528,3,))*$E466)</f>
        <v>0</v>
      </c>
      <c r="Z466" s="119">
        <f>IF(VLOOKUP($D466,$C$5:$AT$528,3,)=0,0,(VLOOKUP($D466,$C$5:$AT$528,24,)/VLOOKUP($D466,$C$5:$AT$528,3,))*$E466)</f>
        <v>0</v>
      </c>
      <c r="AA466" s="119">
        <f>IF(VLOOKUP($D466,$C$5:$AT$528,3,)=0,0,(VLOOKUP($D466,$C$5:$AT$528,25,)/VLOOKUP($D466,$C$5:$AT$528,3,))*$E466)</f>
        <v>0</v>
      </c>
      <c r="AB466" s="119">
        <f>IF(VLOOKUP($D466,$C$5:$AT$528,3,)=0,0,(VLOOKUP($D466,$C$5:$AT$528,26,)/VLOOKUP($D466,$C$5:$AT$528,3,))*$E466)</f>
        <v>0</v>
      </c>
      <c r="AC466" s="119">
        <f>IF(VLOOKUP($D466,$C$5:$AT$528,3,)=0,0,(VLOOKUP($D466,$C$5:$AT$528,27,)/VLOOKUP($D466,$C$5:$AT$528,3,))*$E466)</f>
        <v>0</v>
      </c>
      <c r="AD466" s="119">
        <f>IF(VLOOKUP($D466,$C$5:$AT$528,3,)=0,0,(VLOOKUP($D466,$C$5:$AT$528,28,)/VLOOKUP($D466,$C$5:$AT$528,3,))*$E466)</f>
        <v>0</v>
      </c>
      <c r="AE466" s="119">
        <f>IF(VLOOKUP($D466,$C$5:$AT$528,3,)=0,0,(VLOOKUP($D466,$C$5:$AT$528,29,)/VLOOKUP($D466,$C$5:$AT$528,3,))*$E466)</f>
        <v>0</v>
      </c>
      <c r="AF466" s="119">
        <f>IF(VLOOKUP($D466,$C$5:$AT$528,3,)=0,0,(VLOOKUP($D466,$C$5:$AT$528,30,)/VLOOKUP($D466,$C$5:$AT$528,3,))*$E466)</f>
        <v>0</v>
      </c>
      <c r="AG466" s="120">
        <f>SUM(F466:AF466)</f>
        <v>67354032.509825826</v>
      </c>
      <c r="AH466" s="103" t="str">
        <f t="shared" si="177"/>
        <v>ok</v>
      </c>
    </row>
    <row r="467" spans="1:34" x14ac:dyDescent="0.25">
      <c r="A467" s="102" t="s">
        <v>603</v>
      </c>
      <c r="C467" s="102" t="s">
        <v>606</v>
      </c>
      <c r="E467" s="120">
        <f t="shared" ref="E467:AF467" si="178">E465+E466</f>
        <v>67354032.509825826</v>
      </c>
      <c r="F467" s="169">
        <f t="shared" si="178"/>
        <v>48641515.640912361</v>
      </c>
      <c r="G467" s="120">
        <f t="shared" si="178"/>
        <v>143865.61032849678</v>
      </c>
      <c r="H467" s="120">
        <f t="shared" si="178"/>
        <v>2635103.8048998993</v>
      </c>
      <c r="I467" s="120">
        <f t="shared" si="178"/>
        <v>6955230.365034895</v>
      </c>
      <c r="J467" s="120">
        <f t="shared" si="178"/>
        <v>1200732.8748930646</v>
      </c>
      <c r="K467" s="120">
        <f t="shared" si="178"/>
        <v>52249.313914263999</v>
      </c>
      <c r="L467" s="120">
        <f t="shared" si="178"/>
        <v>1476436.5442072754</v>
      </c>
      <c r="M467" s="120">
        <f t="shared" si="178"/>
        <v>6186880.2205277998</v>
      </c>
      <c r="N467" s="120">
        <f t="shared" si="178"/>
        <v>53001.973655658418</v>
      </c>
      <c r="O467" s="120">
        <f t="shared" si="178"/>
        <v>0</v>
      </c>
      <c r="P467" s="120">
        <f>P465+P466</f>
        <v>9016.1614521168285</v>
      </c>
      <c r="Q467" s="120">
        <f t="shared" si="178"/>
        <v>0</v>
      </c>
      <c r="R467" s="120">
        <f t="shared" si="178"/>
        <v>0</v>
      </c>
      <c r="S467" s="120">
        <f t="shared" si="178"/>
        <v>0</v>
      </c>
      <c r="T467" s="120">
        <f t="shared" si="178"/>
        <v>0</v>
      </c>
      <c r="U467" s="120">
        <f t="shared" si="178"/>
        <v>0</v>
      </c>
      <c r="V467" s="120">
        <f t="shared" si="178"/>
        <v>0</v>
      </c>
      <c r="W467" s="120">
        <f t="shared" si="178"/>
        <v>0</v>
      </c>
      <c r="X467" s="120">
        <f t="shared" si="178"/>
        <v>0</v>
      </c>
      <c r="Y467" s="120">
        <f t="shared" si="178"/>
        <v>0</v>
      </c>
      <c r="Z467" s="120">
        <f t="shared" si="178"/>
        <v>0</v>
      </c>
      <c r="AA467" s="120">
        <f t="shared" si="178"/>
        <v>0</v>
      </c>
      <c r="AB467" s="120">
        <f t="shared" si="178"/>
        <v>0</v>
      </c>
      <c r="AC467" s="120">
        <f t="shared" si="178"/>
        <v>0</v>
      </c>
      <c r="AD467" s="120">
        <f t="shared" si="178"/>
        <v>0</v>
      </c>
      <c r="AE467" s="120">
        <f t="shared" si="178"/>
        <v>0</v>
      </c>
      <c r="AF467" s="120">
        <f t="shared" si="178"/>
        <v>0</v>
      </c>
      <c r="AG467" s="120">
        <f>SUM(F467:AF467)</f>
        <v>67354032.509825826</v>
      </c>
      <c r="AH467" s="103" t="str">
        <f t="shared" si="177"/>
        <v>ok</v>
      </c>
    </row>
    <row r="468" spans="1:34" x14ac:dyDescent="0.25">
      <c r="A468" s="102" t="s">
        <v>633</v>
      </c>
      <c r="C468" s="102" t="s">
        <v>605</v>
      </c>
      <c r="D468" s="102" t="s">
        <v>606</v>
      </c>
      <c r="E468" s="161">
        <v>1</v>
      </c>
      <c r="F468" s="163">
        <f>IF(VLOOKUP($D468,$C$5:$AT$528,3,)=0,0,(VLOOKUP($D468,$C$5:$AT$528,4,)/VLOOKUP($D468,$C$5:$AT$528,3,))*$E468)</f>
        <v>0.72217674025406542</v>
      </c>
      <c r="G468" s="163">
        <f>IF(VLOOKUP($D468,$C$5:$AT$528,3,)=0,0,(VLOOKUP($D468,$C$5:$AT$528,5,)/VLOOKUP($D468,$C$5:$AT$528,3,))*$E468)</f>
        <v>2.1359613517944781E-3</v>
      </c>
      <c r="H468" s="163">
        <f>IF(VLOOKUP($D468,$C$5:$AT$528,3,)=0,0,(VLOOKUP($D468,$C$5:$AT$528,6,)/VLOOKUP($D468,$C$5:$AT$528,3,))*$E468)</f>
        <v>3.912317802969676E-2</v>
      </c>
      <c r="I468" s="163">
        <f>IF(VLOOKUP($D468,$C$5:$AT$528,3,)=0,0,(VLOOKUP($D468,$C$5:$AT$528,7,)/VLOOKUP($D468,$C$5:$AT$528,3,))*$E468)</f>
        <v>0.10326375579695608</v>
      </c>
      <c r="J468" s="163">
        <f>IF(VLOOKUP($D468,$C$5:$AT$528,3,)=0,0,(VLOOKUP($D468,$C$5:$AT$528,8,)/VLOOKUP($D468,$C$5:$AT$528,3,))*$E468)</f>
        <v>1.7827186140902517E-2</v>
      </c>
      <c r="K468" s="163">
        <f>IF(VLOOKUP($D468,$C$5:$AT$528,3,)=0,0,(VLOOKUP($D468,$C$5:$AT$528,9,)/VLOOKUP($D468,$C$5:$AT$528,3,))*$E468)</f>
        <v>7.75741436218265E-4</v>
      </c>
      <c r="L468" s="163">
        <f>IF(VLOOKUP($D468,$C$5:$AT$528,3,)=0,0,(VLOOKUP($D468,$C$5:$AT$528,10,)/VLOOKUP($D468,$C$5:$AT$528,3,))*$E468)</f>
        <v>2.1920536739829022E-2</v>
      </c>
      <c r="M468" s="163">
        <f>IF(VLOOKUP($D468,$C$5:$AT$528,3,)=0,0,(VLOOKUP($D468,$C$5:$AT$528,11,)/VLOOKUP($D468,$C$5:$AT$528,3,))*$E468)</f>
        <v>9.1856121897753301E-2</v>
      </c>
      <c r="N468" s="163">
        <f>IF(VLOOKUP($D468,$C$5:$AT$528,3,)=0,0,(VLOOKUP($D468,$C$5:$AT$528,12,)/VLOOKUP($D468,$C$5:$AT$528,3,))*$E468)</f>
        <v>7.8691611594192698E-4</v>
      </c>
      <c r="O468" s="163">
        <f>IF(VLOOKUP($D468,$C$5:$AT$528,3,)=0,0,(VLOOKUP($D468,$C$5:$AT$528,13,)/VLOOKUP($D468,$C$5:$AT$528,3,))*$E468)</f>
        <v>0</v>
      </c>
      <c r="P468" s="163">
        <f>IF(VLOOKUP($D468,$C$5:$AT$528,3,)=0,0,(VLOOKUP($D468,$C$5:$AT$528,14,)/VLOOKUP($D468,$C$5:$AT$528,3,))*$E468)</f>
        <v>1.3386223684233787E-4</v>
      </c>
      <c r="Q468" s="163">
        <f>IF(VLOOKUP($D468,$C$5:$AT$528,3,)=0,0,(VLOOKUP($D468,$C$5:$AT$528,15,)/VLOOKUP($D468,$C$5:$AT$528,3,))*$E468)</f>
        <v>0</v>
      </c>
      <c r="R468" s="163">
        <f>IF(VLOOKUP($D468,$C$5:$AT$528,3,)=0,0,(VLOOKUP($D468,$C$5:$AT$528,16,)/VLOOKUP($D468,$C$5:$AT$528,3,))*$E468)</f>
        <v>0</v>
      </c>
      <c r="S468" s="163">
        <f>IF(VLOOKUP($D468,$C$5:$AT$528,3,)=0,0,(VLOOKUP($D468,$C$5:$AT$528,17,)/VLOOKUP($D468,$C$5:$AT$528,3,))*$E468)</f>
        <v>0</v>
      </c>
      <c r="T468" s="163">
        <f>IF(VLOOKUP($D468,$C$5:$AT$528,3,)=0,0,(VLOOKUP($D468,$C$5:$AT$528,18,)/VLOOKUP($D468,$C$5:$AT$528,3,))*$E468)</f>
        <v>0</v>
      </c>
      <c r="U468" s="163">
        <f>IF(VLOOKUP($D468,$C$5:$AT$528,3,)=0,0,(VLOOKUP($D468,$C$5:$AT$528,19,)/VLOOKUP($D468,$C$5:$AT$528,3,))*$E468)</f>
        <v>0</v>
      </c>
      <c r="V468" s="163">
        <f>IF(VLOOKUP($D468,$C$5:$AT$528,3,)=0,0,(VLOOKUP($D468,$C$5:$AT$528,20,)/VLOOKUP($D468,$C$5:$AT$528,3,))*$E468)</f>
        <v>0</v>
      </c>
      <c r="W468" s="163">
        <f>IF(VLOOKUP($D468,$C$5:$AT$528,3,)=0,0,(VLOOKUP($D468,$C$5:$AT$528,21,)/VLOOKUP($D468,$C$5:$AT$528,3,))*$E468)</f>
        <v>0</v>
      </c>
      <c r="X468" s="163">
        <f>IF(VLOOKUP($D468,$C$5:$AT$528,3,)=0,0,(VLOOKUP($D468,$C$5:$AT$528,22,)/VLOOKUP($D468,$C$5:$AT$528,3,))*$E468)</f>
        <v>0</v>
      </c>
      <c r="Y468" s="163">
        <f>IF(VLOOKUP($D468,$C$5:$AT$528,3,)=0,0,(VLOOKUP($D468,$C$5:$AT$528,23,)/VLOOKUP($D468,$C$5:$AT$528,3,))*$E468)</f>
        <v>0</v>
      </c>
      <c r="Z468" s="163">
        <f>IF(VLOOKUP($D468,$C$5:$AT$528,3,)=0,0,(VLOOKUP($D468,$C$5:$AT$528,24,)/VLOOKUP($D468,$C$5:$AT$528,3,))*$E468)</f>
        <v>0</v>
      </c>
      <c r="AA468" s="163">
        <f>IF(VLOOKUP($D468,$C$5:$AT$528,3,)=0,0,(VLOOKUP($D468,$C$5:$AT$528,25,)/VLOOKUP($D468,$C$5:$AT$528,3,))*$E468)</f>
        <v>0</v>
      </c>
      <c r="AB468" s="163">
        <f>IF(VLOOKUP($D468,$C$5:$AT$528,3,)=0,0,(VLOOKUP($D468,$C$5:$AT$528,26,)/VLOOKUP($D468,$C$5:$AT$528,3,))*$E468)</f>
        <v>0</v>
      </c>
      <c r="AC468" s="163">
        <f>IF(VLOOKUP($D468,$C$5:$AT$528,3,)=0,0,(VLOOKUP($D468,$C$5:$AT$528,27,)/VLOOKUP($D468,$C$5:$AT$528,3,))*$E468)</f>
        <v>0</v>
      </c>
      <c r="AD468" s="163">
        <f>IF(VLOOKUP($D468,$C$5:$AT$528,3,)=0,0,(VLOOKUP($D468,$C$5:$AT$528,28,)/VLOOKUP($D468,$C$5:$AT$528,3,))*$E468)</f>
        <v>0</v>
      </c>
      <c r="AE468" s="163">
        <f>IF(VLOOKUP($D468,$C$5:$AT$528,3,)=0,0,(VLOOKUP($D468,$C$5:$AT$528,29,)/VLOOKUP($D468,$C$5:$AT$528,3,))*$E468)</f>
        <v>0</v>
      </c>
      <c r="AF468" s="163">
        <f>IF(VLOOKUP($D468,$C$5:$AT$528,3,)=0,0,(VLOOKUP($D468,$C$5:$AT$528,30,)/VLOOKUP($D468,$C$5:$AT$528,3,))*$E468)</f>
        <v>0</v>
      </c>
      <c r="AG468" s="163">
        <f>SUM(F468:AF468)</f>
        <v>1.0000000000000002</v>
      </c>
      <c r="AH468" s="103" t="str">
        <f t="shared" si="177"/>
        <v>ok</v>
      </c>
    </row>
    <row r="470" spans="1:34" x14ac:dyDescent="0.25">
      <c r="A470" s="102" t="s">
        <v>600</v>
      </c>
      <c r="C470" s="102" t="s">
        <v>625</v>
      </c>
      <c r="E470" s="110">
        <f>E463</f>
        <v>3254984.8047450925</v>
      </c>
      <c r="F470" s="121">
        <f>F463</f>
        <v>2350674.3158673267</v>
      </c>
      <c r="G470" s="110">
        <f t="shared" ref="G470:P470" si="179">G463</f>
        <v>6952.5217436138137</v>
      </c>
      <c r="H470" s="110">
        <f t="shared" si="179"/>
        <v>127345.35</v>
      </c>
      <c r="I470" s="110">
        <f t="shared" si="179"/>
        <v>336121.95600000001</v>
      </c>
      <c r="J470" s="110">
        <f t="shared" si="179"/>
        <v>58027.22</v>
      </c>
      <c r="K470" s="110">
        <f t="shared" si="179"/>
        <v>2525.0265873015869</v>
      </c>
      <c r="L470" s="110">
        <f t="shared" si="179"/>
        <v>71351.013999999996</v>
      </c>
      <c r="M470" s="110">
        <f t="shared" si="179"/>
        <v>298990.28099999996</v>
      </c>
      <c r="N470" s="110">
        <f t="shared" si="179"/>
        <v>2561.3999999999996</v>
      </c>
      <c r="O470" s="110">
        <f t="shared" si="179"/>
        <v>0</v>
      </c>
      <c r="P470" s="110">
        <f t="shared" si="179"/>
        <v>435.71954685099848</v>
      </c>
      <c r="Q470" s="167">
        <v>0</v>
      </c>
      <c r="R470" s="167">
        <v>0</v>
      </c>
      <c r="S470" s="167">
        <v>0</v>
      </c>
      <c r="T470" s="167">
        <v>0</v>
      </c>
      <c r="U470" s="167">
        <v>0</v>
      </c>
      <c r="V470" s="110">
        <f t="shared" ref="V470:AF470" si="180">V463</f>
        <v>0</v>
      </c>
      <c r="W470" s="110">
        <f t="shared" si="180"/>
        <v>0</v>
      </c>
      <c r="X470" s="110">
        <f t="shared" si="180"/>
        <v>0</v>
      </c>
      <c r="Y470" s="110">
        <f t="shared" si="180"/>
        <v>0</v>
      </c>
      <c r="Z470" s="110">
        <f t="shared" si="180"/>
        <v>0</v>
      </c>
      <c r="AA470" s="110">
        <f t="shared" si="180"/>
        <v>0</v>
      </c>
      <c r="AB470" s="110">
        <f t="shared" si="180"/>
        <v>0</v>
      </c>
      <c r="AC470" s="110">
        <f t="shared" si="180"/>
        <v>0</v>
      </c>
      <c r="AD470" s="110">
        <f t="shared" si="180"/>
        <v>0</v>
      </c>
      <c r="AE470" s="110">
        <f t="shared" si="180"/>
        <v>0</v>
      </c>
      <c r="AF470" s="110">
        <f t="shared" si="180"/>
        <v>0</v>
      </c>
      <c r="AG470" s="110">
        <f>SUM(F470:AF470)</f>
        <v>3254984.8047450925</v>
      </c>
      <c r="AH470" s="103" t="str">
        <f t="shared" ref="AH470:AH475" si="181">IF(ABS(E470-AG470)&lt;0.01,"ok","err")</f>
        <v>ok</v>
      </c>
    </row>
    <row r="471" spans="1:34" x14ac:dyDescent="0.25">
      <c r="A471" s="102" t="s">
        <v>601</v>
      </c>
      <c r="E471" s="120">
        <f>E464</f>
        <v>67354032.509825826</v>
      </c>
      <c r="AG471" s="120">
        <f>E471</f>
        <v>67354032.509825826</v>
      </c>
      <c r="AH471" s="103" t="str">
        <f t="shared" si="181"/>
        <v>ok</v>
      </c>
    </row>
    <row r="472" spans="1:34" x14ac:dyDescent="0.25">
      <c r="A472" s="102" t="s">
        <v>592</v>
      </c>
      <c r="E472" s="119"/>
      <c r="M472" s="110">
        <v>0</v>
      </c>
      <c r="N472" s="110">
        <v>0</v>
      </c>
      <c r="P472" s="110"/>
      <c r="Q472" s="170"/>
      <c r="AA472" s="119">
        <v>0</v>
      </c>
      <c r="AB472" s="119">
        <v>0</v>
      </c>
      <c r="AC472" s="119">
        <v>0</v>
      </c>
      <c r="AD472" s="120">
        <f>AD465</f>
        <v>0</v>
      </c>
      <c r="AE472" s="119">
        <v>0</v>
      </c>
      <c r="AG472" s="120">
        <f>SUM(F472:AF472)</f>
        <v>0</v>
      </c>
      <c r="AH472" s="103" t="str">
        <f t="shared" si="181"/>
        <v>ok</v>
      </c>
    </row>
    <row r="473" spans="1:34" x14ac:dyDescent="0.25">
      <c r="A473" s="102" t="s">
        <v>602</v>
      </c>
      <c r="D473" s="102" t="s">
        <v>625</v>
      </c>
      <c r="E473" s="120">
        <f>E471-E472</f>
        <v>67354032.509825826</v>
      </c>
      <c r="F473" s="168">
        <f>IF(VLOOKUP($D473,$C$5:$AT$528,3,)=0,0,(VLOOKUP($D473,$C$5:$AT$528,4,)/VLOOKUP($D473,$C$5:$AT$528,3,))*$E473)</f>
        <v>48641515.640912361</v>
      </c>
      <c r="G473" s="119">
        <f>IF(VLOOKUP($D473,$C$5:$AT$528,3,)=0,0,(VLOOKUP($D473,$C$5:$AT$528,5,)/VLOOKUP($D473,$C$5:$AT$528,3,))*$E473)</f>
        <v>143865.61032849678</v>
      </c>
      <c r="H473" s="119">
        <f>IF(VLOOKUP($D473,$C$5:$AT$528,3,)=0,0,(VLOOKUP($D473,$C$5:$AT$528,6,)/VLOOKUP($D473,$C$5:$AT$528,3,))*$E473)</f>
        <v>2635103.8048998993</v>
      </c>
      <c r="I473" s="119">
        <f>IF(VLOOKUP($D473,$C$5:$AT$528,3,)=0,0,(VLOOKUP($D473,$C$5:$AT$528,7,)/VLOOKUP($D473,$C$5:$AT$528,3,))*$E473)</f>
        <v>6955230.365034895</v>
      </c>
      <c r="J473" s="119">
        <f>IF(VLOOKUP($D473,$C$5:$AT$528,3,)=0,0,(VLOOKUP($D473,$C$5:$AT$528,8,)/VLOOKUP($D473,$C$5:$AT$528,3,))*$E473)</f>
        <v>1200732.8748930646</v>
      </c>
      <c r="K473" s="119">
        <f>IF(VLOOKUP($D473,$C$5:$AT$528,3,)=0,0,(VLOOKUP($D473,$C$5:$AT$528,9,)/VLOOKUP($D473,$C$5:$AT$528,3,))*$E473)</f>
        <v>52249.313914263999</v>
      </c>
      <c r="L473" s="119">
        <f>IF(VLOOKUP($D473,$C$5:$AT$528,3,)=0,0,(VLOOKUP($D473,$C$5:$AT$528,10,)/VLOOKUP($D473,$C$5:$AT$528,3,))*$E473)</f>
        <v>1476436.5442072754</v>
      </c>
      <c r="M473" s="119">
        <f>IF(VLOOKUP($D473,$C$5:$AT$528,3,)=0,0,(VLOOKUP($D473,$C$5:$AT$528,11,)/VLOOKUP($D473,$C$5:$AT$528,3,))*$E473)</f>
        <v>6186880.2205277998</v>
      </c>
      <c r="N473" s="119">
        <f>IF(VLOOKUP($D473,$C$5:$AT$528,3,)=0,0,(VLOOKUP($D473,$C$5:$AT$528,12,)/VLOOKUP($D473,$C$5:$AT$528,3,))*$E473)</f>
        <v>53001.973655658418</v>
      </c>
      <c r="O473" s="119">
        <f>IF(VLOOKUP($D473,$C$5:$AT$528,3,)=0,0,(VLOOKUP($D473,$C$5:$AT$528,13,)/VLOOKUP($D473,$C$5:$AT$528,3,))*$E473)</f>
        <v>0</v>
      </c>
      <c r="P473" s="119">
        <f>IF(VLOOKUP($D473,$C$5:$AT$528,3,)=0,0,(VLOOKUP($D473,$C$5:$AT$528,14,)/VLOOKUP($D473,$C$5:$AT$528,3,))*$E473)</f>
        <v>9016.1614521168285</v>
      </c>
      <c r="Q473" s="119">
        <f>IF(VLOOKUP($D473,$C$5:$AT$528,3,)=0,0,(VLOOKUP($D473,$C$5:$AT$528,15,)/VLOOKUP($D473,$C$5:$AT$528,3,))*$E473)</f>
        <v>0</v>
      </c>
      <c r="R473" s="119">
        <f>IF(VLOOKUP($D473,$C$5:$AT$528,3,)=0,0,(VLOOKUP($D473,$C$5:$AT$528,16,)/VLOOKUP($D473,$C$5:$AT$528,3,))*$E473)</f>
        <v>0</v>
      </c>
      <c r="S473" s="119">
        <f>IF(VLOOKUP($D473,$C$5:$AT$528,3,)=0,0,(VLOOKUP($D473,$C$5:$AT$528,17,)/VLOOKUP($D473,$C$5:$AT$528,3,))*$E473)</f>
        <v>0</v>
      </c>
      <c r="T473" s="119">
        <f>IF(VLOOKUP($D473,$C$5:$AT$528,3,)=0,0,(VLOOKUP($D473,$C$5:$AT$528,18,)/VLOOKUP($D473,$C$5:$AT$528,3,))*$E473)</f>
        <v>0</v>
      </c>
      <c r="U473" s="119">
        <f>IF(VLOOKUP($D473,$C$5:$AT$528,3,)=0,0,(VLOOKUP($D473,$C$5:$AT$528,19,)/VLOOKUP($D473,$C$5:$AT$528,3,))*$E473)</f>
        <v>0</v>
      </c>
      <c r="V473" s="119">
        <f>IF(VLOOKUP($D473,$C$5:$AT$528,3,)=0,0,(VLOOKUP($D473,$C$5:$AT$528,20,)/VLOOKUP($D473,$C$5:$AT$528,3,))*$E473)</f>
        <v>0</v>
      </c>
      <c r="W473" s="119">
        <f>IF(VLOOKUP($D473,$C$5:$AT$528,3,)=0,0,(VLOOKUP($D473,$C$5:$AT$528,21,)/VLOOKUP($D473,$C$5:$AT$528,3,))*$E473)</f>
        <v>0</v>
      </c>
      <c r="X473" s="119">
        <f>IF(VLOOKUP($D473,$C$5:$AT$528,3,)=0,0,(VLOOKUP($D473,$C$5:$AT$528,22,)/VLOOKUP($D473,$C$5:$AT$528,3,))*$E473)</f>
        <v>0</v>
      </c>
      <c r="Y473" s="119">
        <f>IF(VLOOKUP($D473,$C$5:$AT$528,3,)=0,0,(VLOOKUP($D473,$C$5:$AT$528,23,)/VLOOKUP($D473,$C$5:$AT$528,3,))*$E473)</f>
        <v>0</v>
      </c>
      <c r="Z473" s="119">
        <f>IF(VLOOKUP($D473,$C$5:$AT$528,3,)=0,0,(VLOOKUP($D473,$C$5:$AT$528,24,)/VLOOKUP($D473,$C$5:$AT$528,3,))*$E473)</f>
        <v>0</v>
      </c>
      <c r="AA473" s="119">
        <f>IF(VLOOKUP($D473,$C$5:$AT$528,3,)=0,0,(VLOOKUP($D473,$C$5:$AT$528,25,)/VLOOKUP($D473,$C$5:$AT$528,3,))*$E473)</f>
        <v>0</v>
      </c>
      <c r="AB473" s="119">
        <f>IF(VLOOKUP($D473,$C$5:$AT$528,3,)=0,0,(VLOOKUP($D473,$C$5:$AT$528,26,)/VLOOKUP($D473,$C$5:$AT$528,3,))*$E473)</f>
        <v>0</v>
      </c>
      <c r="AC473" s="119">
        <f>IF(VLOOKUP($D473,$C$5:$AT$528,3,)=0,0,(VLOOKUP($D473,$C$5:$AT$528,27,)/VLOOKUP($D473,$C$5:$AT$528,3,))*$E473)</f>
        <v>0</v>
      </c>
      <c r="AD473" s="119">
        <f>IF(VLOOKUP($D473,$C$5:$AT$528,3,)=0,0,(VLOOKUP($D473,$C$5:$AT$528,28,)/VLOOKUP($D473,$C$5:$AT$528,3,))*$E473)</f>
        <v>0</v>
      </c>
      <c r="AE473" s="119">
        <f>IF(VLOOKUP($D473,$C$5:$AT$528,3,)=0,0,(VLOOKUP($D473,$C$5:$AT$528,29,)/VLOOKUP($D473,$C$5:$AT$528,3,))*$E473)</f>
        <v>0</v>
      </c>
      <c r="AF473" s="119">
        <f>IF(VLOOKUP($D473,$C$5:$AT$528,3,)=0,0,(VLOOKUP($D473,$C$5:$AT$528,30,)/VLOOKUP($D473,$C$5:$AT$528,3,))*$E473)</f>
        <v>0</v>
      </c>
      <c r="AG473" s="120">
        <f>SUM(F473:AF473)</f>
        <v>67354032.509825826</v>
      </c>
      <c r="AH473" s="103" t="str">
        <f t="shared" si="181"/>
        <v>ok</v>
      </c>
    </row>
    <row r="474" spans="1:34" x14ac:dyDescent="0.25">
      <c r="A474" s="102" t="s">
        <v>603</v>
      </c>
      <c r="C474" s="102" t="s">
        <v>626</v>
      </c>
      <c r="E474" s="120">
        <f t="shared" ref="E474:AF474" si="182">E472+E473</f>
        <v>67354032.509825826</v>
      </c>
      <c r="F474" s="169">
        <f t="shared" si="182"/>
        <v>48641515.640912361</v>
      </c>
      <c r="G474" s="120">
        <f t="shared" si="182"/>
        <v>143865.61032849678</v>
      </c>
      <c r="H474" s="120">
        <f t="shared" si="182"/>
        <v>2635103.8048998993</v>
      </c>
      <c r="I474" s="120">
        <f t="shared" si="182"/>
        <v>6955230.365034895</v>
      </c>
      <c r="J474" s="120">
        <f t="shared" si="182"/>
        <v>1200732.8748930646</v>
      </c>
      <c r="K474" s="120">
        <f t="shared" si="182"/>
        <v>52249.313914263999</v>
      </c>
      <c r="L474" s="120">
        <f t="shared" si="182"/>
        <v>1476436.5442072754</v>
      </c>
      <c r="M474" s="120">
        <f t="shared" si="182"/>
        <v>6186880.2205277998</v>
      </c>
      <c r="N474" s="120">
        <f t="shared" si="182"/>
        <v>53001.973655658418</v>
      </c>
      <c r="O474" s="120">
        <f t="shared" si="182"/>
        <v>0</v>
      </c>
      <c r="P474" s="120">
        <f t="shared" si="182"/>
        <v>9016.1614521168285</v>
      </c>
      <c r="Q474" s="120">
        <f t="shared" si="182"/>
        <v>0</v>
      </c>
      <c r="R474" s="120">
        <f t="shared" si="182"/>
        <v>0</v>
      </c>
      <c r="S474" s="120">
        <f t="shared" si="182"/>
        <v>0</v>
      </c>
      <c r="T474" s="120">
        <f t="shared" si="182"/>
        <v>0</v>
      </c>
      <c r="U474" s="120">
        <f t="shared" si="182"/>
        <v>0</v>
      </c>
      <c r="V474" s="120">
        <f t="shared" si="182"/>
        <v>0</v>
      </c>
      <c r="W474" s="120">
        <f t="shared" si="182"/>
        <v>0</v>
      </c>
      <c r="X474" s="120">
        <f t="shared" si="182"/>
        <v>0</v>
      </c>
      <c r="Y474" s="120">
        <f t="shared" si="182"/>
        <v>0</v>
      </c>
      <c r="Z474" s="120">
        <f t="shared" si="182"/>
        <v>0</v>
      </c>
      <c r="AA474" s="120">
        <f t="shared" si="182"/>
        <v>0</v>
      </c>
      <c r="AB474" s="120">
        <f t="shared" si="182"/>
        <v>0</v>
      </c>
      <c r="AC474" s="120">
        <f t="shared" si="182"/>
        <v>0</v>
      </c>
      <c r="AD474" s="120">
        <f t="shared" si="182"/>
        <v>0</v>
      </c>
      <c r="AE474" s="120">
        <f t="shared" si="182"/>
        <v>0</v>
      </c>
      <c r="AF474" s="120">
        <f t="shared" si="182"/>
        <v>0</v>
      </c>
      <c r="AG474" s="120">
        <f>SUM(F474:AF474)</f>
        <v>67354032.509825826</v>
      </c>
      <c r="AH474" s="103" t="str">
        <f t="shared" si="181"/>
        <v>ok</v>
      </c>
    </row>
    <row r="475" spans="1:34" x14ac:dyDescent="0.25">
      <c r="A475" s="102" t="s">
        <v>632</v>
      </c>
      <c r="C475" s="102" t="s">
        <v>627</v>
      </c>
      <c r="D475" s="102" t="s">
        <v>626</v>
      </c>
      <c r="E475" s="161">
        <v>1</v>
      </c>
      <c r="F475" s="163">
        <f>IF(VLOOKUP($D475,$C$5:$AT$528,3,)=0,0,(VLOOKUP($D475,$C$5:$AT$528,4,)/VLOOKUP($D475,$C$5:$AT$528,3,))*$E475)</f>
        <v>0.72217674025406542</v>
      </c>
      <c r="G475" s="163">
        <f>IF(VLOOKUP($D475,$C$5:$AT$528,3,)=0,0,(VLOOKUP($D475,$C$5:$AT$528,5,)/VLOOKUP($D475,$C$5:$AT$528,3,))*$E475)</f>
        <v>2.1359613517944781E-3</v>
      </c>
      <c r="H475" s="163">
        <f>IF(VLOOKUP($D475,$C$5:$AT$528,3,)=0,0,(VLOOKUP($D475,$C$5:$AT$528,6,)/VLOOKUP($D475,$C$5:$AT$528,3,))*$E475)</f>
        <v>3.912317802969676E-2</v>
      </c>
      <c r="I475" s="163">
        <f>IF(VLOOKUP($D475,$C$5:$AT$528,3,)=0,0,(VLOOKUP($D475,$C$5:$AT$528,7,)/VLOOKUP($D475,$C$5:$AT$528,3,))*$E475)</f>
        <v>0.10326375579695608</v>
      </c>
      <c r="J475" s="163">
        <f>IF(VLOOKUP($D475,$C$5:$AT$528,3,)=0,0,(VLOOKUP($D475,$C$5:$AT$528,8,)/VLOOKUP($D475,$C$5:$AT$528,3,))*$E475)</f>
        <v>1.7827186140902517E-2</v>
      </c>
      <c r="K475" s="163">
        <f>IF(VLOOKUP($D475,$C$5:$AT$528,3,)=0,0,(VLOOKUP($D475,$C$5:$AT$528,9,)/VLOOKUP($D475,$C$5:$AT$528,3,))*$E475)</f>
        <v>7.75741436218265E-4</v>
      </c>
      <c r="L475" s="163">
        <f>IF(VLOOKUP($D475,$C$5:$AT$528,3,)=0,0,(VLOOKUP($D475,$C$5:$AT$528,10,)/VLOOKUP($D475,$C$5:$AT$528,3,))*$E475)</f>
        <v>2.1920536739829022E-2</v>
      </c>
      <c r="M475" s="163">
        <f>IF(VLOOKUP($D475,$C$5:$AT$528,3,)=0,0,(VLOOKUP($D475,$C$5:$AT$528,11,)/VLOOKUP($D475,$C$5:$AT$528,3,))*$E475)</f>
        <v>9.1856121897753301E-2</v>
      </c>
      <c r="N475" s="163">
        <f>IF(VLOOKUP($D475,$C$5:$AT$528,3,)=0,0,(VLOOKUP($D475,$C$5:$AT$528,12,)/VLOOKUP($D475,$C$5:$AT$528,3,))*$E475)</f>
        <v>7.8691611594192698E-4</v>
      </c>
      <c r="O475" s="163">
        <f>IF(VLOOKUP($D475,$C$5:$AT$528,3,)=0,0,(VLOOKUP($D475,$C$5:$AT$528,13,)/VLOOKUP($D475,$C$5:$AT$528,3,))*$E475)</f>
        <v>0</v>
      </c>
      <c r="P475" s="163">
        <f>IF(VLOOKUP($D475,$C$5:$AT$528,3,)=0,0,(VLOOKUP($D475,$C$5:$AT$528,14,)/VLOOKUP($D475,$C$5:$AT$528,3,))*$E475)</f>
        <v>1.3386223684233787E-4</v>
      </c>
      <c r="Q475" s="163">
        <f>IF(VLOOKUP($D475,$C$5:$AT$528,3,)=0,0,(VLOOKUP($D475,$C$5:$AT$528,15,)/VLOOKUP($D475,$C$5:$AT$528,3,))*$E475)</f>
        <v>0</v>
      </c>
      <c r="R475" s="163">
        <f>IF(VLOOKUP($D475,$C$5:$AT$528,3,)=0,0,(VLOOKUP($D475,$C$5:$AT$528,16,)/VLOOKUP($D475,$C$5:$AT$528,3,))*$E475)</f>
        <v>0</v>
      </c>
      <c r="S475" s="163">
        <f>IF(VLOOKUP($D475,$C$5:$AT$528,3,)=0,0,(VLOOKUP($D475,$C$5:$AT$528,17,)/VLOOKUP($D475,$C$5:$AT$528,3,))*$E475)</f>
        <v>0</v>
      </c>
      <c r="T475" s="163">
        <f>IF(VLOOKUP($D475,$C$5:$AT$528,3,)=0,0,(VLOOKUP($D475,$C$5:$AT$528,18,)/VLOOKUP($D475,$C$5:$AT$528,3,))*$E475)</f>
        <v>0</v>
      </c>
      <c r="U475" s="163">
        <f>IF(VLOOKUP($D475,$C$5:$AT$528,3,)=0,0,(VLOOKUP($D475,$C$5:$AT$528,19,)/VLOOKUP($D475,$C$5:$AT$528,3,))*$E475)</f>
        <v>0</v>
      </c>
      <c r="V475" s="163">
        <f>IF(VLOOKUP($D475,$C$5:$AT$528,3,)=0,0,(VLOOKUP($D475,$C$5:$AT$528,20,)/VLOOKUP($D475,$C$5:$AT$528,3,))*$E475)</f>
        <v>0</v>
      </c>
      <c r="W475" s="163">
        <f>IF(VLOOKUP($D475,$C$5:$AT$528,3,)=0,0,(VLOOKUP($D475,$C$5:$AT$528,21,)/VLOOKUP($D475,$C$5:$AT$528,3,))*$E475)</f>
        <v>0</v>
      </c>
      <c r="X475" s="163">
        <f>IF(VLOOKUP($D475,$C$5:$AT$528,3,)=0,0,(VLOOKUP($D475,$C$5:$AT$528,22,)/VLOOKUP($D475,$C$5:$AT$528,3,))*$E475)</f>
        <v>0</v>
      </c>
      <c r="Y475" s="163">
        <f>IF(VLOOKUP($D475,$C$5:$AT$528,3,)=0,0,(VLOOKUP($D475,$C$5:$AT$528,23,)/VLOOKUP($D475,$C$5:$AT$528,3,))*$E475)</f>
        <v>0</v>
      </c>
      <c r="Z475" s="163">
        <f>IF(VLOOKUP($D475,$C$5:$AT$528,3,)=0,0,(VLOOKUP($D475,$C$5:$AT$528,24,)/VLOOKUP($D475,$C$5:$AT$528,3,))*$E475)</f>
        <v>0</v>
      </c>
      <c r="AA475" s="163">
        <f>IF(VLOOKUP($D475,$C$5:$AT$528,3,)=0,0,(VLOOKUP($D475,$C$5:$AT$528,25,)/VLOOKUP($D475,$C$5:$AT$528,3,))*$E475)</f>
        <v>0</v>
      </c>
      <c r="AB475" s="163">
        <f>IF(VLOOKUP($D475,$C$5:$AT$528,3,)=0,0,(VLOOKUP($D475,$C$5:$AT$528,26,)/VLOOKUP($D475,$C$5:$AT$528,3,))*$E475)</f>
        <v>0</v>
      </c>
      <c r="AC475" s="163">
        <f>IF(VLOOKUP($D475,$C$5:$AT$528,3,)=0,0,(VLOOKUP($D475,$C$5:$AT$528,27,)/VLOOKUP($D475,$C$5:$AT$528,3,))*$E475)</f>
        <v>0</v>
      </c>
      <c r="AD475" s="163">
        <f>IF(VLOOKUP($D475,$C$5:$AT$528,3,)=0,0,(VLOOKUP($D475,$C$5:$AT$528,28,)/VLOOKUP($D475,$C$5:$AT$528,3,))*$E475)</f>
        <v>0</v>
      </c>
      <c r="AE475" s="163">
        <f>IF(VLOOKUP($D475,$C$5:$AT$528,3,)=0,0,(VLOOKUP($D475,$C$5:$AT$528,29,)/VLOOKUP($D475,$C$5:$AT$528,3,))*$E475)</f>
        <v>0</v>
      </c>
      <c r="AF475" s="163">
        <f>IF(VLOOKUP($D475,$C$5:$AT$528,3,)=0,0,(VLOOKUP($D475,$C$5:$AT$528,30,)/VLOOKUP($D475,$C$5:$AT$528,3,))*$E475)</f>
        <v>0</v>
      </c>
      <c r="AG475" s="163">
        <f>SUM(F475:AF475)</f>
        <v>1.0000000000000002</v>
      </c>
      <c r="AH475" s="103" t="str">
        <f t="shared" si="181"/>
        <v>ok</v>
      </c>
    </row>
    <row r="477" spans="1:34" x14ac:dyDescent="0.25">
      <c r="A477" s="102" t="s">
        <v>607</v>
      </c>
      <c r="C477" s="102" t="s">
        <v>611</v>
      </c>
      <c r="E477" s="110">
        <v>934200.17120758444</v>
      </c>
      <c r="F477" s="110">
        <f t="shared" ref="F477:M477" si="183">F456</f>
        <v>758911.44568550342</v>
      </c>
      <c r="G477" s="110">
        <f t="shared" si="183"/>
        <v>2230.3113783335989</v>
      </c>
      <c r="H477" s="110">
        <f t="shared" si="183"/>
        <v>19488.525038910648</v>
      </c>
      <c r="I477" s="110">
        <f t="shared" si="183"/>
        <v>1530.5467900501576</v>
      </c>
      <c r="J477" s="110">
        <f t="shared" si="183"/>
        <v>860.94440254409039</v>
      </c>
      <c r="K477" s="110">
        <f>K456</f>
        <v>2278.5127940533084</v>
      </c>
      <c r="L477" s="110">
        <f t="shared" si="183"/>
        <v>37023.953336213519</v>
      </c>
      <c r="M477" s="110">
        <f t="shared" si="183"/>
        <v>110526.06506144394</v>
      </c>
      <c r="N477" s="110">
        <f t="shared" ref="N477:P477" si="184">N456</f>
        <v>1132.2264891619734</v>
      </c>
      <c r="O477" s="110">
        <f t="shared" si="184"/>
        <v>0</v>
      </c>
      <c r="P477" s="110">
        <f t="shared" si="184"/>
        <v>217.63926011264721</v>
      </c>
      <c r="Q477" s="167">
        <v>0</v>
      </c>
      <c r="R477" s="167">
        <v>0</v>
      </c>
      <c r="S477" s="167">
        <v>0</v>
      </c>
      <c r="T477" s="167">
        <v>0</v>
      </c>
      <c r="U477" s="167">
        <v>0</v>
      </c>
      <c r="V477" s="110">
        <f t="shared" ref="V477:AC477" si="185">V444</f>
        <v>0</v>
      </c>
      <c r="W477" s="110">
        <f t="shared" si="185"/>
        <v>0</v>
      </c>
      <c r="X477" s="110">
        <f t="shared" si="185"/>
        <v>0</v>
      </c>
      <c r="Y477" s="110">
        <f t="shared" si="185"/>
        <v>0</v>
      </c>
      <c r="Z477" s="110">
        <f t="shared" si="185"/>
        <v>0</v>
      </c>
      <c r="AA477" s="110">
        <f t="shared" si="185"/>
        <v>0</v>
      </c>
      <c r="AB477" s="110">
        <f t="shared" si="185"/>
        <v>0</v>
      </c>
      <c r="AC477" s="110">
        <f t="shared" si="185"/>
        <v>0</v>
      </c>
      <c r="AD477" s="110">
        <v>0</v>
      </c>
      <c r="AE477" s="110">
        <v>0</v>
      </c>
      <c r="AF477" s="110">
        <f>AF444</f>
        <v>0</v>
      </c>
      <c r="AG477" s="120">
        <f>SUM(F477:AF477)</f>
        <v>934200.17023632722</v>
      </c>
      <c r="AH477" s="103" t="str">
        <f t="shared" ref="AH477:AH482" si="186">IF(ABS(E477-AG477)&lt;0.01,"ok","err")</f>
        <v>ok</v>
      </c>
    </row>
    <row r="478" spans="1:34" x14ac:dyDescent="0.25">
      <c r="A478" s="102" t="s">
        <v>608</v>
      </c>
      <c r="E478" s="120">
        <f>'[1]Func &amp; Classif'!M56</f>
        <v>1411560.02</v>
      </c>
      <c r="AG478" s="120">
        <f>E478</f>
        <v>1411560.02</v>
      </c>
      <c r="AH478" s="103" t="str">
        <f t="shared" si="186"/>
        <v>ok</v>
      </c>
    </row>
    <row r="479" spans="1:34" x14ac:dyDescent="0.25">
      <c r="A479" s="102" t="s">
        <v>592</v>
      </c>
      <c r="E479" s="110"/>
      <c r="F479" s="110">
        <v>0</v>
      </c>
      <c r="G479" s="110">
        <v>0</v>
      </c>
      <c r="H479" s="110">
        <v>0</v>
      </c>
      <c r="I479" s="110">
        <v>0</v>
      </c>
      <c r="J479" s="110">
        <v>0</v>
      </c>
      <c r="K479" s="110">
        <v>0</v>
      </c>
      <c r="L479" s="110">
        <v>0</v>
      </c>
      <c r="M479" s="110">
        <v>0</v>
      </c>
      <c r="N479" s="110">
        <v>0</v>
      </c>
      <c r="O479" s="110">
        <v>0</v>
      </c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AG479" s="120">
        <f>SUM(F479:AF479)</f>
        <v>0</v>
      </c>
      <c r="AH479" s="103" t="str">
        <f t="shared" si="186"/>
        <v>ok</v>
      </c>
    </row>
    <row r="480" spans="1:34" x14ac:dyDescent="0.25">
      <c r="A480" s="102" t="s">
        <v>609</v>
      </c>
      <c r="D480" s="102" t="s">
        <v>611</v>
      </c>
      <c r="E480" s="120">
        <f>E478-E479</f>
        <v>1411560.02</v>
      </c>
      <c r="F480" s="119">
        <f>IF(VLOOKUP($D480,$C$5:$AU$528,3,)=0,0,(VLOOKUP($D480,$C$5:$AU$528,4,)/VLOOKUP($D480,$C$5:$AU$528,3,))*$E480)</f>
        <v>1146701.8402119526</v>
      </c>
      <c r="G480" s="119">
        <f>IF(VLOOKUP($D480,$C$5:$AU$528,3,)=0,0,(VLOOKUP($D480,$C$5:$AU$528,5,)/VLOOKUP($D480,$C$5:$AU$528,3,))*$E480)</f>
        <v>3369.961246889186</v>
      </c>
      <c r="H480" s="119">
        <f>IF(VLOOKUP($D480,$C$5:$AU$528,3,)=0,0,(VLOOKUP($D480,$C$5:$AU$528,6,)/VLOOKUP($D480,$C$5:$AU$528,3,))*$E480)</f>
        <v>29446.818403100588</v>
      </c>
      <c r="I480" s="119">
        <f>IF(VLOOKUP($D480,$C$5:$AU$528,3,)=0,0,(VLOOKUP($D480,$C$5:$AU$528,7,)/VLOOKUP($D480,$C$5:$AU$528,3,))*$E480)</f>
        <v>2312.6292674314554</v>
      </c>
      <c r="J480" s="119">
        <f>IF(VLOOKUP($D480,$C$5:$AU$528,3,)=0,0,(VLOOKUP($D480,$C$5:$AU$528,8,)/VLOOKUP($D480,$C$5:$AU$528,3,))*$E480)</f>
        <v>1300.8718425978361</v>
      </c>
      <c r="K480" s="119">
        <f>IF(VLOOKUP($D480,$C$5:$AU$528,3,)=0,0,(VLOOKUP($D480,$C$5:$AU$528,9,)/VLOOKUP($D480,$C$5:$AU$528,3,))*$E480)</f>
        <v>3442.7927378633221</v>
      </c>
      <c r="L480" s="119">
        <f>IF(VLOOKUP($D480,$C$5:$AU$528,3,)=0,0,(VLOOKUP($D480,$C$5:$AU$528,10,)/VLOOKUP($D480,$C$5:$AU$528,3,))*$E480)</f>
        <v>55942.541997385073</v>
      </c>
      <c r="M480" s="119">
        <f>IF(VLOOKUP($D480,$C$5:$AU$528,3,)=0,0,(VLOOKUP($D480,$C$5:$AU$528,11,)/VLOOKUP($D480,$C$5:$AU$528,3,))*$E480)</f>
        <v>167002.93943104608</v>
      </c>
      <c r="N480" s="119">
        <f>IF(VLOOKUP($D480,$C$5:$AT$528,3,)=0,0,(VLOOKUP($D480,$C$5:$AT$528,12,)/VLOOKUP($D480,$C$5:$AT$528,3,))*$E480)</f>
        <v>1710.7743018502133</v>
      </c>
      <c r="O480" s="119">
        <f>IF(VLOOKUP($D480,$C$5:$AT$528,3,)=0,0,(VLOOKUP($D480,$C$5:$AT$528,13,)/VLOOKUP($D480,$C$5:$AT$528,3,))*$E480)</f>
        <v>0</v>
      </c>
      <c r="P480" s="119">
        <f>IF(VLOOKUP($D480,$C$5:$AT$528,3,)=0,0,(VLOOKUP($D480,$C$5:$AT$528,14,)/VLOOKUP($D480,$C$5:$AT$528,3,))*$E480)</f>
        <v>328.84909233133675</v>
      </c>
      <c r="Q480" s="119">
        <f>IF(VLOOKUP($D480,$C$5:$AT$528,3,)=0,0,(VLOOKUP($D480,$C$5:$AT$528,15,)/VLOOKUP($D480,$C$5:$AT$528,3,))*$E480)</f>
        <v>0</v>
      </c>
      <c r="R480" s="119">
        <f>IF(VLOOKUP($D480,$C$5:$AT$528,3,)=0,0,(VLOOKUP($D480,$C$5:$AT$528,16,)/VLOOKUP($D480,$C$5:$AT$528,3,))*$E480)</f>
        <v>0</v>
      </c>
      <c r="S480" s="119">
        <f>IF(VLOOKUP($D480,$C$5:$AT$528,3,)=0,0,(VLOOKUP($D480,$C$5:$AT$528,17,)/VLOOKUP($D480,$C$5:$AT$528,3,))*$E480)</f>
        <v>0</v>
      </c>
      <c r="T480" s="119">
        <f>IF(VLOOKUP($D480,$C$5:$AT$528,3,)=0,0,(VLOOKUP($D480,$C$5:$AT$528,18,)/VLOOKUP($D480,$C$5:$AT$528,3,))*$E480)</f>
        <v>0</v>
      </c>
      <c r="U480" s="119">
        <f>IF(VLOOKUP($D480,$C$5:$AT$528,3,)=0,0,(VLOOKUP($D480,$C$5:$AT$528,19,)/VLOOKUP($D480,$C$5:$AT$528,3,))*$E480)</f>
        <v>0</v>
      </c>
      <c r="V480" s="119">
        <f>IF(VLOOKUP($D480,$C$5:$AT$528,3,)=0,0,(VLOOKUP($D480,$C$5:$AT$528,20,)/VLOOKUP($D480,$C$5:$AT$528,3,))*$E480)</f>
        <v>0</v>
      </c>
      <c r="W480" s="119">
        <f>IF(VLOOKUP($D480,$C$5:$AT$528,3,)=0,0,(VLOOKUP($D480,$C$5:$AT$528,21,)/VLOOKUP($D480,$C$5:$AT$528,3,))*$E480)</f>
        <v>0</v>
      </c>
      <c r="X480" s="119">
        <f>IF(VLOOKUP($D480,$C$5:$AT$528,3,)=0,0,(VLOOKUP($D480,$C$5:$AT$528,22,)/VLOOKUP($D480,$C$5:$AT$528,3,))*$E480)</f>
        <v>0</v>
      </c>
      <c r="Y480" s="119">
        <f>IF(VLOOKUP($D480,$C$5:$AT$528,3,)=0,0,(VLOOKUP($D480,$C$5:$AT$528,23,)/VLOOKUP($D480,$C$5:$AT$528,3,))*$E480)</f>
        <v>0</v>
      </c>
      <c r="Z480" s="119">
        <f>IF(VLOOKUP($D480,$C$5:$AT$528,3,)=0,0,(VLOOKUP($D480,$C$5:$AT$528,24,)/VLOOKUP($D480,$C$5:$AT$528,3,))*$E480)</f>
        <v>0</v>
      </c>
      <c r="AA480" s="119">
        <f>IF(VLOOKUP($D480,$C$5:$AT$528,3,)=0,0,(VLOOKUP($D480,$C$5:$AT$528,25,)/VLOOKUP($D480,$C$5:$AT$528,3,))*$E480)</f>
        <v>0</v>
      </c>
      <c r="AB480" s="119">
        <f>IF(VLOOKUP($D480,$C$5:$AT$528,3,)=0,0,(VLOOKUP($D480,$C$5:$AT$528,26,)/VLOOKUP($D480,$C$5:$AT$528,3,))*$E480)</f>
        <v>0</v>
      </c>
      <c r="AC480" s="119">
        <f>IF(VLOOKUP($D480,$C$5:$AT$528,3,)=0,0,(VLOOKUP($D480,$C$5:$AT$528,27,)/VLOOKUP($D480,$C$5:$AT$528,3,))*$E480)</f>
        <v>0</v>
      </c>
      <c r="AD480" s="119">
        <f>IF(VLOOKUP($D480,$C$5:$AT$528,3,)=0,0,(VLOOKUP($D480,$C$5:$AT$528,28,)/VLOOKUP($D480,$C$5:$AT$528,3,))*$E480)</f>
        <v>0</v>
      </c>
      <c r="AE480" s="119">
        <f>IF(VLOOKUP($D480,$C$5:$AT$528,3,)=0,0,(VLOOKUP($D480,$C$5:$AT$528,29,)/VLOOKUP($D480,$C$5:$AT$528,3,))*$E480)</f>
        <v>0</v>
      </c>
      <c r="AF480" s="119">
        <f>IF(VLOOKUP($D480,$C$5:$AT$528,3,)=0,0,(VLOOKUP($D480,$C$5:$AT$528,30,)/VLOOKUP($D480,$C$5:$AT$528,3,))*$E480)</f>
        <v>0</v>
      </c>
      <c r="AG480" s="120">
        <f>SUM(F480:AF480)</f>
        <v>1411560.0185324475</v>
      </c>
      <c r="AH480" s="103" t="str">
        <f t="shared" si="186"/>
        <v>ok</v>
      </c>
    </row>
    <row r="481" spans="1:34" x14ac:dyDescent="0.25">
      <c r="A481" s="102" t="s">
        <v>610</v>
      </c>
      <c r="C481" s="102" t="s">
        <v>612</v>
      </c>
      <c r="E481" s="120">
        <f t="shared" ref="E481:M481" si="187">E479+E480</f>
        <v>1411560.02</v>
      </c>
      <c r="F481" s="120">
        <f t="shared" si="187"/>
        <v>1146701.8402119526</v>
      </c>
      <c r="G481" s="120">
        <f t="shared" si="187"/>
        <v>3369.961246889186</v>
      </c>
      <c r="H481" s="120">
        <f t="shared" si="187"/>
        <v>29446.818403100588</v>
      </c>
      <c r="I481" s="120">
        <f t="shared" si="187"/>
        <v>2312.6292674314554</v>
      </c>
      <c r="J481" s="120">
        <f t="shared" si="187"/>
        <v>1300.8718425978361</v>
      </c>
      <c r="K481" s="120">
        <f t="shared" si="187"/>
        <v>3442.7927378633221</v>
      </c>
      <c r="L481" s="120">
        <f t="shared" si="187"/>
        <v>55942.541997385073</v>
      </c>
      <c r="M481" s="120">
        <f t="shared" si="187"/>
        <v>167002.93943104608</v>
      </c>
      <c r="N481" s="120">
        <f t="shared" ref="N481:AF481" si="188">N479+N480</f>
        <v>1710.7743018502133</v>
      </c>
      <c r="O481" s="120">
        <f t="shared" si="188"/>
        <v>0</v>
      </c>
      <c r="P481" s="120">
        <f t="shared" si="188"/>
        <v>328.84909233133675</v>
      </c>
      <c r="Q481" s="120">
        <f t="shared" si="188"/>
        <v>0</v>
      </c>
      <c r="R481" s="120">
        <f t="shared" si="188"/>
        <v>0</v>
      </c>
      <c r="S481" s="120">
        <f t="shared" si="188"/>
        <v>0</v>
      </c>
      <c r="T481" s="120">
        <f t="shared" si="188"/>
        <v>0</v>
      </c>
      <c r="U481" s="120">
        <f t="shared" si="188"/>
        <v>0</v>
      </c>
      <c r="V481" s="120">
        <f t="shared" si="188"/>
        <v>0</v>
      </c>
      <c r="W481" s="120">
        <f t="shared" si="188"/>
        <v>0</v>
      </c>
      <c r="X481" s="120">
        <f t="shared" si="188"/>
        <v>0</v>
      </c>
      <c r="Y481" s="120">
        <f t="shared" si="188"/>
        <v>0</v>
      </c>
      <c r="Z481" s="120">
        <f t="shared" si="188"/>
        <v>0</v>
      </c>
      <c r="AA481" s="120">
        <f t="shared" si="188"/>
        <v>0</v>
      </c>
      <c r="AB481" s="120">
        <f t="shared" si="188"/>
        <v>0</v>
      </c>
      <c r="AC481" s="120">
        <f t="shared" si="188"/>
        <v>0</v>
      </c>
      <c r="AD481" s="120">
        <f t="shared" si="188"/>
        <v>0</v>
      </c>
      <c r="AE481" s="120">
        <f t="shared" si="188"/>
        <v>0</v>
      </c>
      <c r="AF481" s="120">
        <f t="shared" si="188"/>
        <v>0</v>
      </c>
      <c r="AG481" s="120">
        <f>SUM(F481:AF481)</f>
        <v>1411560.0185324475</v>
      </c>
      <c r="AH481" s="103" t="str">
        <f t="shared" si="186"/>
        <v>ok</v>
      </c>
    </row>
    <row r="482" spans="1:34" x14ac:dyDescent="0.25">
      <c r="A482" s="102" t="s">
        <v>634</v>
      </c>
      <c r="C482" s="102" t="s">
        <v>613</v>
      </c>
      <c r="D482" s="102" t="s">
        <v>612</v>
      </c>
      <c r="E482" s="161">
        <v>1</v>
      </c>
      <c r="F482" s="163">
        <f>IF(VLOOKUP($D482,$C$5:$AU$528,3,)=0,0,(VLOOKUP($D482,$C$5:$AU$528,4,)/VLOOKUP($D482,$C$5:$AU$528,3,))*$E482)</f>
        <v>0.81236491822143886</v>
      </c>
      <c r="G482" s="163">
        <f>IF(VLOOKUP($D482,$C$5:$AU$528,3,)=0,0,(VLOOKUP($D482,$C$5:$AU$528,5,)/VLOOKUP($D482,$C$5:$AU$528,3,))*$E482)</f>
        <v>2.3874020226849341E-3</v>
      </c>
      <c r="H482" s="163">
        <f>IF(VLOOKUP($D482,$C$5:$AU$528,3,)=0,0,(VLOOKUP($D482,$C$5:$AU$528,6,)/VLOOKUP($D482,$C$5:$AU$528,3,))*$E482)</f>
        <v>2.086118761219986E-2</v>
      </c>
      <c r="I482" s="163">
        <f>IF(VLOOKUP($D482,$C$5:$AU$528,3,)=0,0,(VLOOKUP($D482,$C$5:$AU$528,7,)/VLOOKUP($D482,$C$5:$AU$528,3,))*$E482)</f>
        <v>1.6383499352946079E-3</v>
      </c>
      <c r="J482" s="163">
        <f>IF(VLOOKUP($D482,$C$5:$AU$528,3,)=0,0,(VLOOKUP($D482,$C$5:$AU$528,8,)/VLOOKUP($D482,$C$5:$AU$528,3,))*$E482)</f>
        <v>9.2158450520427471E-4</v>
      </c>
      <c r="K482" s="163">
        <f>IF(VLOOKUP($D482,$C$5:$AU$528,3,)=0,0,(VLOOKUP($D482,$C$5:$AU$528,9,)/VLOOKUP($D482,$C$5:$AU$528,3,))*$E482)</f>
        <v>2.4389984762130923E-3</v>
      </c>
      <c r="L482" s="163">
        <f>IF(VLOOKUP($D482,$C$5:$AU$528,3,)=0,0,(VLOOKUP($D482,$C$5:$AU$528,10,)/VLOOKUP($D482,$C$5:$AU$528,3,))*$E482)</f>
        <v>3.9631713285124832E-2</v>
      </c>
      <c r="M482" s="163">
        <f>IF(VLOOKUP($D482,$C$5:$AU$528,3,)=0,0,(VLOOKUP($D482,$C$5:$AU$528,11,)/VLOOKUP($D482,$C$5:$AU$528,3,))*$E482)</f>
        <v>0.11831090216840094</v>
      </c>
      <c r="N482" s="163">
        <f>IF(VLOOKUP($D482,$C$5:$AT$528,3,)=0,0,(VLOOKUP($D482,$C$5:$AT$528,12,)/VLOOKUP($D482,$C$5:$AT$528,3,))*$E482)</f>
        <v>1.2119741828974537E-3</v>
      </c>
      <c r="O482" s="163">
        <f>IF(VLOOKUP($D482,$C$5:$AT$528,3,)=0,0,(VLOOKUP($D482,$C$5:$AT$528,13,)/VLOOKUP($D482,$C$5:$AT$528,3,))*$E482)</f>
        <v>0</v>
      </c>
      <c r="P482" s="163">
        <f>IF(VLOOKUP($D482,$C$5:$AT$528,3,)=0,0,(VLOOKUP($D482,$C$5:$AT$528,14,)/VLOOKUP($D482,$C$5:$AT$528,3,))*$E482)</f>
        <v>2.3296855087418582E-4</v>
      </c>
      <c r="Q482" s="163">
        <f>IF(VLOOKUP($D482,$C$5:$AT$528,3,)=0,0,(VLOOKUP($D482,$C$5:$AT$528,15,)/VLOOKUP($D482,$C$5:$AT$528,3,))*$E482)</f>
        <v>0</v>
      </c>
      <c r="R482" s="163">
        <f>IF(VLOOKUP($D482,$C$5:$AT$528,3,)=0,0,(VLOOKUP($D482,$C$5:$AT$528,16,)/VLOOKUP($D482,$C$5:$AT$528,3,))*$E482)</f>
        <v>0</v>
      </c>
      <c r="S482" s="163">
        <f>IF(VLOOKUP($D482,$C$5:$AT$528,3,)=0,0,(VLOOKUP($D482,$C$5:$AT$528,17,)/VLOOKUP($D482,$C$5:$AT$528,3,))*$E482)</f>
        <v>0</v>
      </c>
      <c r="T482" s="163">
        <f>IF(VLOOKUP($D482,$C$5:$AT$528,3,)=0,0,(VLOOKUP($D482,$C$5:$AT$528,18,)/VLOOKUP($D482,$C$5:$AT$528,3,))*$E482)</f>
        <v>0</v>
      </c>
      <c r="U482" s="163">
        <f>IF(VLOOKUP($D482,$C$5:$AT$528,3,)=0,0,(VLOOKUP($D482,$C$5:$AT$528,19,)/VLOOKUP($D482,$C$5:$AT$528,3,))*$E482)</f>
        <v>0</v>
      </c>
      <c r="V482" s="163">
        <f>IF(VLOOKUP($D482,$C$5:$AT$528,3,)=0,0,(VLOOKUP($D482,$C$5:$AT$528,20,)/VLOOKUP($D482,$C$5:$AT$528,3,))*$E482)</f>
        <v>0</v>
      </c>
      <c r="W482" s="163">
        <f>IF(VLOOKUP($D482,$C$5:$AT$528,3,)=0,0,(VLOOKUP($D482,$C$5:$AT$528,21,)/VLOOKUP($D482,$C$5:$AT$528,3,))*$E482)</f>
        <v>0</v>
      </c>
      <c r="X482" s="163">
        <f>IF(VLOOKUP($D482,$C$5:$AT$528,3,)=0,0,(VLOOKUP($D482,$C$5:$AT$528,22,)/VLOOKUP($D482,$C$5:$AT$528,3,))*$E482)</f>
        <v>0</v>
      </c>
      <c r="Y482" s="163">
        <f>IF(VLOOKUP($D482,$C$5:$AT$528,3,)=0,0,(VLOOKUP($D482,$C$5:$AT$528,23,)/VLOOKUP($D482,$C$5:$AT$528,3,))*$E482)</f>
        <v>0</v>
      </c>
      <c r="Z482" s="163">
        <f>IF(VLOOKUP($D482,$C$5:$AT$528,3,)=0,0,(VLOOKUP($D482,$C$5:$AT$528,24,)/VLOOKUP($D482,$C$5:$AT$528,3,))*$E482)</f>
        <v>0</v>
      </c>
      <c r="AA482" s="163">
        <f>IF(VLOOKUP($D482,$C$5:$AT$528,3,)=0,0,(VLOOKUP($D482,$C$5:$AT$528,25,)/VLOOKUP($D482,$C$5:$AT$528,3,))*$E482)</f>
        <v>0</v>
      </c>
      <c r="AB482" s="163">
        <f>IF(VLOOKUP($D482,$C$5:$AT$528,3,)=0,0,(VLOOKUP($D482,$C$5:$AT$528,26,)/VLOOKUP($D482,$C$5:$AT$528,3,))*$E482)</f>
        <v>0</v>
      </c>
      <c r="AC482" s="163">
        <f>IF(VLOOKUP($D482,$C$5:$AT$528,3,)=0,0,(VLOOKUP($D482,$C$5:$AT$528,27,)/VLOOKUP($D482,$C$5:$AT$528,3,))*$E482)</f>
        <v>0</v>
      </c>
      <c r="AD482" s="163">
        <f>IF(VLOOKUP($D482,$C$5:$AT$528,3,)=0,0,(VLOOKUP($D482,$C$5:$AT$528,28,)/VLOOKUP($D482,$C$5:$AT$528,3,))*$E482)</f>
        <v>0</v>
      </c>
      <c r="AE482" s="163">
        <f>IF(VLOOKUP($D482,$C$5:$AT$528,3,)=0,0,(VLOOKUP($D482,$C$5:$AT$528,29,)/VLOOKUP($D482,$C$5:$AT$528,3,))*$E482)</f>
        <v>0</v>
      </c>
      <c r="AF482" s="163">
        <f>IF(VLOOKUP($D482,$C$5:$AT$528,3,)=0,0,(VLOOKUP($D482,$C$5:$AT$528,30,)/VLOOKUP($D482,$C$5:$AT$528,3,))*$E482)</f>
        <v>0</v>
      </c>
      <c r="AG482" s="163">
        <f>SUM(F482:AF482)</f>
        <v>0.99999999896033309</v>
      </c>
      <c r="AH482" s="103" t="str">
        <f t="shared" si="186"/>
        <v>ok</v>
      </c>
    </row>
    <row r="484" spans="1:34" x14ac:dyDescent="0.25">
      <c r="A484" s="102" t="s">
        <v>607</v>
      </c>
      <c r="C484" s="102" t="s">
        <v>628</v>
      </c>
      <c r="E484" s="119">
        <f>E477</f>
        <v>934200.17120758444</v>
      </c>
      <c r="F484" s="110">
        <f>F477</f>
        <v>758911.44568550342</v>
      </c>
      <c r="G484" s="110">
        <f t="shared" ref="G484:M484" si="189">G477</f>
        <v>2230.3113783335989</v>
      </c>
      <c r="H484" s="110">
        <f t="shared" si="189"/>
        <v>19488.525038910648</v>
      </c>
      <c r="I484" s="110">
        <f t="shared" si="189"/>
        <v>1530.5467900501576</v>
      </c>
      <c r="J484" s="110">
        <f t="shared" si="189"/>
        <v>860.94440254409039</v>
      </c>
      <c r="K484" s="110">
        <f t="shared" si="189"/>
        <v>2278.5127940533084</v>
      </c>
      <c r="L484" s="110">
        <f t="shared" si="189"/>
        <v>37023.953336213519</v>
      </c>
      <c r="M484" s="110">
        <f t="shared" si="189"/>
        <v>110526.06506144394</v>
      </c>
      <c r="N484" s="110">
        <f t="shared" ref="N484:AF484" si="190">N477</f>
        <v>1132.2264891619734</v>
      </c>
      <c r="O484" s="110">
        <f t="shared" si="190"/>
        <v>0</v>
      </c>
      <c r="P484" s="110">
        <f t="shared" si="190"/>
        <v>217.63926011264721</v>
      </c>
      <c r="Q484" s="167">
        <f t="shared" si="190"/>
        <v>0</v>
      </c>
      <c r="R484" s="167">
        <f t="shared" si="190"/>
        <v>0</v>
      </c>
      <c r="S484" s="167">
        <f t="shared" si="190"/>
        <v>0</v>
      </c>
      <c r="T484" s="167">
        <f t="shared" si="190"/>
        <v>0</v>
      </c>
      <c r="U484" s="167">
        <f t="shared" si="190"/>
        <v>0</v>
      </c>
      <c r="V484" s="110">
        <f t="shared" si="190"/>
        <v>0</v>
      </c>
      <c r="W484" s="110">
        <f t="shared" si="190"/>
        <v>0</v>
      </c>
      <c r="X484" s="110">
        <f t="shared" si="190"/>
        <v>0</v>
      </c>
      <c r="Y484" s="110">
        <f t="shared" si="190"/>
        <v>0</v>
      </c>
      <c r="Z484" s="110">
        <f t="shared" si="190"/>
        <v>0</v>
      </c>
      <c r="AA484" s="110">
        <f t="shared" si="190"/>
        <v>0</v>
      </c>
      <c r="AB484" s="110">
        <f t="shared" si="190"/>
        <v>0</v>
      </c>
      <c r="AC484" s="110">
        <f t="shared" si="190"/>
        <v>0</v>
      </c>
      <c r="AD484" s="110">
        <f t="shared" si="190"/>
        <v>0</v>
      </c>
      <c r="AE484" s="110">
        <f t="shared" si="190"/>
        <v>0</v>
      </c>
      <c r="AF484" s="110">
        <f t="shared" si="190"/>
        <v>0</v>
      </c>
      <c r="AG484" s="120">
        <f>SUM(F484:AF484)</f>
        <v>934200.17023632722</v>
      </c>
      <c r="AH484" s="103" t="str">
        <f t="shared" ref="AH484:AH489" si="191">IF(ABS(E484-AG484)&lt;0.01,"ok","err")</f>
        <v>ok</v>
      </c>
    </row>
    <row r="485" spans="1:34" x14ac:dyDescent="0.25">
      <c r="A485" s="102" t="s">
        <v>608</v>
      </c>
      <c r="E485" s="120">
        <f>E478</f>
        <v>1411560.02</v>
      </c>
      <c r="AG485" s="120">
        <f>E485</f>
        <v>1411560.02</v>
      </c>
      <c r="AH485" s="103" t="str">
        <f t="shared" si="191"/>
        <v>ok</v>
      </c>
    </row>
    <row r="486" spans="1:34" x14ac:dyDescent="0.25">
      <c r="A486" s="102" t="s">
        <v>592</v>
      </c>
      <c r="E486" s="110"/>
      <c r="M486" s="110"/>
      <c r="N486" s="110"/>
      <c r="O486" s="110"/>
      <c r="P486" s="110"/>
      <c r="AD486" s="119">
        <v>0</v>
      </c>
      <c r="AE486" s="119"/>
      <c r="AG486" s="120">
        <f>SUM(F486:AF486)</f>
        <v>0</v>
      </c>
      <c r="AH486" s="103" t="str">
        <f t="shared" si="191"/>
        <v>ok</v>
      </c>
    </row>
    <row r="487" spans="1:34" x14ac:dyDescent="0.25">
      <c r="A487" s="102" t="s">
        <v>609</v>
      </c>
      <c r="D487" s="102" t="s">
        <v>628</v>
      </c>
      <c r="E487" s="120">
        <f>E485-E486</f>
        <v>1411560.02</v>
      </c>
      <c r="F487" s="119">
        <f>IF(VLOOKUP($D487,$C$5:$AU$528,3,)=0,0,(VLOOKUP($D487,$C$5:$AU$528,4,)/VLOOKUP($D487,$C$5:$AU$528,3,))*$E487)</f>
        <v>1146701.8402119526</v>
      </c>
      <c r="G487" s="119">
        <f>IF(VLOOKUP($D487,$C$5:$AU$528,3,)=0,0,(VLOOKUP($D487,$C$5:$AU$528,5,)/VLOOKUP($D487,$C$5:$AU$528,3,))*$E487)</f>
        <v>3369.961246889186</v>
      </c>
      <c r="H487" s="119">
        <f>IF(VLOOKUP($D487,$C$5:$AU$528,3,)=0,0,(VLOOKUP($D487,$C$5:$AU$528,6,)/VLOOKUP($D487,$C$5:$AU$528,3,))*$E487)</f>
        <v>29446.818403100588</v>
      </c>
      <c r="I487" s="119">
        <f>IF(VLOOKUP($D487,$C$5:$AU$528,3,)=0,0,(VLOOKUP($D487,$C$5:$AU$528,7,)/VLOOKUP($D487,$C$5:$AU$528,3,))*$E487)</f>
        <v>2312.6292674314554</v>
      </c>
      <c r="J487" s="119">
        <f>IF(VLOOKUP($D487,$C$5:$AU$528,3,)=0,0,(VLOOKUP($D487,$C$5:$AU$528,8,)/VLOOKUP($D487,$C$5:$AU$528,3,))*$E487)</f>
        <v>1300.8718425978361</v>
      </c>
      <c r="K487" s="119">
        <f>IF(VLOOKUP($D487,$C$5:$AU$528,3,)=0,0,(VLOOKUP($D487,$C$5:$AU$528,9,)/VLOOKUP($D487,$C$5:$AU$528,3,))*$E487)</f>
        <v>3442.7927378633221</v>
      </c>
      <c r="L487" s="119">
        <f>IF(VLOOKUP($D487,$C$5:$AU$528,3,)=0,0,(VLOOKUP($D487,$C$5:$AU$528,10,)/VLOOKUP($D487,$C$5:$AU$528,3,))*$E487)</f>
        <v>55942.541997385073</v>
      </c>
      <c r="M487" s="119">
        <f>IF(VLOOKUP($D487,$C$5:$AU$528,3,)=0,0,(VLOOKUP($D487,$C$5:$AU$528,11,)/VLOOKUP($D487,$C$5:$AU$528,3,))*$E487)</f>
        <v>167002.93943104608</v>
      </c>
      <c r="N487" s="119">
        <f>IF(VLOOKUP($D487,$C$5:$AT$528,3,)=0,0,(VLOOKUP($D487,$C$5:$AT$528,12,)/VLOOKUP($D487,$C$5:$AT$528,3,))*$E487)</f>
        <v>1710.7743018502133</v>
      </c>
      <c r="O487" s="119">
        <f>IF(VLOOKUP($D487,$C$5:$AT$528,3,)=0,0,(VLOOKUP($D487,$C$5:$AT$528,13,)/VLOOKUP($D487,$C$5:$AT$528,3,))*$E487)</f>
        <v>0</v>
      </c>
      <c r="P487" s="119">
        <f>IF(VLOOKUP($D487,$C$5:$AT$528,3,)=0,0,(VLOOKUP($D487,$C$5:$AT$528,14,)/VLOOKUP($D487,$C$5:$AT$528,3,))*$E487)</f>
        <v>328.84909233133675</v>
      </c>
      <c r="Q487" s="119">
        <f>IF(VLOOKUP($D487,$C$5:$AT$528,3,)=0,0,(VLOOKUP($D487,$C$5:$AT$528,15,)/VLOOKUP($D487,$C$5:$AT$528,3,))*$E487)</f>
        <v>0</v>
      </c>
      <c r="R487" s="119">
        <f>IF(VLOOKUP($D487,$C$5:$AT$528,3,)=0,0,(VLOOKUP($D487,$C$5:$AT$528,16,)/VLOOKUP($D487,$C$5:$AT$528,3,))*$E487)</f>
        <v>0</v>
      </c>
      <c r="S487" s="119">
        <f>IF(VLOOKUP($D487,$C$5:$AT$528,3,)=0,0,(VLOOKUP($D487,$C$5:$AT$528,17,)/VLOOKUP($D487,$C$5:$AT$528,3,))*$E487)</f>
        <v>0</v>
      </c>
      <c r="T487" s="119">
        <f>IF(VLOOKUP($D487,$C$5:$AT$528,3,)=0,0,(VLOOKUP($D487,$C$5:$AT$528,18,)/VLOOKUP($D487,$C$5:$AT$528,3,))*$E487)</f>
        <v>0</v>
      </c>
      <c r="U487" s="119">
        <f>IF(VLOOKUP($D487,$C$5:$AT$528,3,)=0,0,(VLOOKUP($D487,$C$5:$AT$528,19,)/VLOOKUP($D487,$C$5:$AT$528,3,))*$E487)</f>
        <v>0</v>
      </c>
      <c r="V487" s="119">
        <f>IF(VLOOKUP($D487,$C$5:$AT$528,3,)=0,0,(VLOOKUP($D487,$C$5:$AT$528,20,)/VLOOKUP($D487,$C$5:$AT$528,3,))*$E487)</f>
        <v>0</v>
      </c>
      <c r="W487" s="119">
        <f>IF(VLOOKUP($D487,$C$5:$AT$528,3,)=0,0,(VLOOKUP($D487,$C$5:$AT$528,21,)/VLOOKUP($D487,$C$5:$AT$528,3,))*$E487)</f>
        <v>0</v>
      </c>
      <c r="X487" s="119">
        <f>IF(VLOOKUP($D487,$C$5:$AT$528,3,)=0,0,(VLOOKUP($D487,$C$5:$AT$528,22,)/VLOOKUP($D487,$C$5:$AT$528,3,))*$E487)</f>
        <v>0</v>
      </c>
      <c r="Y487" s="119">
        <f>IF(VLOOKUP($D487,$C$5:$AT$528,3,)=0,0,(VLOOKUP($D487,$C$5:$AT$528,23,)/VLOOKUP($D487,$C$5:$AT$528,3,))*$E487)</f>
        <v>0</v>
      </c>
      <c r="Z487" s="119">
        <f>IF(VLOOKUP($D487,$C$5:$AT$528,3,)=0,0,(VLOOKUP($D487,$C$5:$AT$528,24,)/VLOOKUP($D487,$C$5:$AT$528,3,))*$E487)</f>
        <v>0</v>
      </c>
      <c r="AA487" s="119">
        <f>IF(VLOOKUP($D487,$C$5:$AT$528,3,)=0,0,(VLOOKUP($D487,$C$5:$AT$528,25,)/VLOOKUP($D487,$C$5:$AT$528,3,))*$E487)</f>
        <v>0</v>
      </c>
      <c r="AB487" s="119">
        <f>IF(VLOOKUP($D487,$C$5:$AT$528,3,)=0,0,(VLOOKUP($D487,$C$5:$AT$528,26,)/VLOOKUP($D487,$C$5:$AT$528,3,))*$E487)</f>
        <v>0</v>
      </c>
      <c r="AC487" s="119">
        <f>IF(VLOOKUP($D487,$C$5:$AT$528,3,)=0,0,(VLOOKUP($D487,$C$5:$AT$528,27,)/VLOOKUP($D487,$C$5:$AT$528,3,))*$E487)</f>
        <v>0</v>
      </c>
      <c r="AD487" s="119">
        <f>IF(VLOOKUP($D487,$C$5:$AT$528,3,)=0,0,(VLOOKUP($D487,$C$5:$AT$528,28,)/VLOOKUP($D487,$C$5:$AT$528,3,))*$E487)</f>
        <v>0</v>
      </c>
      <c r="AE487" s="119">
        <f>IF(VLOOKUP($D487,$C$5:$AT$528,3,)=0,0,(VLOOKUP($D487,$C$5:$AT$528,29,)/VLOOKUP($D487,$C$5:$AT$528,3,))*$E487)</f>
        <v>0</v>
      </c>
      <c r="AF487" s="119">
        <f>IF(VLOOKUP($D487,$C$5:$AT$528,3,)=0,0,(VLOOKUP($D487,$C$5:$AT$528,30,)/VLOOKUP($D487,$C$5:$AT$528,3,))*$E487)</f>
        <v>0</v>
      </c>
      <c r="AG487" s="120">
        <f>SUM(F487:AF487)</f>
        <v>1411560.0185324475</v>
      </c>
      <c r="AH487" s="103" t="str">
        <f t="shared" si="191"/>
        <v>ok</v>
      </c>
    </row>
    <row r="488" spans="1:34" x14ac:dyDescent="0.25">
      <c r="A488" s="102" t="s">
        <v>610</v>
      </c>
      <c r="C488" s="102" t="s">
        <v>629</v>
      </c>
      <c r="E488" s="120">
        <f t="shared" ref="E488:M488" si="192">E486+E487</f>
        <v>1411560.02</v>
      </c>
      <c r="F488" s="120">
        <f t="shared" si="192"/>
        <v>1146701.8402119526</v>
      </c>
      <c r="G488" s="120">
        <f t="shared" si="192"/>
        <v>3369.961246889186</v>
      </c>
      <c r="H488" s="120">
        <f t="shared" si="192"/>
        <v>29446.818403100588</v>
      </c>
      <c r="I488" s="120">
        <f t="shared" si="192"/>
        <v>2312.6292674314554</v>
      </c>
      <c r="J488" s="120">
        <f t="shared" si="192"/>
        <v>1300.8718425978361</v>
      </c>
      <c r="K488" s="120">
        <f t="shared" si="192"/>
        <v>3442.7927378633221</v>
      </c>
      <c r="L488" s="120">
        <f t="shared" si="192"/>
        <v>55942.541997385073</v>
      </c>
      <c r="M488" s="120">
        <f t="shared" si="192"/>
        <v>167002.93943104608</v>
      </c>
      <c r="N488" s="120">
        <f t="shared" ref="N488:AF488" si="193">N486+N487</f>
        <v>1710.7743018502133</v>
      </c>
      <c r="O488" s="120">
        <f t="shared" si="193"/>
        <v>0</v>
      </c>
      <c r="P488" s="120">
        <f t="shared" si="193"/>
        <v>328.84909233133675</v>
      </c>
      <c r="Q488" s="120">
        <f t="shared" si="193"/>
        <v>0</v>
      </c>
      <c r="R488" s="120">
        <f t="shared" si="193"/>
        <v>0</v>
      </c>
      <c r="S488" s="120">
        <f t="shared" si="193"/>
        <v>0</v>
      </c>
      <c r="T488" s="120">
        <f t="shared" si="193"/>
        <v>0</v>
      </c>
      <c r="U488" s="120">
        <f t="shared" si="193"/>
        <v>0</v>
      </c>
      <c r="V488" s="120">
        <f t="shared" si="193"/>
        <v>0</v>
      </c>
      <c r="W488" s="120">
        <f t="shared" si="193"/>
        <v>0</v>
      </c>
      <c r="X488" s="120">
        <f t="shared" si="193"/>
        <v>0</v>
      </c>
      <c r="Y488" s="120">
        <f t="shared" si="193"/>
        <v>0</v>
      </c>
      <c r="Z488" s="120">
        <f t="shared" si="193"/>
        <v>0</v>
      </c>
      <c r="AA488" s="120">
        <f t="shared" si="193"/>
        <v>0</v>
      </c>
      <c r="AB488" s="120">
        <f t="shared" si="193"/>
        <v>0</v>
      </c>
      <c r="AC488" s="120">
        <f t="shared" si="193"/>
        <v>0</v>
      </c>
      <c r="AD488" s="120">
        <f t="shared" si="193"/>
        <v>0</v>
      </c>
      <c r="AE488" s="120">
        <f t="shared" si="193"/>
        <v>0</v>
      </c>
      <c r="AF488" s="120">
        <f t="shared" si="193"/>
        <v>0</v>
      </c>
      <c r="AG488" s="120">
        <f>SUM(F488:AF488)</f>
        <v>1411560.0185324475</v>
      </c>
      <c r="AH488" s="103" t="str">
        <f t="shared" si="191"/>
        <v>ok</v>
      </c>
    </row>
    <row r="489" spans="1:34" x14ac:dyDescent="0.25">
      <c r="A489" s="102" t="s">
        <v>635</v>
      </c>
      <c r="C489" s="102" t="s">
        <v>630</v>
      </c>
      <c r="D489" s="102" t="s">
        <v>629</v>
      </c>
      <c r="E489" s="161">
        <v>1</v>
      </c>
      <c r="F489" s="163">
        <f>IF(VLOOKUP($D489,$C$5:$AU$528,3,)=0,0,(VLOOKUP($D489,$C$5:$AU$528,4,)/VLOOKUP($D489,$C$5:$AU$528,3,))*$E489)</f>
        <v>0.81236491822143886</v>
      </c>
      <c r="G489" s="163">
        <f>IF(VLOOKUP($D489,$C$5:$AU$528,3,)=0,0,(VLOOKUP($D489,$C$5:$AU$528,5,)/VLOOKUP($D489,$C$5:$AU$528,3,))*$E489)</f>
        <v>2.3874020226849341E-3</v>
      </c>
      <c r="H489" s="163">
        <f>IF(VLOOKUP($D489,$C$5:$AU$528,3,)=0,0,(VLOOKUP($D489,$C$5:$AU$528,6,)/VLOOKUP($D489,$C$5:$AU$528,3,))*$E489)</f>
        <v>2.086118761219986E-2</v>
      </c>
      <c r="I489" s="163">
        <f>IF(VLOOKUP($D489,$C$5:$AU$528,3,)=0,0,(VLOOKUP($D489,$C$5:$AU$528,7,)/VLOOKUP($D489,$C$5:$AU$528,3,))*$E489)</f>
        <v>1.6383499352946079E-3</v>
      </c>
      <c r="J489" s="163">
        <f>IF(VLOOKUP($D489,$C$5:$AU$528,3,)=0,0,(VLOOKUP($D489,$C$5:$AU$528,8,)/VLOOKUP($D489,$C$5:$AU$528,3,))*$E489)</f>
        <v>9.2158450520427471E-4</v>
      </c>
      <c r="K489" s="163">
        <f>IF(VLOOKUP($D489,$C$5:$AU$528,3,)=0,0,(VLOOKUP($D489,$C$5:$AU$528,9,)/VLOOKUP($D489,$C$5:$AU$528,3,))*$E489)</f>
        <v>2.4389984762130923E-3</v>
      </c>
      <c r="L489" s="163">
        <f>IF(VLOOKUP($D489,$C$5:$AU$528,3,)=0,0,(VLOOKUP($D489,$C$5:$AU$528,10,)/VLOOKUP($D489,$C$5:$AU$528,3,))*$E489)</f>
        <v>3.9631713285124832E-2</v>
      </c>
      <c r="M489" s="163">
        <f>IF(VLOOKUP($D489,$C$5:$AU$528,3,)=0,0,(VLOOKUP($D489,$C$5:$AU$528,11,)/VLOOKUP($D489,$C$5:$AU$528,3,))*$E489)</f>
        <v>0.11831090216840094</v>
      </c>
      <c r="N489" s="163">
        <f>IF(VLOOKUP($D489,$C$5:$AT$528,3,)=0,0,(VLOOKUP($D489,$C$5:$AT$528,12,)/VLOOKUP($D489,$C$5:$AT$528,3,))*$E489)</f>
        <v>1.2119741828974537E-3</v>
      </c>
      <c r="O489" s="163">
        <f>IF(VLOOKUP($D489,$C$5:$AT$528,3,)=0,0,(VLOOKUP($D489,$C$5:$AT$528,13,)/VLOOKUP($D489,$C$5:$AT$528,3,))*$E489)</f>
        <v>0</v>
      </c>
      <c r="P489" s="163">
        <f>IF(VLOOKUP($D489,$C$5:$AT$528,3,)=0,0,(VLOOKUP($D489,$C$5:$AT$528,14,)/VLOOKUP($D489,$C$5:$AT$528,3,))*$E489)</f>
        <v>2.3296855087418582E-4</v>
      </c>
      <c r="Q489" s="163">
        <f>IF(VLOOKUP($D489,$C$5:$AT$528,3,)=0,0,(VLOOKUP($D489,$C$5:$AT$528,15,)/VLOOKUP($D489,$C$5:$AT$528,3,))*$E489)</f>
        <v>0</v>
      </c>
      <c r="R489" s="163">
        <f>IF(VLOOKUP($D489,$C$5:$AT$528,3,)=0,0,(VLOOKUP($D489,$C$5:$AT$528,16,)/VLOOKUP($D489,$C$5:$AT$528,3,))*$E489)</f>
        <v>0</v>
      </c>
      <c r="S489" s="163">
        <f>IF(VLOOKUP($D489,$C$5:$AT$528,3,)=0,0,(VLOOKUP($D489,$C$5:$AT$528,17,)/VLOOKUP($D489,$C$5:$AT$528,3,))*$E489)</f>
        <v>0</v>
      </c>
      <c r="T489" s="163">
        <f>IF(VLOOKUP($D489,$C$5:$AT$528,3,)=0,0,(VLOOKUP($D489,$C$5:$AT$528,18,)/VLOOKUP($D489,$C$5:$AT$528,3,))*$E489)</f>
        <v>0</v>
      </c>
      <c r="U489" s="163">
        <f>IF(VLOOKUP($D489,$C$5:$AT$528,3,)=0,0,(VLOOKUP($D489,$C$5:$AT$528,19,)/VLOOKUP($D489,$C$5:$AT$528,3,))*$E489)</f>
        <v>0</v>
      </c>
      <c r="V489" s="163">
        <f>IF(VLOOKUP($D489,$C$5:$AT$528,3,)=0,0,(VLOOKUP($D489,$C$5:$AT$528,20,)/VLOOKUP($D489,$C$5:$AT$528,3,))*$E489)</f>
        <v>0</v>
      </c>
      <c r="W489" s="163">
        <f>IF(VLOOKUP($D489,$C$5:$AT$528,3,)=0,0,(VLOOKUP($D489,$C$5:$AT$528,21,)/VLOOKUP($D489,$C$5:$AT$528,3,))*$E489)</f>
        <v>0</v>
      </c>
      <c r="X489" s="163">
        <f>IF(VLOOKUP($D489,$C$5:$AT$528,3,)=0,0,(VLOOKUP($D489,$C$5:$AT$528,22,)/VLOOKUP($D489,$C$5:$AT$528,3,))*$E489)</f>
        <v>0</v>
      </c>
      <c r="Y489" s="163">
        <f>IF(VLOOKUP($D489,$C$5:$AT$528,3,)=0,0,(VLOOKUP($D489,$C$5:$AT$528,23,)/VLOOKUP($D489,$C$5:$AT$528,3,))*$E489)</f>
        <v>0</v>
      </c>
      <c r="Z489" s="163">
        <f>IF(VLOOKUP($D489,$C$5:$AT$528,3,)=0,0,(VLOOKUP($D489,$C$5:$AT$528,24,)/VLOOKUP($D489,$C$5:$AT$528,3,))*$E489)</f>
        <v>0</v>
      </c>
      <c r="AA489" s="163">
        <f>IF(VLOOKUP($D489,$C$5:$AT$528,3,)=0,0,(VLOOKUP($D489,$C$5:$AT$528,25,)/VLOOKUP($D489,$C$5:$AT$528,3,))*$E489)</f>
        <v>0</v>
      </c>
      <c r="AB489" s="163">
        <f>IF(VLOOKUP($D489,$C$5:$AT$528,3,)=0,0,(VLOOKUP($D489,$C$5:$AT$528,26,)/VLOOKUP($D489,$C$5:$AT$528,3,))*$E489)</f>
        <v>0</v>
      </c>
      <c r="AC489" s="163">
        <f>IF(VLOOKUP($D489,$C$5:$AT$528,3,)=0,0,(VLOOKUP($D489,$C$5:$AT$528,27,)/VLOOKUP($D489,$C$5:$AT$528,3,))*$E489)</f>
        <v>0</v>
      </c>
      <c r="AD489" s="163">
        <f>IF(VLOOKUP($D489,$C$5:$AT$528,3,)=0,0,(VLOOKUP($D489,$C$5:$AT$528,28,)/VLOOKUP($D489,$C$5:$AT$528,3,))*$E489)</f>
        <v>0</v>
      </c>
      <c r="AE489" s="163">
        <f>IF(VLOOKUP($D489,$C$5:$AT$528,3,)=0,0,(VLOOKUP($D489,$C$5:$AT$528,29,)/VLOOKUP($D489,$C$5:$AT$528,3,))*$E489)</f>
        <v>0</v>
      </c>
      <c r="AF489" s="163">
        <f>IF(VLOOKUP($D489,$C$5:$AT$528,3,)=0,0,(VLOOKUP($D489,$C$5:$AT$528,30,)/VLOOKUP($D489,$C$5:$AT$528,3,))*$E489)</f>
        <v>0</v>
      </c>
      <c r="AG489" s="163">
        <f>SUM(F489:AF489)</f>
        <v>0.99999999896033309</v>
      </c>
      <c r="AH489" s="103" t="str">
        <f t="shared" si="191"/>
        <v>ok</v>
      </c>
    </row>
    <row r="491" spans="1:34" x14ac:dyDescent="0.25">
      <c r="A491" s="131" t="s">
        <v>894</v>
      </c>
    </row>
    <row r="493" spans="1:34" x14ac:dyDescent="0.25">
      <c r="A493" s="102" t="s">
        <v>619</v>
      </c>
      <c r="C493" s="102" t="s">
        <v>620</v>
      </c>
      <c r="E493" s="110">
        <f>E463</f>
        <v>3254984.8047450925</v>
      </c>
      <c r="F493" s="110">
        <f t="shared" ref="F493:AF493" si="194">F463</f>
        <v>2350674.3158673267</v>
      </c>
      <c r="G493" s="110">
        <f t="shared" si="194"/>
        <v>6952.5217436138137</v>
      </c>
      <c r="H493" s="110">
        <f t="shared" si="194"/>
        <v>127345.35</v>
      </c>
      <c r="I493" s="110">
        <f t="shared" si="194"/>
        <v>336121.95600000001</v>
      </c>
      <c r="J493" s="110">
        <f t="shared" si="194"/>
        <v>58027.22</v>
      </c>
      <c r="K493" s="110">
        <f t="shared" si="194"/>
        <v>2525.0265873015869</v>
      </c>
      <c r="L493" s="110">
        <f t="shared" si="194"/>
        <v>71351.013999999996</v>
      </c>
      <c r="M493" s="110">
        <f t="shared" si="194"/>
        <v>298990.28099999996</v>
      </c>
      <c r="N493" s="110">
        <f t="shared" si="194"/>
        <v>2561.3999999999996</v>
      </c>
      <c r="O493" s="110">
        <f t="shared" si="194"/>
        <v>0</v>
      </c>
      <c r="P493" s="110">
        <f t="shared" si="194"/>
        <v>435.71954685099848</v>
      </c>
      <c r="Q493" s="110">
        <f t="shared" si="194"/>
        <v>0</v>
      </c>
      <c r="R493" s="110">
        <f t="shared" si="194"/>
        <v>0</v>
      </c>
      <c r="S493" s="110">
        <f t="shared" si="194"/>
        <v>0</v>
      </c>
      <c r="T493" s="110">
        <f t="shared" si="194"/>
        <v>0</v>
      </c>
      <c r="U493" s="110">
        <f t="shared" si="194"/>
        <v>0</v>
      </c>
      <c r="V493" s="110">
        <f t="shared" si="194"/>
        <v>0</v>
      </c>
      <c r="W493" s="110">
        <f t="shared" si="194"/>
        <v>0</v>
      </c>
      <c r="X493" s="110">
        <f t="shared" si="194"/>
        <v>0</v>
      </c>
      <c r="Y493" s="110">
        <f t="shared" si="194"/>
        <v>0</v>
      </c>
      <c r="Z493" s="110">
        <f t="shared" si="194"/>
        <v>0</v>
      </c>
      <c r="AA493" s="110">
        <f t="shared" si="194"/>
        <v>0</v>
      </c>
      <c r="AB493" s="110">
        <f t="shared" si="194"/>
        <v>0</v>
      </c>
      <c r="AC493" s="110">
        <f t="shared" si="194"/>
        <v>0</v>
      </c>
      <c r="AD493" s="110">
        <f t="shared" si="194"/>
        <v>0</v>
      </c>
      <c r="AE493" s="110">
        <f t="shared" si="194"/>
        <v>0</v>
      </c>
      <c r="AF493" s="110">
        <f t="shared" si="194"/>
        <v>0</v>
      </c>
      <c r="AG493" s="120">
        <f>SUM(F493:AF493)</f>
        <v>3254984.8047450925</v>
      </c>
      <c r="AH493" s="103" t="str">
        <f>IF(ABS(E493-AG493)&lt;0.01,"ok","err")</f>
        <v>ok</v>
      </c>
    </row>
    <row r="494" spans="1:34" x14ac:dyDescent="0.25">
      <c r="A494" s="102" t="s">
        <v>618</v>
      </c>
      <c r="C494" s="102" t="s">
        <v>617</v>
      </c>
      <c r="D494" s="102" t="s">
        <v>620</v>
      </c>
      <c r="E494" s="161">
        <v>1</v>
      </c>
      <c r="F494" s="163">
        <f>IF(VLOOKUP($D494,$C$5:$AT$528,3,)=0,0,(VLOOKUP($D494,$C$5:$AT$528,4,)/VLOOKUP($D494,$C$5:$AT$528,3,))*$E494)</f>
        <v>0.72217674025406542</v>
      </c>
      <c r="G494" s="163">
        <f>IF(VLOOKUP($D494,$C$5:$AT$528,3,)=0,0,(VLOOKUP($D494,$C$5:$AT$528,5,)/VLOOKUP($D494,$C$5:$AT$528,3,))*$E494)</f>
        <v>2.1359613517944781E-3</v>
      </c>
      <c r="H494" s="163">
        <f>IF(VLOOKUP($D494,$C$5:$AT$528,3,)=0,0,(VLOOKUP($D494,$C$5:$AT$528,6,)/VLOOKUP($D494,$C$5:$AT$528,3,))*$E494)</f>
        <v>3.912317802969676E-2</v>
      </c>
      <c r="I494" s="163">
        <f>IF(VLOOKUP($D494,$C$5:$AT$528,3,)=0,0,(VLOOKUP($D494,$C$5:$AT$528,7,)/VLOOKUP($D494,$C$5:$AT$528,3,))*$E494)</f>
        <v>0.10326375579695608</v>
      </c>
      <c r="J494" s="163">
        <f>IF(VLOOKUP($D494,$C$5:$AT$528,3,)=0,0,(VLOOKUP($D494,$C$5:$AT$528,8,)/VLOOKUP($D494,$C$5:$AT$528,3,))*$E494)</f>
        <v>1.7827186140902517E-2</v>
      </c>
      <c r="K494" s="163">
        <f>IF(VLOOKUP($D494,$C$5:$AT$528,3,)=0,0,(VLOOKUP($D494,$C$5:$AT$528,9,)/VLOOKUP($D494,$C$5:$AT$528,3,))*$E494)</f>
        <v>7.75741436218265E-4</v>
      </c>
      <c r="L494" s="163">
        <f>IF(VLOOKUP($D494,$C$5:$AT$528,3,)=0,0,(VLOOKUP($D494,$C$5:$AT$528,10,)/VLOOKUP($D494,$C$5:$AT$528,3,))*$E494)</f>
        <v>2.1920536739829022E-2</v>
      </c>
      <c r="M494" s="163">
        <f>IF(VLOOKUP($D494,$C$5:$AT$528,3,)=0,0,(VLOOKUP($D494,$C$5:$AT$528,11,)/VLOOKUP($D494,$C$5:$AT$528,3,))*$E494)</f>
        <v>9.1856121897753301E-2</v>
      </c>
      <c r="N494" s="163">
        <f>IF(VLOOKUP($D494,$C$5:$AT$528,3,)=0,0,(VLOOKUP($D494,$C$5:$AT$528,12,)/VLOOKUP($D494,$C$5:$AT$528,3,))*$E494)</f>
        <v>7.8691611594192698E-4</v>
      </c>
      <c r="O494" s="163">
        <f>IF(VLOOKUP($D494,$C$5:$AT$528,3,)=0,0,(VLOOKUP($D494,$C$5:$AT$528,13,)/VLOOKUP($D494,$C$5:$AT$528,3,))*$E494)</f>
        <v>0</v>
      </c>
      <c r="P494" s="163">
        <f>IF(VLOOKUP($D494,$C$5:$AT$528,3,)=0,0,(VLOOKUP($D494,$C$5:$AT$528,14,)/VLOOKUP($D494,$C$5:$AT$528,3,))*$E494)</f>
        <v>1.3386223684233787E-4</v>
      </c>
      <c r="Q494" s="163">
        <f>IF(VLOOKUP($D494,$C$5:$AT$528,3,)=0,0,(VLOOKUP($D494,$C$5:$AT$528,15,)/VLOOKUP($D494,$C$5:$AT$528,3,))*$E494)</f>
        <v>0</v>
      </c>
      <c r="R494" s="163">
        <f>IF(VLOOKUP($D494,$C$5:$AT$528,3,)=0,0,(VLOOKUP($D494,$C$5:$AT$528,16,)/VLOOKUP($D494,$C$5:$AT$528,3,))*$E494)</f>
        <v>0</v>
      </c>
      <c r="S494" s="163">
        <f>IF(VLOOKUP($D494,$C$5:$AT$528,3,)=0,0,(VLOOKUP($D494,$C$5:$AT$528,17,)/VLOOKUP($D494,$C$5:$AT$528,3,))*$E494)</f>
        <v>0</v>
      </c>
      <c r="T494" s="163">
        <f>IF(VLOOKUP($D494,$C$5:$AT$528,3,)=0,0,(VLOOKUP($D494,$C$5:$AT$528,18,)/VLOOKUP($D494,$C$5:$AT$528,3,))*$E494)</f>
        <v>0</v>
      </c>
      <c r="U494" s="163">
        <f>IF(VLOOKUP($D494,$C$5:$AT$528,3,)=0,0,(VLOOKUP($D494,$C$5:$AT$528,19,)/VLOOKUP($D494,$C$5:$AT$528,3,))*$E494)</f>
        <v>0</v>
      </c>
      <c r="V494" s="163">
        <f>IF(VLOOKUP($D494,$C$5:$AT$528,3,)=0,0,(VLOOKUP($D494,$C$5:$AT$528,20,)/VLOOKUP($D494,$C$5:$AT$528,3,))*$E494)</f>
        <v>0</v>
      </c>
      <c r="W494" s="163">
        <f>IF(VLOOKUP($D494,$C$5:$AT$528,3,)=0,0,(VLOOKUP($D494,$C$5:$AT$528,21,)/VLOOKUP($D494,$C$5:$AT$528,3,))*$E494)</f>
        <v>0</v>
      </c>
      <c r="X494" s="163">
        <f>IF(VLOOKUP($D494,$C$5:$AT$528,3,)=0,0,(VLOOKUP($D494,$C$5:$AT$528,22,)/VLOOKUP($D494,$C$5:$AT$528,3,))*$E494)</f>
        <v>0</v>
      </c>
      <c r="Y494" s="163">
        <f>IF(VLOOKUP($D494,$C$5:$AT$528,3,)=0,0,(VLOOKUP($D494,$C$5:$AT$528,23,)/VLOOKUP($D494,$C$5:$AT$528,3,))*$E494)</f>
        <v>0</v>
      </c>
      <c r="Z494" s="163">
        <f>IF(VLOOKUP($D494,$C$5:$AT$528,3,)=0,0,(VLOOKUP($D494,$C$5:$AT$528,24,)/VLOOKUP($D494,$C$5:$AT$528,3,))*$E494)</f>
        <v>0</v>
      </c>
      <c r="AA494" s="163">
        <f>IF(VLOOKUP($D494,$C$5:$AT$528,3,)=0,0,(VLOOKUP($D494,$C$5:$AT$528,25,)/VLOOKUP($D494,$C$5:$AT$528,3,))*$E494)</f>
        <v>0</v>
      </c>
      <c r="AB494" s="163">
        <f>IF(VLOOKUP($D494,$C$5:$AT$528,3,)=0,0,(VLOOKUP($D494,$C$5:$AT$528,26,)/VLOOKUP($D494,$C$5:$AT$528,3,))*$E494)</f>
        <v>0</v>
      </c>
      <c r="AC494" s="163">
        <f>IF(VLOOKUP($D494,$C$5:$AT$528,3,)=0,0,(VLOOKUP($D494,$C$5:$AT$528,27,)/VLOOKUP($D494,$C$5:$AT$528,3,))*$E494)</f>
        <v>0</v>
      </c>
      <c r="AD494" s="163">
        <f>IF(VLOOKUP($D494,$C$5:$AT$528,3,)=0,0,(VLOOKUP($D494,$C$5:$AT$528,28,)/VLOOKUP($D494,$C$5:$AT$528,3,))*$E494)</f>
        <v>0</v>
      </c>
      <c r="AE494" s="163">
        <f>IF(VLOOKUP($D494,$C$5:$AT$528,3,)=0,0,(VLOOKUP($D494,$C$5:$AT$528,29,)/VLOOKUP($D494,$C$5:$AT$528,3,))*$E494)</f>
        <v>0</v>
      </c>
      <c r="AF494" s="163">
        <f>IF(VLOOKUP($D494,$C$5:$AT$528,3,)=0,0,(VLOOKUP($D494,$C$5:$AT$528,30,)/VLOOKUP($D494,$C$5:$AT$528,3,))*$E494)</f>
        <v>0</v>
      </c>
      <c r="AG494" s="163">
        <f>SUM(F494:AF494)</f>
        <v>1.0000000000000002</v>
      </c>
      <c r="AH494" s="103" t="str">
        <f>IF(ABS(E494-AG494)&lt;0.01,"ok","err")</f>
        <v>ok</v>
      </c>
    </row>
    <row r="496" spans="1:34" x14ac:dyDescent="0.25">
      <c r="A496" s="102" t="s">
        <v>649</v>
      </c>
      <c r="C496" s="102" t="s">
        <v>656</v>
      </c>
      <c r="E496" s="110">
        <v>934200.17120758444</v>
      </c>
      <c r="F496" s="110">
        <f>F443</f>
        <v>758911.44568550342</v>
      </c>
      <c r="G496" s="110">
        <f>G443</f>
        <v>2230.3113783335989</v>
      </c>
      <c r="H496" s="110">
        <f>H443</f>
        <v>19488.525038910648</v>
      </c>
      <c r="I496" s="110">
        <f>I443</f>
        <v>1530.5467900501576</v>
      </c>
      <c r="J496" s="110">
        <f t="shared" ref="J496:P496" si="195">J443</f>
        <v>860.94440254409039</v>
      </c>
      <c r="K496" s="110">
        <f t="shared" si="195"/>
        <v>2278.5127940533084</v>
      </c>
      <c r="L496" s="110">
        <f t="shared" si="195"/>
        <v>37023.953336213519</v>
      </c>
      <c r="M496" s="110">
        <f t="shared" si="195"/>
        <v>110526.06506144394</v>
      </c>
      <c r="N496" s="110">
        <f t="shared" si="195"/>
        <v>1132.2264891619734</v>
      </c>
      <c r="O496" s="110">
        <f t="shared" si="195"/>
        <v>0</v>
      </c>
      <c r="P496" s="110">
        <f t="shared" si="195"/>
        <v>217.63926011264721</v>
      </c>
      <c r="Q496" s="171">
        <v>0</v>
      </c>
      <c r="R496" s="172">
        <v>0</v>
      </c>
      <c r="S496" s="172">
        <v>0</v>
      </c>
      <c r="T496" s="173">
        <v>0</v>
      </c>
      <c r="U496" s="174">
        <v>0</v>
      </c>
      <c r="V496" s="110">
        <f t="shared" ref="V496:AF496" si="196">V443</f>
        <v>0</v>
      </c>
      <c r="W496" s="110">
        <f t="shared" si="196"/>
        <v>0</v>
      </c>
      <c r="X496" s="110">
        <f t="shared" si="196"/>
        <v>0</v>
      </c>
      <c r="Y496" s="110">
        <f t="shared" si="196"/>
        <v>0</v>
      </c>
      <c r="Z496" s="110">
        <f t="shared" si="196"/>
        <v>0</v>
      </c>
      <c r="AA496" s="110">
        <f t="shared" si="196"/>
        <v>0</v>
      </c>
      <c r="AB496" s="110">
        <f t="shared" si="196"/>
        <v>0</v>
      </c>
      <c r="AC496" s="110">
        <f t="shared" si="196"/>
        <v>0</v>
      </c>
      <c r="AD496" s="110">
        <f t="shared" si="196"/>
        <v>0</v>
      </c>
      <c r="AE496" s="110">
        <f t="shared" si="196"/>
        <v>0</v>
      </c>
      <c r="AF496" s="110">
        <f t="shared" si="196"/>
        <v>0</v>
      </c>
      <c r="AG496" s="120">
        <f>SUM(F496:AF496)</f>
        <v>934200.17023632722</v>
      </c>
      <c r="AH496" s="103" t="str">
        <f t="shared" ref="AH496:AH501" si="197">IF(ABS(E496-AG496)&lt;0.01,"ok","err")</f>
        <v>ok</v>
      </c>
    </row>
    <row r="497" spans="1:40" x14ac:dyDescent="0.25">
      <c r="A497" s="102" t="s">
        <v>650</v>
      </c>
      <c r="E497" s="120">
        <f>E123</f>
        <v>15694350.815808589</v>
      </c>
      <c r="AG497" s="120">
        <f>E497</f>
        <v>15694350.815808589</v>
      </c>
      <c r="AH497" s="103" t="str">
        <f t="shared" si="197"/>
        <v>ok</v>
      </c>
    </row>
    <row r="498" spans="1:40" x14ac:dyDescent="0.25">
      <c r="A498" s="102" t="s">
        <v>592</v>
      </c>
      <c r="E498" s="175">
        <v>6162706.2138533229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0</v>
      </c>
      <c r="Q498" s="176">
        <f>'Purchased Power'!O43+'Purchased Power'!O45+'Purchased Power'!O46+('Purchased Power'!O48*'Purchased Power'!O131)</f>
        <v>422686.03580617666</v>
      </c>
      <c r="R498" s="177">
        <f>'Purchased Power'!O9+'Purchased Power'!O11+'Purchased Power'!O12+('Purchased Power'!O14*'Purchased Power'!O131)</f>
        <v>856792.8368886204</v>
      </c>
      <c r="S498" s="177">
        <f>'Purchased Power'!O19+'Purchased Power'!O21+'Purchased Power'!O22+('Purchased Power'!O24*'Purchased Power'!O131)</f>
        <v>793231.35273418936</v>
      </c>
      <c r="T498" s="148">
        <f>'Purchased Power'!O29+'Purchased Power'!O31+'Purchased Power'!O32+('Purchased Power'!O34*'Purchased Power'!O131)</f>
        <v>3404408.2476148317</v>
      </c>
      <c r="U498" s="158">
        <f>'Purchased Power'!O100+('Purchased Power'!O105*'Purchased Power'!O131)</f>
        <v>685587.74080950511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>
        <v>0</v>
      </c>
      <c r="AB498" s="119">
        <v>0</v>
      </c>
      <c r="AC498" s="119">
        <v>0</v>
      </c>
      <c r="AD498" s="119">
        <v>0</v>
      </c>
      <c r="AE498" s="119">
        <v>0</v>
      </c>
      <c r="AF498" s="119">
        <v>0</v>
      </c>
      <c r="AG498" s="120">
        <f>SUM(F498:AF498)</f>
        <v>6162706.2138533229</v>
      </c>
      <c r="AH498" s="103" t="str">
        <f t="shared" si="197"/>
        <v>ok</v>
      </c>
    </row>
    <row r="499" spans="1:40" x14ac:dyDescent="0.25">
      <c r="A499" s="102" t="s">
        <v>651</v>
      </c>
      <c r="D499" s="102" t="s">
        <v>656</v>
      </c>
      <c r="E499" s="149">
        <f>E497-E498</f>
        <v>9531644.6019552648</v>
      </c>
      <c r="F499" s="119">
        <f>IF(VLOOKUP($D499,$C$5:$AT$528,3,)=0,0,(VLOOKUP($D499,$C$5:$AT$528,4,)/VLOOKUP($D499,$C$5:$AT$528,3,))*$E499)</f>
        <v>7743173.6875832072</v>
      </c>
      <c r="G499" s="119">
        <f>IF(VLOOKUP($D499,$C$5:$AT$528,3,)=0,0,(VLOOKUP($D499,$C$5:$AT$528,5,)/VLOOKUP($D499,$C$5:$AT$528,3,))*$E499)</f>
        <v>22755.867602221933</v>
      </c>
      <c r="H499" s="119">
        <f>IF(VLOOKUP($D499,$C$5:$AT$528,3,)=0,0,(VLOOKUP($D499,$C$5:$AT$528,6,)/VLOOKUP($D499,$C$5:$AT$528,3,))*$E499)</f>
        <v>198841.42629420085</v>
      </c>
      <c r="I499" s="119">
        <f>IF(VLOOKUP($D499,$C$5:$AT$528,3,)=0,0,(VLOOKUP($D499,$C$5:$AT$528,7,)/VLOOKUP($D499,$C$5:$AT$528,3,))*$E499)</f>
        <v>15616.169316864607</v>
      </c>
      <c r="J499" s="119">
        <f>IF(VLOOKUP($D499,$C$5:$AT$528,3,)=0,0,(VLOOKUP($D499,$C$5:$AT$528,8,)/VLOOKUP($D499,$C$5:$AT$528,3,))*$E499)</f>
        <v>8784.2159742759395</v>
      </c>
      <c r="K499" s="119">
        <f>IF(VLOOKUP($D499,$C$5:$AT$528,3,)=0,0,(VLOOKUP($D499,$C$5:$AT$528,9,)/VLOOKUP($D499,$C$5:$AT$528,3,))*$E499)</f>
        <v>23247.666659973638</v>
      </c>
      <c r="L499" s="119">
        <f>IF(VLOOKUP($D499,$C$5:$AT$528,3,)=0,0,(VLOOKUP($D499,$C$5:$AT$528,10,)/VLOOKUP($D499,$C$5:$AT$528,3,))*$E499)</f>
        <v>377755.40600039886</v>
      </c>
      <c r="M499" s="119">
        <f>IF(VLOOKUP($D499,$C$5:$AT$528,3,)=0,0,(VLOOKUP($D499,$C$5:$AT$528,11,)/VLOOKUP($D499,$C$5:$AT$528,3,))*$E499)</f>
        <v>1127697.4720058963</v>
      </c>
      <c r="N499" s="119">
        <f>IF(VLOOKUP($D499,$C$5:$AT$528,3,)=0,0,(VLOOKUP($D499,$C$5:$AT$528,12,)/VLOOKUP($D499,$C$5:$AT$528,3,))*$E499)</f>
        <v>11552.107178123657</v>
      </c>
      <c r="O499" s="119">
        <f>IF(VLOOKUP($D499,$C$5:$AT$528,3,)=0,0,(VLOOKUP($D499,$C$5:$AT$528,13,)/VLOOKUP($D499,$C$5:$AT$528,3,))*$E499)</f>
        <v>0</v>
      </c>
      <c r="P499" s="119">
        <f>IF(VLOOKUP($D499,$C$5:$AT$528,3,)=0,0,(VLOOKUP($D499,$C$5:$AT$528,14,)/VLOOKUP($D499,$C$5:$AT$528,3,))*$E499)</f>
        <v>2220.5734303652735</v>
      </c>
      <c r="Q499" s="119">
        <f>IF(VLOOKUP($D499,$C$5:$AT$528,3,)=0,0,(VLOOKUP($D499,$C$5:$AT$528,15,)/VLOOKUP($D499,$C$5:$AT$528,3,))*$E499)</f>
        <v>0</v>
      </c>
      <c r="R499" s="119">
        <f>IF(VLOOKUP($D499,$C$5:$AT$528,3,)=0,0,(VLOOKUP($D499,$C$5:$AT$528,16,)/VLOOKUP($D499,$C$5:$AT$528,3,))*$E499)</f>
        <v>0</v>
      </c>
      <c r="S499" s="119">
        <f>IF(VLOOKUP($D499,$C$5:$AT$528,3,)=0,0,(VLOOKUP($D499,$C$5:$AT$528,17,)/VLOOKUP($D499,$C$5:$AT$528,3,))*$E499)</f>
        <v>0</v>
      </c>
      <c r="T499" s="119">
        <f>IF(VLOOKUP($D499,$C$5:$AT$528,3,)=0,0,(VLOOKUP($D499,$C$5:$AT$528,18,)/VLOOKUP($D499,$C$5:$AT$528,3,))*$E499)</f>
        <v>0</v>
      </c>
      <c r="U499" s="119">
        <f>IF(VLOOKUP($D499,$C$5:$AT$528,3,)=0,0,(VLOOKUP($D499,$C$5:$AT$528,19,)/VLOOKUP($D499,$C$5:$AT$528,3,))*$E499)</f>
        <v>0</v>
      </c>
      <c r="V499" s="119">
        <f>IF(VLOOKUP($D499,$C$5:$AT$528,3,)=0,0,(VLOOKUP($D499,$C$5:$AT$528,20,)/VLOOKUP($D499,$C$5:$AT$528,3,))*$E499)</f>
        <v>0</v>
      </c>
      <c r="W499" s="119">
        <f>IF(VLOOKUP($D499,$C$5:$AT$528,3,)=0,0,(VLOOKUP($D499,$C$5:$AT$528,21,)/VLOOKUP($D499,$C$5:$AT$528,3,))*$E499)</f>
        <v>0</v>
      </c>
      <c r="X499" s="119">
        <f>IF(VLOOKUP($D499,$C$5:$AT$528,3,)=0,0,(VLOOKUP($D499,$C$5:$AT$528,22,)/VLOOKUP($D499,$C$5:$AT$528,3,))*$E499)</f>
        <v>0</v>
      </c>
      <c r="Y499" s="119">
        <f>IF(VLOOKUP($D499,$C$5:$AT$528,3,)=0,0,(VLOOKUP($D499,$C$5:$AT$528,23,)/VLOOKUP($D499,$C$5:$AT$528,3,))*$E499)</f>
        <v>0</v>
      </c>
      <c r="Z499" s="119">
        <f>IF(VLOOKUP($D499,$C$5:$AT$528,3,)=0,0,(VLOOKUP($D499,$C$5:$AT$528,24,)/VLOOKUP($D499,$C$5:$AT$528,3,))*$E499)</f>
        <v>0</v>
      </c>
      <c r="AA499" s="119">
        <f>IF(VLOOKUP($D499,$C$5:$AT$528,3,)=0,0,(VLOOKUP($D499,$C$5:$AT$528,25,)/VLOOKUP($D499,$C$5:$AT$528,3,))*$E499)</f>
        <v>0</v>
      </c>
      <c r="AB499" s="119">
        <f>IF(VLOOKUP($D499,$C$5:$AT$528,3,)=0,0,(VLOOKUP($D499,$C$5:$AT$528,26,)/VLOOKUP($D499,$C$5:$AT$528,3,))*$E499)</f>
        <v>0</v>
      </c>
      <c r="AC499" s="119">
        <f>IF(VLOOKUP($D499,$C$5:$AT$528,3,)=0,0,(VLOOKUP($D499,$C$5:$AT$528,27,)/VLOOKUP($D499,$C$5:$AT$528,3,))*$E499)</f>
        <v>0</v>
      </c>
      <c r="AD499" s="119">
        <f>IF(VLOOKUP($D499,$C$5:$AT$528,3,)=0,0,(VLOOKUP($D499,$C$5:$AT$528,28,)/VLOOKUP($D499,$C$5:$AT$528,3,))*$E499)</f>
        <v>0</v>
      </c>
      <c r="AE499" s="119">
        <f>IF(VLOOKUP($D499,$C$5:$AT$528,3,)=0,0,(VLOOKUP($D499,$C$5:$AT$528,29,)/VLOOKUP($D499,$C$5:$AT$528,3,))*$E499)</f>
        <v>0</v>
      </c>
      <c r="AF499" s="119">
        <f>IF(VLOOKUP($D499,$C$5:$AT$528,3,)=0,0,(VLOOKUP($D499,$C$5:$AT$528,30,)/VLOOKUP($D499,$C$5:$AT$528,3,))*$E499)</f>
        <v>0</v>
      </c>
      <c r="AG499" s="149">
        <f>SUM(F499:AF499)</f>
        <v>9531644.592045527</v>
      </c>
      <c r="AH499" s="103" t="str">
        <f>IF(ABS(E499-AG499)&lt;0.01,"ok","err")</f>
        <v>ok</v>
      </c>
    </row>
    <row r="500" spans="1:40" x14ac:dyDescent="0.25">
      <c r="A500" s="102" t="s">
        <v>652</v>
      </c>
      <c r="C500" s="102" t="s">
        <v>654</v>
      </c>
      <c r="E500" s="120">
        <f t="shared" ref="E500:AF500" si="198">E498+E499</f>
        <v>15694350.815808587</v>
      </c>
      <c r="F500" s="120">
        <f t="shared" si="198"/>
        <v>7743173.6875832072</v>
      </c>
      <c r="G500" s="120">
        <f t="shared" si="198"/>
        <v>22755.867602221933</v>
      </c>
      <c r="H500" s="120">
        <f t="shared" si="198"/>
        <v>198841.42629420085</v>
      </c>
      <c r="I500" s="120">
        <f t="shared" si="198"/>
        <v>15616.169316864607</v>
      </c>
      <c r="J500" s="120">
        <f t="shared" si="198"/>
        <v>8784.2159742759395</v>
      </c>
      <c r="K500" s="120">
        <f t="shared" si="198"/>
        <v>23247.666659973638</v>
      </c>
      <c r="L500" s="120">
        <f t="shared" si="198"/>
        <v>377755.40600039886</v>
      </c>
      <c r="M500" s="120">
        <f t="shared" si="198"/>
        <v>1127697.4720058963</v>
      </c>
      <c r="N500" s="120">
        <f t="shared" si="198"/>
        <v>11552.107178123657</v>
      </c>
      <c r="O500" s="120">
        <f t="shared" si="198"/>
        <v>0</v>
      </c>
      <c r="P500" s="120">
        <f t="shared" si="198"/>
        <v>2220.5734303652735</v>
      </c>
      <c r="Q500" s="120">
        <f t="shared" si="198"/>
        <v>422686.03580617666</v>
      </c>
      <c r="R500" s="120">
        <f t="shared" si="198"/>
        <v>856792.8368886204</v>
      </c>
      <c r="S500" s="120">
        <f t="shared" si="198"/>
        <v>793231.35273418936</v>
      </c>
      <c r="T500" s="120">
        <f t="shared" si="198"/>
        <v>3404408.2476148317</v>
      </c>
      <c r="U500" s="120">
        <f t="shared" si="198"/>
        <v>685587.74080950511</v>
      </c>
      <c r="V500" s="120">
        <f t="shared" si="198"/>
        <v>0</v>
      </c>
      <c r="W500" s="120">
        <f t="shared" si="198"/>
        <v>0</v>
      </c>
      <c r="X500" s="120">
        <f t="shared" si="198"/>
        <v>0</v>
      </c>
      <c r="Y500" s="120">
        <f t="shared" si="198"/>
        <v>0</v>
      </c>
      <c r="Z500" s="120">
        <f t="shared" si="198"/>
        <v>0</v>
      </c>
      <c r="AA500" s="120">
        <f t="shared" si="198"/>
        <v>0</v>
      </c>
      <c r="AB500" s="120">
        <f t="shared" si="198"/>
        <v>0</v>
      </c>
      <c r="AC500" s="120">
        <f t="shared" si="198"/>
        <v>0</v>
      </c>
      <c r="AD500" s="120">
        <f t="shared" si="198"/>
        <v>0</v>
      </c>
      <c r="AE500" s="120">
        <f t="shared" si="198"/>
        <v>0</v>
      </c>
      <c r="AF500" s="120">
        <f t="shared" si="198"/>
        <v>0</v>
      </c>
      <c r="AG500" s="149">
        <f>SUM(F500:AF500)</f>
        <v>15694350.805898851</v>
      </c>
      <c r="AH500" s="103" t="str">
        <f>IF(ABS(E500-AG500)&lt;0.01,"ok","err")</f>
        <v>ok</v>
      </c>
    </row>
    <row r="501" spans="1:40" x14ac:dyDescent="0.25">
      <c r="A501" s="102" t="s">
        <v>653</v>
      </c>
      <c r="C501" s="102" t="s">
        <v>655</v>
      </c>
      <c r="D501" s="102" t="s">
        <v>654</v>
      </c>
      <c r="E501" s="161">
        <v>1</v>
      </c>
      <c r="F501" s="163">
        <f>IF(VLOOKUP($D501,$C$5:$AT$528,3,)=0,0,(VLOOKUP($D501,$C$5:$AT$528,4,)/VLOOKUP($D501,$C$5:$AT$528,3,))*$E501)</f>
        <v>0.49337330218104164</v>
      </c>
      <c r="G501" s="163">
        <f>IF(VLOOKUP($D501,$C$5:$AT$528,3,)=0,0,(VLOOKUP($D501,$C$5:$AT$528,5,)/VLOOKUP($D501,$C$5:$AT$528,3,))*$E501)</f>
        <v>1.4499400369781738E-3</v>
      </c>
      <c r="H501" s="163">
        <f>IF(VLOOKUP($D501,$C$5:$AT$528,3,)=0,0,(VLOOKUP($D501,$C$5:$AT$528,6,)/VLOOKUP($D501,$C$5:$AT$528,3,))*$E501)</f>
        <v>1.2669617789728015E-2</v>
      </c>
      <c r="I501" s="163">
        <f>IF(VLOOKUP($D501,$C$5:$AT$528,3,)=0,0,(VLOOKUP($D501,$C$5:$AT$528,7,)/VLOOKUP($D501,$C$5:$AT$528,3,))*$E501)</f>
        <v>9.9501849424283098E-4</v>
      </c>
      <c r="J501" s="163">
        <f>IF(VLOOKUP($D501,$C$5:$AT$528,3,)=0,0,(VLOOKUP($D501,$C$5:$AT$528,8,)/VLOOKUP($D501,$C$5:$AT$528,3,))*$E501)</f>
        <v>5.5970559581399089E-4</v>
      </c>
      <c r="K501" s="163">
        <f>IF(VLOOKUP($D501,$C$5:$AT$528,3,)=0,0,(VLOOKUP($D501,$C$5:$AT$528,9,)/VLOOKUP($D501,$C$5:$AT$528,3,))*$E501)</f>
        <v>1.4812760930867403E-3</v>
      </c>
      <c r="L501" s="163">
        <f>IF(VLOOKUP($D501,$C$5:$AT$528,3,)=0,0,(VLOOKUP($D501,$C$5:$AT$528,10,)/VLOOKUP($D501,$C$5:$AT$528,3,))*$E501)</f>
        <v>2.4069514593741199E-2</v>
      </c>
      <c r="M501" s="163">
        <f>IF(VLOOKUP($D501,$C$5:$AT$528,3,)=0,0,(VLOOKUP($D501,$C$5:$AT$528,11,)/VLOOKUP($D501,$C$5:$AT$528,3,))*$E501)</f>
        <v>7.1853718910755482E-2</v>
      </c>
      <c r="N501" s="163">
        <f>IF(VLOOKUP($D501,$C$5:$AT$528,3,)=0,0,(VLOOKUP($D501,$C$5:$AT$528,12,)/VLOOKUP($D501,$C$5:$AT$528,3,))*$E501)</f>
        <v>7.3606785739028244E-4</v>
      </c>
      <c r="O501" s="163">
        <f>IF(VLOOKUP($D501,$C$5:$AT$528,3,)=0,0,(VLOOKUP($D501,$C$5:$AT$528,13,)/VLOOKUP($D501,$C$5:$AT$528,3,))*$E501)</f>
        <v>0</v>
      </c>
      <c r="P501" s="163">
        <f>IF(VLOOKUP($D501,$C$5:$AT$528,3,)=0,0,(VLOOKUP($D501,$C$5:$AT$528,14,)/VLOOKUP($D501,$C$5:$AT$528,3,))*$E501)</f>
        <v>1.4148870867143718E-4</v>
      </c>
      <c r="Q501" s="163">
        <f>IF(VLOOKUP($D501,$C$5:$AT$528,3,)=0,0,(VLOOKUP($D501,$C$5:$AT$528,15,)/VLOOKUP($D501,$C$5:$AT$528,3,))*$E501)</f>
        <v>2.6932368262114668E-2</v>
      </c>
      <c r="R501" s="163">
        <f>IF(VLOOKUP($D501,$C$5:$AT$528,3,)=0,0,(VLOOKUP($D501,$C$5:$AT$528,16,)/VLOOKUP($D501,$C$5:$AT$528,3,))*$E501)</f>
        <v>5.4592435644142165E-2</v>
      </c>
      <c r="S501" s="163">
        <f>IF(VLOOKUP($D501,$C$5:$AT$528,3,)=0,0,(VLOOKUP($D501,$C$5:$AT$528,17,)/VLOOKUP($D501,$C$5:$AT$528,3,))*$E501)</f>
        <v>5.0542476209668022E-2</v>
      </c>
      <c r="T501" s="163">
        <f>IF(VLOOKUP($D501,$C$5:$AT$528,3,)=0,0,(VLOOKUP($D501,$C$5:$AT$528,18,)/VLOOKUP($D501,$C$5:$AT$528,3,))*$E501)</f>
        <v>0.21691934171534152</v>
      </c>
      <c r="U501" s="163">
        <f>IF(VLOOKUP($D501,$C$5:$AT$528,3,)=0,0,(VLOOKUP($D501,$C$5:$AT$528,19,)/VLOOKUP($D501,$C$5:$AT$528,3,))*$E501)</f>
        <v>4.368372727586331E-2</v>
      </c>
      <c r="V501" s="163">
        <f>IF(VLOOKUP($D501,$C$5:$AT$528,3,)=0,0,(VLOOKUP($D501,$C$5:$AT$528,20,)/VLOOKUP($D501,$C$5:$AT$528,3,))*$E501)</f>
        <v>0</v>
      </c>
      <c r="W501" s="163">
        <f>IF(VLOOKUP($D501,$C$5:$AT$528,3,)=0,0,(VLOOKUP($D501,$C$5:$AT$528,21,)/VLOOKUP($D501,$C$5:$AT$528,3,))*$E501)</f>
        <v>0</v>
      </c>
      <c r="X501" s="163">
        <f>IF(VLOOKUP($D501,$C$5:$AT$528,3,)=0,0,(VLOOKUP($D501,$C$5:$AT$528,22,)/VLOOKUP($D501,$C$5:$AT$528,3,))*$E501)</f>
        <v>0</v>
      </c>
      <c r="Y501" s="163">
        <f>IF(VLOOKUP($D501,$C$5:$AT$528,3,)=0,0,(VLOOKUP($D501,$C$5:$AT$528,23,)/VLOOKUP($D501,$C$5:$AT$528,3,))*$E501)</f>
        <v>0</v>
      </c>
      <c r="Z501" s="163">
        <f>IF(VLOOKUP($D501,$C$5:$AT$528,3,)=0,0,(VLOOKUP($D501,$C$5:$AT$528,24,)/VLOOKUP($D501,$C$5:$AT$528,3,))*$E501)</f>
        <v>0</v>
      </c>
      <c r="AA501" s="163">
        <f>IF(VLOOKUP($D501,$C$5:$AT$528,3,)=0,0,(VLOOKUP($D501,$C$5:$AT$528,25,)/VLOOKUP($D501,$C$5:$AT$528,3,))*$E501)</f>
        <v>0</v>
      </c>
      <c r="AB501" s="163">
        <f>IF(VLOOKUP($D501,$C$5:$AT$528,3,)=0,0,(VLOOKUP($D501,$C$5:$AT$528,26,)/VLOOKUP($D501,$C$5:$AT$528,3,))*$E501)</f>
        <v>0</v>
      </c>
      <c r="AC501" s="163">
        <f>IF(VLOOKUP($D501,$C$5:$AT$528,3,)=0,0,(VLOOKUP($D501,$C$5:$AT$528,27,)/VLOOKUP($D501,$C$5:$AT$528,3,))*$E501)</f>
        <v>0</v>
      </c>
      <c r="AD501" s="163">
        <f>IF(VLOOKUP($D501,$C$5:$AT$528,3,)=0,0,(VLOOKUP($D501,$C$5:$AT$528,28,)/VLOOKUP($D501,$C$5:$AT$528,3,))*$E501)</f>
        <v>0</v>
      </c>
      <c r="AE501" s="163">
        <f>IF(VLOOKUP($D501,$C$5:$AT$528,3,)=0,0,(VLOOKUP($D501,$C$5:$AT$528,29,)/VLOOKUP($D501,$C$5:$AT$528,3,))*$E501)</f>
        <v>0</v>
      </c>
      <c r="AF501" s="163">
        <f>IF(VLOOKUP($D501,$C$5:$AT$528,3,)=0,0,(VLOOKUP($D501,$C$5:$AT$528,30,)/VLOOKUP($D501,$C$5:$AT$528,3,))*$E501)</f>
        <v>0</v>
      </c>
      <c r="AG501" s="163">
        <f>SUM(F501:AF501)</f>
        <v>0.99999999936857964</v>
      </c>
      <c r="AH501" s="103" t="str">
        <f t="shared" si="197"/>
        <v>ok</v>
      </c>
    </row>
    <row r="502" spans="1:40" x14ac:dyDescent="0.25">
      <c r="E502" s="161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03"/>
    </row>
    <row r="503" spans="1:40" x14ac:dyDescent="0.25">
      <c r="A503" s="102" t="s">
        <v>657</v>
      </c>
      <c r="C503" s="102" t="s">
        <v>662</v>
      </c>
      <c r="E503" s="110">
        <v>438664839</v>
      </c>
      <c r="F503" s="110">
        <f>F430</f>
        <v>308135777</v>
      </c>
      <c r="G503" s="110">
        <f>G430</f>
        <v>909510</v>
      </c>
      <c r="H503" s="110">
        <f>H430</f>
        <v>7907545</v>
      </c>
      <c r="I503" s="110">
        <f>I430</f>
        <v>796690</v>
      </c>
      <c r="J503" s="110">
        <f t="shared" ref="J503:P503" si="199">J430</f>
        <v>349323</v>
      </c>
      <c r="K503" s="110">
        <f t="shared" si="199"/>
        <v>920624</v>
      </c>
      <c r="L503" s="110">
        <f t="shared" si="199"/>
        <v>18017225</v>
      </c>
      <c r="M503" s="110">
        <f t="shared" si="199"/>
        <v>100849878</v>
      </c>
      <c r="N503" s="110">
        <f t="shared" si="199"/>
        <v>619360</v>
      </c>
      <c r="O503" s="110">
        <f t="shared" si="199"/>
        <v>0</v>
      </c>
      <c r="P503" s="110">
        <f t="shared" si="199"/>
        <v>158907</v>
      </c>
      <c r="Q503" s="171">
        <v>0</v>
      </c>
      <c r="R503" s="172">
        <v>0</v>
      </c>
      <c r="S503" s="172">
        <v>0</v>
      </c>
      <c r="T503" s="173">
        <v>0</v>
      </c>
      <c r="U503" s="174">
        <v>0</v>
      </c>
      <c r="V503" s="110">
        <f t="shared" ref="V503:Z503" si="200">V430</f>
        <v>0</v>
      </c>
      <c r="W503" s="110">
        <f t="shared" si="200"/>
        <v>0</v>
      </c>
      <c r="X503" s="110">
        <f t="shared" si="200"/>
        <v>0</v>
      </c>
      <c r="Y503" s="110">
        <f t="shared" si="200"/>
        <v>0</v>
      </c>
      <c r="Z503" s="110">
        <f t="shared" si="200"/>
        <v>0</v>
      </c>
      <c r="AA503" s="110">
        <v>0</v>
      </c>
      <c r="AB503" s="110">
        <v>0</v>
      </c>
      <c r="AC503" s="110">
        <v>0</v>
      </c>
      <c r="AD503" s="110">
        <v>0</v>
      </c>
      <c r="AE503" s="110">
        <v>0</v>
      </c>
      <c r="AF503" s="110">
        <f>AF430</f>
        <v>0</v>
      </c>
      <c r="AG503" s="120">
        <f>SUM(F503:AF503)</f>
        <v>438664839</v>
      </c>
      <c r="AH503" s="103" t="str">
        <f t="shared" ref="AH503:AH508" si="201">IF(ABS(E503-AG503)&lt;0.01,"ok","err")</f>
        <v>ok</v>
      </c>
    </row>
    <row r="504" spans="1:40" x14ac:dyDescent="0.25">
      <c r="A504" s="102" t="s">
        <v>658</v>
      </c>
      <c r="E504" s="120">
        <f>E124</f>
        <v>64933156.164191425</v>
      </c>
      <c r="AG504" s="120">
        <f>E504</f>
        <v>64933156.164191425</v>
      </c>
      <c r="AH504" s="103" t="str">
        <f t="shared" si="201"/>
        <v>ok</v>
      </c>
    </row>
    <row r="505" spans="1:40" x14ac:dyDescent="0.25">
      <c r="A505" s="102" t="s">
        <v>592</v>
      </c>
      <c r="E505" s="175">
        <v>32621662.786146678</v>
      </c>
      <c r="F505" s="110">
        <v>0</v>
      </c>
      <c r="G505" s="110">
        <v>0</v>
      </c>
      <c r="H505" s="110">
        <v>0</v>
      </c>
      <c r="I505" s="110">
        <v>0</v>
      </c>
      <c r="J505" s="110">
        <v>0</v>
      </c>
      <c r="K505" s="110">
        <v>0</v>
      </c>
      <c r="L505" s="110">
        <v>0</v>
      </c>
      <c r="M505" s="110">
        <v>0</v>
      </c>
      <c r="N505" s="110">
        <v>0</v>
      </c>
      <c r="O505" s="110">
        <v>0</v>
      </c>
      <c r="P505" s="110">
        <v>0</v>
      </c>
      <c r="Q505" s="171">
        <f>'Purchased Power'!O44+'Purchased Power'!O47+'Purchased Power'!O50+'Purchased Power'!O51+('Purchased Power'!O48*'Purchased Power'!O132)</f>
        <v>2396698.9641938233</v>
      </c>
      <c r="R505" s="172">
        <f>'Purchased Power'!O10+'Purchased Power'!O13+('Purchased Power'!O14*'Purchased Power'!O132)</f>
        <v>3710224.1631113798</v>
      </c>
      <c r="S505" s="172">
        <f>'Purchased Power'!O20+'Purchased Power'!O23+('Purchased Power'!O24*'Purchased Power'!O132)</f>
        <v>3388278.6472658105</v>
      </c>
      <c r="T505" s="173">
        <f>'Purchased Power'!O30+'Purchased Power'!O33+('Purchased Power'!O34*'Purchased Power'!O132)</f>
        <v>14125220.752385169</v>
      </c>
      <c r="U505" s="174">
        <f>'Purchased Power'!O101+'Purchased Power'!O102+'Purchased Power'!O103+'Purchased Power'!O104+('Purchased Power'!O105*'Purchased Power'!O132)</f>
        <v>9001240.2591904942</v>
      </c>
      <c r="V505" s="110">
        <v>0</v>
      </c>
      <c r="W505" s="110">
        <v>0</v>
      </c>
      <c r="X505" s="110">
        <v>0</v>
      </c>
      <c r="Y505" s="110">
        <v>0</v>
      </c>
      <c r="Z505" s="110">
        <v>0</v>
      </c>
      <c r="AA505" s="110">
        <v>0</v>
      </c>
      <c r="AB505" s="110">
        <v>0</v>
      </c>
      <c r="AC505" s="110">
        <v>0</v>
      </c>
      <c r="AD505" s="110">
        <v>0</v>
      </c>
      <c r="AE505" s="110">
        <v>0</v>
      </c>
      <c r="AF505" s="110">
        <v>0</v>
      </c>
      <c r="AG505" s="120">
        <f>SUM(F505:AF505)</f>
        <v>32621662.786146678</v>
      </c>
      <c r="AH505" s="103" t="str">
        <f t="shared" si="201"/>
        <v>ok</v>
      </c>
    </row>
    <row r="506" spans="1:40" x14ac:dyDescent="0.25">
      <c r="A506" s="102" t="s">
        <v>659</v>
      </c>
      <c r="D506" s="102" t="s">
        <v>662</v>
      </c>
      <c r="E506" s="120">
        <f>E504-E505</f>
        <v>32311493.378044747</v>
      </c>
      <c r="F506" s="119">
        <f>IF(VLOOKUP($D506,$C$5:$AT$528,3,)=0,0,(VLOOKUP($D506,$C$5:$AT$528,4,)/VLOOKUP($D506,$C$5:$AT$528,3,))*$E506)</f>
        <v>22696888.906735864</v>
      </c>
      <c r="G506" s="119">
        <f>IF(VLOOKUP($D506,$C$5:$AT$528,3,)=0,0,(VLOOKUP($D506,$C$5:$AT$528,5,)/VLOOKUP($D506,$C$5:$AT$528,3,))*$E506)</f>
        <v>66993.34829128049</v>
      </c>
      <c r="H506" s="119">
        <f>IF(VLOOKUP($D506,$C$5:$AT$528,3,)=0,0,(VLOOKUP($D506,$C$5:$AT$528,6,)/VLOOKUP($D506,$C$5:$AT$528,3,))*$E506)</f>
        <v>582459.69402642467</v>
      </c>
      <c r="I506" s="119">
        <f>IF(VLOOKUP($D506,$C$5:$AT$528,3,)=0,0,(VLOOKUP($D506,$C$5:$AT$528,7,)/VLOOKUP($D506,$C$5:$AT$528,3,))*$E506)</f>
        <v>58683.170773471698</v>
      </c>
      <c r="J506" s="119">
        <f>IF(VLOOKUP($D506,$C$5:$AT$528,3,)=0,0,(VLOOKUP($D506,$C$5:$AT$528,8,)/VLOOKUP($D506,$C$5:$AT$528,3,))*$E506)</f>
        <v>25730.687298825713</v>
      </c>
      <c r="K506" s="119">
        <f>IF(VLOOKUP($D506,$C$5:$AT$528,3,)=0,0,(VLOOKUP($D506,$C$5:$AT$528,9,)/VLOOKUP($D506,$C$5:$AT$528,3,))*$E506)</f>
        <v>67811.991377018174</v>
      </c>
      <c r="L506" s="119">
        <f>IF(VLOOKUP($D506,$C$5:$AT$528,3,)=0,0,(VLOOKUP($D506,$C$5:$AT$528,10,)/VLOOKUP($D506,$C$5:$AT$528,3,))*$E506)</f>
        <v>1327125.8476183505</v>
      </c>
      <c r="M506" s="119">
        <f>IF(VLOOKUP($D506,$C$5:$AT$528,3,)=0,0,(VLOOKUP($D506,$C$5:$AT$528,11,)/VLOOKUP($D506,$C$5:$AT$528,3,))*$E506)</f>
        <v>7428473.5758673847</v>
      </c>
      <c r="N506" s="119">
        <f>IF(VLOOKUP($D506,$C$5:$AT$528,3,)=0,0,(VLOOKUP($D506,$C$5:$AT$528,12,)/VLOOKUP($D506,$C$5:$AT$528,3,))*$E506)</f>
        <v>45621.26881253365</v>
      </c>
      <c r="O506" s="119">
        <f>IF(VLOOKUP($D506,$C$5:$AT$528,3,)=0,0,(VLOOKUP($D506,$C$5:$AT$528,13,)/VLOOKUP($D506,$C$5:$AT$528,3,))*$E506)</f>
        <v>0</v>
      </c>
      <c r="P506" s="119">
        <f>IF(VLOOKUP($D506,$C$5:$AT$528,3,)=0,0,(VLOOKUP($D506,$C$5:$AT$528,14,)/VLOOKUP($D506,$C$5:$AT$528,3,))*$E506)</f>
        <v>11704.887243595462</v>
      </c>
      <c r="Q506" s="119">
        <f>IF(VLOOKUP($D506,$C$5:$AT$528,3,)=0,0,(VLOOKUP($D506,$C$5:$AT$528,15,)/VLOOKUP($D506,$C$5:$AT$528,3,))*$E506)</f>
        <v>0</v>
      </c>
      <c r="R506" s="119">
        <f>IF(VLOOKUP($D506,$C$5:$AT$528,3,)=0,0,(VLOOKUP($D506,$C$5:$AT$528,16,)/VLOOKUP($D506,$C$5:$AT$528,3,))*$E506)</f>
        <v>0</v>
      </c>
      <c r="S506" s="119">
        <f>IF(VLOOKUP($D506,$C$5:$AT$528,3,)=0,0,(VLOOKUP($D506,$C$5:$AT$528,17,)/VLOOKUP($D506,$C$5:$AT$528,3,))*$E506)</f>
        <v>0</v>
      </c>
      <c r="T506" s="119">
        <f>IF(VLOOKUP($D506,$C$5:$AT$528,3,)=0,0,(VLOOKUP($D506,$C$5:$AT$528,18,)/VLOOKUP($D506,$C$5:$AT$528,3,))*$E506)</f>
        <v>0</v>
      </c>
      <c r="U506" s="119">
        <f>IF(VLOOKUP($D506,$C$5:$AT$528,3,)=0,0,(VLOOKUP($D506,$C$5:$AT$528,19,)/VLOOKUP($D506,$C$5:$AT$528,3,))*$E506)</f>
        <v>0</v>
      </c>
      <c r="V506" s="119">
        <f>IF(VLOOKUP($D506,$C$5:$AT$528,3,)=0,0,(VLOOKUP($D506,$C$5:$AT$528,20,)/VLOOKUP($D506,$C$5:$AT$528,3,))*$E506)</f>
        <v>0</v>
      </c>
      <c r="W506" s="119">
        <f>IF(VLOOKUP($D506,$C$5:$AT$528,3,)=0,0,(VLOOKUP($D506,$C$5:$AT$528,21,)/VLOOKUP($D506,$C$5:$AT$528,3,))*$E506)</f>
        <v>0</v>
      </c>
      <c r="X506" s="119">
        <f>IF(VLOOKUP($D506,$C$5:$AT$528,3,)=0,0,(VLOOKUP($D506,$C$5:$AT$528,22,)/VLOOKUP($D506,$C$5:$AT$528,3,))*$E506)</f>
        <v>0</v>
      </c>
      <c r="Y506" s="119">
        <f>IF(VLOOKUP($D506,$C$5:$AT$528,3,)=0,0,(VLOOKUP($D506,$C$5:$AT$528,23,)/VLOOKUP($D506,$C$5:$AT$528,3,))*$E506)</f>
        <v>0</v>
      </c>
      <c r="Z506" s="119">
        <f>IF(VLOOKUP($D506,$C$5:$AT$528,3,)=0,0,(VLOOKUP($D506,$C$5:$AT$528,24,)/VLOOKUP($D506,$C$5:$AT$528,3,))*$E506)</f>
        <v>0</v>
      </c>
      <c r="AA506" s="119">
        <f>IF(VLOOKUP($D506,$C$5:$AT$528,3,)=0,0,(VLOOKUP($D506,$C$5:$AT$528,25,)/VLOOKUP($D506,$C$5:$AT$528,3,))*$E506)</f>
        <v>0</v>
      </c>
      <c r="AB506" s="119">
        <f>IF(VLOOKUP($D506,$C$5:$AT$528,3,)=0,0,(VLOOKUP($D506,$C$5:$AT$528,26,)/VLOOKUP($D506,$C$5:$AT$528,3,))*$E506)</f>
        <v>0</v>
      </c>
      <c r="AC506" s="119">
        <f>IF(VLOOKUP($D506,$C$5:$AT$528,3,)=0,0,(VLOOKUP($D506,$C$5:$AT$528,27,)/VLOOKUP($D506,$C$5:$AT$528,3,))*$E506)</f>
        <v>0</v>
      </c>
      <c r="AD506" s="119">
        <f>IF(VLOOKUP($D506,$C$5:$AT$528,3,)=0,0,(VLOOKUP($D506,$C$5:$AT$528,28,)/VLOOKUP($D506,$C$5:$AT$528,3,))*$E506)</f>
        <v>0</v>
      </c>
      <c r="AE506" s="119">
        <f>IF(VLOOKUP($D506,$C$5:$AT$528,3,)=0,0,(VLOOKUP($D506,$C$5:$AT$528,29,)/VLOOKUP($D506,$C$5:$AT$528,3,))*$E506)</f>
        <v>0</v>
      </c>
      <c r="AF506" s="119">
        <f>IF(VLOOKUP($D506,$C$5:$AT$528,3,)=0,0,(VLOOKUP($D506,$C$5:$AT$528,30,)/VLOOKUP($D506,$C$5:$AT$528,3,))*$E506)</f>
        <v>0</v>
      </c>
      <c r="AG506" s="120">
        <f>SUM(F506:AF506)</f>
        <v>32311493.378044751</v>
      </c>
      <c r="AH506" s="103" t="str">
        <f t="shared" si="201"/>
        <v>ok</v>
      </c>
    </row>
    <row r="507" spans="1:40" x14ac:dyDescent="0.25">
      <c r="A507" s="102" t="s">
        <v>660</v>
      </c>
      <c r="C507" s="102" t="s">
        <v>663</v>
      </c>
      <c r="E507" s="120">
        <f t="shared" ref="E507:AF507" si="202">E505+E506</f>
        <v>64933156.164191425</v>
      </c>
      <c r="F507" s="120">
        <f t="shared" si="202"/>
        <v>22696888.906735864</v>
      </c>
      <c r="G507" s="120">
        <f t="shared" si="202"/>
        <v>66993.34829128049</v>
      </c>
      <c r="H507" s="120">
        <f t="shared" si="202"/>
        <v>582459.69402642467</v>
      </c>
      <c r="I507" s="120">
        <f t="shared" si="202"/>
        <v>58683.170773471698</v>
      </c>
      <c r="J507" s="120">
        <f t="shared" si="202"/>
        <v>25730.687298825713</v>
      </c>
      <c r="K507" s="120">
        <f t="shared" si="202"/>
        <v>67811.991377018174</v>
      </c>
      <c r="L507" s="120">
        <f t="shared" si="202"/>
        <v>1327125.8476183505</v>
      </c>
      <c r="M507" s="120">
        <f t="shared" si="202"/>
        <v>7428473.5758673847</v>
      </c>
      <c r="N507" s="120">
        <f t="shared" si="202"/>
        <v>45621.26881253365</v>
      </c>
      <c r="O507" s="120">
        <f t="shared" si="202"/>
        <v>0</v>
      </c>
      <c r="P507" s="120">
        <f t="shared" si="202"/>
        <v>11704.887243595462</v>
      </c>
      <c r="Q507" s="120">
        <f t="shared" si="202"/>
        <v>2396698.9641938233</v>
      </c>
      <c r="R507" s="120">
        <f t="shared" si="202"/>
        <v>3710224.1631113798</v>
      </c>
      <c r="S507" s="120">
        <f t="shared" si="202"/>
        <v>3388278.6472658105</v>
      </c>
      <c r="T507" s="120">
        <f t="shared" si="202"/>
        <v>14125220.752385169</v>
      </c>
      <c r="U507" s="120">
        <f t="shared" si="202"/>
        <v>9001240.2591904942</v>
      </c>
      <c r="V507" s="120">
        <f t="shared" si="202"/>
        <v>0</v>
      </c>
      <c r="W507" s="120">
        <f t="shared" si="202"/>
        <v>0</v>
      </c>
      <c r="X507" s="120">
        <f t="shared" si="202"/>
        <v>0</v>
      </c>
      <c r="Y507" s="120">
        <f t="shared" si="202"/>
        <v>0</v>
      </c>
      <c r="Z507" s="120">
        <f t="shared" si="202"/>
        <v>0</v>
      </c>
      <c r="AA507" s="120">
        <f t="shared" si="202"/>
        <v>0</v>
      </c>
      <c r="AB507" s="120">
        <f t="shared" si="202"/>
        <v>0</v>
      </c>
      <c r="AC507" s="120">
        <f t="shared" si="202"/>
        <v>0</v>
      </c>
      <c r="AD507" s="120">
        <f t="shared" si="202"/>
        <v>0</v>
      </c>
      <c r="AE507" s="120">
        <f t="shared" si="202"/>
        <v>0</v>
      </c>
      <c r="AF507" s="120">
        <f t="shared" si="202"/>
        <v>0</v>
      </c>
      <c r="AG507" s="120">
        <f>SUM(F507:AF507)</f>
        <v>64933156.164191432</v>
      </c>
      <c r="AH507" s="103" t="str">
        <f t="shared" si="201"/>
        <v>ok</v>
      </c>
    </row>
    <row r="508" spans="1:40" x14ac:dyDescent="0.25">
      <c r="A508" s="102" t="s">
        <v>661</v>
      </c>
      <c r="C508" s="102" t="s">
        <v>664</v>
      </c>
      <c r="D508" s="102" t="s">
        <v>663</v>
      </c>
      <c r="E508" s="161">
        <v>1</v>
      </c>
      <c r="F508" s="163">
        <f>IF(VLOOKUP($D508,$C$5:$AT$528,3,)=0,0,(VLOOKUP($D508,$C$5:$AT$528,4,)/VLOOKUP($D508,$C$5:$AT$528,3,))*$E508)</f>
        <v>0.34954236398649718</v>
      </c>
      <c r="G508" s="163">
        <f>IF(VLOOKUP($D508,$C$5:$AT$528,3,)=0,0,(VLOOKUP($D508,$C$5:$AT$528,5,)/VLOOKUP($D508,$C$5:$AT$528,3,))*$E508)</f>
        <v>1.0317278914008063E-3</v>
      </c>
      <c r="H508" s="163">
        <f>IF(VLOOKUP($D508,$C$5:$AT$528,3,)=0,0,(VLOOKUP($D508,$C$5:$AT$528,6,)/VLOOKUP($D508,$C$5:$AT$528,3,))*$E508)</f>
        <v>8.97014296600036E-3</v>
      </c>
      <c r="I508" s="163">
        <f>IF(VLOOKUP($D508,$C$5:$AT$528,3,)=0,0,(VLOOKUP($D508,$C$5:$AT$528,7,)/VLOOKUP($D508,$C$5:$AT$528,3,))*$E508)</f>
        <v>9.0374739563073335E-4</v>
      </c>
      <c r="J508" s="163">
        <f>IF(VLOOKUP($D508,$C$5:$AT$528,3,)=0,0,(VLOOKUP($D508,$C$5:$AT$528,8,)/VLOOKUP($D508,$C$5:$AT$528,3,))*$E508)</f>
        <v>3.9626423261734765E-4</v>
      </c>
      <c r="K508" s="163">
        <f>IF(VLOOKUP($D508,$C$5:$AT$528,3,)=0,0,(VLOOKUP($D508,$C$5:$AT$528,9,)/VLOOKUP($D508,$C$5:$AT$528,3,))*$E508)</f>
        <v>1.0443353655187693E-3</v>
      </c>
      <c r="L508" s="163">
        <f>IF(VLOOKUP($D508,$C$5:$AT$528,3,)=0,0,(VLOOKUP($D508,$C$5:$AT$528,10,)/VLOOKUP($D508,$C$5:$AT$528,3,))*$E508)</f>
        <v>2.0438338839753153E-2</v>
      </c>
      <c r="M508" s="163">
        <f>IF(VLOOKUP($D508,$C$5:$AT$528,3,)=0,0,(VLOOKUP($D508,$C$5:$AT$528,11,)/VLOOKUP($D508,$C$5:$AT$528,3,))*$E508)</f>
        <v>0.11440185591908672</v>
      </c>
      <c r="N508" s="163">
        <f>IF(VLOOKUP($D508,$C$5:$AT$528,3,)=0,0,(VLOOKUP($D508,$C$5:$AT$528,12,)/VLOOKUP($D508,$C$5:$AT$528,3,))*$E508)</f>
        <v>7.0258819234313348E-4</v>
      </c>
      <c r="O508" s="163">
        <f>IF(VLOOKUP($D508,$C$5:$AT$528,3,)=0,0,(VLOOKUP($D508,$C$5:$AT$528,13,)/VLOOKUP($D508,$C$5:$AT$528,3,))*$E508)</f>
        <v>0</v>
      </c>
      <c r="P508" s="163">
        <f>IF(VLOOKUP($D508,$C$5:$AT$528,3,)=0,0,(VLOOKUP($D508,$C$5:$AT$528,14,)/VLOOKUP($D508,$C$5:$AT$528,3,))*$E508)</f>
        <v>1.8026056232347959E-4</v>
      </c>
      <c r="Q508" s="163">
        <f>IF(VLOOKUP($D508,$C$5:$AT$528,3,)=0,0,(VLOOKUP($D508,$C$5:$AT$528,15,)/VLOOKUP($D508,$C$5:$AT$528,3,))*$E508)</f>
        <v>3.6910249027992371E-2</v>
      </c>
      <c r="R508" s="163">
        <f>IF(VLOOKUP($D508,$C$5:$AT$528,3,)=0,0,(VLOOKUP($D508,$C$5:$AT$528,16,)/VLOOKUP($D508,$C$5:$AT$528,3,))*$E508)</f>
        <v>5.7139131720774887E-2</v>
      </c>
      <c r="S508" s="163">
        <f>IF(VLOOKUP($D508,$C$5:$AT$528,3,)=0,0,(VLOOKUP($D508,$C$5:$AT$528,17,)/VLOOKUP($D508,$C$5:$AT$528,3,))*$E508)</f>
        <v>5.2181025032852761E-2</v>
      </c>
      <c r="T508" s="163">
        <f>IF(VLOOKUP($D508,$C$5:$AT$528,3,)=0,0,(VLOOKUP($D508,$C$5:$AT$528,18,)/VLOOKUP($D508,$C$5:$AT$528,3,))*$E508)</f>
        <v>0.21753479403754564</v>
      </c>
      <c r="U508" s="163">
        <f>IF(VLOOKUP($D508,$C$5:$AT$528,3,)=0,0,(VLOOKUP($D508,$C$5:$AT$528,19,)/VLOOKUP($D508,$C$5:$AT$528,3,))*$E508)</f>
        <v>0.13862317482966263</v>
      </c>
      <c r="V508" s="163">
        <f>IF(VLOOKUP($D508,$C$5:$AT$528,3,)=0,0,(VLOOKUP($D508,$C$5:$AT$528,20,)/VLOOKUP($D508,$C$5:$AT$528,3,))*$E508)</f>
        <v>0</v>
      </c>
      <c r="W508" s="163">
        <f>IF(VLOOKUP($D508,$C$5:$AT$528,3,)=0,0,(VLOOKUP($D508,$C$5:$AT$528,21,)/VLOOKUP($D508,$C$5:$AT$528,3,))*$E508)</f>
        <v>0</v>
      </c>
      <c r="X508" s="163">
        <f>IF(VLOOKUP($D508,$C$5:$AT$528,3,)=0,0,(VLOOKUP($D508,$C$5:$AT$528,22,)/VLOOKUP($D508,$C$5:$AT$528,3,))*$E508)</f>
        <v>0</v>
      </c>
      <c r="Y508" s="163">
        <f>IF(VLOOKUP($D508,$C$5:$AT$528,3,)=0,0,(VLOOKUP($D508,$C$5:$AT$528,23,)/VLOOKUP($D508,$C$5:$AT$528,3,))*$E508)</f>
        <v>0</v>
      </c>
      <c r="Z508" s="163">
        <f>IF(VLOOKUP($D508,$C$5:$AT$528,3,)=0,0,(VLOOKUP($D508,$C$5:$AT$528,24,)/VLOOKUP($D508,$C$5:$AT$528,3,))*$E508)</f>
        <v>0</v>
      </c>
      <c r="AA508" s="163">
        <f>IF(VLOOKUP($D508,$C$5:$AT$528,3,)=0,0,(VLOOKUP($D508,$C$5:$AT$528,25,)/VLOOKUP($D508,$C$5:$AT$528,3,))*$E508)</f>
        <v>0</v>
      </c>
      <c r="AB508" s="163">
        <f>IF(VLOOKUP($D508,$C$5:$AT$528,3,)=0,0,(VLOOKUP($D508,$C$5:$AT$528,26,)/VLOOKUP($D508,$C$5:$AT$528,3,))*$E508)</f>
        <v>0</v>
      </c>
      <c r="AC508" s="163">
        <f>IF(VLOOKUP($D508,$C$5:$AT$528,3,)=0,0,(VLOOKUP($D508,$C$5:$AT$528,27,)/VLOOKUP($D508,$C$5:$AT$528,3,))*$E508)</f>
        <v>0</v>
      </c>
      <c r="AD508" s="163">
        <f>IF(VLOOKUP($D508,$C$5:$AT$528,3,)=0,0,(VLOOKUP($D508,$C$5:$AT$528,28,)/VLOOKUP($D508,$C$5:$AT$528,3,))*$E508)</f>
        <v>0</v>
      </c>
      <c r="AE508" s="163">
        <f>IF(VLOOKUP($D508,$C$5:$AT$528,3,)=0,0,(VLOOKUP($D508,$C$5:$AT$528,29,)/VLOOKUP($D508,$C$5:$AT$528,3,))*$E508)</f>
        <v>0</v>
      </c>
      <c r="AF508" s="163">
        <f>IF(VLOOKUP($D508,$C$5:$AT$528,3,)=0,0,(VLOOKUP($D508,$C$5:$AT$528,30,)/VLOOKUP($D508,$C$5:$AT$528,3,))*$E508)</f>
        <v>0</v>
      </c>
      <c r="AG508" s="163">
        <f>SUM(F508:AF508)</f>
        <v>1</v>
      </c>
      <c r="AH508" s="103" t="str">
        <f t="shared" si="201"/>
        <v>ok</v>
      </c>
    </row>
    <row r="509" spans="1:40" x14ac:dyDescent="0.25">
      <c r="E509" s="161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03"/>
    </row>
    <row r="510" spans="1:40" x14ac:dyDescent="0.25">
      <c r="A510" s="132" t="s">
        <v>327</v>
      </c>
    </row>
    <row r="511" spans="1:40" x14ac:dyDescent="0.25">
      <c r="AJ511" s="139"/>
      <c r="AK511" s="140"/>
      <c r="AL511" s="140"/>
      <c r="AM511" s="140"/>
      <c r="AN511" s="140"/>
    </row>
    <row r="512" spans="1:40" x14ac:dyDescent="0.25">
      <c r="A512" s="102" t="s">
        <v>643</v>
      </c>
      <c r="E512" s="120">
        <f t="shared" ref="E512:R512" si="203">E123+E199+E237+E275</f>
        <v>15694350.815808589</v>
      </c>
      <c r="F512" s="120">
        <f t="shared" si="203"/>
        <v>7743173.6875832081</v>
      </c>
      <c r="G512" s="120">
        <f t="shared" si="203"/>
        <v>22755.867602221937</v>
      </c>
      <c r="H512" s="120">
        <f t="shared" si="203"/>
        <v>198841.42629420088</v>
      </c>
      <c r="I512" s="120">
        <f t="shared" si="203"/>
        <v>15616.169316864607</v>
      </c>
      <c r="J512" s="120">
        <f t="shared" si="203"/>
        <v>8784.2159742759395</v>
      </c>
      <c r="K512" s="120">
        <f t="shared" si="203"/>
        <v>23247.666659973642</v>
      </c>
      <c r="L512" s="120">
        <f t="shared" si="203"/>
        <v>377755.40600039891</v>
      </c>
      <c r="M512" s="120">
        <f t="shared" si="203"/>
        <v>1127697.4720058963</v>
      </c>
      <c r="N512" s="120">
        <f t="shared" si="203"/>
        <v>11552.107178123659</v>
      </c>
      <c r="O512" s="120">
        <f t="shared" si="203"/>
        <v>0</v>
      </c>
      <c r="P512" s="120">
        <f t="shared" si="203"/>
        <v>2220.5734303652739</v>
      </c>
      <c r="Q512" s="120">
        <f t="shared" si="203"/>
        <v>422686.03580617666</v>
      </c>
      <c r="R512" s="120">
        <f t="shared" si="203"/>
        <v>856792.83688862051</v>
      </c>
      <c r="S512" s="120">
        <f t="shared" ref="S512:AF512" si="204">S123</f>
        <v>793231.35273418948</v>
      </c>
      <c r="T512" s="120">
        <f t="shared" si="204"/>
        <v>3404408.2476148321</v>
      </c>
      <c r="U512" s="120">
        <f t="shared" si="204"/>
        <v>685587.74080950522</v>
      </c>
      <c r="V512" s="120">
        <f t="shared" si="204"/>
        <v>0</v>
      </c>
      <c r="W512" s="120">
        <f t="shared" si="204"/>
        <v>0</v>
      </c>
      <c r="X512" s="120">
        <f t="shared" si="204"/>
        <v>0</v>
      </c>
      <c r="Y512" s="120">
        <f t="shared" si="204"/>
        <v>0</v>
      </c>
      <c r="Z512" s="120">
        <f t="shared" si="204"/>
        <v>0</v>
      </c>
      <c r="AA512" s="120">
        <f t="shared" si="204"/>
        <v>0</v>
      </c>
      <c r="AB512" s="120">
        <f t="shared" si="204"/>
        <v>0</v>
      </c>
      <c r="AC512" s="120">
        <f t="shared" si="204"/>
        <v>0</v>
      </c>
      <c r="AD512" s="120">
        <f t="shared" si="204"/>
        <v>0</v>
      </c>
      <c r="AE512" s="120">
        <f t="shared" si="204"/>
        <v>0</v>
      </c>
      <c r="AF512" s="120">
        <f t="shared" si="204"/>
        <v>0</v>
      </c>
      <c r="AG512" s="120">
        <f>SUM(F512:AF512)</f>
        <v>15694350.805898855</v>
      </c>
      <c r="AH512" s="103" t="str">
        <f t="shared" ref="AH512:AH517" si="205">IF(ABS(E512-AG512)&lt;0.01,"ok","err")</f>
        <v>ok</v>
      </c>
      <c r="AJ512" s="141"/>
      <c r="AK512" s="141"/>
      <c r="AL512" s="141"/>
      <c r="AM512" s="141"/>
      <c r="AN512" s="141"/>
    </row>
    <row r="513" spans="1:40" x14ac:dyDescent="0.25">
      <c r="A513" s="102" t="s">
        <v>644</v>
      </c>
      <c r="E513" s="120">
        <f t="shared" ref="E513:R513" si="206">E124+E200+E238+E276</f>
        <v>64933156.164191425</v>
      </c>
      <c r="F513" s="120">
        <f t="shared" si="206"/>
        <v>22696888.906735864</v>
      </c>
      <c r="G513" s="120">
        <f t="shared" si="206"/>
        <v>66993.34829128049</v>
      </c>
      <c r="H513" s="120">
        <f t="shared" si="206"/>
        <v>582459.69402642467</v>
      </c>
      <c r="I513" s="120">
        <f t="shared" si="206"/>
        <v>58683.170773471698</v>
      </c>
      <c r="J513" s="120">
        <f t="shared" si="206"/>
        <v>25730.687298825713</v>
      </c>
      <c r="K513" s="120">
        <f t="shared" si="206"/>
        <v>67811.991377018174</v>
      </c>
      <c r="L513" s="120">
        <f t="shared" si="206"/>
        <v>1327125.8476183505</v>
      </c>
      <c r="M513" s="120">
        <f t="shared" si="206"/>
        <v>7428473.5758673847</v>
      </c>
      <c r="N513" s="120">
        <f t="shared" si="206"/>
        <v>45621.26881253365</v>
      </c>
      <c r="O513" s="120">
        <f t="shared" si="206"/>
        <v>0</v>
      </c>
      <c r="P513" s="120">
        <f t="shared" si="206"/>
        <v>11704.887243595462</v>
      </c>
      <c r="Q513" s="120">
        <f t="shared" si="206"/>
        <v>2396698.9641938233</v>
      </c>
      <c r="R513" s="120">
        <f t="shared" si="206"/>
        <v>3710224.1631113798</v>
      </c>
      <c r="S513" s="120">
        <f t="shared" ref="S513:AF513" si="207">S124</f>
        <v>3388278.6472658105</v>
      </c>
      <c r="T513" s="120">
        <f t="shared" si="207"/>
        <v>14125220.752385169</v>
      </c>
      <c r="U513" s="120">
        <f t="shared" si="207"/>
        <v>9001240.2591904942</v>
      </c>
      <c r="V513" s="120">
        <f t="shared" si="207"/>
        <v>0</v>
      </c>
      <c r="W513" s="120">
        <f t="shared" si="207"/>
        <v>0</v>
      </c>
      <c r="X513" s="120">
        <f t="shared" si="207"/>
        <v>0</v>
      </c>
      <c r="Y513" s="120">
        <f t="shared" si="207"/>
        <v>0</v>
      </c>
      <c r="Z513" s="120">
        <f t="shared" si="207"/>
        <v>0</v>
      </c>
      <c r="AA513" s="120">
        <f t="shared" si="207"/>
        <v>0</v>
      </c>
      <c r="AB513" s="120">
        <f t="shared" si="207"/>
        <v>0</v>
      </c>
      <c r="AC513" s="120">
        <f t="shared" si="207"/>
        <v>0</v>
      </c>
      <c r="AD513" s="120">
        <f t="shared" si="207"/>
        <v>0</v>
      </c>
      <c r="AE513" s="120">
        <f t="shared" si="207"/>
        <v>0</v>
      </c>
      <c r="AF513" s="120">
        <f t="shared" si="207"/>
        <v>0</v>
      </c>
      <c r="AG513" s="120">
        <f>SUM(F513:AF513)</f>
        <v>64933156.164191432</v>
      </c>
      <c r="AH513" s="103" t="str">
        <f t="shared" si="205"/>
        <v>ok</v>
      </c>
      <c r="AJ513" s="141"/>
      <c r="AK513" s="141"/>
      <c r="AL513" s="141"/>
      <c r="AM513" s="141"/>
      <c r="AN513" s="141"/>
    </row>
    <row r="514" spans="1:40" x14ac:dyDescent="0.25">
      <c r="A514" s="102" t="s">
        <v>884</v>
      </c>
      <c r="E514" s="120">
        <f t="shared" ref="E514:R514" si="208">E128+E204+E242+E280</f>
        <v>0</v>
      </c>
      <c r="F514" s="120">
        <f t="shared" si="208"/>
        <v>0</v>
      </c>
      <c r="G514" s="120">
        <f t="shared" si="208"/>
        <v>0</v>
      </c>
      <c r="H514" s="120">
        <f t="shared" si="208"/>
        <v>0</v>
      </c>
      <c r="I514" s="120">
        <f t="shared" si="208"/>
        <v>0</v>
      </c>
      <c r="J514" s="120">
        <f t="shared" si="208"/>
        <v>0</v>
      </c>
      <c r="K514" s="120">
        <f t="shared" si="208"/>
        <v>0</v>
      </c>
      <c r="L514" s="120">
        <f t="shared" si="208"/>
        <v>0</v>
      </c>
      <c r="M514" s="120">
        <f t="shared" si="208"/>
        <v>0</v>
      </c>
      <c r="N514" s="120">
        <f t="shared" si="208"/>
        <v>0</v>
      </c>
      <c r="O514" s="120">
        <f t="shared" si="208"/>
        <v>0</v>
      </c>
      <c r="P514" s="120">
        <f t="shared" si="208"/>
        <v>0</v>
      </c>
      <c r="Q514" s="120">
        <f t="shared" si="208"/>
        <v>0</v>
      </c>
      <c r="R514" s="120">
        <f t="shared" si="208"/>
        <v>0</v>
      </c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>
        <f>SUM(F514:AF514)</f>
        <v>0</v>
      </c>
      <c r="AH514" s="103" t="str">
        <f t="shared" si="205"/>
        <v>ok</v>
      </c>
      <c r="AJ514" s="141"/>
      <c r="AK514" s="141"/>
      <c r="AL514" s="141"/>
      <c r="AM514" s="141"/>
      <c r="AN514" s="141"/>
    </row>
    <row r="515" spans="1:40" x14ac:dyDescent="0.25">
      <c r="A515" s="102" t="s">
        <v>645</v>
      </c>
      <c r="D515" s="178">
        <f>E515/(E515+E516)</f>
        <v>0.54804653767292899</v>
      </c>
      <c r="E515" s="120">
        <f>E131+E134+E139+E207+E210+E215+E245+E248+E253+E283+E286+E291</f>
        <v>7151238.8786593908</v>
      </c>
      <c r="F515" s="120">
        <f t="shared" ref="F515:U515" si="209">F131+F134+F139+F207+F210+F215+F245+F248+F253+F283+F286+F291</f>
        <v>5164458.3821683768</v>
      </c>
      <c r="G515" s="120">
        <f t="shared" si="209"/>
        <v>15274.769862266539</v>
      </c>
      <c r="H515" s="120">
        <f t="shared" si="209"/>
        <v>279779.1917826804</v>
      </c>
      <c r="I515" s="120">
        <f t="shared" si="209"/>
        <v>738463.78521158139</v>
      </c>
      <c r="J515" s="120">
        <f t="shared" si="209"/>
        <v>127486.46662791994</v>
      </c>
      <c r="K515" s="120">
        <f t="shared" si="209"/>
        <v>5547.512318471131</v>
      </c>
      <c r="L515" s="120">
        <f t="shared" si="209"/>
        <v>156758.99457494688</v>
      </c>
      <c r="M515" s="120">
        <f t="shared" si="209"/>
        <v>656885.07015808963</v>
      </c>
      <c r="N515" s="120">
        <f t="shared" si="209"/>
        <v>5627.4251225675489</v>
      </c>
      <c r="O515" s="120">
        <f t="shared" si="209"/>
        <v>0</v>
      </c>
      <c r="P515" s="120">
        <f t="shared" si="209"/>
        <v>957.2808324912379</v>
      </c>
      <c r="Q515" s="120">
        <f t="shared" si="209"/>
        <v>0</v>
      </c>
      <c r="R515" s="120">
        <f t="shared" si="209"/>
        <v>0</v>
      </c>
      <c r="S515" s="120">
        <f t="shared" si="209"/>
        <v>0</v>
      </c>
      <c r="T515" s="120">
        <f t="shared" si="209"/>
        <v>0</v>
      </c>
      <c r="U515" s="120">
        <f t="shared" si="209"/>
        <v>0</v>
      </c>
      <c r="V515" s="120">
        <f t="shared" ref="V515:AG515" si="210">V131+V134+V139+V207+V210+V215+V245+V248+V253+V283+V286+V291</f>
        <v>0</v>
      </c>
      <c r="W515" s="120">
        <f t="shared" si="210"/>
        <v>0</v>
      </c>
      <c r="X515" s="120">
        <f t="shared" si="210"/>
        <v>0</v>
      </c>
      <c r="Y515" s="120">
        <f t="shared" si="210"/>
        <v>0</v>
      </c>
      <c r="Z515" s="120">
        <f t="shared" si="210"/>
        <v>0</v>
      </c>
      <c r="AA515" s="120">
        <f t="shared" si="210"/>
        <v>0</v>
      </c>
      <c r="AB515" s="120">
        <f t="shared" si="210"/>
        <v>0</v>
      </c>
      <c r="AC515" s="120">
        <f t="shared" si="210"/>
        <v>0</v>
      </c>
      <c r="AD515" s="120">
        <f t="shared" si="210"/>
        <v>0</v>
      </c>
      <c r="AE515" s="120">
        <f t="shared" si="210"/>
        <v>0</v>
      </c>
      <c r="AF515" s="120">
        <f t="shared" si="210"/>
        <v>0</v>
      </c>
      <c r="AG515" s="120">
        <f t="shared" si="210"/>
        <v>7151238.8786593918</v>
      </c>
      <c r="AH515" s="103" t="str">
        <f t="shared" si="205"/>
        <v>ok</v>
      </c>
      <c r="AJ515" s="141"/>
      <c r="AK515" s="141"/>
      <c r="AL515" s="141"/>
      <c r="AM515" s="141"/>
      <c r="AN515" s="141"/>
    </row>
    <row r="516" spans="1:40" x14ac:dyDescent="0.25">
      <c r="A516" s="102" t="s">
        <v>646</v>
      </c>
      <c r="D516" s="178">
        <f>E516/(E515+E516)</f>
        <v>0.45195346232707095</v>
      </c>
      <c r="E516" s="119">
        <f>E135+E140+E144+E147+E150+E153+E211+E216+E220+E223+E226+E229+E249+E254+E258+E261+E264+E267+E287+E292+E296+E299+E302+E305</f>
        <v>5897358.9813406086</v>
      </c>
      <c r="F516" s="119">
        <f t="shared" ref="F516:U516" si="211">F135+F140+F144+F147+F150+F153+F211+F216+F220+F223+F226+F229+F249+F254+F258+F261+F264+F267+F287+F292+F296+F299+F302+F305</f>
        <v>5389694.7826408157</v>
      </c>
      <c r="G516" s="119">
        <f t="shared" si="211"/>
        <v>11433.093499487632</v>
      </c>
      <c r="H516" s="119">
        <f t="shared" si="211"/>
        <v>117245.2529457261</v>
      </c>
      <c r="I516" s="119">
        <f t="shared" si="211"/>
        <v>13674.876538602854</v>
      </c>
      <c r="J516" s="119">
        <f t="shared" si="211"/>
        <v>5156.1009899650089</v>
      </c>
      <c r="K516" s="119">
        <f t="shared" si="211"/>
        <v>69943.630820394901</v>
      </c>
      <c r="L516" s="119">
        <f t="shared" si="211"/>
        <v>78294.684158054195</v>
      </c>
      <c r="M516" s="119">
        <f t="shared" si="211"/>
        <v>51748.880338943665</v>
      </c>
      <c r="N516" s="119">
        <f t="shared" si="211"/>
        <v>1001.5912323666515</v>
      </c>
      <c r="O516" s="119">
        <f t="shared" si="211"/>
        <v>0</v>
      </c>
      <c r="P516" s="119">
        <f t="shared" si="211"/>
        <v>159166.08817625156</v>
      </c>
      <c r="Q516" s="119">
        <f t="shared" si="211"/>
        <v>0</v>
      </c>
      <c r="R516" s="119">
        <f t="shared" si="211"/>
        <v>0</v>
      </c>
      <c r="S516" s="119">
        <f t="shared" si="211"/>
        <v>0</v>
      </c>
      <c r="T516" s="119">
        <f t="shared" si="211"/>
        <v>0</v>
      </c>
      <c r="U516" s="119">
        <f t="shared" si="211"/>
        <v>0</v>
      </c>
      <c r="V516" s="119">
        <f t="shared" ref="V516:AD516" si="212">V135+V140+V144+V147+V150+V153+V211+V216+V220+V223+V226+V229+V249+V254+V258+V261+V264+V267+V287+V292+V296+V299+V302+V305</f>
        <v>0</v>
      </c>
      <c r="W516" s="119">
        <f t="shared" si="212"/>
        <v>0</v>
      </c>
      <c r="X516" s="119">
        <f t="shared" si="212"/>
        <v>0</v>
      </c>
      <c r="Y516" s="119">
        <f t="shared" si="212"/>
        <v>0</v>
      </c>
      <c r="Z516" s="119">
        <f t="shared" si="212"/>
        <v>0</v>
      </c>
      <c r="AA516" s="119">
        <f t="shared" si="212"/>
        <v>0</v>
      </c>
      <c r="AB516" s="119">
        <f t="shared" si="212"/>
        <v>0</v>
      </c>
      <c r="AC516" s="119">
        <f t="shared" si="212"/>
        <v>0</v>
      </c>
      <c r="AD516" s="119">
        <f t="shared" si="212"/>
        <v>0</v>
      </c>
      <c r="AE516" s="119"/>
      <c r="AF516" s="119">
        <f>AF135+AF140+AF144+AF147+AF150+AF153+AF211+AF216+AF220+AF223+AF226+AF229+AF249+AF254+AF258+AF261+AF264+AF267+AF287+AF292+AF296+AF299+AF302+AF305</f>
        <v>0</v>
      </c>
      <c r="AG516" s="120">
        <f>SUM(F516:AF516)</f>
        <v>5897358.9813406067</v>
      </c>
      <c r="AH516" s="103" t="str">
        <f t="shared" si="205"/>
        <v>ok</v>
      </c>
      <c r="AJ516" s="141"/>
      <c r="AK516" s="141"/>
      <c r="AL516" s="141"/>
      <c r="AM516" s="141"/>
      <c r="AN516" s="141"/>
    </row>
    <row r="517" spans="1:40" x14ac:dyDescent="0.25">
      <c r="A517" s="102" t="s">
        <v>0</v>
      </c>
      <c r="E517" s="137">
        <f>SUM(E512:E516)</f>
        <v>93676104.840000018</v>
      </c>
      <c r="F517" s="137">
        <f t="shared" ref="F517:R517" si="213">SUM(F512:F516)</f>
        <v>40994215.759128265</v>
      </c>
      <c r="G517" s="137">
        <f t="shared" si="213"/>
        <v>116457.0792552566</v>
      </c>
      <c r="H517" s="137">
        <f t="shared" si="213"/>
        <v>1178325.565049032</v>
      </c>
      <c r="I517" s="137">
        <f t="shared" si="213"/>
        <v>826438.00184052053</v>
      </c>
      <c r="J517" s="137">
        <f t="shared" si="213"/>
        <v>167157.47089098662</v>
      </c>
      <c r="K517" s="137">
        <f t="shared" si="213"/>
        <v>166550.80117585784</v>
      </c>
      <c r="L517" s="137">
        <f t="shared" si="213"/>
        <v>1939934.9323517503</v>
      </c>
      <c r="M517" s="137">
        <f t="shared" si="213"/>
        <v>9264804.9983703159</v>
      </c>
      <c r="N517" s="137">
        <f t="shared" si="213"/>
        <v>63802.392345591506</v>
      </c>
      <c r="O517" s="137">
        <f t="shared" si="213"/>
        <v>0</v>
      </c>
      <c r="P517" s="137">
        <f t="shared" si="213"/>
        <v>174048.82968270354</v>
      </c>
      <c r="Q517" s="137">
        <f t="shared" si="213"/>
        <v>2819385</v>
      </c>
      <c r="R517" s="137">
        <f t="shared" si="213"/>
        <v>4567017</v>
      </c>
      <c r="S517" s="137">
        <f t="shared" ref="S517:AG517" si="214">SUM(S512:S516)</f>
        <v>4181510</v>
      </c>
      <c r="T517" s="137">
        <f t="shared" si="214"/>
        <v>17529629</v>
      </c>
      <c r="U517" s="137">
        <f t="shared" si="214"/>
        <v>9686828</v>
      </c>
      <c r="V517" s="137">
        <f t="shared" si="214"/>
        <v>0</v>
      </c>
      <c r="W517" s="137">
        <f t="shared" si="214"/>
        <v>0</v>
      </c>
      <c r="X517" s="137">
        <f t="shared" si="214"/>
        <v>0</v>
      </c>
      <c r="Y517" s="137">
        <f t="shared" si="214"/>
        <v>0</v>
      </c>
      <c r="Z517" s="137">
        <f t="shared" si="214"/>
        <v>0</v>
      </c>
      <c r="AA517" s="137">
        <f t="shared" si="214"/>
        <v>0</v>
      </c>
      <c r="AB517" s="137">
        <f t="shared" si="214"/>
        <v>0</v>
      </c>
      <c r="AC517" s="137">
        <f t="shared" si="214"/>
        <v>0</v>
      </c>
      <c r="AD517" s="137">
        <f t="shared" si="214"/>
        <v>0</v>
      </c>
      <c r="AE517" s="137">
        <f t="shared" si="214"/>
        <v>0</v>
      </c>
      <c r="AF517" s="137">
        <f t="shared" si="214"/>
        <v>0</v>
      </c>
      <c r="AG517" s="137">
        <f t="shared" si="214"/>
        <v>93676104.830090284</v>
      </c>
      <c r="AH517" s="103" t="str">
        <f t="shared" si="205"/>
        <v>ok</v>
      </c>
      <c r="AJ517" s="141"/>
      <c r="AK517" s="141"/>
      <c r="AL517" s="141"/>
      <c r="AM517" s="141"/>
      <c r="AN517" s="141"/>
    </row>
    <row r="519" spans="1:40" x14ac:dyDescent="0.25">
      <c r="A519" s="132" t="s">
        <v>694</v>
      </c>
      <c r="E519" s="120"/>
    </row>
    <row r="520" spans="1:40" x14ac:dyDescent="0.25">
      <c r="AJ520" s="139"/>
      <c r="AK520" s="140"/>
      <c r="AL520" s="140"/>
      <c r="AM520" s="140"/>
      <c r="AN520" s="140"/>
    </row>
    <row r="521" spans="1:40" x14ac:dyDescent="0.25">
      <c r="A521" s="102" t="s">
        <v>643</v>
      </c>
      <c r="D521" s="120"/>
      <c r="E521" s="120">
        <f t="shared" ref="E521:AF521" si="215">E512+E366</f>
        <v>6081257.8158085886</v>
      </c>
      <c r="F521" s="120">
        <f t="shared" si="215"/>
        <v>3227192.9850094719</v>
      </c>
      <c r="G521" s="120">
        <f t="shared" si="215"/>
        <v>9484.1700905480029</v>
      </c>
      <c r="H521" s="120">
        <f t="shared" si="215"/>
        <v>82872.951319035928</v>
      </c>
      <c r="I521" s="120">
        <f t="shared" si="215"/>
        <v>6508.493042448501</v>
      </c>
      <c r="J521" s="120">
        <f t="shared" si="215"/>
        <v>3661.0776555936354</v>
      </c>
      <c r="K521" s="120">
        <f t="shared" si="215"/>
        <v>9689.1416607654792</v>
      </c>
      <c r="L521" s="120">
        <f t="shared" si="215"/>
        <v>157440.55932114745</v>
      </c>
      <c r="M521" s="120">
        <f t="shared" si="215"/>
        <v>470000.74100187677</v>
      </c>
      <c r="N521" s="120">
        <f t="shared" si="215"/>
        <v>4814.6768691371444</v>
      </c>
      <c r="O521" s="120">
        <f t="shared" si="215"/>
        <v>0</v>
      </c>
      <c r="P521" s="120">
        <f t="shared" si="215"/>
        <v>925.4886027759951</v>
      </c>
      <c r="Q521" s="120">
        <f t="shared" si="215"/>
        <v>125030.92464970006</v>
      </c>
      <c r="R521" s="120">
        <f t="shared" si="215"/>
        <v>408587.47059412475</v>
      </c>
      <c r="S521" s="120">
        <f t="shared" si="215"/>
        <v>307578.84195022512</v>
      </c>
      <c r="T521" s="120">
        <f t="shared" si="215"/>
        <v>1467433.4254914531</v>
      </c>
      <c r="U521" s="120">
        <f t="shared" si="215"/>
        <v>-199963.14135945123</v>
      </c>
      <c r="V521" s="120">
        <f t="shared" si="215"/>
        <v>0</v>
      </c>
      <c r="W521" s="120">
        <f t="shared" si="215"/>
        <v>0</v>
      </c>
      <c r="X521" s="120">
        <f t="shared" si="215"/>
        <v>0</v>
      </c>
      <c r="Y521" s="120">
        <f t="shared" si="215"/>
        <v>0</v>
      </c>
      <c r="Z521" s="120">
        <f t="shared" si="215"/>
        <v>0</v>
      </c>
      <c r="AA521" s="120">
        <f t="shared" si="215"/>
        <v>0</v>
      </c>
      <c r="AB521" s="120">
        <f t="shared" si="215"/>
        <v>0</v>
      </c>
      <c r="AC521" s="120">
        <f t="shared" si="215"/>
        <v>0</v>
      </c>
      <c r="AD521" s="120">
        <f t="shared" si="215"/>
        <v>0</v>
      </c>
      <c r="AE521" s="120">
        <f t="shared" si="215"/>
        <v>0</v>
      </c>
      <c r="AF521" s="120">
        <f t="shared" si="215"/>
        <v>0</v>
      </c>
      <c r="AG521" s="120">
        <f>SUM(F521:AF521)</f>
        <v>6081257.8058988526</v>
      </c>
      <c r="AH521" s="103" t="str">
        <f t="shared" ref="AH521:AH526" si="216">IF(ABS(E521-AG521)&lt;0.01,"ok","err")</f>
        <v>ok</v>
      </c>
      <c r="AJ521" s="141"/>
      <c r="AK521" s="141"/>
      <c r="AL521" s="141"/>
      <c r="AM521" s="141"/>
      <c r="AN521" s="141"/>
    </row>
    <row r="522" spans="1:40" x14ac:dyDescent="0.25">
      <c r="A522" s="102" t="s">
        <v>644</v>
      </c>
      <c r="D522" s="120"/>
      <c r="E522" s="120">
        <f t="shared" ref="E522:L522" si="217">E513+E365+E370</f>
        <v>53978158.164191425</v>
      </c>
      <c r="F522" s="120">
        <f t="shared" si="217"/>
        <v>19335994.426759239</v>
      </c>
      <c r="G522" s="120">
        <f t="shared" si="217"/>
        <v>55512.348347176179</v>
      </c>
      <c r="H522" s="120">
        <f t="shared" si="217"/>
        <v>497856.59767454036</v>
      </c>
      <c r="I522" s="120">
        <f t="shared" si="217"/>
        <v>53346.322739400101</v>
      </c>
      <c r="J522" s="120">
        <f t="shared" si="217"/>
        <v>21720.526417170371</v>
      </c>
      <c r="K522" s="120">
        <f t="shared" si="217"/>
        <v>57415.40484961211</v>
      </c>
      <c r="L522" s="120">
        <f t="shared" si="217"/>
        <v>1142006.5684813266</v>
      </c>
      <c r="M522" s="120">
        <f t="shared" ref="M522:AF522" si="218">M513+M365+M367+M370</f>
        <v>6270736.3651045272</v>
      </c>
      <c r="N522" s="120">
        <f t="shared" si="218"/>
        <v>38511.13508626297</v>
      </c>
      <c r="O522" s="120">
        <f t="shared" si="218"/>
        <v>0</v>
      </c>
      <c r="P522" s="120">
        <f t="shared" si="218"/>
        <v>9880.6654339201596</v>
      </c>
      <c r="Q522" s="120">
        <f t="shared" si="218"/>
        <v>1944505.4097916181</v>
      </c>
      <c r="R522" s="120">
        <f t="shared" si="218"/>
        <v>3062707.3216430489</v>
      </c>
      <c r="S522" s="120">
        <f t="shared" si="218"/>
        <v>2775665.8415400228</v>
      </c>
      <c r="T522" s="120">
        <f t="shared" si="218"/>
        <v>11244057.032663576</v>
      </c>
      <c r="U522" s="120">
        <f t="shared" si="218"/>
        <v>7468242.1976599842</v>
      </c>
      <c r="V522" s="120">
        <f t="shared" si="218"/>
        <v>0</v>
      </c>
      <c r="W522" s="120">
        <f t="shared" si="218"/>
        <v>0</v>
      </c>
      <c r="X522" s="120">
        <f t="shared" si="218"/>
        <v>0</v>
      </c>
      <c r="Y522" s="120">
        <f t="shared" si="218"/>
        <v>0</v>
      </c>
      <c r="Z522" s="120">
        <f t="shared" si="218"/>
        <v>0</v>
      </c>
      <c r="AA522" s="120">
        <f t="shared" si="218"/>
        <v>0</v>
      </c>
      <c r="AB522" s="120">
        <f t="shared" si="218"/>
        <v>0</v>
      </c>
      <c r="AC522" s="120">
        <f t="shared" si="218"/>
        <v>0</v>
      </c>
      <c r="AD522" s="120">
        <f t="shared" si="218"/>
        <v>0</v>
      </c>
      <c r="AE522" s="120">
        <f t="shared" si="218"/>
        <v>0</v>
      </c>
      <c r="AF522" s="120">
        <f t="shared" si="218"/>
        <v>0</v>
      </c>
      <c r="AG522" s="120">
        <f>SUM(F522:AF522)</f>
        <v>53978158.164191425</v>
      </c>
      <c r="AH522" s="103" t="str">
        <f t="shared" si="216"/>
        <v>ok</v>
      </c>
      <c r="AJ522" s="141"/>
      <c r="AK522" s="141"/>
      <c r="AL522" s="141"/>
      <c r="AM522" s="141"/>
      <c r="AN522" s="141"/>
    </row>
    <row r="523" spans="1:40" x14ac:dyDescent="0.25">
      <c r="A523" s="102" t="s">
        <v>884</v>
      </c>
      <c r="D523" s="120"/>
      <c r="E523" s="120">
        <f>E514</f>
        <v>0</v>
      </c>
      <c r="F523" s="120">
        <f t="shared" ref="F523:J523" si="219">F514</f>
        <v>0</v>
      </c>
      <c r="G523" s="120">
        <f t="shared" si="219"/>
        <v>0</v>
      </c>
      <c r="H523" s="120">
        <f t="shared" si="219"/>
        <v>0</v>
      </c>
      <c r="I523" s="120">
        <f t="shared" si="219"/>
        <v>0</v>
      </c>
      <c r="J523" s="120">
        <f t="shared" si="219"/>
        <v>0</v>
      </c>
      <c r="K523" s="120">
        <f t="shared" ref="K523:AF523" si="220">K514</f>
        <v>0</v>
      </c>
      <c r="L523" s="120">
        <f t="shared" si="220"/>
        <v>0</v>
      </c>
      <c r="M523" s="120">
        <f t="shared" si="220"/>
        <v>0</v>
      </c>
      <c r="N523" s="120">
        <f t="shared" si="220"/>
        <v>0</v>
      </c>
      <c r="O523" s="120">
        <f t="shared" si="220"/>
        <v>0</v>
      </c>
      <c r="P523" s="120">
        <f t="shared" si="220"/>
        <v>0</v>
      </c>
      <c r="Q523" s="120">
        <f t="shared" si="220"/>
        <v>0</v>
      </c>
      <c r="R523" s="120">
        <f t="shared" si="220"/>
        <v>0</v>
      </c>
      <c r="S523" s="120">
        <f t="shared" si="220"/>
        <v>0</v>
      </c>
      <c r="T523" s="120">
        <f t="shared" si="220"/>
        <v>0</v>
      </c>
      <c r="U523" s="120">
        <f t="shared" si="220"/>
        <v>0</v>
      </c>
      <c r="V523" s="120">
        <f t="shared" si="220"/>
        <v>0</v>
      </c>
      <c r="W523" s="120">
        <f t="shared" si="220"/>
        <v>0</v>
      </c>
      <c r="X523" s="120">
        <f t="shared" si="220"/>
        <v>0</v>
      </c>
      <c r="Y523" s="120">
        <f t="shared" si="220"/>
        <v>0</v>
      </c>
      <c r="Z523" s="120">
        <f t="shared" si="220"/>
        <v>0</v>
      </c>
      <c r="AA523" s="120">
        <f t="shared" si="220"/>
        <v>0</v>
      </c>
      <c r="AB523" s="120">
        <f t="shared" si="220"/>
        <v>0</v>
      </c>
      <c r="AC523" s="120">
        <f t="shared" si="220"/>
        <v>0</v>
      </c>
      <c r="AD523" s="120">
        <f t="shared" si="220"/>
        <v>0</v>
      </c>
      <c r="AE523" s="120">
        <f t="shared" si="220"/>
        <v>0</v>
      </c>
      <c r="AF523" s="120">
        <f t="shared" si="220"/>
        <v>0</v>
      </c>
      <c r="AG523" s="120">
        <f>SUM(F523:AF523)</f>
        <v>0</v>
      </c>
      <c r="AH523" s="103" t="str">
        <f t="shared" si="216"/>
        <v>ok</v>
      </c>
      <c r="AJ523" s="141"/>
      <c r="AK523" s="141"/>
      <c r="AL523" s="141"/>
      <c r="AM523" s="141"/>
      <c r="AN523" s="141"/>
    </row>
    <row r="524" spans="1:40" x14ac:dyDescent="0.25">
      <c r="A524" s="102" t="s">
        <v>645</v>
      </c>
      <c r="D524" s="178">
        <f>D515</f>
        <v>0.54804653767292899</v>
      </c>
      <c r="E524" s="120">
        <f>E515+(E367+E368+E369+E371+E372+E373+E374+E375+E376+E377+E378)*$D524</f>
        <v>7231030.2189166034</v>
      </c>
      <c r="F524" s="120">
        <f t="shared" ref="F524:U524" si="221">F515+(F367+F368+F369+F371+F372+F373+F374+F375+F376+F377+F378)*$D524</f>
        <v>5216761.3202670421</v>
      </c>
      <c r="G524" s="120">
        <f t="shared" si="221"/>
        <v>15457.732070392231</v>
      </c>
      <c r="H524" s="120">
        <f t="shared" si="221"/>
        <v>283708.3629470818</v>
      </c>
      <c r="I524" s="120">
        <f t="shared" si="221"/>
        <v>750689.43982932088</v>
      </c>
      <c r="J524" s="120">
        <f t="shared" si="221"/>
        <v>129579.54335317163</v>
      </c>
      <c r="K524" s="120">
        <f t="shared" si="221"/>
        <v>5201.4040438898101</v>
      </c>
      <c r="L524" s="120">
        <f t="shared" si="221"/>
        <v>158873.27442616946</v>
      </c>
      <c r="M524" s="120">
        <f t="shared" si="221"/>
        <v>667490.15675711713</v>
      </c>
      <c r="N524" s="120">
        <f t="shared" si="221"/>
        <v>5714.5415992810385</v>
      </c>
      <c r="O524" s="120">
        <f t="shared" si="221"/>
        <v>0</v>
      </c>
      <c r="P524" s="120">
        <f t="shared" si="221"/>
        <v>-2445.5563768623106</v>
      </c>
      <c r="Q524" s="120">
        <f t="shared" si="221"/>
        <v>0</v>
      </c>
      <c r="R524" s="120">
        <f t="shared" si="221"/>
        <v>0</v>
      </c>
      <c r="S524" s="120">
        <f t="shared" si="221"/>
        <v>0</v>
      </c>
      <c r="T524" s="120">
        <f t="shared" si="221"/>
        <v>0</v>
      </c>
      <c r="U524" s="120">
        <f t="shared" si="221"/>
        <v>0</v>
      </c>
      <c r="V524" s="120">
        <f>V515+(V368+V371+V372+V373+V374+V375+V376)*AVERAGE(ZeroInt!$D$143:$D$145)</f>
        <v>0</v>
      </c>
      <c r="W524" s="120">
        <f>W515+(W368+W371+W372+W373+W374+W375+W376)*AVERAGE(ZeroInt!$D$143:$D$145)</f>
        <v>0</v>
      </c>
      <c r="X524" s="120">
        <f>X515+(X368+X371+X372+X373+X374+X375+X376)*AVERAGE(ZeroInt!$D$143:$D$145)</f>
        <v>0</v>
      </c>
      <c r="Y524" s="120">
        <f>Y515+(Y368+Y371+Y372+Y373+Y374+Y375+Y376)*AVERAGE(ZeroInt!$D$143:$D$145)</f>
        <v>0</v>
      </c>
      <c r="Z524" s="120">
        <f>Z515+(Z368+Z371+Z372+Z373+Z374+Z375+Z376)*AVERAGE(ZeroInt!$D$143:$D$145)</f>
        <v>0</v>
      </c>
      <c r="AA524" s="120">
        <f>AA515+(AA368+AA371+AA372+AA373+AA374+AA375+AA376)*AVERAGE(ZeroInt!$D$143:$D$145)</f>
        <v>0</v>
      </c>
      <c r="AB524" s="120">
        <f>AB515+(AB368+AB371+AB372+AB373+AB374+AB375+AB376)*AVERAGE(ZeroInt!$D$143:$D$145)</f>
        <v>0</v>
      </c>
      <c r="AC524" s="120">
        <f>AC515+(AC368+AC371+AC372+AC373+AC374+AC375+AC376)*AVERAGE(ZeroInt!$D$143:$D$145)</f>
        <v>0</v>
      </c>
      <c r="AD524" s="120">
        <f>AD515+(AD368+AD371+AD372+AD373+AD374+AD375+AD376)*AVERAGE(ZeroInt!$D$143:$D$145)</f>
        <v>0</v>
      </c>
      <c r="AE524" s="120">
        <f>AE515+(AE368+AE371+AE372+AE373+AE374+AE375+AE376)*AVERAGE(ZeroInt!$D$143:$D$145)</f>
        <v>0</v>
      </c>
      <c r="AF524" s="120">
        <f>AF515+(AF368+AF371+AF372+AF373+AF374+AF375+AF376)*AVERAGE(ZeroInt!$D$143:$D$145)</f>
        <v>0</v>
      </c>
      <c r="AG524" s="120">
        <f>SUM(F524:AF524)</f>
        <v>7231030.2189166043</v>
      </c>
      <c r="AH524" s="103" t="str">
        <f t="shared" si="216"/>
        <v>ok</v>
      </c>
      <c r="AJ524" s="141"/>
      <c r="AK524" s="141"/>
      <c r="AL524" s="141"/>
      <c r="AM524" s="141"/>
      <c r="AN524" s="141"/>
    </row>
    <row r="525" spans="1:40" x14ac:dyDescent="0.25">
      <c r="A525" s="102" t="s">
        <v>646</v>
      </c>
      <c r="D525" s="178">
        <f>D516</f>
        <v>0.45195346232707095</v>
      </c>
      <c r="E525" s="120">
        <f>E516+(E367+E368+E369+E371+E372+E373+E374+E375+E376+E377+E378)*$D525</f>
        <v>5963159.9124916159</v>
      </c>
      <c r="F525" s="120">
        <f t="shared" ref="F525:U525" si="222">F516+(F367+F368+F369+F371+F372+F373+F374+F375+F376+F377+F378)*$D525</f>
        <v>5432827.0576186711</v>
      </c>
      <c r="G525" s="120">
        <f t="shared" si="222"/>
        <v>11583.975582948144</v>
      </c>
      <c r="H525" s="120">
        <f t="shared" si="222"/>
        <v>120485.49330809963</v>
      </c>
      <c r="I525" s="120">
        <f t="shared" si="222"/>
        <v>23756.916208379676</v>
      </c>
      <c r="J525" s="120">
        <f t="shared" si="222"/>
        <v>6882.1830064857613</v>
      </c>
      <c r="K525" s="120">
        <f t="shared" si="222"/>
        <v>69658.208283649612</v>
      </c>
      <c r="L525" s="120">
        <f t="shared" si="222"/>
        <v>80038.251598778879</v>
      </c>
      <c r="M525" s="120">
        <f t="shared" si="222"/>
        <v>60494.498233111182</v>
      </c>
      <c r="N525" s="120">
        <f t="shared" si="222"/>
        <v>1073.4329293210344</v>
      </c>
      <c r="O525" s="120">
        <f t="shared" si="222"/>
        <v>0</v>
      </c>
      <c r="P525" s="120">
        <f t="shared" si="222"/>
        <v>156359.89572217106</v>
      </c>
      <c r="Q525" s="120">
        <f t="shared" si="222"/>
        <v>0</v>
      </c>
      <c r="R525" s="120">
        <f t="shared" si="222"/>
        <v>0</v>
      </c>
      <c r="S525" s="120">
        <f t="shared" si="222"/>
        <v>0</v>
      </c>
      <c r="T525" s="120">
        <f t="shared" si="222"/>
        <v>0</v>
      </c>
      <c r="U525" s="120">
        <f t="shared" si="222"/>
        <v>0</v>
      </c>
      <c r="V525" s="120">
        <f>V516+(V368+V371+V372+V373+V374+V375+V376)*AVERAGE(ZeroInt!$E$143:$E$145)</f>
        <v>0</v>
      </c>
      <c r="W525" s="120">
        <f>W516+(W368+W371+W372+W373+W374+W375+W376)*AVERAGE(ZeroInt!$E$143:$E$145)</f>
        <v>0</v>
      </c>
      <c r="X525" s="120">
        <f>X516+(X368+X371+X372+X373+X374+X375+X376)*AVERAGE(ZeroInt!$E$143:$E$145)</f>
        <v>0</v>
      </c>
      <c r="Y525" s="120">
        <f>Y516+(Y368+Y371+Y372+Y373+Y374+Y375+Y376)*AVERAGE(ZeroInt!$E$143:$E$145)</f>
        <v>0</v>
      </c>
      <c r="Z525" s="120">
        <f>Z516+(Z368+Z371+Z372+Z373+Z374+Z375+Z376)*AVERAGE(ZeroInt!$E$143:$E$145)</f>
        <v>0</v>
      </c>
      <c r="AA525" s="120">
        <f>AA516+(AA368+AA371+AA372+AA373+AA374+AA375+AA376)*AVERAGE(ZeroInt!$E$143:$E$145)</f>
        <v>0</v>
      </c>
      <c r="AB525" s="120">
        <f>AB516+(AB368+AB371+AB372+AB373+AB374+AB375+AB376)*AVERAGE(ZeroInt!$E$143:$E$145)</f>
        <v>0</v>
      </c>
      <c r="AC525" s="120">
        <f>AC516+(AC368+AC371+AC372+AC373+AC374+AC375+AC376)*AVERAGE(ZeroInt!$E$143:$E$145)</f>
        <v>0</v>
      </c>
      <c r="AD525" s="120">
        <f>AD516+(AD368+AD371+AD372+AD373+AD374+AD375+AD376)*AVERAGE(ZeroInt!$E$143:$E$145)</f>
        <v>0</v>
      </c>
      <c r="AE525" s="120">
        <f>AE516+(AE368+AE371+AE372+AE373+AE374+AE375+AE376)*AVERAGE(ZeroInt!$E$143:$E$145)</f>
        <v>0</v>
      </c>
      <c r="AF525" s="120">
        <f>AF516+(AF368+AF371+AF372+AF373+AF374+AF375+AF376)*AVERAGE(ZeroInt!$E$143:$E$145)</f>
        <v>0</v>
      </c>
      <c r="AG525" s="120">
        <f>SUM(F525:AF525)</f>
        <v>5963159.9124916177</v>
      </c>
      <c r="AH525" s="103" t="str">
        <f t="shared" si="216"/>
        <v>ok</v>
      </c>
      <c r="AJ525" s="141"/>
      <c r="AK525" s="141"/>
      <c r="AL525" s="141"/>
      <c r="AM525" s="141"/>
      <c r="AN525" s="141"/>
    </row>
    <row r="526" spans="1:40" x14ac:dyDescent="0.25">
      <c r="A526" s="102" t="s">
        <v>0</v>
      </c>
      <c r="E526" s="137">
        <f>SUM(E521:E525)</f>
        <v>73253606.111408234</v>
      </c>
      <c r="F526" s="137">
        <f t="shared" ref="F526:AF526" si="223">SUM(F521:F525)</f>
        <v>33212775.789654426</v>
      </c>
      <c r="G526" s="137">
        <f t="shared" si="223"/>
        <v>92038.226091064556</v>
      </c>
      <c r="H526" s="137">
        <f t="shared" si="223"/>
        <v>984923.40524875768</v>
      </c>
      <c r="I526" s="137">
        <f t="shared" si="223"/>
        <v>834301.17181954917</v>
      </c>
      <c r="J526" s="137">
        <f t="shared" si="223"/>
        <v>161843.33043242138</v>
      </c>
      <c r="K526" s="137">
        <f t="shared" si="223"/>
        <v>141964.15883791703</v>
      </c>
      <c r="L526" s="137">
        <f t="shared" si="223"/>
        <v>1538358.6538274223</v>
      </c>
      <c r="M526" s="137">
        <f t="shared" si="223"/>
        <v>7468721.761096633</v>
      </c>
      <c r="N526" s="137">
        <f t="shared" si="223"/>
        <v>50113.786484002187</v>
      </c>
      <c r="O526" s="137">
        <f t="shared" si="223"/>
        <v>0</v>
      </c>
      <c r="P526" s="137">
        <f t="shared" si="223"/>
        <v>164720.4933820049</v>
      </c>
      <c r="Q526" s="137">
        <f t="shared" si="223"/>
        <v>2069536.3344413182</v>
      </c>
      <c r="R526" s="137">
        <f t="shared" si="223"/>
        <v>3471294.7922371738</v>
      </c>
      <c r="S526" s="120">
        <f t="shared" si="223"/>
        <v>3083244.6834902479</v>
      </c>
      <c r="T526" s="120">
        <f t="shared" si="223"/>
        <v>12711490.458155029</v>
      </c>
      <c r="U526" s="120">
        <f t="shared" si="223"/>
        <v>7268279.056300533</v>
      </c>
      <c r="V526" s="120">
        <f t="shared" si="223"/>
        <v>0</v>
      </c>
      <c r="W526" s="120">
        <f t="shared" si="223"/>
        <v>0</v>
      </c>
      <c r="X526" s="120">
        <f t="shared" si="223"/>
        <v>0</v>
      </c>
      <c r="Y526" s="120">
        <f t="shared" si="223"/>
        <v>0</v>
      </c>
      <c r="Z526" s="120">
        <f t="shared" si="223"/>
        <v>0</v>
      </c>
      <c r="AA526" s="120">
        <f t="shared" si="223"/>
        <v>0</v>
      </c>
      <c r="AB526" s="120">
        <f t="shared" si="223"/>
        <v>0</v>
      </c>
      <c r="AC526" s="120">
        <f t="shared" si="223"/>
        <v>0</v>
      </c>
      <c r="AD526" s="120">
        <f t="shared" si="223"/>
        <v>0</v>
      </c>
      <c r="AE526" s="120">
        <f t="shared" si="223"/>
        <v>0</v>
      </c>
      <c r="AF526" s="120">
        <f t="shared" si="223"/>
        <v>0</v>
      </c>
      <c r="AG526" s="120">
        <f t="shared" ref="AG526" si="224">SUM(F526:AF526)</f>
        <v>73253606.1014985</v>
      </c>
      <c r="AH526" s="103" t="str">
        <f t="shared" si="216"/>
        <v>ok</v>
      </c>
      <c r="AJ526" s="141"/>
      <c r="AK526" s="141"/>
      <c r="AL526" s="141"/>
      <c r="AM526" s="141"/>
      <c r="AN526" s="141"/>
    </row>
    <row r="527" spans="1:40" x14ac:dyDescent="0.25">
      <c r="D527" s="102" t="s">
        <v>1028</v>
      </c>
      <c r="E527" s="120">
        <f>E526-E517</f>
        <v>-20422498.728591785</v>
      </c>
    </row>
    <row r="528" spans="1:40" x14ac:dyDescent="0.25">
      <c r="A528" s="132" t="s">
        <v>76</v>
      </c>
      <c r="D528" s="102" t="s">
        <v>1023</v>
      </c>
      <c r="E528" s="120">
        <f>E527-E391</f>
        <v>0</v>
      </c>
      <c r="F528" s="120"/>
      <c r="G528" s="120"/>
      <c r="H528" s="120"/>
      <c r="I528" s="120"/>
      <c r="J528" s="120"/>
      <c r="K528" s="120"/>
    </row>
    <row r="530" spans="1:34" x14ac:dyDescent="0.25">
      <c r="A530" s="102" t="s">
        <v>886</v>
      </c>
      <c r="E530" s="120">
        <f t="shared" ref="E530:R530" si="225">E85</f>
        <v>0</v>
      </c>
      <c r="F530" s="120">
        <f t="shared" si="225"/>
        <v>0</v>
      </c>
      <c r="G530" s="120">
        <f t="shared" si="225"/>
        <v>0</v>
      </c>
      <c r="H530" s="120">
        <f t="shared" si="225"/>
        <v>0</v>
      </c>
      <c r="I530" s="120">
        <f t="shared" si="225"/>
        <v>0</v>
      </c>
      <c r="J530" s="120">
        <f t="shared" si="225"/>
        <v>0</v>
      </c>
      <c r="K530" s="120">
        <f t="shared" si="225"/>
        <v>0</v>
      </c>
      <c r="L530" s="120">
        <f t="shared" si="225"/>
        <v>0</v>
      </c>
      <c r="M530" s="120">
        <f t="shared" si="225"/>
        <v>0</v>
      </c>
      <c r="N530" s="120">
        <f t="shared" si="225"/>
        <v>0</v>
      </c>
      <c r="O530" s="120">
        <f t="shared" si="225"/>
        <v>0</v>
      </c>
      <c r="P530" s="120">
        <f t="shared" si="225"/>
        <v>0</v>
      </c>
      <c r="Q530" s="120">
        <f t="shared" si="225"/>
        <v>0</v>
      </c>
      <c r="R530" s="120">
        <f t="shared" si="225"/>
        <v>0</v>
      </c>
      <c r="AG530" s="120">
        <f>SUM(F530:AF530)</f>
        <v>0</v>
      </c>
      <c r="AH530" s="103" t="str">
        <f>IF(ABS(E530-AG530)&lt;0.01,"ok","err")</f>
        <v>ok</v>
      </c>
    </row>
    <row r="531" spans="1:34" x14ac:dyDescent="0.25">
      <c r="A531" s="102" t="s">
        <v>887</v>
      </c>
      <c r="E531" s="120">
        <f t="shared" ref="E531:R531" si="226">E86</f>
        <v>0</v>
      </c>
      <c r="F531" s="120">
        <f t="shared" si="226"/>
        <v>0</v>
      </c>
      <c r="G531" s="120">
        <f t="shared" si="226"/>
        <v>0</v>
      </c>
      <c r="H531" s="120">
        <f t="shared" si="226"/>
        <v>0</v>
      </c>
      <c r="I531" s="120">
        <f t="shared" si="226"/>
        <v>0</v>
      </c>
      <c r="J531" s="120">
        <f t="shared" si="226"/>
        <v>0</v>
      </c>
      <c r="K531" s="120">
        <f t="shared" si="226"/>
        <v>0</v>
      </c>
      <c r="L531" s="120">
        <f t="shared" si="226"/>
        <v>0</v>
      </c>
      <c r="M531" s="120">
        <f t="shared" si="226"/>
        <v>0</v>
      </c>
      <c r="N531" s="120">
        <f t="shared" si="226"/>
        <v>0</v>
      </c>
      <c r="O531" s="120">
        <f t="shared" si="226"/>
        <v>0</v>
      </c>
      <c r="P531" s="120">
        <f t="shared" si="226"/>
        <v>0</v>
      </c>
      <c r="Q531" s="120">
        <f t="shared" si="226"/>
        <v>0</v>
      </c>
      <c r="R531" s="120">
        <f t="shared" si="226"/>
        <v>0</v>
      </c>
      <c r="AG531" s="120"/>
      <c r="AH531" s="103"/>
    </row>
    <row r="532" spans="1:34" x14ac:dyDescent="0.25">
      <c r="A532" s="102" t="s">
        <v>884</v>
      </c>
      <c r="E532" s="120">
        <f t="shared" ref="E532:R532" si="227">E90</f>
        <v>0</v>
      </c>
      <c r="F532" s="120">
        <f t="shared" si="227"/>
        <v>0</v>
      </c>
      <c r="G532" s="120">
        <f t="shared" si="227"/>
        <v>0</v>
      </c>
      <c r="H532" s="120">
        <f t="shared" si="227"/>
        <v>0</v>
      </c>
      <c r="I532" s="120">
        <f t="shared" si="227"/>
        <v>0</v>
      </c>
      <c r="J532" s="120">
        <f t="shared" si="227"/>
        <v>0</v>
      </c>
      <c r="K532" s="120">
        <f t="shared" si="227"/>
        <v>0</v>
      </c>
      <c r="L532" s="120">
        <f t="shared" si="227"/>
        <v>0</v>
      </c>
      <c r="M532" s="120">
        <f t="shared" si="227"/>
        <v>0</v>
      </c>
      <c r="N532" s="120">
        <f t="shared" si="227"/>
        <v>0</v>
      </c>
      <c r="O532" s="120">
        <f t="shared" si="227"/>
        <v>0</v>
      </c>
      <c r="P532" s="120">
        <f t="shared" si="227"/>
        <v>0</v>
      </c>
      <c r="Q532" s="120">
        <f t="shared" si="227"/>
        <v>0</v>
      </c>
      <c r="R532" s="120">
        <f t="shared" si="227"/>
        <v>0</v>
      </c>
      <c r="AG532" s="120">
        <f>SUM(F532:AF532)</f>
        <v>0</v>
      </c>
      <c r="AH532" s="103" t="str">
        <f>IF(ABS(E532-AG532)&lt;0.01,"ok","err")</f>
        <v>ok</v>
      </c>
    </row>
    <row r="533" spans="1:34" x14ac:dyDescent="0.25">
      <c r="A533" s="102" t="s">
        <v>645</v>
      </c>
      <c r="E533" s="120">
        <f t="shared" ref="E533:AF533" si="228">E93+E96+E101</f>
        <v>46675781.953562655</v>
      </c>
      <c r="F533" s="120">
        <f t="shared" si="228"/>
        <v>33708164.060033411</v>
      </c>
      <c r="G533" s="120">
        <f t="shared" si="228"/>
        <v>99697.666317595998</v>
      </c>
      <c r="H533" s="120">
        <f t="shared" si="228"/>
        <v>1826104.927044539</v>
      </c>
      <c r="I533" s="120">
        <f t="shared" si="228"/>
        <v>4819916.549284664</v>
      </c>
      <c r="J533" s="120">
        <f t="shared" si="228"/>
        <v>832097.85315833997</v>
      </c>
      <c r="K533" s="120">
        <f t="shared" si="228"/>
        <v>36208.338129267271</v>
      </c>
      <c r="L533" s="120">
        <f t="shared" si="228"/>
        <v>1023158.1931733186</v>
      </c>
      <c r="M533" s="120">
        <f t="shared" si="228"/>
        <v>4287456.316799405</v>
      </c>
      <c r="N533" s="120">
        <f t="shared" si="228"/>
        <v>36729.92504344981</v>
      </c>
      <c r="O533" s="120">
        <f t="shared" si="228"/>
        <v>0</v>
      </c>
      <c r="P533" s="120">
        <f t="shared" si="228"/>
        <v>6248.1245786691243</v>
      </c>
      <c r="Q533" s="120">
        <f t="shared" si="228"/>
        <v>0</v>
      </c>
      <c r="R533" s="120">
        <f t="shared" si="228"/>
        <v>0</v>
      </c>
      <c r="S533" s="120">
        <f t="shared" si="228"/>
        <v>0</v>
      </c>
      <c r="T533" s="120">
        <f t="shared" si="228"/>
        <v>0</v>
      </c>
      <c r="U533" s="120">
        <f t="shared" si="228"/>
        <v>0</v>
      </c>
      <c r="V533" s="120">
        <f t="shared" si="228"/>
        <v>0</v>
      </c>
      <c r="W533" s="120">
        <f t="shared" si="228"/>
        <v>0</v>
      </c>
      <c r="X533" s="120">
        <f t="shared" si="228"/>
        <v>0</v>
      </c>
      <c r="Y533" s="120">
        <f t="shared" si="228"/>
        <v>0</v>
      </c>
      <c r="Z533" s="120">
        <f t="shared" si="228"/>
        <v>0</v>
      </c>
      <c r="AA533" s="120">
        <f t="shared" si="228"/>
        <v>0</v>
      </c>
      <c r="AB533" s="120">
        <f t="shared" si="228"/>
        <v>0</v>
      </c>
      <c r="AC533" s="120">
        <f t="shared" si="228"/>
        <v>0</v>
      </c>
      <c r="AD533" s="120">
        <f t="shared" si="228"/>
        <v>0</v>
      </c>
      <c r="AE533" s="120">
        <f t="shared" si="228"/>
        <v>0</v>
      </c>
      <c r="AF533" s="120">
        <f t="shared" si="228"/>
        <v>0</v>
      </c>
      <c r="AG533" s="120">
        <f>SUM(F533:AF533)</f>
        <v>46675781.953562662</v>
      </c>
      <c r="AH533" s="103" t="str">
        <f>IF(ABS(E533-AG533)&lt;0.01,"ok","err")</f>
        <v>ok</v>
      </c>
    </row>
    <row r="534" spans="1:34" x14ac:dyDescent="0.25">
      <c r="A534" s="102" t="s">
        <v>646</v>
      </c>
      <c r="E534" s="119">
        <f t="shared" ref="E534:AD534" si="229">E97+E102+E106+E109+E112+E115</f>
        <v>31753493.078360427</v>
      </c>
      <c r="F534" s="119">
        <f t="shared" si="229"/>
        <v>27386829.902638566</v>
      </c>
      <c r="G534" s="119">
        <f t="shared" si="229"/>
        <v>58095.346686405734</v>
      </c>
      <c r="H534" s="119">
        <f t="shared" si="229"/>
        <v>595762.08464686677</v>
      </c>
      <c r="I534" s="119">
        <f t="shared" si="229"/>
        <v>69486.591134720569</v>
      </c>
      <c r="J534" s="119">
        <f t="shared" si="229"/>
        <v>26199.862231124156</v>
      </c>
      <c r="K534" s="119">
        <f t="shared" si="229"/>
        <v>355406.82678742328</v>
      </c>
      <c r="L534" s="119">
        <f t="shared" si="229"/>
        <v>408996.22277445515</v>
      </c>
      <c r="M534" s="119">
        <f t="shared" si="229"/>
        <v>282040.16465975437</v>
      </c>
      <c r="N534" s="119">
        <f t="shared" si="229"/>
        <v>5458.841896640407</v>
      </c>
      <c r="O534" s="119">
        <f t="shared" si="229"/>
        <v>0</v>
      </c>
      <c r="P534" s="119">
        <f t="shared" si="229"/>
        <v>2565217.234904476</v>
      </c>
      <c r="Q534" s="119">
        <f t="shared" si="229"/>
        <v>0</v>
      </c>
      <c r="R534" s="119">
        <f t="shared" si="229"/>
        <v>0</v>
      </c>
      <c r="S534" s="119">
        <f t="shared" si="229"/>
        <v>0</v>
      </c>
      <c r="T534" s="119">
        <f t="shared" si="229"/>
        <v>0</v>
      </c>
      <c r="U534" s="119">
        <f t="shared" si="229"/>
        <v>0</v>
      </c>
      <c r="V534" s="119">
        <f t="shared" si="229"/>
        <v>0</v>
      </c>
      <c r="W534" s="119">
        <f t="shared" si="229"/>
        <v>0</v>
      </c>
      <c r="X534" s="119">
        <f t="shared" si="229"/>
        <v>0</v>
      </c>
      <c r="Y534" s="119">
        <f t="shared" si="229"/>
        <v>0</v>
      </c>
      <c r="Z534" s="119">
        <f t="shared" si="229"/>
        <v>0</v>
      </c>
      <c r="AA534" s="119">
        <f t="shared" si="229"/>
        <v>0</v>
      </c>
      <c r="AB534" s="119">
        <f t="shared" si="229"/>
        <v>0</v>
      </c>
      <c r="AC534" s="119">
        <f t="shared" si="229"/>
        <v>0</v>
      </c>
      <c r="AD534" s="119">
        <f t="shared" si="229"/>
        <v>0</v>
      </c>
      <c r="AE534" s="119"/>
      <c r="AF534" s="119">
        <f>AF97+AF102+AF106+AF109+AF112+AF115</f>
        <v>0</v>
      </c>
      <c r="AG534" s="120">
        <f>SUM(F534:AF534)</f>
        <v>31753493.078360427</v>
      </c>
      <c r="AH534" s="103" t="str">
        <f>IF(ABS(E534-AG534)&lt;0.01,"ok","err")</f>
        <v>ok</v>
      </c>
    </row>
    <row r="535" spans="1:34" x14ac:dyDescent="0.25">
      <c r="A535" s="102" t="s">
        <v>0</v>
      </c>
      <c r="E535" s="137">
        <f>SUM(E530:E534)</f>
        <v>78429275.031923085</v>
      </c>
      <c r="F535" s="137">
        <f t="shared" ref="F535:U535" si="230">SUM(F530:F534)</f>
        <v>61094993.96267198</v>
      </c>
      <c r="G535" s="137">
        <f t="shared" si="230"/>
        <v>157793.01300400172</v>
      </c>
      <c r="H535" s="137">
        <f t="shared" si="230"/>
        <v>2421867.0116914059</v>
      </c>
      <c r="I535" s="137">
        <f t="shared" si="230"/>
        <v>4889403.1404193845</v>
      </c>
      <c r="J535" s="137">
        <f t="shared" si="230"/>
        <v>858297.71538946417</v>
      </c>
      <c r="K535" s="137">
        <f t="shared" si="230"/>
        <v>391615.16491669056</v>
      </c>
      <c r="L535" s="137">
        <f t="shared" si="230"/>
        <v>1432154.4159477737</v>
      </c>
      <c r="M535" s="137">
        <f t="shared" si="230"/>
        <v>4569496.4814591594</v>
      </c>
      <c r="N535" s="137">
        <f t="shared" si="230"/>
        <v>42188.766940090216</v>
      </c>
      <c r="O535" s="137">
        <f t="shared" si="230"/>
        <v>0</v>
      </c>
      <c r="P535" s="137">
        <f t="shared" si="230"/>
        <v>2571465.3594831452</v>
      </c>
      <c r="Q535" s="137">
        <f t="shared" si="230"/>
        <v>0</v>
      </c>
      <c r="R535" s="137">
        <f t="shared" si="230"/>
        <v>0</v>
      </c>
      <c r="S535" s="137">
        <f t="shared" si="230"/>
        <v>0</v>
      </c>
      <c r="T535" s="137">
        <f t="shared" si="230"/>
        <v>0</v>
      </c>
      <c r="U535" s="137">
        <f t="shared" si="230"/>
        <v>0</v>
      </c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37">
        <f>SUM(F535:AF535)</f>
        <v>78429275.031923085</v>
      </c>
      <c r="AH535" s="103" t="str">
        <f>IF(ABS(E535-AG535)&lt;0.01,"ok","err")</f>
        <v>ok</v>
      </c>
    </row>
    <row r="538" spans="1:34" x14ac:dyDescent="0.25">
      <c r="A538" s="132" t="s">
        <v>757</v>
      </c>
      <c r="C538" s="147">
        <v>3.661248380333549E-2</v>
      </c>
      <c r="R538" s="180"/>
    </row>
    <row r="539" spans="1:34" x14ac:dyDescent="0.25">
      <c r="A539" s="102" t="s">
        <v>886</v>
      </c>
      <c r="E539" s="120">
        <f>E521+(E530*$C$538)</f>
        <v>6081257.8158085886</v>
      </c>
      <c r="F539" s="120">
        <f t="shared" ref="F539:R539" si="231">F521+(F530*$C$538)</f>
        <v>3227192.9850094719</v>
      </c>
      <c r="G539" s="120">
        <f t="shared" si="231"/>
        <v>9484.1700905480029</v>
      </c>
      <c r="H539" s="120">
        <f t="shared" si="231"/>
        <v>82872.951319035928</v>
      </c>
      <c r="I539" s="120">
        <f t="shared" si="231"/>
        <v>6508.493042448501</v>
      </c>
      <c r="J539" s="120">
        <f t="shared" si="231"/>
        <v>3661.0776555936354</v>
      </c>
      <c r="K539" s="120">
        <f t="shared" si="231"/>
        <v>9689.1416607654792</v>
      </c>
      <c r="L539" s="120">
        <f t="shared" si="231"/>
        <v>157440.55932114745</v>
      </c>
      <c r="M539" s="120">
        <f t="shared" si="231"/>
        <v>470000.74100187677</v>
      </c>
      <c r="N539" s="120">
        <f t="shared" si="231"/>
        <v>4814.6768691371444</v>
      </c>
      <c r="O539" s="120">
        <f t="shared" si="231"/>
        <v>0</v>
      </c>
      <c r="P539" s="120">
        <f t="shared" si="231"/>
        <v>925.4886027759951</v>
      </c>
      <c r="Q539" s="120">
        <f t="shared" si="231"/>
        <v>125030.92464970006</v>
      </c>
      <c r="R539" s="120">
        <f t="shared" si="231"/>
        <v>408587.47059412475</v>
      </c>
      <c r="S539" s="120">
        <f>S521</f>
        <v>307578.84195022512</v>
      </c>
      <c r="T539" s="120">
        <f t="shared" ref="T539:U539" si="232">T521</f>
        <v>1467433.4254914531</v>
      </c>
      <c r="U539" s="120">
        <f t="shared" si="232"/>
        <v>-199963.14135945123</v>
      </c>
      <c r="AG539" s="120">
        <f>SUM(F539:AF539)</f>
        <v>6081257.8058988526</v>
      </c>
      <c r="AH539" s="103" t="str">
        <f>IF(ABS(E539-AG539)&lt;0.01,"ok","err")</f>
        <v>ok</v>
      </c>
    </row>
    <row r="540" spans="1:34" x14ac:dyDescent="0.25">
      <c r="A540" s="102" t="s">
        <v>887</v>
      </c>
      <c r="E540" s="120">
        <f>E522+(E531*$C$538)</f>
        <v>53978158.164191425</v>
      </c>
      <c r="F540" s="120">
        <f t="shared" ref="F540:R540" si="233">F522+(F531*$C$538)</f>
        <v>19335994.426759239</v>
      </c>
      <c r="G540" s="120">
        <f t="shared" si="233"/>
        <v>55512.348347176179</v>
      </c>
      <c r="H540" s="120">
        <f t="shared" si="233"/>
        <v>497856.59767454036</v>
      </c>
      <c r="I540" s="120">
        <f t="shared" si="233"/>
        <v>53346.322739400101</v>
      </c>
      <c r="J540" s="120">
        <f t="shared" si="233"/>
        <v>21720.526417170371</v>
      </c>
      <c r="K540" s="120">
        <f t="shared" si="233"/>
        <v>57415.40484961211</v>
      </c>
      <c r="L540" s="120">
        <f t="shared" si="233"/>
        <v>1142006.5684813266</v>
      </c>
      <c r="M540" s="120">
        <f t="shared" si="233"/>
        <v>6270736.3651045272</v>
      </c>
      <c r="N540" s="120">
        <f t="shared" si="233"/>
        <v>38511.13508626297</v>
      </c>
      <c r="O540" s="120">
        <f t="shared" si="233"/>
        <v>0</v>
      </c>
      <c r="P540" s="120">
        <f t="shared" si="233"/>
        <v>9880.6654339201596</v>
      </c>
      <c r="Q540" s="120">
        <f t="shared" si="233"/>
        <v>1944505.4097916181</v>
      </c>
      <c r="R540" s="120">
        <f t="shared" si="233"/>
        <v>3062707.3216430489</v>
      </c>
      <c r="S540" s="120">
        <f>S522</f>
        <v>2775665.8415400228</v>
      </c>
      <c r="T540" s="120">
        <f t="shared" ref="T540:U540" si="234">T522</f>
        <v>11244057.032663576</v>
      </c>
      <c r="U540" s="120">
        <f t="shared" si="234"/>
        <v>7468242.1976599842</v>
      </c>
      <c r="AG540" s="120">
        <f t="shared" ref="AG540:AG544" si="235">SUM(F540:AF540)</f>
        <v>53978158.164191425</v>
      </c>
      <c r="AH540" s="103" t="str">
        <f t="shared" ref="AH540:AH544" si="236">IF(ABS(E540-AG540)&lt;0.01,"ok","err")</f>
        <v>ok</v>
      </c>
    </row>
    <row r="541" spans="1:34" x14ac:dyDescent="0.25">
      <c r="A541" s="102" t="s">
        <v>884</v>
      </c>
      <c r="E541" s="120">
        <f>E523+(E532*$C$538)</f>
        <v>0</v>
      </c>
      <c r="F541" s="120">
        <f t="shared" ref="F541:R541" si="237">F523+(F532*$C$538)</f>
        <v>0</v>
      </c>
      <c r="G541" s="120">
        <f t="shared" si="237"/>
        <v>0</v>
      </c>
      <c r="H541" s="120">
        <f t="shared" si="237"/>
        <v>0</v>
      </c>
      <c r="I541" s="120">
        <f t="shared" si="237"/>
        <v>0</v>
      </c>
      <c r="J541" s="120">
        <f t="shared" si="237"/>
        <v>0</v>
      </c>
      <c r="K541" s="120">
        <f t="shared" si="237"/>
        <v>0</v>
      </c>
      <c r="L541" s="120">
        <f t="shared" si="237"/>
        <v>0</v>
      </c>
      <c r="M541" s="120">
        <f t="shared" si="237"/>
        <v>0</v>
      </c>
      <c r="N541" s="120">
        <f t="shared" si="237"/>
        <v>0</v>
      </c>
      <c r="O541" s="120">
        <f t="shared" si="237"/>
        <v>0</v>
      </c>
      <c r="P541" s="120">
        <f t="shared" si="237"/>
        <v>0</v>
      </c>
      <c r="Q541" s="120">
        <f t="shared" si="237"/>
        <v>0</v>
      </c>
      <c r="R541" s="120">
        <f t="shared" si="237"/>
        <v>0</v>
      </c>
      <c r="S541" s="120"/>
      <c r="T541" s="120"/>
      <c r="U541" s="120"/>
      <c r="AG541" s="120">
        <f t="shared" si="235"/>
        <v>0</v>
      </c>
      <c r="AH541" s="103" t="str">
        <f t="shared" si="236"/>
        <v>ok</v>
      </c>
    </row>
    <row r="542" spans="1:34" x14ac:dyDescent="0.25">
      <c r="A542" s="102" t="s">
        <v>645</v>
      </c>
      <c r="E542" s="120">
        <f>E524+(E533*$C$538)</f>
        <v>8939946.5296994355</v>
      </c>
      <c r="F542" s="120">
        <f t="shared" ref="F542:R542" si="238">F524+(F533*$C$538)</f>
        <v>6450900.9309551911</v>
      </c>
      <c r="G542" s="120">
        <f t="shared" si="238"/>
        <v>19107.91126367556</v>
      </c>
      <c r="H542" s="120">
        <f t="shared" si="238"/>
        <v>350566.6000116911</v>
      </c>
      <c r="I542" s="120">
        <f t="shared" si="238"/>
        <v>927158.55642343429</v>
      </c>
      <c r="J542" s="120">
        <f t="shared" si="238"/>
        <v>160044.71252472157</v>
      </c>
      <c r="K542" s="120">
        <f t="shared" si="238"/>
        <v>6527.0812371933025</v>
      </c>
      <c r="L542" s="120">
        <f t="shared" si="238"/>
        <v>196333.6372019776</v>
      </c>
      <c r="M542" s="120">
        <f t="shared" si="238"/>
        <v>824464.58171344385</v>
      </c>
      <c r="N542" s="120">
        <f t="shared" si="238"/>
        <v>7059.3153850320714</v>
      </c>
      <c r="O542" s="120">
        <f t="shared" si="238"/>
        <v>0</v>
      </c>
      <c r="P542" s="120">
        <f t="shared" si="238"/>
        <v>-2216.797016924565</v>
      </c>
      <c r="Q542" s="120">
        <f t="shared" si="238"/>
        <v>0</v>
      </c>
      <c r="R542" s="120">
        <f t="shared" si="238"/>
        <v>0</v>
      </c>
      <c r="S542" s="120">
        <f>S524+(S534*$C$538)</f>
        <v>0</v>
      </c>
      <c r="T542" s="120">
        <f t="shared" ref="T542:U542" si="239">T524+(T534*$C$538)</f>
        <v>0</v>
      </c>
      <c r="U542" s="120">
        <f t="shared" si="239"/>
        <v>0</v>
      </c>
      <c r="AG542" s="120">
        <f t="shared" si="235"/>
        <v>8939946.5296994373</v>
      </c>
      <c r="AH542" s="103" t="str">
        <f t="shared" si="236"/>
        <v>ok</v>
      </c>
    </row>
    <row r="543" spans="1:34" x14ac:dyDescent="0.25">
      <c r="A543" s="102" t="s">
        <v>646</v>
      </c>
      <c r="E543" s="120">
        <f>E525+(E534*$C$538)</f>
        <v>7125734.163522413</v>
      </c>
      <c r="F543" s="120">
        <f t="shared" ref="F543:R543" si="240">F525+(F534*$C$538)</f>
        <v>6435526.9238537299</v>
      </c>
      <c r="G543" s="120">
        <f t="shared" si="240"/>
        <v>13710.990522553333</v>
      </c>
      <c r="H543" s="120">
        <f t="shared" si="240"/>
        <v>142297.82298287441</v>
      </c>
      <c r="I543" s="120">
        <f t="shared" si="240"/>
        <v>26300.992900848629</v>
      </c>
      <c r="J543" s="120">
        <f t="shared" si="240"/>
        <v>7841.4250380724161</v>
      </c>
      <c r="K543" s="120">
        <f t="shared" si="240"/>
        <v>82670.534972999012</v>
      </c>
      <c r="L543" s="120">
        <f t="shared" si="240"/>
        <v>95012.619180734007</v>
      </c>
      <c r="M543" s="120">
        <f t="shared" si="240"/>
        <v>70820.689193606508</v>
      </c>
      <c r="N543" s="120">
        <f t="shared" si="240"/>
        <v>1273.2946898467505</v>
      </c>
      <c r="O543" s="120">
        <f t="shared" si="240"/>
        <v>0</v>
      </c>
      <c r="P543" s="120">
        <f t="shared" si="240"/>
        <v>250278.87018714822</v>
      </c>
      <c r="Q543" s="120">
        <f t="shared" si="240"/>
        <v>0</v>
      </c>
      <c r="R543" s="120">
        <f t="shared" si="240"/>
        <v>0</v>
      </c>
      <c r="S543" s="120">
        <f>S525+(S535*$C$538)</f>
        <v>0</v>
      </c>
      <c r="T543" s="120">
        <f t="shared" ref="T543:U543" si="241">T525+(T535*$C$538)</f>
        <v>0</v>
      </c>
      <c r="U543" s="120">
        <f t="shared" si="241"/>
        <v>0</v>
      </c>
      <c r="AG543" s="120">
        <f t="shared" si="235"/>
        <v>7125734.1635224139</v>
      </c>
      <c r="AH543" s="103" t="str">
        <f t="shared" si="236"/>
        <v>ok</v>
      </c>
    </row>
    <row r="544" spans="1:34" x14ac:dyDescent="0.25">
      <c r="A544" s="102" t="s">
        <v>0</v>
      </c>
      <c r="C544" s="110"/>
      <c r="E544" s="181">
        <f>SUM(E539:E543)</f>
        <v>76125096.673221856</v>
      </c>
      <c r="F544" s="137">
        <f t="shared" ref="F544:R544" si="242">SUM(F539:F543)</f>
        <v>35449615.266577631</v>
      </c>
      <c r="G544" s="137">
        <f t="shared" si="242"/>
        <v>97815.420223953071</v>
      </c>
      <c r="H544" s="137">
        <f t="shared" si="242"/>
        <v>1073593.9719881418</v>
      </c>
      <c r="I544" s="137">
        <f t="shared" si="242"/>
        <v>1013314.3651061315</v>
      </c>
      <c r="J544" s="137">
        <f t="shared" si="242"/>
        <v>193267.74163555799</v>
      </c>
      <c r="K544" s="137">
        <f t="shared" si="242"/>
        <v>156302.1627205699</v>
      </c>
      <c r="L544" s="137">
        <f t="shared" si="242"/>
        <v>1590793.3841851857</v>
      </c>
      <c r="M544" s="137">
        <f t="shared" si="242"/>
        <v>7636022.3770134542</v>
      </c>
      <c r="N544" s="137">
        <f t="shared" si="242"/>
        <v>51658.42203027894</v>
      </c>
      <c r="O544" s="137">
        <f t="shared" si="242"/>
        <v>0</v>
      </c>
      <c r="P544" s="137">
        <f t="shared" si="242"/>
        <v>258868.22720691981</v>
      </c>
      <c r="Q544" s="137">
        <f t="shared" si="242"/>
        <v>2069536.3344413182</v>
      </c>
      <c r="R544" s="137">
        <f t="shared" si="242"/>
        <v>3471294.7922371738</v>
      </c>
      <c r="S544" s="137">
        <f>SUM(S539:S543)</f>
        <v>3083244.6834902479</v>
      </c>
      <c r="T544" s="137">
        <f t="shared" ref="T544:U544" si="243">SUM(T539:T543)</f>
        <v>12711490.458155029</v>
      </c>
      <c r="U544" s="137">
        <f t="shared" si="243"/>
        <v>7268279.056300533</v>
      </c>
      <c r="AG544" s="137">
        <f t="shared" si="235"/>
        <v>76125096.663312122</v>
      </c>
      <c r="AH544" s="103" t="str">
        <f t="shared" si="236"/>
        <v>ok</v>
      </c>
    </row>
    <row r="545" spans="1:32" x14ac:dyDescent="0.25">
      <c r="D545" s="117" t="s">
        <v>1025</v>
      </c>
      <c r="E545" s="135">
        <v>76125096.673221856</v>
      </c>
    </row>
    <row r="546" spans="1:32" x14ac:dyDescent="0.25">
      <c r="D546" s="117" t="s">
        <v>1015</v>
      </c>
      <c r="E546" s="120">
        <f>E544-E545</f>
        <v>0</v>
      </c>
      <c r="F546" s="110"/>
    </row>
    <row r="547" spans="1:32" x14ac:dyDescent="0.25">
      <c r="E547" s="120"/>
    </row>
    <row r="548" spans="1:32" x14ac:dyDescent="0.25">
      <c r="A548" s="132" t="s">
        <v>647</v>
      </c>
      <c r="E548" s="120"/>
    </row>
    <row r="550" spans="1:32" x14ac:dyDescent="0.25">
      <c r="A550" s="102" t="s">
        <v>984</v>
      </c>
      <c r="F550" s="163">
        <f t="shared" ref="F550:F553" si="244">F521/F$430</f>
        <v>1.0473282318688595E-2</v>
      </c>
      <c r="G550" s="163">
        <f t="shared" ref="G550:N550" si="245">G521/G$430</f>
        <v>1.0427779893072097E-2</v>
      </c>
      <c r="H550" s="163">
        <f t="shared" si="245"/>
        <v>1.0480237712088383E-2</v>
      </c>
      <c r="I550" s="163">
        <f t="shared" si="245"/>
        <v>8.1694172670028504E-3</v>
      </c>
      <c r="J550" s="163">
        <f t="shared" si="245"/>
        <v>1.0480494143224568E-2</v>
      </c>
      <c r="K550" s="163">
        <f t="shared" si="245"/>
        <v>1.0524537336377805E-2</v>
      </c>
      <c r="L550" s="121">
        <f>L521/L$445</f>
        <v>2.206563726216245</v>
      </c>
      <c r="M550" s="121">
        <f>M521/M$445</f>
        <v>1.5719599293659878</v>
      </c>
      <c r="N550" s="163">
        <f t="shared" si="245"/>
        <v>7.7736322480256139E-3</v>
      </c>
      <c r="O550" s="121" t="e">
        <f>O521/O$445</f>
        <v>#DIV/0!</v>
      </c>
      <c r="P550" s="163"/>
      <c r="Q550" s="121">
        <f>Q521/Q$445</f>
        <v>0.80383511086773474</v>
      </c>
      <c r="R550" s="121">
        <f>R521/R$445</f>
        <v>4.256119485355466</v>
      </c>
      <c r="S550" s="121">
        <f ca="1">S521/S$445</f>
        <v>3.7044748455386083</v>
      </c>
      <c r="T550" s="121">
        <f ca="1">T521/T$445</f>
        <v>3.7066602309510777</v>
      </c>
      <c r="U550" s="121">
        <f>U521/U$445</f>
        <v>-0.68376090409665791</v>
      </c>
      <c r="V550" s="121" t="e">
        <f>V512/V433</f>
        <v>#DIV/0!</v>
      </c>
      <c r="W550" s="121" t="e">
        <f>W512/W433</f>
        <v>#DIV/0!</v>
      </c>
      <c r="X550" s="163" t="e">
        <f>X512/X430</f>
        <v>#DIV/0!</v>
      </c>
      <c r="Y550" s="121" t="e">
        <f>Y512/Y433</f>
        <v>#DIV/0!</v>
      </c>
      <c r="Z550" s="182">
        <f>Z512/3624.9</f>
        <v>0</v>
      </c>
      <c r="AA550" s="183">
        <f>AA512/9725.8</f>
        <v>0</v>
      </c>
      <c r="AB550" s="183">
        <f>AB512/12443</f>
        <v>0</v>
      </c>
      <c r="AC550" s="183">
        <f>AC512/9726</f>
        <v>0</v>
      </c>
      <c r="AD550" s="183">
        <f>AD512/10680</f>
        <v>0</v>
      </c>
      <c r="AE550" s="183"/>
      <c r="AF550" s="183"/>
    </row>
    <row r="551" spans="1:32" x14ac:dyDescent="0.25">
      <c r="A551" s="102" t="s">
        <v>888</v>
      </c>
      <c r="F551" s="163">
        <f t="shared" si="244"/>
        <v>6.2751539645976392E-2</v>
      </c>
      <c r="G551" s="163">
        <f t="shared" ref="G551:O551" si="246">G522/G$430</f>
        <v>6.1035445841360933E-2</v>
      </c>
      <c r="H551" s="163">
        <f t="shared" si="246"/>
        <v>6.2959691999797701E-2</v>
      </c>
      <c r="I551" s="163">
        <f t="shared" si="246"/>
        <v>6.6959950218278247E-2</v>
      </c>
      <c r="J551" s="163">
        <f t="shared" si="246"/>
        <v>6.2178918700372926E-2</v>
      </c>
      <c r="K551" s="163">
        <f t="shared" si="246"/>
        <v>6.2365748502767805E-2</v>
      </c>
      <c r="L551" s="163">
        <f t="shared" si="246"/>
        <v>6.3384154245802363E-2</v>
      </c>
      <c r="M551" s="163">
        <f t="shared" si="246"/>
        <v>6.2178918700372919E-2</v>
      </c>
      <c r="N551" s="163">
        <f t="shared" si="246"/>
        <v>6.2178918700372919E-2</v>
      </c>
      <c r="O551" s="163" t="e">
        <f t="shared" si="246"/>
        <v>#DIV/0!</v>
      </c>
      <c r="P551" s="163"/>
      <c r="Q551" s="163">
        <f t="shared" ref="Q551:U551" si="247">Q522/Q$430</f>
        <v>4.689677826641768E-2</v>
      </c>
      <c r="R551" s="163">
        <f t="shared" si="247"/>
        <v>5.1583718811972358E-2</v>
      </c>
      <c r="S551" s="163">
        <f t="shared" si="247"/>
        <v>4.9412784774829181E-2</v>
      </c>
      <c r="T551" s="163">
        <f t="shared" si="247"/>
        <v>4.2561146921944848E-2</v>
      </c>
      <c r="U551" s="163">
        <f t="shared" si="247"/>
        <v>5.3129411869583532E-2</v>
      </c>
      <c r="V551" s="121" t="e">
        <f>V513/V$433</f>
        <v>#DIV/0!</v>
      </c>
      <c r="W551" s="121" t="e">
        <f>W513/W$433</f>
        <v>#DIV/0!</v>
      </c>
      <c r="X551" s="163" t="e">
        <f>X513/X$430</f>
        <v>#DIV/0!</v>
      </c>
      <c r="Y551" s="121" t="e">
        <f>Y513/Y$433</f>
        <v>#DIV/0!</v>
      </c>
      <c r="Z551" s="102" t="e">
        <f>Z513/Z$430</f>
        <v>#DIV/0!</v>
      </c>
      <c r="AA551" s="102" t="e">
        <f>AA513/AA$430</f>
        <v>#DIV/0!</v>
      </c>
      <c r="AB551" s="102" t="e">
        <f>AB513/AB$430</f>
        <v>#DIV/0!</v>
      </c>
      <c r="AC551" s="102" t="e">
        <f>AC513/AC$430</f>
        <v>#DIV/0!</v>
      </c>
      <c r="AD551" s="102" t="e">
        <f>AD513/AD$430</f>
        <v>#DIV/0!</v>
      </c>
    </row>
    <row r="552" spans="1:32" x14ac:dyDescent="0.25">
      <c r="A552" s="102" t="s">
        <v>985</v>
      </c>
      <c r="F552" s="163">
        <f t="shared" si="244"/>
        <v>0</v>
      </c>
      <c r="G552" s="163">
        <f t="shared" ref="G552:N552" si="248">G523/G$430</f>
        <v>0</v>
      </c>
      <c r="H552" s="163">
        <f t="shared" si="248"/>
        <v>0</v>
      </c>
      <c r="I552" s="163">
        <f t="shared" si="248"/>
        <v>0</v>
      </c>
      <c r="J552" s="163">
        <f t="shared" si="248"/>
        <v>0</v>
      </c>
      <c r="K552" s="163">
        <f t="shared" si="248"/>
        <v>0</v>
      </c>
      <c r="L552" s="121">
        <f>L523/L$445</f>
        <v>0</v>
      </c>
      <c r="M552" s="121">
        <f>M523/M$445</f>
        <v>0</v>
      </c>
      <c r="N552" s="163">
        <f t="shared" si="248"/>
        <v>0</v>
      </c>
      <c r="O552" s="121" t="e">
        <f>O523/O$445</f>
        <v>#DIV/0!</v>
      </c>
      <c r="P552" s="163"/>
      <c r="Q552" s="121">
        <f t="shared" ref="Q552:U553" si="249">Q523/Q$445</f>
        <v>0</v>
      </c>
      <c r="R552" s="121">
        <f t="shared" si="249"/>
        <v>0</v>
      </c>
      <c r="S552" s="121">
        <f t="shared" ca="1" si="249"/>
        <v>0</v>
      </c>
      <c r="T552" s="121">
        <f t="shared" ca="1" si="249"/>
        <v>0</v>
      </c>
      <c r="U552" s="121">
        <f t="shared" si="249"/>
        <v>0</v>
      </c>
      <c r="V552" s="121"/>
      <c r="W552" s="121"/>
      <c r="X552" s="163"/>
      <c r="Y552" s="121"/>
    </row>
    <row r="553" spans="1:32" x14ac:dyDescent="0.25">
      <c r="A553" s="102" t="s">
        <v>986</v>
      </c>
      <c r="F553" s="163">
        <f t="shared" si="244"/>
        <v>1.6930073395102843E-2</v>
      </c>
      <c r="G553" s="163">
        <f t="shared" ref="G553:N553" si="250">G524/G$430</f>
        <v>1.69956702734354E-2</v>
      </c>
      <c r="H553" s="163">
        <f t="shared" si="250"/>
        <v>3.5878185068448143E-2</v>
      </c>
      <c r="I553" s="163">
        <f t="shared" si="250"/>
        <v>0.94226040220075669</v>
      </c>
      <c r="J553" s="163">
        <f t="shared" si="250"/>
        <v>0.37094477991191999</v>
      </c>
      <c r="K553" s="163">
        <f t="shared" si="250"/>
        <v>5.6498679633485661E-3</v>
      </c>
      <c r="L553" s="121">
        <f>L524/L$445</f>
        <v>2.2266435404291447</v>
      </c>
      <c r="M553" s="121">
        <f>M524/M$445</f>
        <v>2.2324811178632165</v>
      </c>
      <c r="N553" s="163">
        <f t="shared" si="250"/>
        <v>9.2265267361163767E-3</v>
      </c>
      <c r="O553" s="121" t="e">
        <f>O524/O$445</f>
        <v>#DIV/0!</v>
      </c>
      <c r="P553" s="163"/>
      <c r="Q553" s="121">
        <f t="shared" si="249"/>
        <v>0</v>
      </c>
      <c r="R553" s="121">
        <f t="shared" si="249"/>
        <v>0</v>
      </c>
      <c r="S553" s="121">
        <f t="shared" ca="1" si="249"/>
        <v>0</v>
      </c>
      <c r="T553" s="121">
        <f t="shared" ca="1" si="249"/>
        <v>0</v>
      </c>
      <c r="U553" s="121">
        <f t="shared" si="249"/>
        <v>0</v>
      </c>
      <c r="V553" s="121" t="e">
        <f>V515/V433</f>
        <v>#DIV/0!</v>
      </c>
      <c r="W553" s="121" t="e">
        <f>W515/W433</f>
        <v>#DIV/0!</v>
      </c>
      <c r="X553" s="163" t="e">
        <f>X515/X430</f>
        <v>#DIV/0!</v>
      </c>
      <c r="Y553" s="121" t="e">
        <f>Y515/Y433</f>
        <v>#DIV/0!</v>
      </c>
      <c r="Z553" s="182">
        <f>Z515/12877</f>
        <v>0</v>
      </c>
      <c r="AA553" s="183">
        <f>AA515/11922</f>
        <v>0</v>
      </c>
      <c r="AB553" s="183">
        <f>AB515/14745</f>
        <v>0</v>
      </c>
      <c r="AC553" s="183">
        <f>AC515/10526</f>
        <v>0</v>
      </c>
      <c r="AD553" s="183">
        <f>AD515/11459</f>
        <v>0</v>
      </c>
      <c r="AE553" s="183"/>
      <c r="AF553" s="183"/>
    </row>
    <row r="554" spans="1:32" s="121" customFormat="1" x14ac:dyDescent="0.25">
      <c r="A554" s="121" t="s">
        <v>889</v>
      </c>
      <c r="F554" s="121">
        <f>F525/F433</f>
        <v>18.83102853901045</v>
      </c>
      <c r="G554" s="121">
        <f t="shared" ref="G554:N554" si="251">G525/G433</f>
        <v>18.928064678019844</v>
      </c>
      <c r="H554" s="121">
        <f t="shared" si="251"/>
        <v>19.197816014674892</v>
      </c>
      <c r="I554" s="121">
        <f t="shared" si="251"/>
        <v>32.454803563360215</v>
      </c>
      <c r="J554" s="121">
        <f t="shared" si="251"/>
        <v>24.935445675673048</v>
      </c>
      <c r="K554" s="121">
        <f t="shared" si="251"/>
        <v>18.605290674051712</v>
      </c>
      <c r="L554" s="121">
        <f>L525/L433</f>
        <v>27.561381404538182</v>
      </c>
      <c r="M554" s="121">
        <f>M525/M433</f>
        <v>32.523923781242573</v>
      </c>
      <c r="N554" s="121">
        <f t="shared" si="251"/>
        <v>29.817581370028734</v>
      </c>
      <c r="O554" s="121" t="e">
        <f>O525/O433</f>
        <v>#DIV/0!</v>
      </c>
      <c r="Q554" s="121">
        <f>Q525/Q433</f>
        <v>0</v>
      </c>
      <c r="R554" s="121">
        <f>R525/R433</f>
        <v>0</v>
      </c>
      <c r="S554" s="121">
        <f>S525/S433</f>
        <v>0</v>
      </c>
      <c r="T554" s="121">
        <f>T525/T433</f>
        <v>0</v>
      </c>
      <c r="U554" s="121">
        <f>U525/U433</f>
        <v>0</v>
      </c>
      <c r="V554" s="121" t="e">
        <f t="shared" ref="V554:AD554" si="252">V516/V433</f>
        <v>#DIV/0!</v>
      </c>
      <c r="W554" s="121" t="e">
        <f t="shared" si="252"/>
        <v>#DIV/0!</v>
      </c>
      <c r="X554" s="121" t="e">
        <f t="shared" si="252"/>
        <v>#DIV/0!</v>
      </c>
      <c r="Y554" s="121" t="e">
        <f t="shared" si="252"/>
        <v>#DIV/0!</v>
      </c>
      <c r="Z554" s="121" t="e">
        <f t="shared" si="252"/>
        <v>#DIV/0!</v>
      </c>
      <c r="AA554" s="121" t="e">
        <f t="shared" si="252"/>
        <v>#DIV/0!</v>
      </c>
      <c r="AB554" s="121" t="e">
        <f t="shared" si="252"/>
        <v>#DIV/0!</v>
      </c>
      <c r="AC554" s="121" t="e">
        <f t="shared" si="252"/>
        <v>#DIV/0!</v>
      </c>
      <c r="AD554" s="121" t="e">
        <f t="shared" si="252"/>
        <v>#DIV/0!</v>
      </c>
    </row>
    <row r="557" spans="1:32" x14ac:dyDescent="0.25">
      <c r="A557" s="132" t="s">
        <v>648</v>
      </c>
    </row>
    <row r="558" spans="1:32" x14ac:dyDescent="0.25">
      <c r="A558" s="132"/>
    </row>
    <row r="559" spans="1:32" x14ac:dyDescent="0.25">
      <c r="A559" s="102" t="s">
        <v>984</v>
      </c>
      <c r="F559" s="163">
        <f t="shared" ref="F559:N562" si="253">F530/F$430</f>
        <v>0</v>
      </c>
      <c r="G559" s="163">
        <f t="shared" si="253"/>
        <v>0</v>
      </c>
      <c r="H559" s="163">
        <f t="shared" si="253"/>
        <v>0</v>
      </c>
      <c r="I559" s="163">
        <f t="shared" si="253"/>
        <v>0</v>
      </c>
      <c r="J559" s="163">
        <f t="shared" si="253"/>
        <v>0</v>
      </c>
      <c r="K559" s="163">
        <f t="shared" si="253"/>
        <v>0</v>
      </c>
      <c r="L559" s="121">
        <f>L530/L$445</f>
        <v>0</v>
      </c>
      <c r="M559" s="121">
        <f>M530/M$445</f>
        <v>0</v>
      </c>
      <c r="N559" s="163">
        <f t="shared" si="253"/>
        <v>0</v>
      </c>
      <c r="O559" s="121" t="e">
        <f>O530/O$445</f>
        <v>#DIV/0!</v>
      </c>
      <c r="P559" s="163"/>
      <c r="Q559" s="121">
        <f>Q530/Q$445</f>
        <v>0</v>
      </c>
      <c r="R559" s="121">
        <f>R530/R$445</f>
        <v>0</v>
      </c>
      <c r="S559" s="121">
        <f ca="1">S530/S$445</f>
        <v>0</v>
      </c>
      <c r="T559" s="121">
        <f ca="1">T530/T$445</f>
        <v>0</v>
      </c>
      <c r="U559" s="121">
        <f>U530/U$445</f>
        <v>0</v>
      </c>
    </row>
    <row r="560" spans="1:32" x14ac:dyDescent="0.25">
      <c r="A560" s="102" t="s">
        <v>888</v>
      </c>
      <c r="F560" s="163">
        <f t="shared" si="253"/>
        <v>0</v>
      </c>
      <c r="G560" s="163">
        <f t="shared" si="253"/>
        <v>0</v>
      </c>
      <c r="H560" s="163">
        <f t="shared" si="253"/>
        <v>0</v>
      </c>
      <c r="I560" s="163">
        <f t="shared" si="253"/>
        <v>0</v>
      </c>
      <c r="J560" s="163">
        <f t="shared" si="253"/>
        <v>0</v>
      </c>
      <c r="K560" s="163">
        <f t="shared" si="253"/>
        <v>0</v>
      </c>
      <c r="L560" s="163">
        <f>L531/L$430</f>
        <v>0</v>
      </c>
      <c r="M560" s="163">
        <f>M531/M$430</f>
        <v>0</v>
      </c>
      <c r="N560" s="163">
        <f t="shared" si="253"/>
        <v>0</v>
      </c>
      <c r="O560" s="163" t="e">
        <f>O531/O$430</f>
        <v>#DIV/0!</v>
      </c>
      <c r="P560" s="163"/>
      <c r="Q560" s="163">
        <f>Q531/Q$430</f>
        <v>0</v>
      </c>
      <c r="R560" s="163">
        <f>R531/R$430</f>
        <v>0</v>
      </c>
      <c r="S560" s="163">
        <f>S531/S$430</f>
        <v>0</v>
      </c>
      <c r="T560" s="163">
        <f>T531/T$430</f>
        <v>0</v>
      </c>
      <c r="U560" s="163">
        <f>U531/U$430</f>
        <v>0</v>
      </c>
    </row>
    <row r="561" spans="1:36" x14ac:dyDescent="0.25">
      <c r="A561" s="102" t="s">
        <v>985</v>
      </c>
      <c r="F561" s="163">
        <f t="shared" si="253"/>
        <v>0</v>
      </c>
      <c r="G561" s="163">
        <f t="shared" si="253"/>
        <v>0</v>
      </c>
      <c r="H561" s="163">
        <f t="shared" si="253"/>
        <v>0</v>
      </c>
      <c r="I561" s="163">
        <f t="shared" si="253"/>
        <v>0</v>
      </c>
      <c r="J561" s="163">
        <f t="shared" si="253"/>
        <v>0</v>
      </c>
      <c r="K561" s="163">
        <f t="shared" si="253"/>
        <v>0</v>
      </c>
      <c r="L561" s="121">
        <f>L532/L$445</f>
        <v>0</v>
      </c>
      <c r="M561" s="121">
        <f>M532/M$445</f>
        <v>0</v>
      </c>
      <c r="N561" s="163">
        <f t="shared" si="253"/>
        <v>0</v>
      </c>
      <c r="O561" s="121" t="e">
        <f>O532/O$445</f>
        <v>#DIV/0!</v>
      </c>
      <c r="P561" s="163"/>
      <c r="Q561" s="121">
        <f t="shared" ref="Q561:U562" si="254">Q532/Q$445</f>
        <v>0</v>
      </c>
      <c r="R561" s="121">
        <f t="shared" si="254"/>
        <v>0</v>
      </c>
      <c r="S561" s="121">
        <f t="shared" ca="1" si="254"/>
        <v>0</v>
      </c>
      <c r="T561" s="121">
        <f t="shared" ca="1" si="254"/>
        <v>0</v>
      </c>
      <c r="U561" s="121">
        <f t="shared" si="254"/>
        <v>0</v>
      </c>
    </row>
    <row r="562" spans="1:36" x14ac:dyDescent="0.25">
      <c r="A562" s="102" t="s">
        <v>986</v>
      </c>
      <c r="F562" s="163">
        <f t="shared" si="253"/>
        <v>0.10939386652278749</v>
      </c>
      <c r="G562" s="163">
        <f t="shared" si="253"/>
        <v>0.10961689955865905</v>
      </c>
      <c r="H562" s="163">
        <f t="shared" si="253"/>
        <v>0.23093196776553773</v>
      </c>
      <c r="I562" s="163">
        <f t="shared" si="253"/>
        <v>6.049927260646756</v>
      </c>
      <c r="J562" s="163">
        <f t="shared" si="253"/>
        <v>2.3820299641258664</v>
      </c>
      <c r="K562" s="163">
        <f t="shared" si="253"/>
        <v>3.9330213126387396E-2</v>
      </c>
      <c r="L562" s="121">
        <f>L533/L$445</f>
        <v>14.339784900230271</v>
      </c>
      <c r="M562" s="121">
        <f>M533/M$445</f>
        <v>14.339784900230271</v>
      </c>
      <c r="N562" s="163">
        <f t="shared" si="253"/>
        <v>5.9303030617814854E-2</v>
      </c>
      <c r="O562" s="121" t="e">
        <f>O533/O$445</f>
        <v>#DIV/0!</v>
      </c>
      <c r="P562" s="163"/>
      <c r="Q562" s="121">
        <f t="shared" si="254"/>
        <v>0</v>
      </c>
      <c r="R562" s="121">
        <f t="shared" si="254"/>
        <v>0</v>
      </c>
      <c r="S562" s="121">
        <f t="shared" ca="1" si="254"/>
        <v>0</v>
      </c>
      <c r="T562" s="121">
        <f t="shared" ca="1" si="254"/>
        <v>0</v>
      </c>
      <c r="U562" s="121">
        <f t="shared" si="254"/>
        <v>0</v>
      </c>
      <c r="V562" s="121" t="e">
        <f>V533/V433</f>
        <v>#DIV/0!</v>
      </c>
      <c r="W562" s="121" t="e">
        <f>W533/W433</f>
        <v>#DIV/0!</v>
      </c>
      <c r="X562" s="121" t="e">
        <f>X533/X433</f>
        <v>#DIV/0!</v>
      </c>
      <c r="Y562" s="121" t="e">
        <f>Y533/Y433</f>
        <v>#DIV/0!</v>
      </c>
      <c r="Z562" s="184">
        <f>Z533/12877</f>
        <v>0</v>
      </c>
      <c r="AA562" s="183">
        <f>AA533/11922</f>
        <v>0</v>
      </c>
      <c r="AB562" s="183">
        <f>AB533/14745</f>
        <v>0</v>
      </c>
      <c r="AC562" s="183">
        <f>AC533/10526</f>
        <v>0</v>
      </c>
      <c r="AD562" s="183">
        <f>AD533/11459</f>
        <v>0</v>
      </c>
      <c r="AE562" s="183"/>
      <c r="AF562" s="183"/>
    </row>
    <row r="563" spans="1:36" x14ac:dyDescent="0.25">
      <c r="A563" s="102" t="s">
        <v>889</v>
      </c>
      <c r="F563" s="121">
        <f t="shared" ref="F563" si="255">F534/F$433</f>
        <v>94.927037069290435</v>
      </c>
      <c r="G563" s="121">
        <f t="shared" ref="G563:N563" si="256">G534/G$433</f>
        <v>94.927037069290421</v>
      </c>
      <c r="H563" s="121">
        <f t="shared" si="256"/>
        <v>94.927037069290435</v>
      </c>
      <c r="I563" s="121">
        <f t="shared" si="256"/>
        <v>94.927037069290392</v>
      </c>
      <c r="J563" s="121">
        <f t="shared" si="256"/>
        <v>94.927037069290421</v>
      </c>
      <c r="K563" s="121">
        <f t="shared" si="256"/>
        <v>94.927037069290407</v>
      </c>
      <c r="L563" s="121">
        <f>L534/L$433</f>
        <v>140.83891968817326</v>
      </c>
      <c r="M563" s="121">
        <f>M534/M$433</f>
        <v>151.63449712890019</v>
      </c>
      <c r="N563" s="121">
        <f t="shared" si="256"/>
        <v>151.63449712890019</v>
      </c>
      <c r="O563" s="121" t="e">
        <f>O534/O$433</f>
        <v>#DIV/0!</v>
      </c>
      <c r="P563" s="121"/>
      <c r="Q563" s="121">
        <f>Q534/Q$433</f>
        <v>0</v>
      </c>
      <c r="R563" s="121">
        <f>R534/R$433</f>
        <v>0</v>
      </c>
      <c r="S563" s="121">
        <f>S534/S$433</f>
        <v>0</v>
      </c>
      <c r="T563" s="121">
        <f>T534/T$433</f>
        <v>0</v>
      </c>
      <c r="U563" s="121">
        <f>U534/U$433</f>
        <v>0</v>
      </c>
      <c r="V563" s="121" t="e">
        <f t="shared" ref="V563:AD563" si="257">V534/V$433</f>
        <v>#DIV/0!</v>
      </c>
      <c r="W563" s="121" t="e">
        <f t="shared" si="257"/>
        <v>#DIV/0!</v>
      </c>
      <c r="X563" s="121" t="e">
        <f t="shared" si="257"/>
        <v>#DIV/0!</v>
      </c>
      <c r="Y563" s="121" t="e">
        <f t="shared" si="257"/>
        <v>#DIV/0!</v>
      </c>
      <c r="Z563" s="185" t="e">
        <f t="shared" si="257"/>
        <v>#DIV/0!</v>
      </c>
      <c r="AA563" s="185" t="e">
        <f t="shared" si="257"/>
        <v>#DIV/0!</v>
      </c>
      <c r="AB563" s="185" t="e">
        <f t="shared" si="257"/>
        <v>#DIV/0!</v>
      </c>
      <c r="AC563" s="185" t="e">
        <f t="shared" si="257"/>
        <v>#DIV/0!</v>
      </c>
      <c r="AD563" s="185" t="e">
        <f t="shared" si="257"/>
        <v>#DIV/0!</v>
      </c>
      <c r="AE563" s="185"/>
      <c r="AF563" s="185"/>
    </row>
    <row r="566" spans="1:36" x14ac:dyDescent="0.25">
      <c r="A566" s="131" t="s">
        <v>665</v>
      </c>
      <c r="B566" s="150"/>
      <c r="C566" s="102" t="s">
        <v>895</v>
      </c>
      <c r="F566" s="164">
        <f>F403</f>
        <v>-3.2482695018311518E-2</v>
      </c>
      <c r="G566" s="164">
        <f t="shared" ref="G566:N566" si="258">G403</f>
        <v>-0.12872793478901132</v>
      </c>
      <c r="H566" s="164">
        <f t="shared" si="258"/>
        <v>-3.3875206217909223E-2</v>
      </c>
      <c r="I566" s="164">
        <f t="shared" si="258"/>
        <v>-0.11429334227339531</v>
      </c>
      <c r="J566" s="164">
        <f t="shared" si="258"/>
        <v>1.935769306201493E-2</v>
      </c>
      <c r="K566" s="164">
        <f t="shared" si="258"/>
        <v>4.7871016283268397E-2</v>
      </c>
      <c r="L566" s="164">
        <f>L403</f>
        <v>0.2315833325388813</v>
      </c>
      <c r="M566" s="164">
        <f>M403</f>
        <v>5.693695181027332E-2</v>
      </c>
      <c r="N566" s="164">
        <f t="shared" si="258"/>
        <v>6.63768917683384E-2</v>
      </c>
      <c r="O566" s="164" t="str">
        <f>O403</f>
        <v>NA</v>
      </c>
      <c r="P566" s="164"/>
      <c r="Q566" s="164" t="str">
        <f>Q403</f>
        <v>NA</v>
      </c>
      <c r="R566" s="164" t="str">
        <f>R403</f>
        <v>NA</v>
      </c>
      <c r="S566" s="164" t="str">
        <f>S403</f>
        <v>NA</v>
      </c>
      <c r="T566" s="164" t="str">
        <f>T403</f>
        <v>NA</v>
      </c>
      <c r="U566" s="164" t="str">
        <f>U403</f>
        <v>NA</v>
      </c>
    </row>
    <row r="567" spans="1:36" x14ac:dyDescent="0.25">
      <c r="A567" s="132"/>
    </row>
    <row r="568" spans="1:36" x14ac:dyDescent="0.25">
      <c r="A568" s="132" t="s">
        <v>759</v>
      </c>
    </row>
    <row r="569" spans="1:36" x14ac:dyDescent="0.25">
      <c r="A569" s="102" t="s">
        <v>987</v>
      </c>
      <c r="F569" s="162">
        <f t="shared" ref="F569" si="259">F550</f>
        <v>1.0473282318688595E-2</v>
      </c>
      <c r="G569" s="162">
        <f t="shared" ref="G569:N569" si="260">G550</f>
        <v>1.0427779893072097E-2</v>
      </c>
      <c r="H569" s="162">
        <f t="shared" si="260"/>
        <v>1.0480237712088383E-2</v>
      </c>
      <c r="I569" s="162">
        <f t="shared" si="260"/>
        <v>8.1694172670028504E-3</v>
      </c>
      <c r="J569" s="162">
        <f t="shared" si="260"/>
        <v>1.0480494143224568E-2</v>
      </c>
      <c r="K569" s="162">
        <f t="shared" si="260"/>
        <v>1.0524537336377805E-2</v>
      </c>
      <c r="L569" s="121">
        <f>L550</f>
        <v>2.206563726216245</v>
      </c>
      <c r="M569" s="121">
        <f>M550</f>
        <v>1.5719599293659878</v>
      </c>
      <c r="N569" s="162">
        <f t="shared" si="260"/>
        <v>7.7736322480256139E-3</v>
      </c>
      <c r="O569" s="121" t="e">
        <f>O550</f>
        <v>#DIV/0!</v>
      </c>
      <c r="P569" s="162"/>
      <c r="Q569" s="121">
        <f>Q550</f>
        <v>0.80383511086773474</v>
      </c>
      <c r="R569" s="121">
        <f>R550</f>
        <v>4.256119485355466</v>
      </c>
      <c r="S569" s="121">
        <f ca="1">S550</f>
        <v>3.7044748455386083</v>
      </c>
      <c r="T569" s="121">
        <f ca="1">T550</f>
        <v>3.7066602309510777</v>
      </c>
      <c r="U569" s="121">
        <f>U550</f>
        <v>-0.68376090409665791</v>
      </c>
      <c r="V569" s="162" t="e">
        <f>#REF!</f>
        <v>#REF!</v>
      </c>
      <c r="W569" s="162" t="e">
        <f>#REF!</f>
        <v>#REF!</v>
      </c>
      <c r="X569" s="162" t="e">
        <f>#REF!</f>
        <v>#REF!</v>
      </c>
      <c r="Y569" s="162" t="e">
        <f>#REF!</f>
        <v>#REF!</v>
      </c>
      <c r="Z569" s="162" t="e">
        <f>#REF!</f>
        <v>#REF!</v>
      </c>
      <c r="AA569" s="162" t="e">
        <f>#REF!</f>
        <v>#REF!</v>
      </c>
      <c r="AB569" s="162" t="e">
        <f>#REF!</f>
        <v>#REF!</v>
      </c>
      <c r="AC569" s="162" t="e">
        <f>#REF!</f>
        <v>#REF!</v>
      </c>
      <c r="AD569" s="162" t="e">
        <f>#REF!</f>
        <v>#REF!</v>
      </c>
      <c r="AE569" s="162" t="e">
        <f>#REF!</f>
        <v>#REF!</v>
      </c>
      <c r="AF569" s="162" t="e">
        <f>#REF!</f>
        <v>#REF!</v>
      </c>
    </row>
    <row r="570" spans="1:36" x14ac:dyDescent="0.25">
      <c r="A570" s="102" t="s">
        <v>988</v>
      </c>
      <c r="F570" s="162">
        <f>(F530*F403)/F$430</f>
        <v>0</v>
      </c>
      <c r="G570" s="162">
        <f t="shared" ref="G570:N570" si="261">(G530*G403)/G$430</f>
        <v>0</v>
      </c>
      <c r="H570" s="162">
        <f t="shared" si="261"/>
        <v>0</v>
      </c>
      <c r="I570" s="162">
        <f t="shared" si="261"/>
        <v>0</v>
      </c>
      <c r="J570" s="162">
        <f t="shared" si="261"/>
        <v>0</v>
      </c>
      <c r="K570" s="162">
        <f t="shared" si="261"/>
        <v>0</v>
      </c>
      <c r="L570" s="121">
        <f>(L530*L403)/L$445</f>
        <v>0</v>
      </c>
      <c r="M570" s="121">
        <f>(M530*M403)/M$445</f>
        <v>0</v>
      </c>
      <c r="N570" s="162">
        <f t="shared" si="261"/>
        <v>0</v>
      </c>
      <c r="O570" s="121" t="e">
        <f>(O530*O403)/O$445</f>
        <v>#VALUE!</v>
      </c>
      <c r="P570" s="162"/>
      <c r="Q570" s="121" t="e">
        <f>(Q530*Q403)/Q$445</f>
        <v>#VALUE!</v>
      </c>
      <c r="R570" s="121" t="e">
        <f>(R530*R403)/R$445</f>
        <v>#VALUE!</v>
      </c>
      <c r="S570" s="121" t="e">
        <f ca="1">(S530*S403)/S$445</f>
        <v>#VALUE!</v>
      </c>
      <c r="T570" s="121" t="e">
        <f ca="1">(T530*T403)/T$445</f>
        <v>#VALUE!</v>
      </c>
      <c r="U570" s="121" t="e">
        <f>(U530*U403)/U$445</f>
        <v>#VALUE!</v>
      </c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</row>
    <row r="571" spans="1:36" x14ac:dyDescent="0.25">
      <c r="A571" s="102" t="s">
        <v>890</v>
      </c>
      <c r="F571" s="162">
        <f t="shared" ref="F571" si="262">F551</f>
        <v>6.2751539645976392E-2</v>
      </c>
      <c r="G571" s="162">
        <f t="shared" ref="G571:O571" si="263">G551</f>
        <v>6.1035445841360933E-2</v>
      </c>
      <c r="H571" s="162">
        <f t="shared" si="263"/>
        <v>6.2959691999797701E-2</v>
      </c>
      <c r="I571" s="162">
        <f t="shared" si="263"/>
        <v>6.6959950218278247E-2</v>
      </c>
      <c r="J571" s="162">
        <f t="shared" si="263"/>
        <v>6.2178918700372926E-2</v>
      </c>
      <c r="K571" s="162">
        <f t="shared" si="263"/>
        <v>6.2365748502767805E-2</v>
      </c>
      <c r="L571" s="162">
        <f t="shared" si="263"/>
        <v>6.3384154245802363E-2</v>
      </c>
      <c r="M571" s="162">
        <f t="shared" si="263"/>
        <v>6.2178918700372919E-2</v>
      </c>
      <c r="N571" s="162">
        <f t="shared" si="263"/>
        <v>6.2178918700372919E-2</v>
      </c>
      <c r="O571" s="162" t="e">
        <f t="shared" si="263"/>
        <v>#DIV/0!</v>
      </c>
      <c r="P571" s="162"/>
      <c r="Q571" s="162">
        <f t="shared" ref="Q571" si="264">Q551</f>
        <v>4.689677826641768E-2</v>
      </c>
      <c r="R571" s="162">
        <f t="shared" ref="R571:U571" si="265">R551</f>
        <v>5.1583718811972358E-2</v>
      </c>
      <c r="S571" s="162">
        <f t="shared" si="265"/>
        <v>4.9412784774829181E-2</v>
      </c>
      <c r="T571" s="162">
        <f t="shared" si="265"/>
        <v>4.2561146921944848E-2</v>
      </c>
      <c r="U571" s="162">
        <f t="shared" si="265"/>
        <v>5.3129411869583532E-2</v>
      </c>
      <c r="V571" s="162" t="e">
        <f>#REF!</f>
        <v>#REF!</v>
      </c>
      <c r="W571" s="162" t="e">
        <f>#REF!</f>
        <v>#REF!</v>
      </c>
      <c r="X571" s="162" t="e">
        <f>#REF!</f>
        <v>#REF!</v>
      </c>
      <c r="Y571" s="162" t="e">
        <f>#REF!</f>
        <v>#REF!</v>
      </c>
      <c r="Z571" s="162" t="e">
        <f>#REF!</f>
        <v>#REF!</v>
      </c>
      <c r="AA571" s="162" t="e">
        <f>#REF!</f>
        <v>#REF!</v>
      </c>
      <c r="AB571" s="162" t="e">
        <f>#REF!</f>
        <v>#REF!</v>
      </c>
      <c r="AC571" s="162" t="e">
        <f>#REF!</f>
        <v>#REF!</v>
      </c>
      <c r="AD571" s="162" t="e">
        <f>#REF!</f>
        <v>#REF!</v>
      </c>
      <c r="AE571" s="162" t="e">
        <f>#REF!</f>
        <v>#REF!</v>
      </c>
      <c r="AF571" s="162" t="e">
        <f>#REF!</f>
        <v>#REF!</v>
      </c>
    </row>
    <row r="572" spans="1:36" x14ac:dyDescent="0.25">
      <c r="A572" s="102" t="s">
        <v>891</v>
      </c>
      <c r="F572" s="162">
        <f>(F531*F403)/F$430</f>
        <v>0</v>
      </c>
      <c r="G572" s="162">
        <f t="shared" ref="G572:N572" si="266">(G531*G403)/G$430</f>
        <v>0</v>
      </c>
      <c r="H572" s="162">
        <f t="shared" si="266"/>
        <v>0</v>
      </c>
      <c r="I572" s="162">
        <f t="shared" si="266"/>
        <v>0</v>
      </c>
      <c r="J572" s="162">
        <f t="shared" si="266"/>
        <v>0</v>
      </c>
      <c r="K572" s="162">
        <f t="shared" si="266"/>
        <v>0</v>
      </c>
      <c r="L572" s="162">
        <f>(L531*L403)/L$430</f>
        <v>0</v>
      </c>
      <c r="M572" s="162">
        <f>(M531*M403)/M$430</f>
        <v>0</v>
      </c>
      <c r="N572" s="162">
        <f t="shared" si="266"/>
        <v>0</v>
      </c>
      <c r="O572" s="162" t="e">
        <f>(O531*O403)/O$430</f>
        <v>#VALUE!</v>
      </c>
      <c r="P572" s="162"/>
      <c r="Q572" s="162" t="e">
        <f>(Q531*Q403)/Q$430</f>
        <v>#VALUE!</v>
      </c>
      <c r="R572" s="162" t="e">
        <f>(R531*R403)/R$430</f>
        <v>#VALUE!</v>
      </c>
      <c r="S572" s="162" t="e">
        <f>(S531*S403)/S$430</f>
        <v>#VALUE!</v>
      </c>
      <c r="T572" s="162" t="e">
        <f>(T531*T403)/T$430</f>
        <v>#VALUE!</v>
      </c>
      <c r="U572" s="162" t="e">
        <f>(U531*U403)/U$430</f>
        <v>#VALUE!</v>
      </c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</row>
    <row r="573" spans="1:36" x14ac:dyDescent="0.25"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</row>
    <row r="574" spans="1:36" x14ac:dyDescent="0.25">
      <c r="A574" s="132" t="s">
        <v>884</v>
      </c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</row>
    <row r="575" spans="1:36" x14ac:dyDescent="0.25">
      <c r="A575" s="102" t="s">
        <v>989</v>
      </c>
      <c r="F575" s="162">
        <f t="shared" ref="F575" si="267">F552</f>
        <v>0</v>
      </c>
      <c r="G575" s="162">
        <f t="shared" ref="G575:O575" si="268">G552</f>
        <v>0</v>
      </c>
      <c r="H575" s="162">
        <f t="shared" si="268"/>
        <v>0</v>
      </c>
      <c r="I575" s="162">
        <f t="shared" si="268"/>
        <v>0</v>
      </c>
      <c r="J575" s="162">
        <f t="shared" si="268"/>
        <v>0</v>
      </c>
      <c r="K575" s="162">
        <f t="shared" si="268"/>
        <v>0</v>
      </c>
      <c r="L575" s="121">
        <f t="shared" si="268"/>
        <v>0</v>
      </c>
      <c r="M575" s="121">
        <f t="shared" si="268"/>
        <v>0</v>
      </c>
      <c r="N575" s="162">
        <f t="shared" si="268"/>
        <v>0</v>
      </c>
      <c r="O575" s="121" t="e">
        <f t="shared" si="268"/>
        <v>#DIV/0!</v>
      </c>
      <c r="P575" s="162"/>
      <c r="Q575" s="121">
        <f t="shared" ref="Q575" si="269">Q552</f>
        <v>0</v>
      </c>
      <c r="R575" s="121">
        <f t="shared" ref="R575:U575" si="270">R552</f>
        <v>0</v>
      </c>
      <c r="S575" s="121">
        <f t="shared" ca="1" si="270"/>
        <v>0</v>
      </c>
      <c r="T575" s="121">
        <f t="shared" ca="1" si="270"/>
        <v>0</v>
      </c>
      <c r="U575" s="121">
        <f t="shared" si="270"/>
        <v>0</v>
      </c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</row>
    <row r="576" spans="1:36" s="105" customFormat="1" ht="15" x14ac:dyDescent="0.25">
      <c r="A576" s="105" t="s">
        <v>990</v>
      </c>
      <c r="E576" s="186"/>
      <c r="F576" s="187">
        <f>(F532*F403)/F$430</f>
        <v>0</v>
      </c>
      <c r="G576" s="187">
        <f t="shared" ref="G576:N576" si="271">(G532*G403)/G$430</f>
        <v>0</v>
      </c>
      <c r="H576" s="187">
        <f t="shared" si="271"/>
        <v>0</v>
      </c>
      <c r="I576" s="187">
        <f t="shared" si="271"/>
        <v>0</v>
      </c>
      <c r="J576" s="187">
        <f t="shared" si="271"/>
        <v>0</v>
      </c>
      <c r="K576" s="187">
        <f t="shared" si="271"/>
        <v>0</v>
      </c>
      <c r="L576" s="188">
        <f>(L532*L403)/L$445</f>
        <v>0</v>
      </c>
      <c r="M576" s="188">
        <f>(M532*M403)/M$445</f>
        <v>0</v>
      </c>
      <c r="N576" s="187">
        <f t="shared" si="271"/>
        <v>0</v>
      </c>
      <c r="O576" s="188" t="e">
        <f>(O532*O403)/O$445</f>
        <v>#VALUE!</v>
      </c>
      <c r="P576" s="187"/>
      <c r="Q576" s="188" t="e">
        <f>(Q532*Q403)/Q$445</f>
        <v>#VALUE!</v>
      </c>
      <c r="R576" s="188" t="e">
        <f>(R532*R403)/R$445</f>
        <v>#VALUE!</v>
      </c>
      <c r="S576" s="188" t="e">
        <f ca="1">(S532*S403)/S$445</f>
        <v>#VALUE!</v>
      </c>
      <c r="T576" s="188" t="e">
        <f ca="1">(T532*T403)/T$445</f>
        <v>#VALUE!</v>
      </c>
      <c r="U576" s="188" t="e">
        <f>(U532*U403)/U$445</f>
        <v>#VALUE!</v>
      </c>
      <c r="AJ576" s="189"/>
    </row>
    <row r="577" spans="1:32" x14ac:dyDescent="0.25">
      <c r="B577" s="102" t="s">
        <v>991</v>
      </c>
      <c r="F577" s="190">
        <f t="shared" ref="F577" si="272">F576+F575</f>
        <v>0</v>
      </c>
      <c r="G577" s="190">
        <f t="shared" ref="G577:O577" si="273">G576+G575</f>
        <v>0</v>
      </c>
      <c r="H577" s="190">
        <f t="shared" si="273"/>
        <v>0</v>
      </c>
      <c r="I577" s="190">
        <f t="shared" si="273"/>
        <v>0</v>
      </c>
      <c r="J577" s="190">
        <f t="shared" si="273"/>
        <v>0</v>
      </c>
      <c r="K577" s="190">
        <f t="shared" si="273"/>
        <v>0</v>
      </c>
      <c r="L577" s="121">
        <f t="shared" si="273"/>
        <v>0</v>
      </c>
      <c r="M577" s="121">
        <f t="shared" si="273"/>
        <v>0</v>
      </c>
      <c r="N577" s="190">
        <f t="shared" si="273"/>
        <v>0</v>
      </c>
      <c r="O577" s="121" t="e">
        <f t="shared" si="273"/>
        <v>#VALUE!</v>
      </c>
      <c r="P577" s="190"/>
      <c r="Q577" s="121" t="e">
        <f t="shared" ref="Q577" si="274">Q576+Q575</f>
        <v>#VALUE!</v>
      </c>
      <c r="R577" s="121" t="e">
        <f t="shared" ref="R577:U577" si="275">R576+R575</f>
        <v>#VALUE!</v>
      </c>
      <c r="S577" s="121" t="e">
        <f t="shared" ca="1" si="275"/>
        <v>#VALUE!</v>
      </c>
      <c r="T577" s="121" t="e">
        <f t="shared" ca="1" si="275"/>
        <v>#VALUE!</v>
      </c>
      <c r="U577" s="121" t="e">
        <f t="shared" si="275"/>
        <v>#VALUE!</v>
      </c>
    </row>
    <row r="579" spans="1:32" x14ac:dyDescent="0.25">
      <c r="A579" s="132" t="s">
        <v>666</v>
      </c>
    </row>
    <row r="580" spans="1:32" x14ac:dyDescent="0.25">
      <c r="A580" s="102" t="s">
        <v>992</v>
      </c>
      <c r="F580" s="162">
        <f t="shared" ref="F580" si="276">F553</f>
        <v>1.6930073395102843E-2</v>
      </c>
      <c r="G580" s="162">
        <f t="shared" ref="G580:O580" si="277">G553</f>
        <v>1.69956702734354E-2</v>
      </c>
      <c r="H580" s="162">
        <f t="shared" si="277"/>
        <v>3.5878185068448143E-2</v>
      </c>
      <c r="I580" s="162">
        <f t="shared" si="277"/>
        <v>0.94226040220075669</v>
      </c>
      <c r="J580" s="162">
        <f t="shared" si="277"/>
        <v>0.37094477991191999</v>
      </c>
      <c r="K580" s="162">
        <f t="shared" si="277"/>
        <v>5.6498679633485661E-3</v>
      </c>
      <c r="L580" s="121">
        <f t="shared" si="277"/>
        <v>2.2266435404291447</v>
      </c>
      <c r="M580" s="121">
        <f t="shared" si="277"/>
        <v>2.2324811178632165</v>
      </c>
      <c r="N580" s="162">
        <f t="shared" si="277"/>
        <v>9.2265267361163767E-3</v>
      </c>
      <c r="O580" s="121" t="e">
        <f t="shared" si="277"/>
        <v>#DIV/0!</v>
      </c>
      <c r="P580" s="162"/>
      <c r="Q580" s="121">
        <f t="shared" ref="Q580" si="278">Q553</f>
        <v>0</v>
      </c>
      <c r="R580" s="121">
        <f t="shared" ref="R580:U580" si="279">R553</f>
        <v>0</v>
      </c>
      <c r="S580" s="121">
        <f t="shared" ca="1" si="279"/>
        <v>0</v>
      </c>
      <c r="T580" s="121">
        <f t="shared" ca="1" si="279"/>
        <v>0</v>
      </c>
      <c r="U580" s="121">
        <f t="shared" si="279"/>
        <v>0</v>
      </c>
      <c r="V580" s="162" t="e">
        <f>#REF!</f>
        <v>#REF!</v>
      </c>
      <c r="W580" s="162" t="e">
        <f>#REF!</f>
        <v>#REF!</v>
      </c>
      <c r="X580" s="162" t="e">
        <f>#REF!</f>
        <v>#REF!</v>
      </c>
      <c r="Y580" s="162" t="e">
        <f>#REF!</f>
        <v>#REF!</v>
      </c>
      <c r="Z580" s="162" t="e">
        <f>#REF!</f>
        <v>#REF!</v>
      </c>
      <c r="AA580" s="162" t="e">
        <f>#REF!</f>
        <v>#REF!</v>
      </c>
      <c r="AB580" s="162" t="e">
        <f>#REF!</f>
        <v>#REF!</v>
      </c>
      <c r="AC580" s="162" t="e">
        <f>#REF!</f>
        <v>#REF!</v>
      </c>
      <c r="AD580" s="162" t="e">
        <f>#REF!</f>
        <v>#REF!</v>
      </c>
      <c r="AE580" s="162" t="e">
        <f>#REF!</f>
        <v>#REF!</v>
      </c>
      <c r="AF580" s="162" t="e">
        <f>#REF!</f>
        <v>#REF!</v>
      </c>
    </row>
    <row r="581" spans="1:32" ht="15" x14ac:dyDescent="0.4">
      <c r="A581" s="105" t="s">
        <v>993</v>
      </c>
      <c r="E581" s="162"/>
      <c r="F581" s="191">
        <f>(F533*F403)/F$430</f>
        <v>-3.5534076031335841E-3</v>
      </c>
      <c r="G581" s="191">
        <f t="shared" ref="G581:N581" si="280">(G533*G403)/G$430</f>
        <v>-1.4110757098160665E-2</v>
      </c>
      <c r="H581" s="191">
        <f t="shared" si="280"/>
        <v>-7.822868030365155E-3</v>
      </c>
      <c r="I581" s="191">
        <f t="shared" si="280"/>
        <v>-0.69146640713024454</v>
      </c>
      <c r="J581" s="191">
        <f t="shared" si="280"/>
        <v>4.6110604910070956E-2</v>
      </c>
      <c r="K581" s="191">
        <f t="shared" si="280"/>
        <v>1.8827772729977075E-3</v>
      </c>
      <c r="L581" s="192">
        <f>(L533*L403)/L$445</f>
        <v>3.3208551750860558</v>
      </c>
      <c r="M581" s="192">
        <f>(M533*M403)/M$445</f>
        <v>0.81646364183409592</v>
      </c>
      <c r="N581" s="191">
        <f t="shared" si="280"/>
        <v>3.9363508448531544E-3</v>
      </c>
      <c r="O581" s="192" t="e">
        <f>(O533*O403)/O$445</f>
        <v>#VALUE!</v>
      </c>
      <c r="P581" s="191"/>
      <c r="Q581" s="192" t="e">
        <f>(Q533*Q403)/Q$445</f>
        <v>#VALUE!</v>
      </c>
      <c r="R581" s="192" t="e">
        <f>(R533*R403)/R$445</f>
        <v>#VALUE!</v>
      </c>
      <c r="S581" s="192" t="e">
        <f ca="1">(S533*S403)/S$445</f>
        <v>#VALUE!</v>
      </c>
      <c r="T581" s="192" t="e">
        <f ca="1">(T533*T403)/T$445</f>
        <v>#VALUE!</v>
      </c>
      <c r="U581" s="192" t="e">
        <f>(U533*U403)/U$445</f>
        <v>#VALUE!</v>
      </c>
      <c r="V581" s="191" t="e">
        <f>(#REF!*V330)/7284</f>
        <v>#REF!</v>
      </c>
      <c r="W581" s="191" t="e">
        <f>(#REF!*W330)/320.47</f>
        <v>#REF!</v>
      </c>
      <c r="X581" s="191" t="e">
        <f>(#REF!*X330)/26669</f>
        <v>#REF!</v>
      </c>
      <c r="Y581" s="191" t="e">
        <f>(#REF!*Y330)/68503</f>
        <v>#REF!</v>
      </c>
      <c r="Z581" s="191" t="e">
        <f>(#REF!*Z330)/Z$430</f>
        <v>#REF!</v>
      </c>
      <c r="AA581" s="191" t="e">
        <f>(#REF!*AA330)/17492.7</f>
        <v>#REF!</v>
      </c>
      <c r="AB581" s="191" t="e">
        <f>(#REF!*AB330)/10846</f>
        <v>#REF!</v>
      </c>
      <c r="AC581" s="191" t="e">
        <f>(#REF!*AC330)/12274</f>
        <v>#REF!</v>
      </c>
      <c r="AD581" s="191" t="e">
        <f>(#REF!*AD330)/10405</f>
        <v>#REF!</v>
      </c>
      <c r="AE581" s="191" t="e">
        <f>(#REF!*AE330)/12044</f>
        <v>#REF!</v>
      </c>
      <c r="AF581" s="191" t="e">
        <f>(#REF!*#REF!)/AF$443/12</f>
        <v>#REF!</v>
      </c>
    </row>
    <row r="582" spans="1:32" x14ac:dyDescent="0.25">
      <c r="B582" s="102" t="s">
        <v>994</v>
      </c>
      <c r="F582" s="162">
        <f t="shared" ref="F582" si="281">F580+F581</f>
        <v>1.3376665791969259E-2</v>
      </c>
      <c r="G582" s="162">
        <f t="shared" ref="G582:O582" si="282">G580+G581</f>
        <v>2.8849131752747351E-3</v>
      </c>
      <c r="H582" s="162">
        <f t="shared" si="282"/>
        <v>2.8055317038082988E-2</v>
      </c>
      <c r="I582" s="162">
        <f t="shared" si="282"/>
        <v>0.25079399507051214</v>
      </c>
      <c r="J582" s="162">
        <f t="shared" si="282"/>
        <v>0.41705538482199095</v>
      </c>
      <c r="K582" s="162">
        <f t="shared" si="282"/>
        <v>7.5326452363462734E-3</v>
      </c>
      <c r="L582" s="121">
        <f t="shared" si="282"/>
        <v>5.5474987155152</v>
      </c>
      <c r="M582" s="121">
        <f t="shared" si="282"/>
        <v>3.0489447596973123</v>
      </c>
      <c r="N582" s="162">
        <f t="shared" si="282"/>
        <v>1.3162877580969531E-2</v>
      </c>
      <c r="O582" s="121" t="e">
        <f t="shared" si="282"/>
        <v>#DIV/0!</v>
      </c>
      <c r="P582" s="162"/>
      <c r="Q582" s="121" t="e">
        <f t="shared" ref="Q582" si="283">Q580+Q581</f>
        <v>#VALUE!</v>
      </c>
      <c r="R582" s="121" t="e">
        <f t="shared" ref="R582:U582" si="284">R580+R581</f>
        <v>#VALUE!</v>
      </c>
      <c r="S582" s="121" t="e">
        <f t="shared" ca="1" si="284"/>
        <v>#VALUE!</v>
      </c>
      <c r="T582" s="121" t="e">
        <f t="shared" ca="1" si="284"/>
        <v>#VALUE!</v>
      </c>
      <c r="U582" s="121" t="e">
        <f t="shared" si="284"/>
        <v>#VALUE!</v>
      </c>
      <c r="V582" s="162" t="e">
        <f t="shared" ref="V582:AF582" si="285">V580+V581</f>
        <v>#REF!</v>
      </c>
      <c r="W582" s="162" t="e">
        <f t="shared" si="285"/>
        <v>#REF!</v>
      </c>
      <c r="X582" s="162" t="e">
        <f t="shared" si="285"/>
        <v>#REF!</v>
      </c>
      <c r="Y582" s="162" t="e">
        <f t="shared" si="285"/>
        <v>#REF!</v>
      </c>
      <c r="Z582" s="162" t="e">
        <f t="shared" si="285"/>
        <v>#REF!</v>
      </c>
      <c r="AA582" s="162" t="e">
        <f t="shared" si="285"/>
        <v>#REF!</v>
      </c>
      <c r="AB582" s="162" t="e">
        <f t="shared" si="285"/>
        <v>#REF!</v>
      </c>
      <c r="AC582" s="162" t="e">
        <f t="shared" si="285"/>
        <v>#REF!</v>
      </c>
      <c r="AD582" s="162" t="e">
        <f t="shared" si="285"/>
        <v>#REF!</v>
      </c>
      <c r="AE582" s="162" t="e">
        <f t="shared" si="285"/>
        <v>#REF!</v>
      </c>
      <c r="AF582" s="162" t="e">
        <f t="shared" si="285"/>
        <v>#REF!</v>
      </c>
    </row>
    <row r="584" spans="1:32" x14ac:dyDescent="0.25">
      <c r="A584" s="132" t="s">
        <v>667</v>
      </c>
    </row>
    <row r="585" spans="1:32" x14ac:dyDescent="0.25">
      <c r="A585" s="102" t="s">
        <v>668</v>
      </c>
      <c r="F585" s="180">
        <f t="shared" ref="F585" si="286">F554</f>
        <v>18.83102853901045</v>
      </c>
      <c r="G585" s="180">
        <f t="shared" ref="G585:O585" si="287">G554</f>
        <v>18.928064678019844</v>
      </c>
      <c r="H585" s="180">
        <f t="shared" si="287"/>
        <v>19.197816014674892</v>
      </c>
      <c r="I585" s="180">
        <f t="shared" si="287"/>
        <v>32.454803563360215</v>
      </c>
      <c r="J585" s="180">
        <f t="shared" si="287"/>
        <v>24.935445675673048</v>
      </c>
      <c r="K585" s="180">
        <f t="shared" si="287"/>
        <v>18.605290674051712</v>
      </c>
      <c r="L585" s="180">
        <f t="shared" si="287"/>
        <v>27.561381404538182</v>
      </c>
      <c r="M585" s="180">
        <f t="shared" si="287"/>
        <v>32.523923781242573</v>
      </c>
      <c r="N585" s="180">
        <f t="shared" si="287"/>
        <v>29.817581370028734</v>
      </c>
      <c r="O585" s="180" t="e">
        <f t="shared" si="287"/>
        <v>#DIV/0!</v>
      </c>
      <c r="P585" s="180"/>
      <c r="Q585" s="180">
        <f t="shared" ref="Q585" si="288">Q554</f>
        <v>0</v>
      </c>
      <c r="R585" s="180">
        <f t="shared" ref="R585:U585" si="289">R554</f>
        <v>0</v>
      </c>
      <c r="S585" s="180">
        <f t="shared" si="289"/>
        <v>0</v>
      </c>
      <c r="T585" s="180">
        <f t="shared" si="289"/>
        <v>0</v>
      </c>
      <c r="U585" s="180">
        <f t="shared" si="289"/>
        <v>0</v>
      </c>
      <c r="V585" s="180" t="e">
        <f>#REF!</f>
        <v>#REF!</v>
      </c>
      <c r="W585" s="180" t="e">
        <f>#REF!</f>
        <v>#REF!</v>
      </c>
      <c r="X585" s="180" t="e">
        <f>#REF!</f>
        <v>#REF!</v>
      </c>
      <c r="Y585" s="180" t="e">
        <f>#REF!</f>
        <v>#REF!</v>
      </c>
      <c r="Z585" s="180" t="e">
        <f>#REF!</f>
        <v>#REF!</v>
      </c>
      <c r="AA585" s="180" t="e">
        <f>#REF!</f>
        <v>#REF!</v>
      </c>
      <c r="AB585" s="180" t="e">
        <f>#REF!</f>
        <v>#REF!</v>
      </c>
      <c r="AC585" s="180" t="e">
        <f>#REF!</f>
        <v>#REF!</v>
      </c>
      <c r="AD585" s="180" t="e">
        <f>#REF!</f>
        <v>#REF!</v>
      </c>
      <c r="AE585" s="180" t="e">
        <f>#REF!</f>
        <v>#REF!</v>
      </c>
      <c r="AF585" s="180" t="e">
        <f>#REF!</f>
        <v>#REF!</v>
      </c>
    </row>
    <row r="586" spans="1:32" ht="15" x14ac:dyDescent="0.4">
      <c r="A586" s="102" t="s">
        <v>669</v>
      </c>
      <c r="E586" s="180"/>
      <c r="F586" s="192">
        <f>(F534*F403)/F433</f>
        <v>-3.0834859941137127</v>
      </c>
      <c r="G586" s="192">
        <f t="shared" ref="G586:N586" si="290">(G534*G403)/G433</f>
        <v>-12.219761437569677</v>
      </c>
      <c r="H586" s="192">
        <f t="shared" si="290"/>
        <v>-3.2156729563773268</v>
      </c>
      <c r="I586" s="192">
        <f t="shared" si="290"/>
        <v>-10.849528338759692</v>
      </c>
      <c r="J586" s="192">
        <f t="shared" si="290"/>
        <v>1.8375684468738374</v>
      </c>
      <c r="K586" s="192">
        <f t="shared" si="290"/>
        <v>4.5442537372664242</v>
      </c>
      <c r="L586" s="192">
        <f>(L534*L403)/L433</f>
        <v>32.615946372563023</v>
      </c>
      <c r="M586" s="192">
        <f>(M534*M403)/M433</f>
        <v>8.6336060558032184</v>
      </c>
      <c r="N586" s="192">
        <f t="shared" si="290"/>
        <v>10.065026604271429</v>
      </c>
      <c r="O586" s="192" t="e">
        <f>(O534*O403)/O433</f>
        <v>#VALUE!</v>
      </c>
      <c r="P586" s="192"/>
      <c r="Q586" s="192" t="e">
        <f>(Q534*Q403)/Q433</f>
        <v>#VALUE!</v>
      </c>
      <c r="R586" s="192" t="e">
        <f>(R534*R403)/R433</f>
        <v>#VALUE!</v>
      </c>
      <c r="S586" s="192" t="e">
        <f>(S534*S403)/S433</f>
        <v>#VALUE!</v>
      </c>
      <c r="T586" s="192" t="e">
        <f>(T534*T403)/T433</f>
        <v>#VALUE!</v>
      </c>
      <c r="U586" s="192" t="e">
        <f>(U534*U403)/U433</f>
        <v>#VALUE!</v>
      </c>
      <c r="V586" s="192" t="e">
        <f>(#REF!*V330)/V433</f>
        <v>#REF!</v>
      </c>
      <c r="W586" s="192" t="e">
        <f>(#REF!*W330)/W433</f>
        <v>#REF!</v>
      </c>
      <c r="X586" s="192" t="e">
        <f>(#REF!*X330)/X433</f>
        <v>#REF!</v>
      </c>
      <c r="Y586" s="192" t="e">
        <f>(#REF!*Y330)/Y433</f>
        <v>#REF!</v>
      </c>
      <c r="Z586" s="192" t="e">
        <f>(#REF!*Z330)/Z433</f>
        <v>#REF!</v>
      </c>
      <c r="AA586" s="192" t="e">
        <f>(#REF!*AA330)/AA433</f>
        <v>#REF!</v>
      </c>
      <c r="AB586" s="192" t="e">
        <f>(#REF!*AB330)/AB433</f>
        <v>#REF!</v>
      </c>
      <c r="AC586" s="192" t="e">
        <f>(#REF!*AC330)/AC433</f>
        <v>#REF!</v>
      </c>
      <c r="AD586" s="192" t="e">
        <f>(#REF!*AD330)/AD433</f>
        <v>#REF!</v>
      </c>
      <c r="AE586" s="192" t="e">
        <f>(#REF!*AE330)/AE433</f>
        <v>#REF!</v>
      </c>
      <c r="AF586" s="192" t="e">
        <f>(#REF!*#REF!)/#REF!</f>
        <v>#REF!</v>
      </c>
    </row>
    <row r="587" spans="1:32" x14ac:dyDescent="0.25">
      <c r="B587" s="102" t="s">
        <v>670</v>
      </c>
      <c r="F587" s="180">
        <f t="shared" ref="F587" si="291">F585+F586</f>
        <v>15.747542544896739</v>
      </c>
      <c r="G587" s="180">
        <f t="shared" ref="G587:O587" si="292">G585+G586</f>
        <v>6.7083032404501672</v>
      </c>
      <c r="H587" s="180">
        <f t="shared" si="292"/>
        <v>15.982143058297565</v>
      </c>
      <c r="I587" s="180">
        <f t="shared" si="292"/>
        <v>21.605275224600526</v>
      </c>
      <c r="J587" s="180">
        <f t="shared" si="292"/>
        <v>26.773014122546886</v>
      </c>
      <c r="K587" s="180">
        <f t="shared" si="292"/>
        <v>23.149544411318136</v>
      </c>
      <c r="L587" s="180">
        <f t="shared" si="292"/>
        <v>60.177327777101205</v>
      </c>
      <c r="M587" s="180">
        <f t="shared" si="292"/>
        <v>41.157529837045793</v>
      </c>
      <c r="N587" s="180">
        <f t="shared" si="292"/>
        <v>39.882607974300164</v>
      </c>
      <c r="O587" s="180" t="e">
        <f t="shared" si="292"/>
        <v>#DIV/0!</v>
      </c>
      <c r="P587" s="180"/>
      <c r="Q587" s="180" t="e">
        <f t="shared" ref="Q587" si="293">Q585+Q586</f>
        <v>#VALUE!</v>
      </c>
      <c r="R587" s="180" t="e">
        <f t="shared" ref="R587:U587" si="294">R585+R586</f>
        <v>#VALUE!</v>
      </c>
      <c r="S587" s="180" t="e">
        <f t="shared" si="294"/>
        <v>#VALUE!</v>
      </c>
      <c r="T587" s="180" t="e">
        <f t="shared" si="294"/>
        <v>#VALUE!</v>
      </c>
      <c r="U587" s="180" t="e">
        <f t="shared" si="294"/>
        <v>#VALUE!</v>
      </c>
      <c r="V587" s="180" t="e">
        <f t="shared" ref="V587:AF587" si="295">V585+V586</f>
        <v>#REF!</v>
      </c>
      <c r="W587" s="180" t="e">
        <f t="shared" si="295"/>
        <v>#REF!</v>
      </c>
      <c r="X587" s="180" t="e">
        <f t="shared" si="295"/>
        <v>#REF!</v>
      </c>
      <c r="Y587" s="180" t="e">
        <f t="shared" si="295"/>
        <v>#REF!</v>
      </c>
      <c r="Z587" s="180" t="e">
        <f t="shared" si="295"/>
        <v>#REF!</v>
      </c>
      <c r="AA587" s="180" t="e">
        <f t="shared" si="295"/>
        <v>#REF!</v>
      </c>
      <c r="AB587" s="180" t="e">
        <f t="shared" si="295"/>
        <v>#REF!</v>
      </c>
      <c r="AC587" s="180" t="e">
        <f t="shared" si="295"/>
        <v>#REF!</v>
      </c>
      <c r="AD587" s="180" t="e">
        <f t="shared" si="295"/>
        <v>#REF!</v>
      </c>
      <c r="AE587" s="180" t="e">
        <f t="shared" si="295"/>
        <v>#REF!</v>
      </c>
      <c r="AF587" s="180" t="e">
        <f t="shared" si="295"/>
        <v>#REF!</v>
      </c>
    </row>
    <row r="591" spans="1:32" x14ac:dyDescent="0.25">
      <c r="A591" s="131" t="s">
        <v>671</v>
      </c>
      <c r="B591" s="150"/>
      <c r="C591" s="193">
        <f>E403</f>
        <v>1.8769692558580721E-2</v>
      </c>
      <c r="F591" s="164">
        <f t="shared" ref="F591:U591" si="296">$C$591</f>
        <v>1.8769692558580721E-2</v>
      </c>
      <c r="G591" s="164">
        <f t="shared" si="296"/>
        <v>1.8769692558580721E-2</v>
      </c>
      <c r="H591" s="164">
        <f t="shared" si="296"/>
        <v>1.8769692558580721E-2</v>
      </c>
      <c r="I591" s="164">
        <f t="shared" si="296"/>
        <v>1.8769692558580721E-2</v>
      </c>
      <c r="J591" s="164">
        <f t="shared" si="296"/>
        <v>1.8769692558580721E-2</v>
      </c>
      <c r="K591" s="164">
        <f t="shared" si="296"/>
        <v>1.8769692558580721E-2</v>
      </c>
      <c r="L591" s="164">
        <f t="shared" si="296"/>
        <v>1.8769692558580721E-2</v>
      </c>
      <c r="M591" s="164">
        <f t="shared" si="296"/>
        <v>1.8769692558580721E-2</v>
      </c>
      <c r="N591" s="164">
        <f t="shared" si="296"/>
        <v>1.8769692558580721E-2</v>
      </c>
      <c r="O591" s="164">
        <f t="shared" si="296"/>
        <v>1.8769692558580721E-2</v>
      </c>
      <c r="P591" s="164"/>
      <c r="Q591" s="164">
        <f t="shared" si="296"/>
        <v>1.8769692558580721E-2</v>
      </c>
      <c r="R591" s="164">
        <f t="shared" si="296"/>
        <v>1.8769692558580721E-2</v>
      </c>
      <c r="S591" s="164">
        <f t="shared" si="296"/>
        <v>1.8769692558580721E-2</v>
      </c>
      <c r="T591" s="164">
        <f t="shared" si="296"/>
        <v>1.8769692558580721E-2</v>
      </c>
      <c r="U591" s="164">
        <f t="shared" si="296"/>
        <v>1.8769692558580721E-2</v>
      </c>
    </row>
    <row r="592" spans="1:32" x14ac:dyDescent="0.25">
      <c r="A592" s="132"/>
    </row>
    <row r="593" spans="1:36" x14ac:dyDescent="0.25">
      <c r="A593" s="132" t="s">
        <v>759</v>
      </c>
    </row>
    <row r="594" spans="1:36" x14ac:dyDescent="0.25">
      <c r="A594" s="102" t="s">
        <v>987</v>
      </c>
      <c r="F594" s="162">
        <f t="shared" ref="F594" si="297">F569</f>
        <v>1.0473282318688595E-2</v>
      </c>
      <c r="G594" s="162">
        <f t="shared" ref="G594:N594" si="298">G569</f>
        <v>1.0427779893072097E-2</v>
      </c>
      <c r="H594" s="162">
        <f t="shared" si="298"/>
        <v>1.0480237712088383E-2</v>
      </c>
      <c r="I594" s="162">
        <f t="shared" si="298"/>
        <v>8.1694172670028504E-3</v>
      </c>
      <c r="J594" s="162">
        <f t="shared" si="298"/>
        <v>1.0480494143224568E-2</v>
      </c>
      <c r="K594" s="162">
        <f t="shared" si="298"/>
        <v>1.0524537336377805E-2</v>
      </c>
      <c r="L594" s="121">
        <f>L569</f>
        <v>2.206563726216245</v>
      </c>
      <c r="M594" s="121">
        <f>M569</f>
        <v>1.5719599293659878</v>
      </c>
      <c r="N594" s="162">
        <f t="shared" si="298"/>
        <v>7.7736322480256139E-3</v>
      </c>
      <c r="O594" s="121" t="e">
        <f>O569</f>
        <v>#DIV/0!</v>
      </c>
      <c r="P594" s="162"/>
      <c r="Q594" s="121">
        <f>Q569</f>
        <v>0.80383511086773474</v>
      </c>
      <c r="R594" s="121">
        <f>R569</f>
        <v>4.256119485355466</v>
      </c>
      <c r="S594" s="121">
        <f ca="1">S569</f>
        <v>3.7044748455386083</v>
      </c>
      <c r="T594" s="121">
        <f ca="1">T569</f>
        <v>3.7066602309510777</v>
      </c>
      <c r="U594" s="121">
        <f>U569</f>
        <v>-0.68376090409665791</v>
      </c>
      <c r="V594" s="162" t="e">
        <f t="shared" ref="V594:AE594" si="299">V550</f>
        <v>#DIV/0!</v>
      </c>
      <c r="W594" s="162" t="e">
        <f t="shared" si="299"/>
        <v>#DIV/0!</v>
      </c>
      <c r="X594" s="162" t="e">
        <f t="shared" si="299"/>
        <v>#DIV/0!</v>
      </c>
      <c r="Y594" s="162" t="e">
        <f t="shared" si="299"/>
        <v>#DIV/0!</v>
      </c>
      <c r="Z594" s="162">
        <f t="shared" si="299"/>
        <v>0</v>
      </c>
      <c r="AA594" s="162">
        <f t="shared" si="299"/>
        <v>0</v>
      </c>
      <c r="AB594" s="162">
        <f t="shared" si="299"/>
        <v>0</v>
      </c>
      <c r="AC594" s="162">
        <f t="shared" si="299"/>
        <v>0</v>
      </c>
      <c r="AD594" s="162">
        <f t="shared" si="299"/>
        <v>0</v>
      </c>
      <c r="AE594" s="162">
        <f t="shared" si="299"/>
        <v>0</v>
      </c>
      <c r="AF594" s="162" t="e">
        <f>#REF!</f>
        <v>#REF!</v>
      </c>
    </row>
    <row r="595" spans="1:36" x14ac:dyDescent="0.25">
      <c r="A595" s="102" t="s">
        <v>988</v>
      </c>
      <c r="E595" s="194"/>
      <c r="F595" s="162">
        <f>(F530*$E$403)/F$430</f>
        <v>0</v>
      </c>
      <c r="G595" s="162">
        <f t="shared" ref="G595:N595" si="300">(G530*$E$403)/G$430</f>
        <v>0</v>
      </c>
      <c r="H595" s="162">
        <f t="shared" si="300"/>
        <v>0</v>
      </c>
      <c r="I595" s="162">
        <f t="shared" si="300"/>
        <v>0</v>
      </c>
      <c r="J595" s="162">
        <f t="shared" si="300"/>
        <v>0</v>
      </c>
      <c r="K595" s="162">
        <f t="shared" si="300"/>
        <v>0</v>
      </c>
      <c r="L595" s="121">
        <f>(L530*$E$403)/L$445</f>
        <v>0</v>
      </c>
      <c r="M595" s="121">
        <f>(M530*$E$403)/M$445</f>
        <v>0</v>
      </c>
      <c r="N595" s="162">
        <f t="shared" si="300"/>
        <v>0</v>
      </c>
      <c r="O595" s="121" t="e">
        <f>(O530*$E$403)/O$445</f>
        <v>#DIV/0!</v>
      </c>
      <c r="P595" s="162"/>
      <c r="Q595" s="121">
        <f>(Q530*$E$403)/Q$445</f>
        <v>0</v>
      </c>
      <c r="R595" s="121">
        <f>(R530*$E$403)/R$445</f>
        <v>0</v>
      </c>
      <c r="S595" s="121">
        <f ca="1">(S530*$E$403)/S$445</f>
        <v>0</v>
      </c>
      <c r="T595" s="121">
        <f ca="1">(T530*$E$403)/T$445</f>
        <v>0</v>
      </c>
      <c r="U595" s="121">
        <f>(U530*$E$403)/U$445</f>
        <v>0</v>
      </c>
      <c r="V595" s="162" t="e">
        <f t="shared" ref="V595:AE595" si="301">V551</f>
        <v>#DIV/0!</v>
      </c>
      <c r="W595" s="162" t="e">
        <f t="shared" si="301"/>
        <v>#DIV/0!</v>
      </c>
      <c r="X595" s="162" t="e">
        <f t="shared" si="301"/>
        <v>#DIV/0!</v>
      </c>
      <c r="Y595" s="162" t="e">
        <f t="shared" si="301"/>
        <v>#DIV/0!</v>
      </c>
      <c r="Z595" s="162" t="e">
        <f t="shared" si="301"/>
        <v>#DIV/0!</v>
      </c>
      <c r="AA595" s="162" t="e">
        <f t="shared" si="301"/>
        <v>#DIV/0!</v>
      </c>
      <c r="AB595" s="162" t="e">
        <f t="shared" si="301"/>
        <v>#DIV/0!</v>
      </c>
      <c r="AC595" s="162" t="e">
        <f t="shared" si="301"/>
        <v>#DIV/0!</v>
      </c>
      <c r="AD595" s="162" t="e">
        <f t="shared" si="301"/>
        <v>#DIV/0!</v>
      </c>
      <c r="AE595" s="162">
        <f t="shared" si="301"/>
        <v>0</v>
      </c>
      <c r="AF595" s="162" t="e">
        <f>#REF!</f>
        <v>#REF!</v>
      </c>
    </row>
    <row r="596" spans="1:36" x14ac:dyDescent="0.25">
      <c r="A596" s="102" t="s">
        <v>890</v>
      </c>
      <c r="F596" s="162">
        <f t="shared" ref="F596" si="302">F571</f>
        <v>6.2751539645976392E-2</v>
      </c>
      <c r="G596" s="162">
        <f t="shared" ref="G596:N596" si="303">G571</f>
        <v>6.1035445841360933E-2</v>
      </c>
      <c r="H596" s="162">
        <f t="shared" si="303"/>
        <v>6.2959691999797701E-2</v>
      </c>
      <c r="I596" s="162">
        <f t="shared" si="303"/>
        <v>6.6959950218278247E-2</v>
      </c>
      <c r="J596" s="162">
        <f t="shared" si="303"/>
        <v>6.2178918700372926E-2</v>
      </c>
      <c r="K596" s="162">
        <f t="shared" si="303"/>
        <v>6.2365748502767805E-2</v>
      </c>
      <c r="L596" s="162">
        <f>L571</f>
        <v>6.3384154245802363E-2</v>
      </c>
      <c r="M596" s="162">
        <f>M571</f>
        <v>6.2178918700372919E-2</v>
      </c>
      <c r="N596" s="162">
        <f t="shared" si="303"/>
        <v>6.2178918700372919E-2</v>
      </c>
      <c r="O596" s="162" t="e">
        <f>O571</f>
        <v>#DIV/0!</v>
      </c>
      <c r="P596" s="162"/>
      <c r="Q596" s="162">
        <f>Q571</f>
        <v>4.689677826641768E-2</v>
      </c>
      <c r="R596" s="162">
        <f>R571</f>
        <v>5.1583718811972358E-2</v>
      </c>
      <c r="S596" s="162">
        <f>S571</f>
        <v>4.9412784774829181E-2</v>
      </c>
      <c r="T596" s="162">
        <f>T571</f>
        <v>4.2561146921944848E-2</v>
      </c>
      <c r="U596" s="162">
        <f>U571</f>
        <v>5.3129411869583532E-2</v>
      </c>
      <c r="V596" s="162" t="e">
        <f>#REF!</f>
        <v>#REF!</v>
      </c>
      <c r="W596" s="162" t="e">
        <f>#REF!</f>
        <v>#REF!</v>
      </c>
      <c r="X596" s="162" t="e">
        <f>#REF!</f>
        <v>#REF!</v>
      </c>
      <c r="Y596" s="162" t="e">
        <f>#REF!</f>
        <v>#REF!</v>
      </c>
      <c r="Z596" s="162" t="e">
        <f>#REF!</f>
        <v>#REF!</v>
      </c>
      <c r="AA596" s="162" t="e">
        <f>#REF!</f>
        <v>#REF!</v>
      </c>
      <c r="AB596" s="162" t="e">
        <f>#REF!</f>
        <v>#REF!</v>
      </c>
      <c r="AC596" s="162" t="e">
        <f>#REF!</f>
        <v>#REF!</v>
      </c>
      <c r="AD596" s="162" t="e">
        <f>#REF!</f>
        <v>#REF!</v>
      </c>
      <c r="AE596" s="162" t="e">
        <f>#REF!</f>
        <v>#REF!</v>
      </c>
      <c r="AF596" s="162" t="e">
        <f>#REF!</f>
        <v>#REF!</v>
      </c>
    </row>
    <row r="597" spans="1:36" x14ac:dyDescent="0.25">
      <c r="A597" s="102" t="s">
        <v>891</v>
      </c>
      <c r="D597" s="162"/>
      <c r="F597" s="162">
        <f t="shared" ref="F597" si="304">(F531*$E$403)/F$430</f>
        <v>0</v>
      </c>
      <c r="G597" s="162">
        <f t="shared" ref="G597:O597" si="305">(G531*$E$403)/G$430</f>
        <v>0</v>
      </c>
      <c r="H597" s="162">
        <f t="shared" si="305"/>
        <v>0</v>
      </c>
      <c r="I597" s="162">
        <f t="shared" si="305"/>
        <v>0</v>
      </c>
      <c r="J597" s="162">
        <f t="shared" si="305"/>
        <v>0</v>
      </c>
      <c r="K597" s="162">
        <f t="shared" si="305"/>
        <v>0</v>
      </c>
      <c r="L597" s="161">
        <f t="shared" si="305"/>
        <v>0</v>
      </c>
      <c r="M597" s="161">
        <f t="shared" si="305"/>
        <v>0</v>
      </c>
      <c r="N597" s="162">
        <f t="shared" si="305"/>
        <v>0</v>
      </c>
      <c r="O597" s="161" t="e">
        <f t="shared" si="305"/>
        <v>#DIV/0!</v>
      </c>
      <c r="P597" s="162"/>
      <c r="Q597" s="161">
        <f t="shared" ref="Q597" si="306">(Q531*$E$403)/Q$430</f>
        <v>0</v>
      </c>
      <c r="R597" s="161">
        <f t="shared" ref="R597:U597" si="307">(R531*$E$403)/R$430</f>
        <v>0</v>
      </c>
      <c r="S597" s="161">
        <f t="shared" si="307"/>
        <v>0</v>
      </c>
      <c r="T597" s="161">
        <f t="shared" si="307"/>
        <v>0</v>
      </c>
      <c r="U597" s="161">
        <f t="shared" si="307"/>
        <v>0</v>
      </c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</row>
    <row r="598" spans="1:36" x14ac:dyDescent="0.25"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</row>
    <row r="599" spans="1:36" x14ac:dyDescent="0.25">
      <c r="A599" s="132" t="s">
        <v>884</v>
      </c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</row>
    <row r="600" spans="1:36" x14ac:dyDescent="0.25">
      <c r="A600" s="102" t="s">
        <v>989</v>
      </c>
      <c r="F600" s="162">
        <f t="shared" ref="F600" si="308">F575</f>
        <v>0</v>
      </c>
      <c r="G600" s="162">
        <f t="shared" ref="G600:N600" si="309">G575</f>
        <v>0</v>
      </c>
      <c r="H600" s="162">
        <f t="shared" si="309"/>
        <v>0</v>
      </c>
      <c r="I600" s="162">
        <f t="shared" si="309"/>
        <v>0</v>
      </c>
      <c r="J600" s="162">
        <f t="shared" si="309"/>
        <v>0</v>
      </c>
      <c r="K600" s="162">
        <f t="shared" si="309"/>
        <v>0</v>
      </c>
      <c r="L600" s="121">
        <f>L575</f>
        <v>0</v>
      </c>
      <c r="M600" s="121">
        <f>M575</f>
        <v>0</v>
      </c>
      <c r="N600" s="162">
        <f t="shared" si="309"/>
        <v>0</v>
      </c>
      <c r="O600" s="121" t="e">
        <f>O575</f>
        <v>#DIV/0!</v>
      </c>
      <c r="P600" s="162"/>
      <c r="Q600" s="121">
        <f>Q575</f>
        <v>0</v>
      </c>
      <c r="R600" s="121">
        <f>R575</f>
        <v>0</v>
      </c>
      <c r="S600" s="121">
        <f ca="1">S575</f>
        <v>0</v>
      </c>
      <c r="T600" s="121">
        <f ca="1">T575</f>
        <v>0</v>
      </c>
      <c r="U600" s="121">
        <f>U575</f>
        <v>0</v>
      </c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</row>
    <row r="601" spans="1:36" s="105" customFormat="1" ht="15" x14ac:dyDescent="0.4">
      <c r="A601" s="105" t="s">
        <v>990</v>
      </c>
      <c r="D601" s="186"/>
      <c r="F601" s="191">
        <f>(F532*$E$403)/F$430</f>
        <v>0</v>
      </c>
      <c r="G601" s="191">
        <f t="shared" ref="G601:N601" si="310">(G532*$E$403)/G$430</f>
        <v>0</v>
      </c>
      <c r="H601" s="191">
        <f t="shared" si="310"/>
        <v>0</v>
      </c>
      <c r="I601" s="191">
        <f t="shared" si="310"/>
        <v>0</v>
      </c>
      <c r="J601" s="191">
        <f t="shared" si="310"/>
        <v>0</v>
      </c>
      <c r="K601" s="191">
        <f t="shared" si="310"/>
        <v>0</v>
      </c>
      <c r="L601" s="192">
        <f>(L532*$E$403)/L$445</f>
        <v>0</v>
      </c>
      <c r="M601" s="192">
        <f>(M532*$E$403)/M$445</f>
        <v>0</v>
      </c>
      <c r="N601" s="191">
        <f t="shared" si="310"/>
        <v>0</v>
      </c>
      <c r="O601" s="192" t="e">
        <f>(O532*$E$403)/O$445</f>
        <v>#DIV/0!</v>
      </c>
      <c r="P601" s="191"/>
      <c r="Q601" s="192">
        <f>(Q532*$E$403)/Q$445</f>
        <v>0</v>
      </c>
      <c r="R601" s="192">
        <f>(R532*$E$403)/R$445</f>
        <v>0</v>
      </c>
      <c r="S601" s="192">
        <f ca="1">(S532*$E$403)/S$445</f>
        <v>0</v>
      </c>
      <c r="T601" s="192">
        <f ca="1">(T532*$E$403)/T$445</f>
        <v>0</v>
      </c>
      <c r="U601" s="192">
        <f>(U532*$E$403)/U$445</f>
        <v>0</v>
      </c>
      <c r="AJ601" s="189"/>
    </row>
    <row r="602" spans="1:36" x14ac:dyDescent="0.25">
      <c r="B602" s="102" t="s">
        <v>991</v>
      </c>
      <c r="F602" s="162">
        <f>F600+F601</f>
        <v>0</v>
      </c>
      <c r="G602" s="162">
        <f t="shared" ref="G602:U602" si="311">G600+G601</f>
        <v>0</v>
      </c>
      <c r="H602" s="162">
        <f t="shared" si="311"/>
        <v>0</v>
      </c>
      <c r="I602" s="162">
        <f t="shared" si="311"/>
        <v>0</v>
      </c>
      <c r="J602" s="162">
        <f t="shared" si="311"/>
        <v>0</v>
      </c>
      <c r="K602" s="162">
        <f t="shared" si="311"/>
        <v>0</v>
      </c>
      <c r="L602" s="121">
        <f t="shared" si="311"/>
        <v>0</v>
      </c>
      <c r="M602" s="121">
        <f t="shared" si="311"/>
        <v>0</v>
      </c>
      <c r="N602" s="162">
        <f t="shared" si="311"/>
        <v>0</v>
      </c>
      <c r="O602" s="121" t="e">
        <f t="shared" si="311"/>
        <v>#DIV/0!</v>
      </c>
      <c r="P602" s="162"/>
      <c r="Q602" s="121">
        <f t="shared" ref="Q602" si="312">Q600+Q601</f>
        <v>0</v>
      </c>
      <c r="R602" s="121">
        <f t="shared" si="311"/>
        <v>0</v>
      </c>
      <c r="S602" s="121">
        <f t="shared" ca="1" si="311"/>
        <v>0</v>
      </c>
      <c r="T602" s="121">
        <f t="shared" ca="1" si="311"/>
        <v>0</v>
      </c>
      <c r="U602" s="121">
        <f t="shared" si="311"/>
        <v>0</v>
      </c>
    </row>
    <row r="604" spans="1:36" x14ac:dyDescent="0.25">
      <c r="A604" s="132" t="s">
        <v>666</v>
      </c>
    </row>
    <row r="605" spans="1:36" x14ac:dyDescent="0.25">
      <c r="A605" s="102" t="s">
        <v>992</v>
      </c>
      <c r="F605" s="162">
        <f t="shared" ref="F605" si="313">F553</f>
        <v>1.6930073395102843E-2</v>
      </c>
      <c r="G605" s="162">
        <f t="shared" ref="G605:O605" si="314">G553</f>
        <v>1.69956702734354E-2</v>
      </c>
      <c r="H605" s="162">
        <f t="shared" si="314"/>
        <v>3.5878185068448143E-2</v>
      </c>
      <c r="I605" s="162">
        <f t="shared" si="314"/>
        <v>0.94226040220075669</v>
      </c>
      <c r="J605" s="162">
        <f>J553</f>
        <v>0.37094477991191999</v>
      </c>
      <c r="K605" s="162">
        <f t="shared" si="314"/>
        <v>5.6498679633485661E-3</v>
      </c>
      <c r="L605" s="121">
        <f t="shared" si="314"/>
        <v>2.2266435404291447</v>
      </c>
      <c r="M605" s="121">
        <f t="shared" si="314"/>
        <v>2.2324811178632165</v>
      </c>
      <c r="N605" s="162">
        <f t="shared" si="314"/>
        <v>9.2265267361163767E-3</v>
      </c>
      <c r="O605" s="121" t="e">
        <f t="shared" si="314"/>
        <v>#DIV/0!</v>
      </c>
      <c r="P605" s="162"/>
      <c r="Q605" s="121">
        <f t="shared" ref="Q605" si="315">Q553</f>
        <v>0</v>
      </c>
      <c r="R605" s="121">
        <f t="shared" ref="R605:U605" si="316">R553</f>
        <v>0</v>
      </c>
      <c r="S605" s="121">
        <f t="shared" ca="1" si="316"/>
        <v>0</v>
      </c>
      <c r="T605" s="121">
        <f t="shared" ca="1" si="316"/>
        <v>0</v>
      </c>
      <c r="U605" s="121">
        <f t="shared" si="316"/>
        <v>0</v>
      </c>
      <c r="V605" s="162" t="e">
        <f>#REF!</f>
        <v>#REF!</v>
      </c>
      <c r="W605" s="162" t="e">
        <f>#REF!</f>
        <v>#REF!</v>
      </c>
      <c r="X605" s="162" t="e">
        <f>#REF!</f>
        <v>#REF!</v>
      </c>
      <c r="Y605" s="162" t="e">
        <f>#REF!</f>
        <v>#REF!</v>
      </c>
      <c r="Z605" s="162" t="e">
        <f>#REF!</f>
        <v>#REF!</v>
      </c>
      <c r="AA605" s="162" t="e">
        <f>#REF!</f>
        <v>#REF!</v>
      </c>
      <c r="AB605" s="162" t="e">
        <f>#REF!</f>
        <v>#REF!</v>
      </c>
      <c r="AC605" s="162" t="e">
        <f>#REF!</f>
        <v>#REF!</v>
      </c>
      <c r="AD605" s="162" t="e">
        <f>#REF!</f>
        <v>#REF!</v>
      </c>
      <c r="AE605" s="162" t="e">
        <f>#REF!</f>
        <v>#REF!</v>
      </c>
      <c r="AF605" s="162" t="e">
        <f>#REF!</f>
        <v>#REF!</v>
      </c>
    </row>
    <row r="606" spans="1:36" ht="15" x14ac:dyDescent="0.4">
      <c r="A606" s="105" t="s">
        <v>993</v>
      </c>
      <c r="D606" s="194"/>
      <c r="F606" s="191">
        <f>(F533*$E$403)/F430</f>
        <v>2.0532892424271368E-3</v>
      </c>
      <c r="G606" s="191">
        <f t="shared" ref="G606:N606" si="317">(G533*$E$403)/G430</f>
        <v>2.0574755039408535E-3</v>
      </c>
      <c r="H606" s="191">
        <f t="shared" si="317"/>
        <v>4.3345220369072164E-3</v>
      </c>
      <c r="I606" s="191">
        <f t="shared" si="317"/>
        <v>0.11355527468411605</v>
      </c>
      <c r="J606" s="191">
        <f t="shared" si="317"/>
        <v>4.4709970091969573E-2</v>
      </c>
      <c r="K606" s="191">
        <f t="shared" si="317"/>
        <v>7.3821600864574729E-4</v>
      </c>
      <c r="L606" s="192">
        <f>(L533*$E$403)/L445</f>
        <v>0.26915335393350032</v>
      </c>
      <c r="M606" s="192">
        <f>(M533*$E$403)/M445</f>
        <v>0.26915335393350032</v>
      </c>
      <c r="N606" s="191">
        <f t="shared" si="317"/>
        <v>1.1130996524884842E-3</v>
      </c>
      <c r="O606" s="192" t="e">
        <f>(O533*$E$403)/O445</f>
        <v>#DIV/0!</v>
      </c>
      <c r="P606" s="191"/>
      <c r="Q606" s="192">
        <f>(Q533*$E$403)/Q445</f>
        <v>0</v>
      </c>
      <c r="R606" s="192">
        <f>(R533*$E$403)/R445</f>
        <v>0</v>
      </c>
      <c r="S606" s="192">
        <f ca="1">(S533*$E$403)/S445</f>
        <v>0</v>
      </c>
      <c r="T606" s="192">
        <f ca="1">(T533*$E$403)/T445</f>
        <v>0</v>
      </c>
      <c r="U606" s="192">
        <f>(U533*$E$403)/U445</f>
        <v>0</v>
      </c>
      <c r="V606" s="191" t="e">
        <f>(#REF!*$E$330)/7284</f>
        <v>#REF!</v>
      </c>
      <c r="W606" s="191" t="e">
        <f>(#REF!*$E$330)/320.47</f>
        <v>#REF!</v>
      </c>
      <c r="X606" s="191" t="e">
        <f>(#REF!*$E$330)/26669</f>
        <v>#REF!</v>
      </c>
      <c r="Y606" s="191" t="e">
        <f>(#REF!*$E$330)/68503</f>
        <v>#REF!</v>
      </c>
      <c r="Z606" s="191" t="e">
        <f>(#REF!*$E$330)/Z430</f>
        <v>#REF!</v>
      </c>
      <c r="AA606" s="191" t="e">
        <f>(#REF!*$E$330)/17492.7</f>
        <v>#REF!</v>
      </c>
      <c r="AB606" s="191" t="e">
        <f>(#REF!*$E$330)/10846</f>
        <v>#REF!</v>
      </c>
      <c r="AC606" s="191" t="e">
        <f>(#REF!*$E$330)/12274</f>
        <v>#REF!</v>
      </c>
      <c r="AD606" s="191" t="e">
        <f>(#REF!*$E$330)/10405</f>
        <v>#REF!</v>
      </c>
      <c r="AE606" s="191" t="e">
        <f>(#REF!*$E$330)/120444</f>
        <v>#REF!</v>
      </c>
      <c r="AF606" s="191" t="e">
        <f>(#REF!*$E$330)/AF510/12</f>
        <v>#REF!</v>
      </c>
    </row>
    <row r="607" spans="1:36" x14ac:dyDescent="0.25">
      <c r="B607" s="102" t="s">
        <v>994</v>
      </c>
      <c r="F607" s="162">
        <f t="shared" ref="F607:AF607" si="318">F605+F606</f>
        <v>1.898336263752998E-2</v>
      </c>
      <c r="G607" s="162">
        <f t="shared" ref="G607:O607" si="319">G605+G606</f>
        <v>1.9053145777376254E-2</v>
      </c>
      <c r="H607" s="162">
        <f t="shared" si="319"/>
        <v>4.0212707105355357E-2</v>
      </c>
      <c r="I607" s="162">
        <f t="shared" si="319"/>
        <v>1.0558156768848728</v>
      </c>
      <c r="J607" s="162">
        <f t="shared" si="319"/>
        <v>0.41565475000388957</v>
      </c>
      <c r="K607" s="162">
        <f t="shared" si="319"/>
        <v>6.3880839719943133E-3</v>
      </c>
      <c r="L607" s="121">
        <f t="shared" si="319"/>
        <v>2.4957968943626452</v>
      </c>
      <c r="M607" s="121">
        <f t="shared" si="319"/>
        <v>2.5016344717967169</v>
      </c>
      <c r="N607" s="162">
        <f t="shared" si="319"/>
        <v>1.0339626388604861E-2</v>
      </c>
      <c r="O607" s="121" t="e">
        <f t="shared" si="319"/>
        <v>#DIV/0!</v>
      </c>
      <c r="P607" s="162"/>
      <c r="Q607" s="121">
        <f t="shared" ref="Q607" si="320">Q605+Q606</f>
        <v>0</v>
      </c>
      <c r="R607" s="121">
        <f t="shared" ref="R607:U607" si="321">R605+R606</f>
        <v>0</v>
      </c>
      <c r="S607" s="121">
        <f t="shared" ca="1" si="321"/>
        <v>0</v>
      </c>
      <c r="T607" s="121">
        <f t="shared" ca="1" si="321"/>
        <v>0</v>
      </c>
      <c r="U607" s="121">
        <f t="shared" si="321"/>
        <v>0</v>
      </c>
      <c r="V607" s="162" t="e">
        <f t="shared" si="318"/>
        <v>#REF!</v>
      </c>
      <c r="W607" s="162" t="e">
        <f t="shared" si="318"/>
        <v>#REF!</v>
      </c>
      <c r="X607" s="162" t="e">
        <f t="shared" si="318"/>
        <v>#REF!</v>
      </c>
      <c r="Y607" s="162" t="e">
        <f t="shared" si="318"/>
        <v>#REF!</v>
      </c>
      <c r="Z607" s="162" t="e">
        <f t="shared" si="318"/>
        <v>#REF!</v>
      </c>
      <c r="AA607" s="162" t="e">
        <f t="shared" si="318"/>
        <v>#REF!</v>
      </c>
      <c r="AB607" s="162" t="e">
        <f t="shared" si="318"/>
        <v>#REF!</v>
      </c>
      <c r="AC607" s="162" t="e">
        <f t="shared" si="318"/>
        <v>#REF!</v>
      </c>
      <c r="AD607" s="162" t="e">
        <f t="shared" si="318"/>
        <v>#REF!</v>
      </c>
      <c r="AE607" s="162" t="e">
        <f t="shared" si="318"/>
        <v>#REF!</v>
      </c>
      <c r="AF607" s="162" t="e">
        <f t="shared" si="318"/>
        <v>#REF!</v>
      </c>
    </row>
    <row r="609" spans="1:32" x14ac:dyDescent="0.25">
      <c r="A609" s="132" t="s">
        <v>667</v>
      </c>
    </row>
    <row r="610" spans="1:32" x14ac:dyDescent="0.25">
      <c r="A610" s="102" t="s">
        <v>668</v>
      </c>
      <c r="F610" s="180">
        <f t="shared" ref="F610" si="322">F554</f>
        <v>18.83102853901045</v>
      </c>
      <c r="G610" s="180">
        <f t="shared" ref="G610:O610" si="323">G554</f>
        <v>18.928064678019844</v>
      </c>
      <c r="H610" s="180">
        <f t="shared" si="323"/>
        <v>19.197816014674892</v>
      </c>
      <c r="I610" s="180">
        <f t="shared" si="323"/>
        <v>32.454803563360215</v>
      </c>
      <c r="J610" s="180">
        <f t="shared" si="323"/>
        <v>24.935445675673048</v>
      </c>
      <c r="K610" s="180">
        <f t="shared" si="323"/>
        <v>18.605290674051712</v>
      </c>
      <c r="L610" s="180">
        <f t="shared" si="323"/>
        <v>27.561381404538182</v>
      </c>
      <c r="M610" s="180">
        <f t="shared" si="323"/>
        <v>32.523923781242573</v>
      </c>
      <c r="N610" s="180">
        <f t="shared" si="323"/>
        <v>29.817581370028734</v>
      </c>
      <c r="O610" s="180" t="e">
        <f t="shared" si="323"/>
        <v>#DIV/0!</v>
      </c>
      <c r="P610" s="180"/>
      <c r="Q610" s="180">
        <f t="shared" ref="Q610" si="324">Q554</f>
        <v>0</v>
      </c>
      <c r="R610" s="180">
        <f t="shared" ref="R610:U610" si="325">R554</f>
        <v>0</v>
      </c>
      <c r="S610" s="180">
        <f t="shared" si="325"/>
        <v>0</v>
      </c>
      <c r="T610" s="180">
        <f t="shared" si="325"/>
        <v>0</v>
      </c>
      <c r="U610" s="180">
        <f t="shared" si="325"/>
        <v>0</v>
      </c>
      <c r="V610" s="180" t="e">
        <f>#REF!</f>
        <v>#REF!</v>
      </c>
      <c r="W610" s="180" t="e">
        <f>#REF!</f>
        <v>#REF!</v>
      </c>
      <c r="X610" s="180" t="e">
        <f>#REF!</f>
        <v>#REF!</v>
      </c>
      <c r="Y610" s="180" t="e">
        <f>#REF!</f>
        <v>#REF!</v>
      </c>
      <c r="Z610" s="180" t="e">
        <f>#REF!</f>
        <v>#REF!</v>
      </c>
      <c r="AA610" s="180" t="e">
        <f>#REF!</f>
        <v>#REF!</v>
      </c>
      <c r="AB610" s="180" t="e">
        <f>#REF!</f>
        <v>#REF!</v>
      </c>
      <c r="AC610" s="180" t="e">
        <f>#REF!</f>
        <v>#REF!</v>
      </c>
      <c r="AD610" s="180" t="e">
        <f>#REF!</f>
        <v>#REF!</v>
      </c>
      <c r="AE610" s="180" t="e">
        <f>#REF!</f>
        <v>#REF!</v>
      </c>
      <c r="AF610" s="180" t="e">
        <f>#REF!</f>
        <v>#REF!</v>
      </c>
    </row>
    <row r="611" spans="1:32" ht="15" x14ac:dyDescent="0.4">
      <c r="A611" s="102" t="s">
        <v>669</v>
      </c>
      <c r="D611" s="180"/>
      <c r="F611" s="192">
        <f>(F534*$E$403)/F433</f>
        <v>1.7817513012875767</v>
      </c>
      <c r="G611" s="192">
        <f t="shared" ref="G611:N611" si="326">(G534*$E$403)/G433</f>
        <v>1.7817513012875765</v>
      </c>
      <c r="H611" s="192">
        <f t="shared" si="326"/>
        <v>1.781751301287577</v>
      </c>
      <c r="I611" s="192">
        <f t="shared" si="326"/>
        <v>1.7817513012875761</v>
      </c>
      <c r="J611" s="192">
        <f t="shared" si="326"/>
        <v>1.7817513012875767</v>
      </c>
      <c r="K611" s="192">
        <f t="shared" si="326"/>
        <v>1.7817513012875765</v>
      </c>
      <c r="L611" s="192">
        <f>(L534*$E$403)/L433</f>
        <v>2.6435032228296538</v>
      </c>
      <c r="M611" s="192">
        <f>(M534*$E$403)/M433</f>
        <v>2.846132892384448</v>
      </c>
      <c r="N611" s="192">
        <f t="shared" si="326"/>
        <v>2.846132892384448</v>
      </c>
      <c r="O611" s="192" t="e">
        <f>(O534*$E$403)/O433</f>
        <v>#DIV/0!</v>
      </c>
      <c r="P611" s="192"/>
      <c r="Q611" s="192">
        <f>(Q534*$E$403)/Q433</f>
        <v>0</v>
      </c>
      <c r="R611" s="192">
        <f t="shared" ref="R611:AF611" si="327">(R534*$E$403)/R433</f>
        <v>0</v>
      </c>
      <c r="S611" s="192">
        <f t="shared" si="327"/>
        <v>0</v>
      </c>
      <c r="T611" s="192">
        <f t="shared" si="327"/>
        <v>0</v>
      </c>
      <c r="U611" s="192">
        <f t="shared" si="327"/>
        <v>0</v>
      </c>
      <c r="V611" s="192" t="e">
        <f t="shared" si="327"/>
        <v>#DIV/0!</v>
      </c>
      <c r="W611" s="192" t="e">
        <f t="shared" si="327"/>
        <v>#DIV/0!</v>
      </c>
      <c r="X611" s="192" t="e">
        <f t="shared" si="327"/>
        <v>#DIV/0!</v>
      </c>
      <c r="Y611" s="192" t="e">
        <f t="shared" si="327"/>
        <v>#DIV/0!</v>
      </c>
      <c r="Z611" s="192" t="e">
        <f t="shared" si="327"/>
        <v>#DIV/0!</v>
      </c>
      <c r="AA611" s="192" t="e">
        <f t="shared" si="327"/>
        <v>#DIV/0!</v>
      </c>
      <c r="AB611" s="192" t="e">
        <f t="shared" si="327"/>
        <v>#DIV/0!</v>
      </c>
      <c r="AC611" s="192" t="e">
        <f t="shared" si="327"/>
        <v>#DIV/0!</v>
      </c>
      <c r="AD611" s="192" t="e">
        <f t="shared" si="327"/>
        <v>#DIV/0!</v>
      </c>
      <c r="AE611" s="192" t="e">
        <f t="shared" si="327"/>
        <v>#DIV/0!</v>
      </c>
      <c r="AF611" s="192" t="e">
        <f t="shared" si="327"/>
        <v>#DIV/0!</v>
      </c>
    </row>
    <row r="612" spans="1:32" x14ac:dyDescent="0.25">
      <c r="B612" s="102" t="s">
        <v>670</v>
      </c>
      <c r="F612" s="180">
        <f t="shared" ref="F612:AF612" si="328">F610+F611</f>
        <v>20.612779840298028</v>
      </c>
      <c r="G612" s="180">
        <f t="shared" ref="G612:O612" si="329">G610+G611</f>
        <v>20.709815979307422</v>
      </c>
      <c r="H612" s="180">
        <f t="shared" si="329"/>
        <v>20.97956731596247</v>
      </c>
      <c r="I612" s="180">
        <f t="shared" si="329"/>
        <v>34.236554864647793</v>
      </c>
      <c r="J612" s="180">
        <f t="shared" si="329"/>
        <v>26.717196976960626</v>
      </c>
      <c r="K612" s="180">
        <f t="shared" si="329"/>
        <v>20.38704197533929</v>
      </c>
      <c r="L612" s="180">
        <f t="shared" si="329"/>
        <v>30.204884627367836</v>
      </c>
      <c r="M612" s="180">
        <f t="shared" si="329"/>
        <v>35.370056673627019</v>
      </c>
      <c r="N612" s="180">
        <f t="shared" si="329"/>
        <v>32.66371426241318</v>
      </c>
      <c r="O612" s="180" t="e">
        <f t="shared" si="329"/>
        <v>#DIV/0!</v>
      </c>
      <c r="P612" s="180"/>
      <c r="Q612" s="180">
        <f t="shared" ref="Q612" si="330">Q610+Q611</f>
        <v>0</v>
      </c>
      <c r="R612" s="180">
        <f t="shared" ref="R612:U612" si="331">R610+R611</f>
        <v>0</v>
      </c>
      <c r="S612" s="180">
        <f t="shared" si="331"/>
        <v>0</v>
      </c>
      <c r="T612" s="180">
        <f t="shared" si="331"/>
        <v>0</v>
      </c>
      <c r="U612" s="180">
        <f t="shared" si="331"/>
        <v>0</v>
      </c>
      <c r="V612" s="180" t="e">
        <f t="shared" si="328"/>
        <v>#REF!</v>
      </c>
      <c r="W612" s="180" t="e">
        <f t="shared" si="328"/>
        <v>#REF!</v>
      </c>
      <c r="X612" s="180" t="e">
        <f t="shared" si="328"/>
        <v>#REF!</v>
      </c>
      <c r="Y612" s="180" t="e">
        <f t="shared" si="328"/>
        <v>#REF!</v>
      </c>
      <c r="Z612" s="180" t="e">
        <f t="shared" si="328"/>
        <v>#REF!</v>
      </c>
      <c r="AA612" s="180" t="e">
        <f t="shared" si="328"/>
        <v>#REF!</v>
      </c>
      <c r="AB612" s="180" t="e">
        <f t="shared" si="328"/>
        <v>#REF!</v>
      </c>
      <c r="AC612" s="180" t="e">
        <f t="shared" si="328"/>
        <v>#REF!</v>
      </c>
      <c r="AD612" s="180" t="e">
        <f t="shared" si="328"/>
        <v>#REF!</v>
      </c>
      <c r="AE612" s="180" t="e">
        <f t="shared" si="328"/>
        <v>#REF!</v>
      </c>
      <c r="AF612" s="180" t="e">
        <f t="shared" si="328"/>
        <v>#REF!</v>
      </c>
    </row>
    <row r="617" spans="1:32" x14ac:dyDescent="0.25">
      <c r="A617" s="131" t="s">
        <v>695</v>
      </c>
      <c r="C617" s="193">
        <f>C538</f>
        <v>3.661248380333549E-2</v>
      </c>
      <c r="F617" s="195">
        <f>$C$538</f>
        <v>3.661248380333549E-2</v>
      </c>
      <c r="G617" s="195">
        <f t="shared" ref="G617:N617" si="332">$C$538</f>
        <v>3.661248380333549E-2</v>
      </c>
      <c r="H617" s="195">
        <f t="shared" si="332"/>
        <v>3.661248380333549E-2</v>
      </c>
      <c r="I617" s="195">
        <f t="shared" si="332"/>
        <v>3.661248380333549E-2</v>
      </c>
      <c r="J617" s="195">
        <f t="shared" si="332"/>
        <v>3.661248380333549E-2</v>
      </c>
      <c r="K617" s="195">
        <f t="shared" si="332"/>
        <v>3.661248380333549E-2</v>
      </c>
      <c r="L617" s="195">
        <f t="shared" ref="L617:U617" si="333">$C$538</f>
        <v>3.661248380333549E-2</v>
      </c>
      <c r="M617" s="195">
        <f t="shared" si="333"/>
        <v>3.661248380333549E-2</v>
      </c>
      <c r="N617" s="195">
        <f t="shared" si="332"/>
        <v>3.661248380333549E-2</v>
      </c>
      <c r="O617" s="195">
        <f t="shared" si="333"/>
        <v>3.661248380333549E-2</v>
      </c>
      <c r="P617" s="195"/>
      <c r="Q617" s="195">
        <f t="shared" si="333"/>
        <v>3.661248380333549E-2</v>
      </c>
      <c r="R617" s="195">
        <f t="shared" si="333"/>
        <v>3.661248380333549E-2</v>
      </c>
      <c r="S617" s="195">
        <f t="shared" si="333"/>
        <v>3.661248380333549E-2</v>
      </c>
      <c r="T617" s="195">
        <f t="shared" si="333"/>
        <v>3.661248380333549E-2</v>
      </c>
      <c r="U617" s="195">
        <f t="shared" si="333"/>
        <v>3.661248380333549E-2</v>
      </c>
      <c r="V617" s="195">
        <v>0.08</v>
      </c>
      <c r="W617" s="195">
        <v>0.08</v>
      </c>
      <c r="X617" s="195">
        <v>0.2</v>
      </c>
      <c r="Y617" s="195">
        <v>0.08</v>
      </c>
      <c r="Z617" s="195">
        <v>0.08</v>
      </c>
      <c r="AA617" s="195">
        <v>0.08</v>
      </c>
      <c r="AB617" s="195">
        <v>0.08</v>
      </c>
      <c r="AC617" s="195">
        <v>0.08</v>
      </c>
      <c r="AD617" s="195">
        <v>0.08</v>
      </c>
      <c r="AE617" s="195">
        <v>0.08</v>
      </c>
      <c r="AF617" s="195">
        <v>0.08</v>
      </c>
    </row>
    <row r="618" spans="1:32" x14ac:dyDescent="0.25">
      <c r="A618" s="132"/>
    </row>
    <row r="619" spans="1:32" x14ac:dyDescent="0.25">
      <c r="A619" s="132" t="s">
        <v>759</v>
      </c>
    </row>
    <row r="620" spans="1:32" x14ac:dyDescent="0.25">
      <c r="A620" s="102" t="s">
        <v>987</v>
      </c>
      <c r="F620" s="162">
        <f t="shared" ref="F620" si="334">F569</f>
        <v>1.0473282318688595E-2</v>
      </c>
      <c r="G620" s="162">
        <f t="shared" ref="G620:N620" si="335">G569</f>
        <v>1.0427779893072097E-2</v>
      </c>
      <c r="H620" s="162">
        <f t="shared" si="335"/>
        <v>1.0480237712088383E-2</v>
      </c>
      <c r="I620" s="162">
        <f t="shared" si="335"/>
        <v>8.1694172670028504E-3</v>
      </c>
      <c r="J620" s="162">
        <f t="shared" si="335"/>
        <v>1.0480494143224568E-2</v>
      </c>
      <c r="K620" s="162">
        <f t="shared" si="335"/>
        <v>1.0524537336377805E-2</v>
      </c>
      <c r="L620" s="121">
        <f>L569</f>
        <v>2.206563726216245</v>
      </c>
      <c r="M620" s="121">
        <f>M569</f>
        <v>1.5719599293659878</v>
      </c>
      <c r="N620" s="162">
        <f t="shared" si="335"/>
        <v>7.7736322480256139E-3</v>
      </c>
      <c r="O620" s="121" t="e">
        <f>O569</f>
        <v>#DIV/0!</v>
      </c>
      <c r="P620" s="162"/>
      <c r="Q620" s="121">
        <f>Q569</f>
        <v>0.80383511086773474</v>
      </c>
      <c r="R620" s="121">
        <f>R569</f>
        <v>4.256119485355466</v>
      </c>
      <c r="S620" s="121">
        <f ca="1">S569</f>
        <v>3.7044748455386083</v>
      </c>
      <c r="T620" s="121">
        <f ca="1">T569</f>
        <v>3.7066602309510777</v>
      </c>
      <c r="U620" s="121">
        <f>U569</f>
        <v>-0.68376090409665791</v>
      </c>
      <c r="V620" s="162" t="e">
        <f t="shared" ref="V620:AF620" si="336">V594</f>
        <v>#DIV/0!</v>
      </c>
      <c r="W620" s="162" t="e">
        <f t="shared" si="336"/>
        <v>#DIV/0!</v>
      </c>
      <c r="X620" s="162" t="e">
        <f t="shared" si="336"/>
        <v>#DIV/0!</v>
      </c>
      <c r="Y620" s="162" t="e">
        <f t="shared" si="336"/>
        <v>#DIV/0!</v>
      </c>
      <c r="Z620" s="162">
        <f t="shared" si="336"/>
        <v>0</v>
      </c>
      <c r="AA620" s="162">
        <f t="shared" si="336"/>
        <v>0</v>
      </c>
      <c r="AB620" s="162">
        <f t="shared" si="336"/>
        <v>0</v>
      </c>
      <c r="AC620" s="162">
        <f t="shared" si="336"/>
        <v>0</v>
      </c>
      <c r="AD620" s="162">
        <f t="shared" si="336"/>
        <v>0</v>
      </c>
      <c r="AE620" s="162">
        <f t="shared" si="336"/>
        <v>0</v>
      </c>
      <c r="AF620" s="162" t="e">
        <f t="shared" si="336"/>
        <v>#REF!</v>
      </c>
    </row>
    <row r="621" spans="1:32" x14ac:dyDescent="0.25">
      <c r="A621" s="102" t="s">
        <v>988</v>
      </c>
      <c r="D621" s="162"/>
      <c r="F621" s="162">
        <f>(F530*$C$538)/F$430</f>
        <v>0</v>
      </c>
      <c r="G621" s="162">
        <f t="shared" ref="G621:N621" si="337">(G530*$C$538)/G$430</f>
        <v>0</v>
      </c>
      <c r="H621" s="162">
        <f t="shared" si="337"/>
        <v>0</v>
      </c>
      <c r="I621" s="162">
        <f t="shared" si="337"/>
        <v>0</v>
      </c>
      <c r="J621" s="162">
        <f t="shared" si="337"/>
        <v>0</v>
      </c>
      <c r="K621" s="162">
        <f t="shared" si="337"/>
        <v>0</v>
      </c>
      <c r="L621" s="121">
        <f>(L530*$C$538)/L$445</f>
        <v>0</v>
      </c>
      <c r="M621" s="121">
        <f>(M530*$C$538)/M$445</f>
        <v>0</v>
      </c>
      <c r="N621" s="162">
        <f t="shared" si="337"/>
        <v>0</v>
      </c>
      <c r="O621" s="121" t="e">
        <f>(O530*$C$538)/O$445</f>
        <v>#DIV/0!</v>
      </c>
      <c r="P621" s="162"/>
      <c r="Q621" s="121">
        <f>(Q530*$C$538)/Q$445</f>
        <v>0</v>
      </c>
      <c r="R621" s="121">
        <f>(R530*$C$538)/R$445</f>
        <v>0</v>
      </c>
      <c r="S621" s="121">
        <f ca="1">(S530*$C$538)/S$445</f>
        <v>0</v>
      </c>
      <c r="T621" s="121">
        <f ca="1">(T530*$C$538)/T$445</f>
        <v>0</v>
      </c>
      <c r="U621" s="121">
        <f>(U530*$C$538)/U$445</f>
        <v>0</v>
      </c>
      <c r="V621" s="162" t="e">
        <f t="shared" ref="V621:AF621" si="338">V595</f>
        <v>#DIV/0!</v>
      </c>
      <c r="W621" s="162" t="e">
        <f t="shared" si="338"/>
        <v>#DIV/0!</v>
      </c>
      <c r="X621" s="162" t="e">
        <f t="shared" si="338"/>
        <v>#DIV/0!</v>
      </c>
      <c r="Y621" s="162" t="e">
        <f t="shared" si="338"/>
        <v>#DIV/0!</v>
      </c>
      <c r="Z621" s="162" t="e">
        <f t="shared" si="338"/>
        <v>#DIV/0!</v>
      </c>
      <c r="AA621" s="162" t="e">
        <f t="shared" si="338"/>
        <v>#DIV/0!</v>
      </c>
      <c r="AB621" s="162" t="e">
        <f t="shared" si="338"/>
        <v>#DIV/0!</v>
      </c>
      <c r="AC621" s="162" t="e">
        <f t="shared" si="338"/>
        <v>#DIV/0!</v>
      </c>
      <c r="AD621" s="162" t="e">
        <f t="shared" si="338"/>
        <v>#DIV/0!</v>
      </c>
      <c r="AE621" s="162">
        <f t="shared" si="338"/>
        <v>0</v>
      </c>
      <c r="AF621" s="162" t="e">
        <f t="shared" si="338"/>
        <v>#REF!</v>
      </c>
    </row>
    <row r="622" spans="1:32" x14ac:dyDescent="0.25">
      <c r="A622" s="102" t="s">
        <v>890</v>
      </c>
      <c r="F622" s="162">
        <f t="shared" ref="F622" si="339">F571</f>
        <v>6.2751539645976392E-2</v>
      </c>
      <c r="G622" s="162">
        <f t="shared" ref="G622:N622" si="340">G571</f>
        <v>6.1035445841360933E-2</v>
      </c>
      <c r="H622" s="162">
        <f t="shared" si="340"/>
        <v>6.2959691999797701E-2</v>
      </c>
      <c r="I622" s="162">
        <f t="shared" si="340"/>
        <v>6.6959950218278247E-2</v>
      </c>
      <c r="J622" s="162">
        <f t="shared" si="340"/>
        <v>6.2178918700372926E-2</v>
      </c>
      <c r="K622" s="162">
        <f t="shared" si="340"/>
        <v>6.2365748502767805E-2</v>
      </c>
      <c r="L622" s="162">
        <f>L571</f>
        <v>6.3384154245802363E-2</v>
      </c>
      <c r="M622" s="162">
        <f>M571</f>
        <v>6.2178918700372919E-2</v>
      </c>
      <c r="N622" s="162">
        <f t="shared" si="340"/>
        <v>6.2178918700372919E-2</v>
      </c>
      <c r="O622" s="162" t="e">
        <f>O571</f>
        <v>#DIV/0!</v>
      </c>
      <c r="P622" s="162"/>
      <c r="Q622" s="162">
        <f>Q571</f>
        <v>4.689677826641768E-2</v>
      </c>
      <c r="R622" s="162">
        <f>R571</f>
        <v>5.1583718811972358E-2</v>
      </c>
      <c r="S622" s="162">
        <f>S571</f>
        <v>4.9412784774829181E-2</v>
      </c>
      <c r="T622" s="162">
        <f>T571</f>
        <v>4.2561146921944848E-2</v>
      </c>
      <c r="U622" s="162">
        <f>U571</f>
        <v>5.3129411869583532E-2</v>
      </c>
      <c r="V622" s="162" t="e">
        <f>#REF!</f>
        <v>#REF!</v>
      </c>
      <c r="W622" s="162" t="e">
        <f>#REF!</f>
        <v>#REF!</v>
      </c>
      <c r="X622" s="162" t="e">
        <f>#REF!</f>
        <v>#REF!</v>
      </c>
      <c r="Y622" s="162" t="e">
        <f>#REF!</f>
        <v>#REF!</v>
      </c>
      <c r="Z622" s="162" t="e">
        <f>#REF!</f>
        <v>#REF!</v>
      </c>
      <c r="AA622" s="162" t="e">
        <f>#REF!</f>
        <v>#REF!</v>
      </c>
      <c r="AB622" s="162" t="e">
        <f>#REF!</f>
        <v>#REF!</v>
      </c>
      <c r="AC622" s="162" t="e">
        <f>#REF!</f>
        <v>#REF!</v>
      </c>
      <c r="AD622" s="162" t="e">
        <f>#REF!</f>
        <v>#REF!</v>
      </c>
      <c r="AE622" s="162" t="e">
        <f>#REF!</f>
        <v>#REF!</v>
      </c>
      <c r="AF622" s="162" t="e">
        <f>#REF!</f>
        <v>#REF!</v>
      </c>
    </row>
    <row r="623" spans="1:32" x14ac:dyDescent="0.25">
      <c r="A623" s="102" t="s">
        <v>891</v>
      </c>
      <c r="D623" s="162"/>
      <c r="F623" s="162">
        <f>(F531*$C$538)/F$430</f>
        <v>0</v>
      </c>
      <c r="G623" s="162">
        <f t="shared" ref="G623:N623" si="341">(G531*$C$538)/G$430</f>
        <v>0</v>
      </c>
      <c r="H623" s="162">
        <f t="shared" si="341"/>
        <v>0</v>
      </c>
      <c r="I623" s="162">
        <f t="shared" si="341"/>
        <v>0</v>
      </c>
      <c r="J623" s="162">
        <f t="shared" si="341"/>
        <v>0</v>
      </c>
      <c r="K623" s="162">
        <f t="shared" si="341"/>
        <v>0</v>
      </c>
      <c r="L623" s="162">
        <f>(L531*$C$538)/L$430</f>
        <v>0</v>
      </c>
      <c r="M623" s="162">
        <f>(M531*$C$538)/M$430</f>
        <v>0</v>
      </c>
      <c r="N623" s="162">
        <f t="shared" si="341"/>
        <v>0</v>
      </c>
      <c r="O623" s="162" t="e">
        <f>(O531*$C$538)/O$430</f>
        <v>#DIV/0!</v>
      </c>
      <c r="P623" s="162"/>
      <c r="Q623" s="162">
        <f>(Q531*$C$538)/Q$430</f>
        <v>0</v>
      </c>
      <c r="R623" s="162">
        <f>(R531*$C$538)/R$430</f>
        <v>0</v>
      </c>
      <c r="S623" s="162">
        <f>(S531*$C$538)/S$430</f>
        <v>0</v>
      </c>
      <c r="T623" s="162">
        <f>(T531*$C$538)/T$430</f>
        <v>0</v>
      </c>
      <c r="U623" s="162">
        <f>(U531*$C$538)/U$430</f>
        <v>0</v>
      </c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</row>
    <row r="624" spans="1:32" x14ac:dyDescent="0.25"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</row>
    <row r="625" spans="1:36" x14ac:dyDescent="0.25">
      <c r="A625" s="132" t="s">
        <v>884</v>
      </c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</row>
    <row r="626" spans="1:36" x14ac:dyDescent="0.25">
      <c r="A626" s="102" t="s">
        <v>989</v>
      </c>
      <c r="F626" s="162">
        <f t="shared" ref="F626" si="342">F575</f>
        <v>0</v>
      </c>
      <c r="G626" s="162">
        <f t="shared" ref="G626:N626" si="343">G575</f>
        <v>0</v>
      </c>
      <c r="H626" s="162">
        <f t="shared" si="343"/>
        <v>0</v>
      </c>
      <c r="I626" s="162">
        <f t="shared" si="343"/>
        <v>0</v>
      </c>
      <c r="J626" s="162">
        <f t="shared" si="343"/>
        <v>0</v>
      </c>
      <c r="K626" s="162">
        <f t="shared" si="343"/>
        <v>0</v>
      </c>
      <c r="L626" s="121">
        <f>L575</f>
        <v>0</v>
      </c>
      <c r="M626" s="121">
        <f>M575</f>
        <v>0</v>
      </c>
      <c r="N626" s="162">
        <f t="shared" si="343"/>
        <v>0</v>
      </c>
      <c r="O626" s="121" t="e">
        <f>O575</f>
        <v>#DIV/0!</v>
      </c>
      <c r="P626" s="162"/>
      <c r="Q626" s="121">
        <f>Q575</f>
        <v>0</v>
      </c>
      <c r="R626" s="121">
        <f>R575</f>
        <v>0</v>
      </c>
      <c r="S626" s="121">
        <f ca="1">S575</f>
        <v>0</v>
      </c>
      <c r="T626" s="121">
        <f ca="1">T575</f>
        <v>0</v>
      </c>
      <c r="U626" s="121">
        <f>U575</f>
        <v>0</v>
      </c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</row>
    <row r="627" spans="1:36" s="105" customFormat="1" ht="15" x14ac:dyDescent="0.4">
      <c r="A627" s="105" t="s">
        <v>990</v>
      </c>
      <c r="D627" s="162"/>
      <c r="F627" s="191">
        <f>(F532*$C$538)/F$430</f>
        <v>0</v>
      </c>
      <c r="G627" s="191">
        <f t="shared" ref="G627:N627" si="344">(G532*$C$538)/G$430</f>
        <v>0</v>
      </c>
      <c r="H627" s="191">
        <f t="shared" si="344"/>
        <v>0</v>
      </c>
      <c r="I627" s="191">
        <f t="shared" si="344"/>
        <v>0</v>
      </c>
      <c r="J627" s="191">
        <f t="shared" si="344"/>
        <v>0</v>
      </c>
      <c r="K627" s="191">
        <f t="shared" si="344"/>
        <v>0</v>
      </c>
      <c r="L627" s="192">
        <f>(L532*$C$538)/L$445</f>
        <v>0</v>
      </c>
      <c r="M627" s="192">
        <f>(M532*$C$538)/M$445</f>
        <v>0</v>
      </c>
      <c r="N627" s="191">
        <f t="shared" si="344"/>
        <v>0</v>
      </c>
      <c r="O627" s="192" t="e">
        <f>(O532*$C$538)/O$445</f>
        <v>#DIV/0!</v>
      </c>
      <c r="P627" s="191"/>
      <c r="Q627" s="192">
        <f>(Q532*$C$538)/Q$445</f>
        <v>0</v>
      </c>
      <c r="R627" s="192">
        <f>(R532*$C$538)/R$445</f>
        <v>0</v>
      </c>
      <c r="S627" s="192">
        <f ca="1">(S532*$C$538)/S$445</f>
        <v>0</v>
      </c>
      <c r="T627" s="192">
        <f ca="1">(T532*$C$538)/T$445</f>
        <v>0</v>
      </c>
      <c r="U627" s="192">
        <f>(U532*$C$538)/U$445</f>
        <v>0</v>
      </c>
      <c r="AJ627" s="189"/>
    </row>
    <row r="628" spans="1:36" x14ac:dyDescent="0.25">
      <c r="B628" s="102" t="s">
        <v>991</v>
      </c>
      <c r="F628" s="162">
        <f>F626+F627</f>
        <v>0</v>
      </c>
      <c r="G628" s="162">
        <f t="shared" ref="G628:U628" si="345">G626+G627</f>
        <v>0</v>
      </c>
      <c r="H628" s="162">
        <f t="shared" si="345"/>
        <v>0</v>
      </c>
      <c r="I628" s="162">
        <f t="shared" si="345"/>
        <v>0</v>
      </c>
      <c r="J628" s="162">
        <f t="shared" si="345"/>
        <v>0</v>
      </c>
      <c r="K628" s="162">
        <f t="shared" si="345"/>
        <v>0</v>
      </c>
      <c r="L628" s="121">
        <f t="shared" si="345"/>
        <v>0</v>
      </c>
      <c r="M628" s="121">
        <f t="shared" si="345"/>
        <v>0</v>
      </c>
      <c r="N628" s="162">
        <f t="shared" si="345"/>
        <v>0</v>
      </c>
      <c r="O628" s="121" t="e">
        <f t="shared" si="345"/>
        <v>#DIV/0!</v>
      </c>
      <c r="P628" s="162"/>
      <c r="Q628" s="121">
        <f t="shared" ref="Q628" si="346">Q626+Q627</f>
        <v>0</v>
      </c>
      <c r="R628" s="121">
        <f t="shared" si="345"/>
        <v>0</v>
      </c>
      <c r="S628" s="121">
        <f t="shared" ca="1" si="345"/>
        <v>0</v>
      </c>
      <c r="T628" s="121">
        <f t="shared" ca="1" si="345"/>
        <v>0</v>
      </c>
      <c r="U628" s="121">
        <f t="shared" si="345"/>
        <v>0</v>
      </c>
    </row>
    <row r="629" spans="1:36" x14ac:dyDescent="0.25"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</row>
    <row r="630" spans="1:36" x14ac:dyDescent="0.25">
      <c r="A630" s="132" t="s">
        <v>666</v>
      </c>
    </row>
    <row r="631" spans="1:36" x14ac:dyDescent="0.25">
      <c r="A631" s="102" t="s">
        <v>992</v>
      </c>
      <c r="F631" s="162">
        <f>F580</f>
        <v>1.6930073395102843E-2</v>
      </c>
      <c r="G631" s="162">
        <f t="shared" ref="G631:N631" si="347">G580</f>
        <v>1.69956702734354E-2</v>
      </c>
      <c r="H631" s="162">
        <f t="shared" si="347"/>
        <v>3.5878185068448143E-2</v>
      </c>
      <c r="I631" s="162">
        <f t="shared" si="347"/>
        <v>0.94226040220075669</v>
      </c>
      <c r="J631" s="162">
        <f t="shared" si="347"/>
        <v>0.37094477991191999</v>
      </c>
      <c r="K631" s="162">
        <f t="shared" si="347"/>
        <v>5.6498679633485661E-3</v>
      </c>
      <c r="L631" s="121">
        <f t="shared" ref="L631" si="348">L605</f>
        <v>2.2266435404291447</v>
      </c>
      <c r="M631" s="121">
        <f t="shared" ref="M631" si="349">M605</f>
        <v>2.2324811178632165</v>
      </c>
      <c r="N631" s="162">
        <f t="shared" si="347"/>
        <v>9.2265267361163767E-3</v>
      </c>
      <c r="O631" s="121" t="e">
        <f t="shared" ref="O631" si="350">O605</f>
        <v>#DIV/0!</v>
      </c>
      <c r="P631" s="162"/>
      <c r="Q631" s="121">
        <f t="shared" ref="Q631" si="351">Q605</f>
        <v>0</v>
      </c>
      <c r="R631" s="121">
        <f t="shared" ref="R631:U631" si="352">R605</f>
        <v>0</v>
      </c>
      <c r="S631" s="121">
        <f t="shared" ca="1" si="352"/>
        <v>0</v>
      </c>
      <c r="T631" s="121">
        <f t="shared" ca="1" si="352"/>
        <v>0</v>
      </c>
      <c r="U631" s="121">
        <f t="shared" si="352"/>
        <v>0</v>
      </c>
      <c r="V631" s="162" t="e">
        <f t="shared" ref="V631:AE631" si="353">V605</f>
        <v>#REF!</v>
      </c>
      <c r="W631" s="162" t="e">
        <f t="shared" si="353"/>
        <v>#REF!</v>
      </c>
      <c r="X631" s="162" t="e">
        <f t="shared" si="353"/>
        <v>#REF!</v>
      </c>
      <c r="Y631" s="162" t="e">
        <f t="shared" si="353"/>
        <v>#REF!</v>
      </c>
      <c r="Z631" s="162" t="e">
        <f t="shared" si="353"/>
        <v>#REF!</v>
      </c>
      <c r="AA631" s="162" t="e">
        <f t="shared" si="353"/>
        <v>#REF!</v>
      </c>
      <c r="AB631" s="162" t="e">
        <f t="shared" si="353"/>
        <v>#REF!</v>
      </c>
      <c r="AC631" s="162" t="e">
        <f t="shared" si="353"/>
        <v>#REF!</v>
      </c>
      <c r="AD631" s="162" t="e">
        <f t="shared" si="353"/>
        <v>#REF!</v>
      </c>
      <c r="AE631" s="162" t="e">
        <f t="shared" si="353"/>
        <v>#REF!</v>
      </c>
      <c r="AF631" s="162">
        <f>AF553</f>
        <v>0</v>
      </c>
    </row>
    <row r="632" spans="1:36" ht="15" x14ac:dyDescent="0.4">
      <c r="A632" s="105" t="s">
        <v>993</v>
      </c>
      <c r="D632" s="162"/>
      <c r="F632" s="191">
        <f>(F533*F617)/F430</f>
        <v>4.0051811662498013E-3</v>
      </c>
      <c r="G632" s="191">
        <f t="shared" ref="G632:N632" si="354">(G533*G617)/G430</f>
        <v>4.0133469596632578E-3</v>
      </c>
      <c r="H632" s="191">
        <f t="shared" si="354"/>
        <v>8.4549929294881424E-3</v>
      </c>
      <c r="I632" s="191">
        <f t="shared" si="354"/>
        <v>0.22150286384178719</v>
      </c>
      <c r="J632" s="191">
        <f t="shared" si="354"/>
        <v>8.7212033480618095E-2</v>
      </c>
      <c r="K632" s="191">
        <f t="shared" si="354"/>
        <v>1.4399767910715916E-3</v>
      </c>
      <c r="L632" s="192">
        <f>(L533*L617)/L445</f>
        <v>0.52501514240299563</v>
      </c>
      <c r="M632" s="192">
        <f>(M533*M617)/M445</f>
        <v>0.52501514240299563</v>
      </c>
      <c r="N632" s="191">
        <f t="shared" si="354"/>
        <v>2.1712312479834554E-3</v>
      </c>
      <c r="O632" s="192" t="e">
        <f>(O533*O617)/O445</f>
        <v>#DIV/0!</v>
      </c>
      <c r="P632" s="191"/>
      <c r="Q632" s="192">
        <f>(Q533*Q617)/Q445</f>
        <v>0</v>
      </c>
      <c r="R632" s="192">
        <f>(R533*R617)/R445</f>
        <v>0</v>
      </c>
      <c r="S632" s="192">
        <f ca="1">(S533*S617)/S445</f>
        <v>0</v>
      </c>
      <c r="T632" s="192">
        <f ca="1">(T533*T617)/T445</f>
        <v>0</v>
      </c>
      <c r="U632" s="192">
        <f>(U533*U617)/U445</f>
        <v>0</v>
      </c>
      <c r="V632" s="191" t="e">
        <f t="shared" ref="V632:AF632" si="355">(V533*V617)/V430</f>
        <v>#DIV/0!</v>
      </c>
      <c r="W632" s="191" t="e">
        <f t="shared" si="355"/>
        <v>#DIV/0!</v>
      </c>
      <c r="X632" s="191" t="e">
        <f t="shared" si="355"/>
        <v>#DIV/0!</v>
      </c>
      <c r="Y632" s="191" t="e">
        <f t="shared" si="355"/>
        <v>#DIV/0!</v>
      </c>
      <c r="Z632" s="191" t="e">
        <f t="shared" si="355"/>
        <v>#DIV/0!</v>
      </c>
      <c r="AA632" s="191" t="e">
        <f t="shared" si="355"/>
        <v>#DIV/0!</v>
      </c>
      <c r="AB632" s="191" t="e">
        <f t="shared" si="355"/>
        <v>#DIV/0!</v>
      </c>
      <c r="AC632" s="191" t="e">
        <f t="shared" si="355"/>
        <v>#DIV/0!</v>
      </c>
      <c r="AD632" s="191" t="e">
        <f t="shared" si="355"/>
        <v>#DIV/0!</v>
      </c>
      <c r="AE632" s="191" t="e">
        <f t="shared" si="355"/>
        <v>#DIV/0!</v>
      </c>
      <c r="AF632" s="191" t="e">
        <f t="shared" si="355"/>
        <v>#DIV/0!</v>
      </c>
    </row>
    <row r="633" spans="1:36" x14ac:dyDescent="0.25">
      <c r="B633" s="102" t="s">
        <v>994</v>
      </c>
      <c r="F633" s="162">
        <f t="shared" ref="F633:AF633" si="356">F631+F632</f>
        <v>2.0935254561352645E-2</v>
      </c>
      <c r="G633" s="162">
        <f t="shared" ref="G633:N633" si="357">G631+G632</f>
        <v>2.1009017233098656E-2</v>
      </c>
      <c r="H633" s="162">
        <f t="shared" si="357"/>
        <v>4.4333177997936284E-2</v>
      </c>
      <c r="I633" s="162">
        <f t="shared" si="357"/>
        <v>1.1637632660425439</v>
      </c>
      <c r="J633" s="162">
        <f t="shared" si="357"/>
        <v>0.45815681339253811</v>
      </c>
      <c r="K633" s="162">
        <f t="shared" si="357"/>
        <v>7.0898447544201579E-3</v>
      </c>
      <c r="L633" s="121">
        <f>L631+L632</f>
        <v>2.7516586828321401</v>
      </c>
      <c r="M633" s="121">
        <f>M631+M632</f>
        <v>2.7574962602662119</v>
      </c>
      <c r="N633" s="162">
        <f t="shared" si="357"/>
        <v>1.1397757984099833E-2</v>
      </c>
      <c r="O633" s="121" t="e">
        <f>O631+O632</f>
        <v>#DIV/0!</v>
      </c>
      <c r="P633" s="162"/>
      <c r="Q633" s="121">
        <f>Q631+Q632</f>
        <v>0</v>
      </c>
      <c r="R633" s="121">
        <f>R631+R632</f>
        <v>0</v>
      </c>
      <c r="S633" s="121">
        <f ca="1">S631+S632</f>
        <v>0</v>
      </c>
      <c r="T633" s="121">
        <f ca="1">T631+T632</f>
        <v>0</v>
      </c>
      <c r="U633" s="121">
        <f>U631+U632</f>
        <v>0</v>
      </c>
      <c r="V633" s="162" t="e">
        <f t="shared" si="356"/>
        <v>#REF!</v>
      </c>
      <c r="W633" s="162" t="e">
        <f t="shared" si="356"/>
        <v>#REF!</v>
      </c>
      <c r="X633" s="162" t="e">
        <f t="shared" si="356"/>
        <v>#REF!</v>
      </c>
      <c r="Y633" s="162" t="e">
        <f t="shared" si="356"/>
        <v>#REF!</v>
      </c>
      <c r="Z633" s="162" t="e">
        <f t="shared" si="356"/>
        <v>#REF!</v>
      </c>
      <c r="AA633" s="162" t="e">
        <f t="shared" si="356"/>
        <v>#REF!</v>
      </c>
      <c r="AB633" s="162" t="e">
        <f t="shared" si="356"/>
        <v>#REF!</v>
      </c>
      <c r="AC633" s="162" t="e">
        <f t="shared" si="356"/>
        <v>#REF!</v>
      </c>
      <c r="AD633" s="162" t="e">
        <f t="shared" si="356"/>
        <v>#REF!</v>
      </c>
      <c r="AE633" s="162" t="e">
        <f t="shared" si="356"/>
        <v>#REF!</v>
      </c>
      <c r="AF633" s="162" t="e">
        <f t="shared" si="356"/>
        <v>#DIV/0!</v>
      </c>
    </row>
    <row r="635" spans="1:36" x14ac:dyDescent="0.25">
      <c r="A635" s="132" t="s">
        <v>667</v>
      </c>
    </row>
    <row r="636" spans="1:36" x14ac:dyDescent="0.25">
      <c r="A636" s="102" t="s">
        <v>668</v>
      </c>
      <c r="F636" s="180">
        <f t="shared" ref="F636:AE636" si="358">F610</f>
        <v>18.83102853901045</v>
      </c>
      <c r="G636" s="180">
        <f t="shared" ref="G636:O636" si="359">G610</f>
        <v>18.928064678019844</v>
      </c>
      <c r="H636" s="180">
        <f t="shared" si="359"/>
        <v>19.197816014674892</v>
      </c>
      <c r="I636" s="180">
        <f t="shared" si="359"/>
        <v>32.454803563360215</v>
      </c>
      <c r="J636" s="180">
        <f t="shared" si="359"/>
        <v>24.935445675673048</v>
      </c>
      <c r="K636" s="180">
        <f t="shared" si="359"/>
        <v>18.605290674051712</v>
      </c>
      <c r="L636" s="180">
        <f t="shared" si="359"/>
        <v>27.561381404538182</v>
      </c>
      <c r="M636" s="180">
        <f t="shared" si="359"/>
        <v>32.523923781242573</v>
      </c>
      <c r="N636" s="180">
        <f t="shared" si="359"/>
        <v>29.817581370028734</v>
      </c>
      <c r="O636" s="180" t="e">
        <f t="shared" si="359"/>
        <v>#DIV/0!</v>
      </c>
      <c r="P636" s="180"/>
      <c r="Q636" s="180">
        <f t="shared" ref="Q636" si="360">Q610</f>
        <v>0</v>
      </c>
      <c r="R636" s="180">
        <f t="shared" ref="R636:U636" si="361">R610</f>
        <v>0</v>
      </c>
      <c r="S636" s="180">
        <f t="shared" si="361"/>
        <v>0</v>
      </c>
      <c r="T636" s="180">
        <f t="shared" si="361"/>
        <v>0</v>
      </c>
      <c r="U636" s="180">
        <f t="shared" si="361"/>
        <v>0</v>
      </c>
      <c r="V636" s="180" t="e">
        <f t="shared" si="358"/>
        <v>#REF!</v>
      </c>
      <c r="W636" s="180" t="e">
        <f t="shared" si="358"/>
        <v>#REF!</v>
      </c>
      <c r="X636" s="180" t="e">
        <f t="shared" si="358"/>
        <v>#REF!</v>
      </c>
      <c r="Y636" s="180" t="e">
        <f t="shared" si="358"/>
        <v>#REF!</v>
      </c>
      <c r="Z636" s="180" t="e">
        <f t="shared" si="358"/>
        <v>#REF!</v>
      </c>
      <c r="AA636" s="180" t="e">
        <f t="shared" si="358"/>
        <v>#REF!</v>
      </c>
      <c r="AB636" s="180" t="e">
        <f t="shared" si="358"/>
        <v>#REF!</v>
      </c>
      <c r="AC636" s="180" t="e">
        <f t="shared" si="358"/>
        <v>#REF!</v>
      </c>
      <c r="AD636" s="180" t="e">
        <f t="shared" si="358"/>
        <v>#REF!</v>
      </c>
      <c r="AE636" s="180" t="e">
        <f t="shared" si="358"/>
        <v>#REF!</v>
      </c>
      <c r="AF636" s="180">
        <f>AF554</f>
        <v>0</v>
      </c>
    </row>
    <row r="637" spans="1:36" ht="15" x14ac:dyDescent="0.4">
      <c r="A637" s="102" t="s">
        <v>669</v>
      </c>
      <c r="D637" s="121"/>
      <c r="F637" s="192">
        <f>(F534*F$617)/F433</f>
        <v>3.4755146071980234</v>
      </c>
      <c r="G637" s="192">
        <f t="shared" ref="G637:N637" si="362">(G534*G$617)/G433</f>
        <v>3.4755146071980234</v>
      </c>
      <c r="H637" s="192">
        <f t="shared" si="362"/>
        <v>3.4755146071980234</v>
      </c>
      <c r="I637" s="192">
        <f t="shared" si="362"/>
        <v>3.4755146071980225</v>
      </c>
      <c r="J637" s="192">
        <f t="shared" si="362"/>
        <v>3.4755146071980234</v>
      </c>
      <c r="K637" s="192">
        <f t="shared" si="362"/>
        <v>3.4755146071980225</v>
      </c>
      <c r="L637" s="192">
        <f>(L534*L$617)/L433</f>
        <v>5.1564626659625112</v>
      </c>
      <c r="M637" s="192">
        <f>(M534*M$617)/M433</f>
        <v>5.5517155701587804</v>
      </c>
      <c r="N637" s="192">
        <f t="shared" si="362"/>
        <v>5.5517155701587804</v>
      </c>
      <c r="O637" s="192" t="e">
        <f>(O534*O$617)/O433</f>
        <v>#DIV/0!</v>
      </c>
      <c r="P637" s="192"/>
      <c r="Q637" s="192">
        <f>(Q534*Q$617)/Q433</f>
        <v>0</v>
      </c>
      <c r="R637" s="192">
        <f t="shared" ref="R637:AF637" si="363">(R534*R$617)/R433</f>
        <v>0</v>
      </c>
      <c r="S637" s="192">
        <f t="shared" si="363"/>
        <v>0</v>
      </c>
      <c r="T637" s="192">
        <f t="shared" si="363"/>
        <v>0</v>
      </c>
      <c r="U637" s="192">
        <f t="shared" si="363"/>
        <v>0</v>
      </c>
      <c r="V637" s="192" t="e">
        <f t="shared" si="363"/>
        <v>#DIV/0!</v>
      </c>
      <c r="W637" s="192" t="e">
        <f t="shared" si="363"/>
        <v>#DIV/0!</v>
      </c>
      <c r="X637" s="192" t="e">
        <f t="shared" si="363"/>
        <v>#DIV/0!</v>
      </c>
      <c r="Y637" s="192" t="e">
        <f t="shared" si="363"/>
        <v>#DIV/0!</v>
      </c>
      <c r="Z637" s="192" t="e">
        <f t="shared" si="363"/>
        <v>#DIV/0!</v>
      </c>
      <c r="AA637" s="192" t="e">
        <f t="shared" si="363"/>
        <v>#DIV/0!</v>
      </c>
      <c r="AB637" s="192" t="e">
        <f t="shared" si="363"/>
        <v>#DIV/0!</v>
      </c>
      <c r="AC637" s="192" t="e">
        <f t="shared" si="363"/>
        <v>#DIV/0!</v>
      </c>
      <c r="AD637" s="192" t="e">
        <f t="shared" si="363"/>
        <v>#DIV/0!</v>
      </c>
      <c r="AE637" s="192" t="e">
        <f t="shared" si="363"/>
        <v>#DIV/0!</v>
      </c>
      <c r="AF637" s="192" t="e">
        <f t="shared" si="363"/>
        <v>#DIV/0!</v>
      </c>
    </row>
    <row r="638" spans="1:36" x14ac:dyDescent="0.25">
      <c r="B638" s="102" t="s">
        <v>670</v>
      </c>
      <c r="F638" s="180">
        <f t="shared" ref="F638:AF638" si="364">F636+F637</f>
        <v>22.306543146208472</v>
      </c>
      <c r="G638" s="180">
        <f t="shared" ref="G638:O638" si="365">G636+G637</f>
        <v>22.403579285217866</v>
      </c>
      <c r="H638" s="180">
        <f t="shared" si="365"/>
        <v>22.673330621872914</v>
      </c>
      <c r="I638" s="180">
        <f t="shared" si="365"/>
        <v>35.930318170558238</v>
      </c>
      <c r="J638" s="180">
        <f t="shared" si="365"/>
        <v>28.41096028287107</v>
      </c>
      <c r="K638" s="180">
        <f t="shared" si="365"/>
        <v>22.080805281249734</v>
      </c>
      <c r="L638" s="180">
        <f t="shared" si="365"/>
        <v>32.717844070500689</v>
      </c>
      <c r="M638" s="180">
        <f t="shared" si="365"/>
        <v>38.07563935140135</v>
      </c>
      <c r="N638" s="180">
        <f t="shared" si="365"/>
        <v>35.36929694018751</v>
      </c>
      <c r="O638" s="180" t="e">
        <f t="shared" si="365"/>
        <v>#DIV/0!</v>
      </c>
      <c r="P638" s="180"/>
      <c r="Q638" s="180">
        <f t="shared" ref="Q638" si="366">Q636+Q637</f>
        <v>0</v>
      </c>
      <c r="R638" s="180">
        <f t="shared" ref="R638:U638" si="367">R636+R637</f>
        <v>0</v>
      </c>
      <c r="S638" s="180">
        <f t="shared" si="367"/>
        <v>0</v>
      </c>
      <c r="T638" s="180">
        <f t="shared" si="367"/>
        <v>0</v>
      </c>
      <c r="U638" s="180">
        <f t="shared" si="367"/>
        <v>0</v>
      </c>
      <c r="V638" s="180" t="e">
        <f t="shared" si="364"/>
        <v>#REF!</v>
      </c>
      <c r="W638" s="180" t="e">
        <f t="shared" si="364"/>
        <v>#REF!</v>
      </c>
      <c r="X638" s="180" t="e">
        <f t="shared" si="364"/>
        <v>#REF!</v>
      </c>
      <c r="Y638" s="180" t="e">
        <f t="shared" si="364"/>
        <v>#REF!</v>
      </c>
      <c r="Z638" s="180" t="e">
        <f t="shared" si="364"/>
        <v>#REF!</v>
      </c>
      <c r="AA638" s="180" t="e">
        <f t="shared" si="364"/>
        <v>#REF!</v>
      </c>
      <c r="AB638" s="180" t="e">
        <f t="shared" si="364"/>
        <v>#REF!</v>
      </c>
      <c r="AC638" s="180" t="e">
        <f t="shared" si="364"/>
        <v>#REF!</v>
      </c>
      <c r="AD638" s="180" t="e">
        <f t="shared" si="364"/>
        <v>#REF!</v>
      </c>
      <c r="AE638" s="180" t="e">
        <f t="shared" si="364"/>
        <v>#REF!</v>
      </c>
      <c r="AF638" s="180" t="e">
        <f t="shared" si="364"/>
        <v>#DIV/0!</v>
      </c>
    </row>
    <row r="639" spans="1:36" x14ac:dyDescent="0.25"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</row>
    <row r="642" spans="1:21" x14ac:dyDescent="0.25">
      <c r="A642" s="131" t="s">
        <v>868</v>
      </c>
      <c r="F642" s="196"/>
      <c r="G642" s="196"/>
      <c r="H642" s="196"/>
      <c r="I642" s="196"/>
      <c r="J642" s="196"/>
      <c r="K642" s="196"/>
      <c r="L642" s="180"/>
      <c r="M642" s="180"/>
      <c r="N642" s="196"/>
      <c r="O642" s="180"/>
      <c r="P642" s="196"/>
      <c r="Q642" s="180"/>
      <c r="R642" s="180"/>
      <c r="S642" s="180"/>
      <c r="T642" s="180"/>
      <c r="U642" s="180"/>
    </row>
    <row r="644" spans="1:21" x14ac:dyDescent="0.25">
      <c r="A644" s="132" t="s">
        <v>869</v>
      </c>
      <c r="E644" s="164">
        <f>E330</f>
        <v>4.6260649029623456E-3</v>
      </c>
      <c r="F644" s="164">
        <f>F330</f>
        <v>-4.653468325117683E-2</v>
      </c>
      <c r="G644" s="164">
        <f t="shared" ref="G644:N644" si="368">G330</f>
        <v>-0.12640708010528701</v>
      </c>
      <c r="H644" s="164">
        <f t="shared" si="368"/>
        <v>-7.8899771598051935E-2</v>
      </c>
      <c r="I644" s="164">
        <f t="shared" si="368"/>
        <v>-0.15388896271145933</v>
      </c>
      <c r="J644" s="164">
        <f t="shared" si="368"/>
        <v>-4.8367358204667719E-2</v>
      </c>
      <c r="K644" s="164">
        <f t="shared" si="368"/>
        <v>-3.8011051386348323E-3</v>
      </c>
      <c r="L644" s="197">
        <f>L403</f>
        <v>0.2315833325388813</v>
      </c>
      <c r="M644" s="197">
        <f>M403</f>
        <v>5.693695181027332E-2</v>
      </c>
      <c r="N644" s="164">
        <f t="shared" si="368"/>
        <v>7.2805011043706791E-2</v>
      </c>
      <c r="O644" s="197" t="str">
        <f>O403</f>
        <v>NA</v>
      </c>
      <c r="P644" s="164"/>
      <c r="Q644" s="197" t="str">
        <f>Q403</f>
        <v>NA</v>
      </c>
      <c r="R644" s="197" t="str">
        <f>R403</f>
        <v>NA</v>
      </c>
      <c r="S644" s="197" t="str">
        <f>S403</f>
        <v>NA</v>
      </c>
      <c r="T644" s="197" t="str">
        <f>T403</f>
        <v>NA</v>
      </c>
      <c r="U644" s="197" t="str">
        <f>U403</f>
        <v>NA</v>
      </c>
    </row>
    <row r="645" spans="1:21" x14ac:dyDescent="0.25">
      <c r="F645" s="197"/>
      <c r="G645" s="197"/>
      <c r="H645" s="197"/>
      <c r="I645" s="197"/>
      <c r="J645" s="197"/>
      <c r="K645" s="197"/>
      <c r="N645" s="197"/>
      <c r="P645" s="197"/>
    </row>
    <row r="646" spans="1:21" x14ac:dyDescent="0.25">
      <c r="B646" s="102" t="s">
        <v>870</v>
      </c>
      <c r="F646" s="198">
        <f t="shared" ref="F646" si="369">F587</f>
        <v>15.747542544896739</v>
      </c>
      <c r="G646" s="198">
        <f t="shared" ref="G646:O646" si="370">G587</f>
        <v>6.7083032404501672</v>
      </c>
      <c r="H646" s="198">
        <f t="shared" si="370"/>
        <v>15.982143058297565</v>
      </c>
      <c r="I646" s="198">
        <f t="shared" si="370"/>
        <v>21.605275224600526</v>
      </c>
      <c r="J646" s="198">
        <f t="shared" si="370"/>
        <v>26.773014122546886</v>
      </c>
      <c r="K646" s="198">
        <f t="shared" si="370"/>
        <v>23.149544411318136</v>
      </c>
      <c r="L646" s="198">
        <f t="shared" si="370"/>
        <v>60.177327777101205</v>
      </c>
      <c r="M646" s="198">
        <f t="shared" si="370"/>
        <v>41.157529837045793</v>
      </c>
      <c r="N646" s="198">
        <f t="shared" si="370"/>
        <v>39.882607974300164</v>
      </c>
      <c r="O646" s="198" t="e">
        <f t="shared" si="370"/>
        <v>#DIV/0!</v>
      </c>
      <c r="P646" s="198"/>
      <c r="Q646" s="198" t="e">
        <f t="shared" ref="Q646" si="371">Q587</f>
        <v>#VALUE!</v>
      </c>
      <c r="R646" s="198" t="e">
        <f t="shared" ref="R646:U646" si="372">R587</f>
        <v>#VALUE!</v>
      </c>
      <c r="S646" s="198" t="e">
        <f t="shared" si="372"/>
        <v>#VALUE!</v>
      </c>
      <c r="T646" s="198" t="e">
        <f t="shared" si="372"/>
        <v>#VALUE!</v>
      </c>
      <c r="U646" s="198" t="e">
        <f t="shared" si="372"/>
        <v>#VALUE!</v>
      </c>
    </row>
    <row r="647" spans="1:21" x14ac:dyDescent="0.25">
      <c r="B647" s="102" t="s">
        <v>758</v>
      </c>
      <c r="F647" s="199">
        <f>F569+F570+F571+F572+F577+F582</f>
        <v>8.6601487756634246E-2</v>
      </c>
      <c r="G647" s="199">
        <f t="shared" ref="G647:N647" si="373">G569+G570+G571+G572+G577+G582</f>
        <v>7.4348138909707762E-2</v>
      </c>
      <c r="H647" s="199">
        <f t="shared" si="373"/>
        <v>0.10149524674996907</v>
      </c>
      <c r="I647" s="199">
        <f t="shared" si="373"/>
        <v>0.32592336255579324</v>
      </c>
      <c r="J647" s="199">
        <f t="shared" si="373"/>
        <v>0.48971479766558845</v>
      </c>
      <c r="K647" s="199">
        <f t="shared" si="373"/>
        <v>8.0422931075491894E-2</v>
      </c>
      <c r="L647" s="199">
        <f>L571+L572</f>
        <v>6.3384154245802363E-2</v>
      </c>
      <c r="M647" s="199">
        <f>M571+M572</f>
        <v>6.2178918700372919E-2</v>
      </c>
      <c r="N647" s="199">
        <f t="shared" si="373"/>
        <v>8.3115428529368054E-2</v>
      </c>
      <c r="O647" s="199" t="e">
        <f>O571+O572</f>
        <v>#DIV/0!</v>
      </c>
      <c r="P647" s="199"/>
      <c r="Q647" s="199" t="e">
        <f>Q571+Q572</f>
        <v>#VALUE!</v>
      </c>
      <c r="R647" s="199" t="e">
        <f>R571+R572</f>
        <v>#VALUE!</v>
      </c>
      <c r="S647" s="199" t="e">
        <f>S571+S572</f>
        <v>#VALUE!</v>
      </c>
      <c r="T647" s="199" t="e">
        <f>T571+T572</f>
        <v>#VALUE!</v>
      </c>
      <c r="U647" s="199" t="e">
        <f>U571+U572</f>
        <v>#VALUE!</v>
      </c>
    </row>
    <row r="648" spans="1:21" x14ac:dyDescent="0.25">
      <c r="B648" s="102" t="s">
        <v>871</v>
      </c>
      <c r="F648" s="198">
        <v>0</v>
      </c>
      <c r="G648" s="198">
        <v>1</v>
      </c>
      <c r="H648" s="198">
        <v>2</v>
      </c>
      <c r="I648" s="198">
        <v>3</v>
      </c>
      <c r="J648" s="198">
        <v>4</v>
      </c>
      <c r="K648" s="198">
        <v>5</v>
      </c>
      <c r="L648" s="198">
        <f>L569+L570+L577+L582</f>
        <v>7.7540624417314454</v>
      </c>
      <c r="M648" s="198">
        <f>M569+M570+M577+M582</f>
        <v>4.6209046890633001</v>
      </c>
      <c r="N648" s="198">
        <v>8</v>
      </c>
      <c r="O648" s="198" t="e">
        <f>O569+O570+O577+O582</f>
        <v>#DIV/0!</v>
      </c>
      <c r="P648" s="198"/>
      <c r="Q648" s="198" t="e">
        <f>Q569+Q570+Q577+Q582</f>
        <v>#VALUE!</v>
      </c>
      <c r="R648" s="198" t="e">
        <f>R569+R570+R577+R582</f>
        <v>#VALUE!</v>
      </c>
      <c r="S648" s="198" t="e">
        <f ca="1">S569+S570+S577+S582</f>
        <v>#VALUE!</v>
      </c>
      <c r="T648" s="198" t="e">
        <f ca="1">T569+T570+T577+T582</f>
        <v>#VALUE!</v>
      </c>
      <c r="U648" s="198" t="e">
        <f>U569+U570+U577+U582</f>
        <v>#VALUE!</v>
      </c>
    </row>
    <row r="649" spans="1:21" x14ac:dyDescent="0.25">
      <c r="F649" s="117"/>
      <c r="G649" s="117"/>
      <c r="H649" s="117"/>
      <c r="I649" s="117"/>
      <c r="J649" s="117"/>
      <c r="K649" s="117"/>
      <c r="N649" s="117"/>
      <c r="P649" s="117"/>
    </row>
    <row r="650" spans="1:21" x14ac:dyDescent="0.25">
      <c r="A650" s="132" t="s">
        <v>872</v>
      </c>
      <c r="E650" s="164">
        <f>E403</f>
        <v>1.8769692558580721E-2</v>
      </c>
      <c r="F650" s="197">
        <f>$E650</f>
        <v>1.8769692558580721E-2</v>
      </c>
      <c r="G650" s="197">
        <f t="shared" ref="G650:N650" si="374">$E650</f>
        <v>1.8769692558580721E-2</v>
      </c>
      <c r="H650" s="197">
        <f t="shared" si="374"/>
        <v>1.8769692558580721E-2</v>
      </c>
      <c r="I650" s="197">
        <f t="shared" si="374"/>
        <v>1.8769692558580721E-2</v>
      </c>
      <c r="J650" s="197">
        <f t="shared" si="374"/>
        <v>1.8769692558580721E-2</v>
      </c>
      <c r="K650" s="197">
        <f t="shared" si="374"/>
        <v>1.8769692558580721E-2</v>
      </c>
      <c r="L650" s="197">
        <f t="shared" ref="L650:U650" si="375">K650</f>
        <v>1.8769692558580721E-2</v>
      </c>
      <c r="M650" s="197">
        <f t="shared" si="375"/>
        <v>1.8769692558580721E-2</v>
      </c>
      <c r="N650" s="197">
        <f t="shared" si="374"/>
        <v>1.8769692558580721E-2</v>
      </c>
      <c r="O650" s="197">
        <f t="shared" si="375"/>
        <v>1.8769692558580721E-2</v>
      </c>
      <c r="P650" s="197"/>
      <c r="Q650" s="197">
        <f t="shared" si="375"/>
        <v>0</v>
      </c>
      <c r="R650" s="197">
        <f t="shared" si="375"/>
        <v>0</v>
      </c>
      <c r="S650" s="197">
        <f t="shared" si="375"/>
        <v>0</v>
      </c>
      <c r="T650" s="197">
        <f t="shared" si="375"/>
        <v>0</v>
      </c>
      <c r="U650" s="197">
        <f t="shared" si="375"/>
        <v>0</v>
      </c>
    </row>
    <row r="651" spans="1:21" x14ac:dyDescent="0.25"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</row>
    <row r="652" spans="1:21" x14ac:dyDescent="0.25">
      <c r="B652" s="102" t="s">
        <v>870</v>
      </c>
      <c r="F652" s="198">
        <f>F612</f>
        <v>20.612779840298028</v>
      </c>
      <c r="G652" s="198">
        <f t="shared" ref="G652:O652" si="376">G612</f>
        <v>20.709815979307422</v>
      </c>
      <c r="H652" s="198">
        <f t="shared" si="376"/>
        <v>20.97956731596247</v>
      </c>
      <c r="I652" s="198">
        <f t="shared" si="376"/>
        <v>34.236554864647793</v>
      </c>
      <c r="J652" s="198">
        <f t="shared" si="376"/>
        <v>26.717196976960626</v>
      </c>
      <c r="K652" s="198">
        <f t="shared" si="376"/>
        <v>20.38704197533929</v>
      </c>
      <c r="L652" s="198">
        <f t="shared" si="376"/>
        <v>30.204884627367836</v>
      </c>
      <c r="M652" s="198">
        <f t="shared" si="376"/>
        <v>35.370056673627019</v>
      </c>
      <c r="N652" s="198">
        <f t="shared" si="376"/>
        <v>32.66371426241318</v>
      </c>
      <c r="O652" s="198" t="e">
        <f t="shared" si="376"/>
        <v>#DIV/0!</v>
      </c>
      <c r="P652" s="198"/>
      <c r="Q652" s="198">
        <f t="shared" ref="Q652" si="377">Q612</f>
        <v>0</v>
      </c>
      <c r="R652" s="198">
        <f t="shared" ref="R652:U652" si="378">R612</f>
        <v>0</v>
      </c>
      <c r="S652" s="198">
        <f t="shared" si="378"/>
        <v>0</v>
      </c>
      <c r="T652" s="198">
        <f t="shared" si="378"/>
        <v>0</v>
      </c>
      <c r="U652" s="198">
        <f t="shared" si="378"/>
        <v>0</v>
      </c>
    </row>
    <row r="653" spans="1:21" x14ac:dyDescent="0.25">
      <c r="B653" s="102" t="s">
        <v>758</v>
      </c>
      <c r="F653" s="199">
        <f>F594+F595+F596+F597+F602+F607</f>
        <v>9.2208184602194959E-2</v>
      </c>
      <c r="G653" s="199">
        <f t="shared" ref="G653:N653" si="379">G594+G595+G596+G597+G602+G607</f>
        <v>9.0516371511809288E-2</v>
      </c>
      <c r="H653" s="199">
        <f t="shared" si="379"/>
        <v>0.11365263681724144</v>
      </c>
      <c r="I653" s="199">
        <f t="shared" si="379"/>
        <v>1.1309450443701539</v>
      </c>
      <c r="J653" s="199">
        <f>J594+J595+J596+J597+J602+J607</f>
        <v>0.48831416284748708</v>
      </c>
      <c r="K653" s="199">
        <f t="shared" si="379"/>
        <v>7.927836981113992E-2</v>
      </c>
      <c r="L653" s="199">
        <f>L596+L597</f>
        <v>6.3384154245802363E-2</v>
      </c>
      <c r="M653" s="199">
        <f>M596+M597</f>
        <v>6.2178918700372919E-2</v>
      </c>
      <c r="N653" s="199">
        <f t="shared" si="379"/>
        <v>8.029217733700339E-2</v>
      </c>
      <c r="O653" s="199" t="e">
        <f>O596+O597</f>
        <v>#DIV/0!</v>
      </c>
      <c r="P653" s="199"/>
      <c r="Q653" s="199">
        <f>Q596+Q597</f>
        <v>4.689677826641768E-2</v>
      </c>
      <c r="R653" s="199">
        <f>R596+R597</f>
        <v>5.1583718811972358E-2</v>
      </c>
      <c r="S653" s="199">
        <f>S596+S597</f>
        <v>4.9412784774829181E-2</v>
      </c>
      <c r="T653" s="199">
        <f>T596+T597</f>
        <v>4.2561146921944848E-2</v>
      </c>
      <c r="U653" s="199">
        <f>U596+U597</f>
        <v>5.3129411869583532E-2</v>
      </c>
    </row>
    <row r="654" spans="1:21" x14ac:dyDescent="0.25">
      <c r="B654" s="102" t="s">
        <v>871</v>
      </c>
      <c r="F654" s="198">
        <v>0</v>
      </c>
      <c r="G654" s="198">
        <v>1</v>
      </c>
      <c r="H654" s="198">
        <v>2</v>
      </c>
      <c r="I654" s="198">
        <v>3</v>
      </c>
      <c r="J654" s="198">
        <v>4</v>
      </c>
      <c r="K654" s="198">
        <v>5</v>
      </c>
      <c r="L654" s="198">
        <f>L594+L595+L602+L607</f>
        <v>4.7023606205788901</v>
      </c>
      <c r="M654" s="198">
        <f>M594+M595+M602+M607</f>
        <v>4.0735944011627048</v>
      </c>
      <c r="N654" s="198">
        <v>8</v>
      </c>
      <c r="O654" s="198" t="e">
        <f>O594+O595+O602+O607</f>
        <v>#DIV/0!</v>
      </c>
      <c r="P654" s="198"/>
      <c r="Q654" s="198">
        <f>Q594+Q595+Q602+Q607</f>
        <v>0.80383511086773474</v>
      </c>
      <c r="R654" s="198">
        <f>R594+R595+R602+R607</f>
        <v>4.256119485355466</v>
      </c>
      <c r="S654" s="198">
        <f ca="1">S594+S595+S602+S607</f>
        <v>3.7044748455386083</v>
      </c>
      <c r="T654" s="198">
        <f ca="1">T594+T595+T602+T607</f>
        <v>3.7066602309510777</v>
      </c>
      <c r="U654" s="198">
        <f>U594+U595+U602+U607</f>
        <v>-0.68376090409665791</v>
      </c>
    </row>
    <row r="655" spans="1:21" x14ac:dyDescent="0.25"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</row>
    <row r="656" spans="1:21" x14ac:dyDescent="0.25">
      <c r="A656" s="132" t="s">
        <v>873</v>
      </c>
      <c r="E656" s="164">
        <f>C538</f>
        <v>3.661248380333549E-2</v>
      </c>
      <c r="F656" s="197">
        <f>E$656</f>
        <v>3.661248380333549E-2</v>
      </c>
      <c r="G656" s="197">
        <f t="shared" ref="G656:N656" si="380">F$656</f>
        <v>3.661248380333549E-2</v>
      </c>
      <c r="H656" s="197">
        <f t="shared" si="380"/>
        <v>3.661248380333549E-2</v>
      </c>
      <c r="I656" s="197">
        <f t="shared" si="380"/>
        <v>3.661248380333549E-2</v>
      </c>
      <c r="J656" s="197">
        <f t="shared" si="380"/>
        <v>3.661248380333549E-2</v>
      </c>
      <c r="K656" s="197">
        <f t="shared" si="380"/>
        <v>3.661248380333549E-2</v>
      </c>
      <c r="L656" s="197">
        <f t="shared" ref="L656:U656" si="381">K656</f>
        <v>3.661248380333549E-2</v>
      </c>
      <c r="M656" s="197">
        <f t="shared" si="381"/>
        <v>3.661248380333549E-2</v>
      </c>
      <c r="N656" s="197">
        <f t="shared" si="380"/>
        <v>3.661248380333549E-2</v>
      </c>
      <c r="O656" s="197">
        <f t="shared" si="381"/>
        <v>3.661248380333549E-2</v>
      </c>
      <c r="P656" s="197"/>
      <c r="Q656" s="197">
        <f t="shared" si="381"/>
        <v>0</v>
      </c>
      <c r="R656" s="197">
        <f t="shared" si="381"/>
        <v>0</v>
      </c>
      <c r="S656" s="197">
        <f t="shared" si="381"/>
        <v>0</v>
      </c>
      <c r="T656" s="197">
        <f t="shared" si="381"/>
        <v>0</v>
      </c>
      <c r="U656" s="197">
        <f t="shared" si="381"/>
        <v>0</v>
      </c>
    </row>
    <row r="657" spans="1:21" x14ac:dyDescent="0.25">
      <c r="A657" s="132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</row>
    <row r="658" spans="1:21" x14ac:dyDescent="0.25">
      <c r="B658" s="102" t="s">
        <v>870</v>
      </c>
      <c r="F658" s="198">
        <f>F638</f>
        <v>22.306543146208472</v>
      </c>
      <c r="G658" s="198">
        <f t="shared" ref="G658:O658" si="382">G638</f>
        <v>22.403579285217866</v>
      </c>
      <c r="H658" s="198">
        <f t="shared" si="382"/>
        <v>22.673330621872914</v>
      </c>
      <c r="I658" s="198">
        <f t="shared" si="382"/>
        <v>35.930318170558238</v>
      </c>
      <c r="J658" s="198">
        <f t="shared" si="382"/>
        <v>28.41096028287107</v>
      </c>
      <c r="K658" s="198">
        <f t="shared" si="382"/>
        <v>22.080805281249734</v>
      </c>
      <c r="L658" s="198">
        <f t="shared" si="382"/>
        <v>32.717844070500689</v>
      </c>
      <c r="M658" s="198">
        <f t="shared" si="382"/>
        <v>38.07563935140135</v>
      </c>
      <c r="N658" s="198">
        <f t="shared" si="382"/>
        <v>35.36929694018751</v>
      </c>
      <c r="O658" s="198" t="e">
        <f t="shared" si="382"/>
        <v>#DIV/0!</v>
      </c>
      <c r="P658" s="198"/>
      <c r="Q658" s="198">
        <f t="shared" ref="Q658" si="383">Q638</f>
        <v>0</v>
      </c>
      <c r="R658" s="198">
        <f t="shared" ref="R658:U658" si="384">R638</f>
        <v>0</v>
      </c>
      <c r="S658" s="198">
        <f t="shared" si="384"/>
        <v>0</v>
      </c>
      <c r="T658" s="198">
        <f t="shared" si="384"/>
        <v>0</v>
      </c>
      <c r="U658" s="198">
        <f t="shared" si="384"/>
        <v>0</v>
      </c>
    </row>
    <row r="659" spans="1:21" x14ac:dyDescent="0.25">
      <c r="B659" s="102" t="s">
        <v>758</v>
      </c>
      <c r="F659" s="199">
        <f>F620+F621+F622+F623+F628+F633</f>
        <v>9.4160076526017628E-2</v>
      </c>
      <c r="G659" s="199">
        <f t="shared" ref="G659:N659" si="385">G620+G621+G622+G623+G628+G633</f>
        <v>9.247224296753169E-2</v>
      </c>
      <c r="H659" s="199">
        <f t="shared" si="385"/>
        <v>0.11777310770982236</v>
      </c>
      <c r="I659" s="199">
        <f t="shared" si="385"/>
        <v>1.238892633527825</v>
      </c>
      <c r="J659" s="199">
        <f t="shared" si="385"/>
        <v>0.53081622623613556</v>
      </c>
      <c r="K659" s="199">
        <f t="shared" si="385"/>
        <v>7.9980130593565776E-2</v>
      </c>
      <c r="L659" s="199">
        <f>L622+L623</f>
        <v>6.3384154245802363E-2</v>
      </c>
      <c r="M659" s="199">
        <f>M622+M623</f>
        <v>6.2178918700372919E-2</v>
      </c>
      <c r="N659" s="199">
        <f t="shared" si="385"/>
        <v>8.1350308932498366E-2</v>
      </c>
      <c r="O659" s="199" t="e">
        <f>O622+O623</f>
        <v>#DIV/0!</v>
      </c>
      <c r="P659" s="199"/>
      <c r="Q659" s="199">
        <f>Q622+Q623</f>
        <v>4.689677826641768E-2</v>
      </c>
      <c r="R659" s="199">
        <f>R622+R623</f>
        <v>5.1583718811972358E-2</v>
      </c>
      <c r="S659" s="199">
        <f>S622+S623</f>
        <v>4.9412784774829181E-2</v>
      </c>
      <c r="T659" s="199">
        <f>T622+T623</f>
        <v>4.2561146921944848E-2</v>
      </c>
      <c r="U659" s="199">
        <f>U622+U623</f>
        <v>5.3129411869583532E-2</v>
      </c>
    </row>
    <row r="660" spans="1:21" x14ac:dyDescent="0.25">
      <c r="B660" s="102" t="s">
        <v>871</v>
      </c>
      <c r="F660" s="198">
        <v>0</v>
      </c>
      <c r="G660" s="198">
        <v>0</v>
      </c>
      <c r="H660" s="198">
        <v>0</v>
      </c>
      <c r="I660" s="198">
        <v>0</v>
      </c>
      <c r="J660" s="198">
        <v>0</v>
      </c>
      <c r="K660" s="198">
        <v>0</v>
      </c>
      <c r="L660" s="198">
        <f>L620+L621+L628+L633</f>
        <v>4.9582224090483855</v>
      </c>
      <c r="M660" s="198">
        <f>M620+M621+M628+M633</f>
        <v>4.3294561896322001</v>
      </c>
      <c r="N660" s="198">
        <v>0</v>
      </c>
      <c r="O660" s="198" t="e">
        <f>O620+O621+O628+O633</f>
        <v>#DIV/0!</v>
      </c>
      <c r="P660" s="198"/>
      <c r="Q660" s="198">
        <f>Q620+Q621+Q628+Q633</f>
        <v>0.80383511086773474</v>
      </c>
      <c r="R660" s="198">
        <f>R620+R621+R628+R633</f>
        <v>4.256119485355466</v>
      </c>
      <c r="S660" s="198">
        <f ca="1">S620+S621+S628+S633</f>
        <v>3.7044748455386083</v>
      </c>
      <c r="T660" s="198">
        <f ca="1">T620+T621+T628+T633</f>
        <v>3.7066602309510777</v>
      </c>
      <c r="U660" s="198">
        <f>U620+U621+U628+U633</f>
        <v>-0.68376090409665791</v>
      </c>
    </row>
    <row r="661" spans="1:21" x14ac:dyDescent="0.25">
      <c r="B661" s="117"/>
      <c r="G661" s="117"/>
      <c r="H661" s="117"/>
      <c r="I661" s="199"/>
      <c r="J661" s="199"/>
      <c r="K661" s="117"/>
      <c r="L661" s="117"/>
    </row>
  </sheetData>
  <phoneticPr fontId="0" type="noConversion"/>
  <conditionalFormatting sqref="AH603:AH621 AH629:AH639 AH379:AH380 AH448:AH489 AH351 AH357:AH364 AH4:AH340 AH390:AH444 AH492:AH595">
    <cfRule type="containsText" dxfId="54" priority="68" operator="containsText" text="err">
      <formula>NOT(ISERROR(SEARCH("err",AH4)))</formula>
    </cfRule>
    <cfRule type="cellIs" dxfId="53" priority="69" operator="equal">
      <formula>"""err"""</formula>
    </cfRule>
  </conditionalFormatting>
  <conditionalFormatting sqref="AH596:AH602">
    <cfRule type="containsText" dxfId="52" priority="66" operator="containsText" text="err">
      <formula>NOT(ISERROR(SEARCH("err",AH596)))</formula>
    </cfRule>
    <cfRule type="cellIs" dxfId="51" priority="67" operator="equal">
      <formula>"""err"""</formula>
    </cfRule>
  </conditionalFormatting>
  <conditionalFormatting sqref="AH622:AH628">
    <cfRule type="containsText" dxfId="50" priority="62" operator="containsText" text="err">
      <formula>NOT(ISERROR(SEARCH("err",AH622)))</formula>
    </cfRule>
    <cfRule type="cellIs" dxfId="49" priority="63" operator="equal">
      <formula>"""err"""</formula>
    </cfRule>
  </conditionalFormatting>
  <conditionalFormatting sqref="AH378 AH365:AH367">
    <cfRule type="containsText" dxfId="48" priority="60" operator="containsText" text="err">
      <formula>NOT(ISERROR(SEARCH("err",AH365)))</formula>
    </cfRule>
    <cfRule type="cellIs" dxfId="47" priority="61" operator="equal">
      <formula>"""err"""</formula>
    </cfRule>
  </conditionalFormatting>
  <conditionalFormatting sqref="AH371:AH373 AH377">
    <cfRule type="containsText" dxfId="46" priority="58" operator="containsText" text="err">
      <formula>NOT(ISERROR(SEARCH("err",AH371)))</formula>
    </cfRule>
    <cfRule type="cellIs" dxfId="45" priority="59" operator="equal">
      <formula>"""err"""</formula>
    </cfRule>
  </conditionalFormatting>
  <conditionalFormatting sqref="AH382">
    <cfRule type="containsText" dxfId="44" priority="54" operator="containsText" text="err">
      <formula>NOT(ISERROR(SEARCH("err",AH382)))</formula>
    </cfRule>
    <cfRule type="cellIs" dxfId="43" priority="55" operator="equal">
      <formula>"""err"""</formula>
    </cfRule>
  </conditionalFormatting>
  <conditionalFormatting sqref="AH446:AH447">
    <cfRule type="containsText" dxfId="42" priority="52" operator="containsText" text="err">
      <formula>NOT(ISERROR(SEARCH("err",AH446)))</formula>
    </cfRule>
    <cfRule type="cellIs" dxfId="41" priority="53" operator="equal">
      <formula>"""err"""</formula>
    </cfRule>
  </conditionalFormatting>
  <conditionalFormatting sqref="AH490:AH491">
    <cfRule type="containsText" dxfId="40" priority="50" operator="containsText" text="err">
      <formula>NOT(ISERROR(SEARCH("err",AH490)))</formula>
    </cfRule>
    <cfRule type="cellIs" dxfId="39" priority="51" operator="equal">
      <formula>"""err"""</formula>
    </cfRule>
  </conditionalFormatting>
  <conditionalFormatting sqref="AH1">
    <cfRule type="cellIs" dxfId="38" priority="49" operator="equal">
      <formula>"err"</formula>
    </cfRule>
  </conditionalFormatting>
  <conditionalFormatting sqref="AH356">
    <cfRule type="containsText" dxfId="37" priority="41" operator="containsText" text="err">
      <formula>NOT(ISERROR(SEARCH("err",AH356)))</formula>
    </cfRule>
    <cfRule type="cellIs" dxfId="36" priority="42" operator="equal">
      <formula>"""err"""</formula>
    </cfRule>
  </conditionalFormatting>
  <conditionalFormatting sqref="AH353">
    <cfRule type="containsText" dxfId="35" priority="37" operator="containsText" text="err">
      <formula>NOT(ISERROR(SEARCH("err",AH353)))</formula>
    </cfRule>
    <cfRule type="cellIs" dxfId="34" priority="38" operator="equal">
      <formula>"""err"""</formula>
    </cfRule>
  </conditionalFormatting>
  <conditionalFormatting sqref="AH354:AH355">
    <cfRule type="containsText" dxfId="33" priority="39" operator="containsText" text="err">
      <formula>NOT(ISERROR(SEARCH("err",AH354)))</formula>
    </cfRule>
    <cfRule type="cellIs" dxfId="32" priority="40" operator="equal">
      <formula>"""err"""</formula>
    </cfRule>
  </conditionalFormatting>
  <conditionalFormatting sqref="AH352">
    <cfRule type="containsText" dxfId="31" priority="35" operator="containsText" text="err">
      <formula>NOT(ISERROR(SEARCH("err",AH352)))</formula>
    </cfRule>
    <cfRule type="cellIs" dxfId="30" priority="36" operator="equal">
      <formula>"""err"""</formula>
    </cfRule>
  </conditionalFormatting>
  <conditionalFormatting sqref="AH376">
    <cfRule type="containsText" dxfId="29" priority="31" operator="containsText" text="err">
      <formula>NOT(ISERROR(SEARCH("err",AH376)))</formula>
    </cfRule>
    <cfRule type="cellIs" dxfId="28" priority="32" operator="equal">
      <formula>"""err"""</formula>
    </cfRule>
  </conditionalFormatting>
  <conditionalFormatting sqref="AH375">
    <cfRule type="containsText" dxfId="27" priority="29" operator="containsText" text="err">
      <formula>NOT(ISERROR(SEARCH("err",AH375)))</formula>
    </cfRule>
    <cfRule type="cellIs" dxfId="26" priority="30" operator="equal">
      <formula>"""err"""</formula>
    </cfRule>
  </conditionalFormatting>
  <conditionalFormatting sqref="AH374">
    <cfRule type="containsText" dxfId="25" priority="27" operator="containsText" text="err">
      <formula>NOT(ISERROR(SEARCH("err",AH374)))</formula>
    </cfRule>
    <cfRule type="cellIs" dxfId="24" priority="28" operator="equal">
      <formula>"""err"""</formula>
    </cfRule>
  </conditionalFormatting>
  <conditionalFormatting sqref="AH389">
    <cfRule type="containsText" dxfId="23" priority="25" operator="containsText" text="err">
      <formula>NOT(ISERROR(SEARCH("err",AH389)))</formula>
    </cfRule>
    <cfRule type="cellIs" dxfId="22" priority="26" operator="equal">
      <formula>"""err"""</formula>
    </cfRule>
  </conditionalFormatting>
  <conditionalFormatting sqref="AH388">
    <cfRule type="containsText" dxfId="21" priority="23" operator="containsText" text="err">
      <formula>NOT(ISERROR(SEARCH("err",AH388)))</formula>
    </cfRule>
    <cfRule type="cellIs" dxfId="20" priority="24" operator="equal">
      <formula>"""err"""</formula>
    </cfRule>
  </conditionalFormatting>
  <conditionalFormatting sqref="AH387">
    <cfRule type="containsText" dxfId="19" priority="21" operator="containsText" text="err">
      <formula>NOT(ISERROR(SEARCH("err",AH387)))</formula>
    </cfRule>
    <cfRule type="cellIs" dxfId="18" priority="22" operator="equal">
      <formula>"""err"""</formula>
    </cfRule>
  </conditionalFormatting>
  <conditionalFormatting sqref="AH386">
    <cfRule type="containsText" dxfId="17" priority="19" operator="containsText" text="err">
      <formula>NOT(ISERROR(SEARCH("err",AH386)))</formula>
    </cfRule>
    <cfRule type="cellIs" dxfId="16" priority="20" operator="equal">
      <formula>"""err"""</formula>
    </cfRule>
  </conditionalFormatting>
  <conditionalFormatting sqref="AH385">
    <cfRule type="containsText" dxfId="15" priority="17" operator="containsText" text="err">
      <formula>NOT(ISERROR(SEARCH("err",AH385)))</formula>
    </cfRule>
    <cfRule type="cellIs" dxfId="14" priority="18" operator="equal">
      <formula>"""err"""</formula>
    </cfRule>
  </conditionalFormatting>
  <conditionalFormatting sqref="AH384">
    <cfRule type="containsText" dxfId="13" priority="15" operator="containsText" text="err">
      <formula>NOT(ISERROR(SEARCH("err",AH384)))</formula>
    </cfRule>
    <cfRule type="cellIs" dxfId="12" priority="16" operator="equal">
      <formula>"""err"""</formula>
    </cfRule>
  </conditionalFormatting>
  <conditionalFormatting sqref="AH383">
    <cfRule type="containsText" dxfId="11" priority="13" operator="containsText" text="err">
      <formula>NOT(ISERROR(SEARCH("err",AH383)))</formula>
    </cfRule>
    <cfRule type="cellIs" dxfId="10" priority="14" operator="equal">
      <formula>"""err"""</formula>
    </cfRule>
  </conditionalFormatting>
  <conditionalFormatting sqref="AH341:AH350">
    <cfRule type="containsText" dxfId="9" priority="11" operator="containsText" text="err">
      <formula>NOT(ISERROR(SEARCH("err",AH341)))</formula>
    </cfRule>
    <cfRule type="cellIs" dxfId="8" priority="12" operator="equal">
      <formula>"""err"""</formula>
    </cfRule>
  </conditionalFormatting>
  <conditionalFormatting sqref="AH445">
    <cfRule type="containsText" dxfId="7" priority="7" operator="containsText" text="err">
      <formula>NOT(ISERROR(SEARCH("err",AH445)))</formula>
    </cfRule>
    <cfRule type="cellIs" dxfId="6" priority="8" operator="equal">
      <formula>"""err"""</formula>
    </cfRule>
  </conditionalFormatting>
  <conditionalFormatting sqref="AH368:AH369">
    <cfRule type="containsText" dxfId="5" priority="5" operator="containsText" text="err">
      <formula>NOT(ISERROR(SEARCH("err",AH368)))</formula>
    </cfRule>
    <cfRule type="cellIs" dxfId="4" priority="6" operator="equal">
      <formula>"""err"""</formula>
    </cfRule>
  </conditionalFormatting>
  <conditionalFormatting sqref="AH381">
    <cfRule type="containsText" dxfId="3" priority="3" operator="containsText" text="err">
      <formula>NOT(ISERROR(SEARCH("err",AH381)))</formula>
    </cfRule>
    <cfRule type="cellIs" dxfId="2" priority="4" operator="equal">
      <formula>"""err"""</formula>
    </cfRule>
  </conditionalFormatting>
  <conditionalFormatting sqref="AH370">
    <cfRule type="containsText" dxfId="1" priority="1" operator="containsText" text="err">
      <formula>NOT(ISERROR(SEARCH("err",AH370)))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Roman,Bold"FLEMING-MASON ELECTRIC COOPERATIVE
Cost of Service Study
Class Allocation
12 Months Ended December 31, 2022</oddHeader>
    <oddFooter>&amp;RExhibit JW-5
Page &amp;P of &amp;N</oddFooter>
  </headerFooter>
  <rowBreaks count="20" manualBreakCount="20">
    <brk id="42" max="20" man="1"/>
    <brk id="80" max="20" man="1"/>
    <brk id="118" max="20" man="1"/>
    <brk id="156" max="20" man="1"/>
    <brk id="194" max="20" man="1"/>
    <brk id="232" max="20" man="1"/>
    <brk id="270" max="20" man="1"/>
    <brk id="308" max="20" man="1"/>
    <brk id="332" max="20" man="1"/>
    <brk id="368" max="20" man="1"/>
    <brk id="405" max="20" man="1"/>
    <brk id="432" max="20" man="1"/>
    <brk id="445" max="20" man="1"/>
    <brk id="489" max="20" man="1"/>
    <brk id="508" max="20" man="1"/>
    <brk id="546" max="20" man="1"/>
    <brk id="564" max="20" man="1"/>
    <brk id="589" max="20" man="1"/>
    <brk id="615" max="20" man="1"/>
    <brk id="640" max="20" man="1"/>
  </rowBreaks>
  <colBreaks count="3" manualBreakCount="3">
    <brk id="12" max="659" man="1"/>
    <brk id="19" max="568" man="1"/>
    <brk id="25" max="568" man="1"/>
  </colBreaks>
  <ignoredErrors>
    <ignoredError sqref="F453 G453:J453 F460 F423:L423 K453:M453 G460:N460 F467 G467:L467 F474:O474 N488:O488 F500:O500 F507:O507 F595 AG497 AG504 AG515 AG485 AG478 AG471 AG464 F488:M488 AG370 N550 L560:M560 O560 Q560:U560 N551:N562 L551:M551 O551:U551 N570:P570 N576 N581 K595:P595 G595:J595 N601 N606 F621 G621:P621 N659:O659 N656 N653 N650 N647 N644 N627:N632 U507 P507:S507 R500:U500 P488:S488 N481:O481 J481:M481 P481:U481 F481:I481 T488:U488 M467:U467 P474:U474 N453:O453 P453:U453 M423:R423 S423:U423 P436 O460:U460 J370:K370 R595:U595 R621:U621" formula="1"/>
    <ignoredError sqref="R644:U649 R571:U587 Q566:U566 Q330:U331" evalError="1"/>
    <ignoredError sqref="R570:U570" evalError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12"/>
  <sheetViews>
    <sheetView view="pageBreakPreview" topLeftCell="A118" zoomScale="75" zoomScaleNormal="75" zoomScaleSheetLayoutView="75" workbookViewId="0">
      <selection activeCell="F164" sqref="F164"/>
    </sheetView>
  </sheetViews>
  <sheetFormatPr defaultColWidth="9.109375" defaultRowHeight="13.2" x14ac:dyDescent="0.25"/>
  <cols>
    <col min="1" max="1" width="39.5546875" style="14" customWidth="1"/>
    <col min="2" max="2" width="10.33203125" style="103" customWidth="1"/>
    <col min="3" max="3" width="14.33203125" style="102" bestFit="1" customWidth="1"/>
    <col min="4" max="4" width="14.77734375" style="102" customWidth="1"/>
    <col min="5" max="6" width="12.5546875" style="102" bestFit="1" customWidth="1"/>
    <col min="7" max="7" width="13.109375" style="102" bestFit="1" customWidth="1"/>
    <col min="8" max="8" width="14.5546875" style="102" bestFit="1" customWidth="1"/>
    <col min="9" max="11" width="12.5546875" style="102" bestFit="1" customWidth="1"/>
    <col min="12" max="12" width="16.88671875" style="102" customWidth="1"/>
    <col min="13" max="13" width="12.5546875" style="102" bestFit="1" customWidth="1"/>
    <col min="14" max="14" width="14.109375" style="102" customWidth="1"/>
    <col min="15" max="15" width="14.33203125" style="102" bestFit="1" customWidth="1"/>
    <col min="16" max="16" width="17.88671875" style="102" customWidth="1"/>
    <col min="17" max="17" width="17.33203125" style="14" customWidth="1"/>
    <col min="18" max="20" width="15" style="14" bestFit="1" customWidth="1"/>
    <col min="21" max="21" width="9.109375" style="14"/>
    <col min="22" max="22" width="11.88671875" style="14" bestFit="1" customWidth="1"/>
    <col min="23" max="25" width="9.109375" style="14"/>
    <col min="26" max="26" width="15.33203125" style="14" bestFit="1" customWidth="1"/>
    <col min="27" max="16384" width="9.109375" style="14"/>
  </cols>
  <sheetData>
    <row r="1" spans="1:27" x14ac:dyDescent="0.25">
      <c r="A1" s="13" t="str">
        <f>'Summary of Returns'!A1</f>
        <v>FLEMING-MASON ELECTRIC COOPERATIVE</v>
      </c>
    </row>
    <row r="2" spans="1:27" x14ac:dyDescent="0.25">
      <c r="A2" s="14" t="s">
        <v>675</v>
      </c>
    </row>
    <row r="3" spans="1:27" x14ac:dyDescent="0.25">
      <c r="C3" s="200"/>
      <c r="D3" s="117"/>
      <c r="E3" s="117"/>
      <c r="F3" s="115" t="s">
        <v>720</v>
      </c>
      <c r="G3" s="115" t="s">
        <v>682</v>
      </c>
      <c r="H3" s="117"/>
      <c r="I3" s="117"/>
      <c r="J3" s="117"/>
      <c r="K3" s="117"/>
      <c r="M3" s="200"/>
      <c r="N3" s="117"/>
      <c r="O3" s="117"/>
      <c r="Q3" s="17"/>
      <c r="R3" s="17"/>
    </row>
    <row r="4" spans="1:27" x14ac:dyDescent="0.25">
      <c r="A4" s="22"/>
      <c r="C4" s="117"/>
      <c r="D4" s="117"/>
      <c r="E4" s="117"/>
      <c r="F4" s="115" t="s">
        <v>681</v>
      </c>
      <c r="G4" s="115" t="s">
        <v>681</v>
      </c>
      <c r="H4" s="115" t="s">
        <v>691</v>
      </c>
      <c r="I4" s="115" t="s">
        <v>682</v>
      </c>
      <c r="J4" s="115" t="s">
        <v>684</v>
      </c>
      <c r="K4" s="115" t="s">
        <v>685</v>
      </c>
      <c r="M4" s="117"/>
      <c r="N4" s="117"/>
      <c r="O4" s="117"/>
      <c r="P4" s="103"/>
      <c r="Q4" s="17"/>
      <c r="R4" s="17"/>
      <c r="T4" s="22"/>
    </row>
    <row r="5" spans="1:27" s="17" customFormat="1" x14ac:dyDescent="0.25">
      <c r="B5" s="201"/>
      <c r="C5" s="115" t="s">
        <v>580</v>
      </c>
      <c r="D5" s="115"/>
      <c r="E5" s="115"/>
      <c r="F5" s="115" t="s">
        <v>721</v>
      </c>
      <c r="G5" s="115" t="s">
        <v>12</v>
      </c>
      <c r="H5" s="115" t="s">
        <v>692</v>
      </c>
      <c r="I5" s="115" t="s">
        <v>642</v>
      </c>
      <c r="J5" s="115" t="s">
        <v>642</v>
      </c>
      <c r="K5" s="115" t="s">
        <v>642</v>
      </c>
      <c r="L5" s="102"/>
      <c r="M5" s="115" t="str">
        <f>C5</f>
        <v>Average</v>
      </c>
      <c r="N5" s="115"/>
      <c r="O5" s="115"/>
      <c r="P5" s="117" t="s">
        <v>896</v>
      </c>
      <c r="Q5" s="17" t="s">
        <v>896</v>
      </c>
    </row>
    <row r="6" spans="1:27" s="17" customFormat="1" x14ac:dyDescent="0.25">
      <c r="A6" s="71" t="s">
        <v>857</v>
      </c>
      <c r="B6" s="202" t="s">
        <v>864</v>
      </c>
      <c r="C6" s="203" t="s">
        <v>582</v>
      </c>
      <c r="D6" s="203" t="s">
        <v>932</v>
      </c>
      <c r="E6" s="203" t="s">
        <v>348</v>
      </c>
      <c r="F6" s="203" t="s">
        <v>10</v>
      </c>
      <c r="G6" s="203" t="s">
        <v>680</v>
      </c>
      <c r="H6" s="203" t="s">
        <v>693</v>
      </c>
      <c r="I6" s="203" t="s">
        <v>683</v>
      </c>
      <c r="J6" s="203" t="s">
        <v>683</v>
      </c>
      <c r="K6" s="203" t="s">
        <v>683</v>
      </c>
      <c r="L6" s="204" t="s">
        <v>857</v>
      </c>
      <c r="M6" s="203" t="str">
        <f t="shared" ref="M6:M26" si="0">C6</f>
        <v>Customers</v>
      </c>
      <c r="N6" s="203" t="str">
        <f t="shared" ref="N6:O14" si="1">D6</f>
        <v>kWh</v>
      </c>
      <c r="O6" s="203" t="str">
        <f t="shared" si="1"/>
        <v>Revenue</v>
      </c>
      <c r="P6" s="203" t="s">
        <v>858</v>
      </c>
      <c r="Q6" s="16" t="s">
        <v>897</v>
      </c>
      <c r="U6" s="17" t="s">
        <v>1195</v>
      </c>
      <c r="V6" s="17" t="s">
        <v>1196</v>
      </c>
      <c r="W6" s="17" t="s">
        <v>1197</v>
      </c>
    </row>
    <row r="7" spans="1:27" x14ac:dyDescent="0.25">
      <c r="A7" s="22"/>
      <c r="C7" s="110"/>
      <c r="D7" s="110"/>
      <c r="E7" s="110"/>
      <c r="G7" s="110"/>
      <c r="H7" s="110"/>
      <c r="I7" s="110"/>
      <c r="J7" s="110"/>
      <c r="K7" s="110"/>
      <c r="L7" s="103"/>
      <c r="M7" s="110"/>
      <c r="N7" s="110"/>
      <c r="O7" s="110"/>
      <c r="P7" s="110"/>
      <c r="Q7" s="27"/>
    </row>
    <row r="8" spans="1:27" x14ac:dyDescent="0.25">
      <c r="A8" s="73" t="str">
        <f>'Summary of Returns'!B10</f>
        <v>Residential &amp; Small Power (1)</v>
      </c>
      <c r="B8" s="205" t="str">
        <f>'Summary of Returns'!C10</f>
        <v>RSP</v>
      </c>
      <c r="C8" s="206">
        <f>O38</f>
        <v>24042</v>
      </c>
      <c r="D8" s="206">
        <f>O39</f>
        <v>308135777</v>
      </c>
      <c r="E8" s="207">
        <v>36776700.68</v>
      </c>
      <c r="F8" s="123">
        <f>O46</f>
        <v>2350674.3158673267</v>
      </c>
      <c r="G8" s="123">
        <f>P46</f>
        <v>292987.44026284351</v>
      </c>
      <c r="H8" s="208">
        <f>Q42</f>
        <v>133963.77604285095</v>
      </c>
      <c r="I8" s="206">
        <f>R44</f>
        <v>758911.44568550342</v>
      </c>
      <c r="J8" s="206">
        <f>S44</f>
        <v>174146.95082617103</v>
      </c>
      <c r="K8" s="206">
        <f>T44</f>
        <v>584764.49485933245</v>
      </c>
      <c r="L8" s="170" t="str">
        <f>A8</f>
        <v>Residential &amp; Small Power (1)</v>
      </c>
      <c r="M8" s="206">
        <f t="shared" si="0"/>
        <v>24042</v>
      </c>
      <c r="N8" s="206">
        <f t="shared" si="1"/>
        <v>308135777</v>
      </c>
      <c r="O8" s="207">
        <f t="shared" si="1"/>
        <v>36776700.68</v>
      </c>
      <c r="P8" s="209">
        <f t="shared" ref="P8:P23" si="2">D8/$D$25</f>
        <v>0.30800399225584546</v>
      </c>
      <c r="Q8" s="96">
        <f t="shared" ref="Q8:Q23" si="3">E8/$E$25</f>
        <v>0.39724601636789841</v>
      </c>
      <c r="R8" s="74"/>
      <c r="U8" s="24">
        <f t="shared" ref="U8:U23" si="4">M8</f>
        <v>24042</v>
      </c>
      <c r="V8" s="24">
        <f>N38</f>
        <v>24278</v>
      </c>
      <c r="W8" s="24">
        <f>V8-U8</f>
        <v>236</v>
      </c>
      <c r="X8" s="17"/>
      <c r="Y8" s="17"/>
      <c r="Z8" s="17"/>
      <c r="AA8" s="17"/>
    </row>
    <row r="9" spans="1:27" x14ac:dyDescent="0.25">
      <c r="A9" s="73" t="str">
        <f>'Summary of Returns'!B11</f>
        <v>Residential &amp; Small Power ETS (11)</v>
      </c>
      <c r="B9" s="205" t="str">
        <f>'Summary of Returns'!C11</f>
        <v>RSP-ETS</v>
      </c>
      <c r="C9" s="206">
        <f>O48</f>
        <v>51</v>
      </c>
      <c r="D9" s="206">
        <f>O49</f>
        <v>909510</v>
      </c>
      <c r="E9" s="207">
        <v>93595.260000000009</v>
      </c>
      <c r="F9" s="123">
        <f>O56</f>
        <v>6952.5217436138137</v>
      </c>
      <c r="G9" s="123">
        <f>P56</f>
        <v>1046.0200119474314</v>
      </c>
      <c r="H9" s="208">
        <f>Q52</f>
        <v>455.70790606202263</v>
      </c>
      <c r="I9" s="206">
        <f>R54</f>
        <v>2230.3113783335989</v>
      </c>
      <c r="J9" s="206">
        <f>S54</f>
        <v>345.68343485445632</v>
      </c>
      <c r="K9" s="206">
        <f>T54</f>
        <v>1884.6279434791427</v>
      </c>
      <c r="L9" s="170" t="str">
        <f t="shared" ref="L9:L23" si="5">A9</f>
        <v>Residential &amp; Small Power ETS (11)</v>
      </c>
      <c r="M9" s="206">
        <f t="shared" si="0"/>
        <v>51</v>
      </c>
      <c r="N9" s="206">
        <f t="shared" si="1"/>
        <v>909510</v>
      </c>
      <c r="O9" s="207">
        <f t="shared" si="1"/>
        <v>93595.260000000009</v>
      </c>
      <c r="P9" s="209">
        <f t="shared" si="2"/>
        <v>9.0912101711776883E-4</v>
      </c>
      <c r="Q9" s="96">
        <f t="shared" si="3"/>
        <v>1.010975522503497E-3</v>
      </c>
      <c r="R9" s="74"/>
      <c r="U9" s="24">
        <f t="shared" si="4"/>
        <v>51</v>
      </c>
      <c r="V9" s="24">
        <f>N48</f>
        <v>50</v>
      </c>
      <c r="W9" s="24">
        <f t="shared" ref="W9:W23" si="6">V9-U9</f>
        <v>-1</v>
      </c>
      <c r="X9" s="17"/>
      <c r="Y9" s="17"/>
      <c r="Z9" s="17"/>
      <c r="AA9" s="17"/>
    </row>
    <row r="10" spans="1:27" x14ac:dyDescent="0.25">
      <c r="A10" s="73" t="str">
        <f>'Summary of Returns'!B12</f>
        <v>Prepay (80)</v>
      </c>
      <c r="B10" s="205" t="str">
        <f>'Summary of Returns'!C12</f>
        <v>RSP-PPM</v>
      </c>
      <c r="C10" s="206">
        <f>O58</f>
        <v>523</v>
      </c>
      <c r="D10" s="206">
        <f>O59</f>
        <v>7907545</v>
      </c>
      <c r="E10" s="207">
        <v>957340.95</v>
      </c>
      <c r="F10" s="123">
        <f>O66</f>
        <v>127345.35</v>
      </c>
      <c r="G10" s="123">
        <f>P66</f>
        <v>12531.51</v>
      </c>
      <c r="H10" s="208">
        <f>Q62</f>
        <v>3533.2543688871301</v>
      </c>
      <c r="I10" s="206">
        <f>R64</f>
        <v>19488.525038910648</v>
      </c>
      <c r="J10" s="206">
        <f>S64</f>
        <v>4274.0918102185751</v>
      </c>
      <c r="K10" s="206">
        <f>T64</f>
        <v>15214.433228692073</v>
      </c>
      <c r="L10" s="170" t="str">
        <f t="shared" si="5"/>
        <v>Prepay (80)</v>
      </c>
      <c r="M10" s="206">
        <f t="shared" si="0"/>
        <v>523</v>
      </c>
      <c r="N10" s="206">
        <f t="shared" si="1"/>
        <v>7907545</v>
      </c>
      <c r="O10" s="207">
        <f t="shared" si="1"/>
        <v>957340.95</v>
      </c>
      <c r="P10" s="209">
        <f t="shared" si="2"/>
        <v>7.9041630694599591E-3</v>
      </c>
      <c r="Q10" s="96">
        <f t="shared" si="3"/>
        <v>1.0340782932172462E-2</v>
      </c>
      <c r="R10" s="74"/>
      <c r="U10" s="24">
        <f t="shared" si="4"/>
        <v>523</v>
      </c>
      <c r="V10" s="24">
        <f>N58</f>
        <v>530</v>
      </c>
      <c r="W10" s="24">
        <f t="shared" si="6"/>
        <v>7</v>
      </c>
      <c r="X10" s="17"/>
      <c r="Y10" s="17"/>
      <c r="Z10" s="17"/>
      <c r="AA10" s="17"/>
    </row>
    <row r="11" spans="1:27" x14ac:dyDescent="0.25">
      <c r="A11" s="73" t="str">
        <f>'Summary of Returns'!B13</f>
        <v>Net Metering (100)</v>
      </c>
      <c r="B11" s="205" t="str">
        <f>'Summary of Returns'!C13</f>
        <v>NM</v>
      </c>
      <c r="C11" s="206">
        <f>O68</f>
        <v>61</v>
      </c>
      <c r="D11" s="206">
        <f>O69</f>
        <v>796690</v>
      </c>
      <c r="E11" s="207">
        <v>70525.460000000006</v>
      </c>
      <c r="F11" s="123">
        <f>O76</f>
        <v>336121.95600000001</v>
      </c>
      <c r="G11" s="123">
        <f>P76</f>
        <v>30762.953999999998</v>
      </c>
      <c r="H11" s="208">
        <f>Q72</f>
        <v>449.36055700671932</v>
      </c>
      <c r="I11" s="206">
        <f>R74</f>
        <v>1530.5467900501576</v>
      </c>
      <c r="J11" s="206">
        <f>S74</f>
        <v>298.87673262153208</v>
      </c>
      <c r="K11" s="206">
        <f>T74</f>
        <v>1231.6700574286256</v>
      </c>
      <c r="L11" s="170" t="str">
        <f t="shared" si="5"/>
        <v>Net Metering (100)</v>
      </c>
      <c r="M11" s="206">
        <f t="shared" si="0"/>
        <v>61</v>
      </c>
      <c r="N11" s="206">
        <f t="shared" si="1"/>
        <v>796690</v>
      </c>
      <c r="O11" s="207">
        <f t="shared" si="1"/>
        <v>70525.460000000006</v>
      </c>
      <c r="P11" s="209">
        <f t="shared" si="2"/>
        <v>7.9634926842756567E-4</v>
      </c>
      <c r="Q11" s="96">
        <f t="shared" si="3"/>
        <v>7.6178551962246242E-4</v>
      </c>
      <c r="R11" s="74"/>
      <c r="U11" s="24">
        <f t="shared" si="4"/>
        <v>61</v>
      </c>
      <c r="V11" s="24">
        <f>N68</f>
        <v>66</v>
      </c>
      <c r="W11" s="24">
        <f t="shared" si="6"/>
        <v>5</v>
      </c>
      <c r="X11" s="17"/>
      <c r="Y11" s="17"/>
      <c r="Z11" s="17"/>
      <c r="AA11" s="17"/>
    </row>
    <row r="12" spans="1:27" x14ac:dyDescent="0.25">
      <c r="A12" s="73" t="str">
        <f>'Summary of Returns'!B14</f>
        <v>Time of Day (110)</v>
      </c>
      <c r="B12" s="205" t="str">
        <f>'Summary of Returns'!C14</f>
        <v>RSP-TOD</v>
      </c>
      <c r="C12" s="206">
        <f>O78</f>
        <v>23</v>
      </c>
      <c r="D12" s="206">
        <f>O79</f>
        <v>349323</v>
      </c>
      <c r="E12" s="207">
        <v>124328.96999999997</v>
      </c>
      <c r="F12" s="123">
        <f>O86</f>
        <v>58027.22</v>
      </c>
      <c r="G12" s="123">
        <f>P86</f>
        <v>5295.64</v>
      </c>
      <c r="H12" s="208">
        <f>Q82</f>
        <v>120.63061362028301</v>
      </c>
      <c r="I12" s="206">
        <f>R84</f>
        <v>860.94440254409039</v>
      </c>
      <c r="J12" s="206">
        <f>S84</f>
        <v>168.84233848197411</v>
      </c>
      <c r="K12" s="206">
        <f>T84</f>
        <v>692.10206406211626</v>
      </c>
      <c r="L12" s="170" t="str">
        <f t="shared" si="5"/>
        <v>Time of Day (110)</v>
      </c>
      <c r="M12" s="206">
        <f t="shared" si="0"/>
        <v>23</v>
      </c>
      <c r="N12" s="206">
        <f t="shared" si="1"/>
        <v>349323</v>
      </c>
      <c r="O12" s="207">
        <f t="shared" si="1"/>
        <v>124328.96999999997</v>
      </c>
      <c r="P12" s="209">
        <f t="shared" si="2"/>
        <v>3.491736001392292E-4</v>
      </c>
      <c r="Q12" s="96">
        <f t="shared" si="3"/>
        <v>1.3429477668855405E-3</v>
      </c>
      <c r="R12" s="74"/>
      <c r="U12" s="24">
        <f t="shared" si="4"/>
        <v>23</v>
      </c>
      <c r="V12" s="24">
        <f>N78</f>
        <v>23</v>
      </c>
      <c r="W12" s="24">
        <f t="shared" si="6"/>
        <v>0</v>
      </c>
      <c r="X12" s="17"/>
      <c r="Y12" s="17"/>
      <c r="Z12" s="17"/>
      <c r="AA12" s="17"/>
    </row>
    <row r="13" spans="1:27" x14ac:dyDescent="0.25">
      <c r="A13" s="73" t="str">
        <f>'Summary of Returns'!B15</f>
        <v>Inclining Block Rate (8)</v>
      </c>
      <c r="B13" s="205" t="str">
        <f>'Summary of Returns'!C15</f>
        <v>RSP-IB</v>
      </c>
      <c r="C13" s="206">
        <f>O88</f>
        <v>312</v>
      </c>
      <c r="D13" s="206">
        <f>O89</f>
        <v>920624</v>
      </c>
      <c r="E13" s="207">
        <v>147225.21999999997</v>
      </c>
      <c r="F13" s="123">
        <f>O96</f>
        <v>2525.0265873015869</v>
      </c>
      <c r="G13" s="123">
        <f>P96</f>
        <v>245.54838709677421</v>
      </c>
      <c r="H13" s="208">
        <f>Q92</f>
        <v>328.11031199604668</v>
      </c>
      <c r="I13" s="206">
        <f>R94</f>
        <v>2278.5127940533084</v>
      </c>
      <c r="J13" s="206">
        <f>S94</f>
        <v>567.577344428267</v>
      </c>
      <c r="K13" s="206">
        <f>T94</f>
        <v>1710.9354496250414</v>
      </c>
      <c r="L13" s="170" t="str">
        <f t="shared" si="5"/>
        <v>Inclining Block Rate (8)</v>
      </c>
      <c r="M13" s="206">
        <f t="shared" si="0"/>
        <v>312</v>
      </c>
      <c r="N13" s="206">
        <f t="shared" si="1"/>
        <v>920624</v>
      </c>
      <c r="O13" s="207">
        <f t="shared" si="1"/>
        <v>147225.21999999997</v>
      </c>
      <c r="P13" s="209">
        <f t="shared" si="2"/>
        <v>9.2023026383770252E-4</v>
      </c>
      <c r="Q13" s="96">
        <f t="shared" si="3"/>
        <v>1.5902631577196563E-3</v>
      </c>
      <c r="R13" s="74"/>
      <c r="U13" s="24">
        <f t="shared" si="4"/>
        <v>312</v>
      </c>
      <c r="V13" s="24">
        <f>N88</f>
        <v>313</v>
      </c>
      <c r="W13" s="24">
        <f t="shared" si="6"/>
        <v>1</v>
      </c>
      <c r="X13" s="17"/>
      <c r="Y13" s="17"/>
      <c r="Z13" s="17"/>
      <c r="AA13" s="17"/>
    </row>
    <row r="14" spans="1:27" x14ac:dyDescent="0.25">
      <c r="A14" s="73" t="str">
        <f>'Summary of Returns'!B16</f>
        <v>Small General Service (2)</v>
      </c>
      <c r="B14" s="205" t="str">
        <f>'Summary of Returns'!C16</f>
        <v>SGS</v>
      </c>
      <c r="C14" s="206">
        <f>O98</f>
        <v>242</v>
      </c>
      <c r="D14" s="206">
        <f>O99</f>
        <v>18017225</v>
      </c>
      <c r="E14" s="207">
        <v>2247413.7800000003</v>
      </c>
      <c r="F14" s="123">
        <f>O106</f>
        <v>71351.013999999996</v>
      </c>
      <c r="G14" s="123">
        <f>P106</f>
        <v>6394.9660000000003</v>
      </c>
      <c r="H14" s="208">
        <f>Q102</f>
        <v>5947.3555107526881</v>
      </c>
      <c r="I14" s="206">
        <f>R104</f>
        <v>37023.953336213519</v>
      </c>
      <c r="J14" s="206">
        <f>S104</f>
        <v>10147.925268817204</v>
      </c>
      <c r="K14" s="206">
        <f>T104</f>
        <v>26876.028067396313</v>
      </c>
      <c r="L14" s="170" t="str">
        <f t="shared" si="5"/>
        <v>Small General Service (2)</v>
      </c>
      <c r="M14" s="206">
        <f t="shared" si="0"/>
        <v>242</v>
      </c>
      <c r="N14" s="206">
        <f t="shared" si="1"/>
        <v>18017225</v>
      </c>
      <c r="O14" s="207">
        <f t="shared" si="1"/>
        <v>2247413.7800000003</v>
      </c>
      <c r="P14" s="209">
        <f t="shared" si="2"/>
        <v>1.8009519320996682E-2</v>
      </c>
      <c r="Q14" s="96">
        <f t="shared" si="3"/>
        <v>2.4275591739550264E-2</v>
      </c>
      <c r="R14" s="74"/>
      <c r="U14" s="24">
        <f t="shared" si="4"/>
        <v>242</v>
      </c>
      <c r="V14" s="24">
        <f>N98</f>
        <v>247</v>
      </c>
      <c r="W14" s="24">
        <f t="shared" si="6"/>
        <v>5</v>
      </c>
      <c r="X14" s="17"/>
      <c r="Y14" s="17"/>
      <c r="Z14" s="17"/>
      <c r="AA14" s="17"/>
    </row>
    <row r="15" spans="1:27" x14ac:dyDescent="0.25">
      <c r="A15" s="73" t="str">
        <f>'Summary of Returns'!B17</f>
        <v>Large General Service (3)</v>
      </c>
      <c r="B15" s="205" t="str">
        <f>'Summary of Returns'!C17</f>
        <v>LGS</v>
      </c>
      <c r="C15" s="206">
        <f>O108</f>
        <v>155</v>
      </c>
      <c r="D15" s="206">
        <f>O109</f>
        <v>100849878</v>
      </c>
      <c r="E15" s="207">
        <f>6408709.46+3141388</f>
        <v>9550097.4600000009</v>
      </c>
      <c r="F15" s="123">
        <f>O116</f>
        <v>298990.28099999996</v>
      </c>
      <c r="G15" s="123">
        <f>P116</f>
        <v>26223.196</v>
      </c>
      <c r="H15" s="208">
        <f>Q112</f>
        <v>25674.077777777777</v>
      </c>
      <c r="I15" s="206">
        <f>R114</f>
        <v>110526.06506144394</v>
      </c>
      <c r="J15" s="206">
        <f>S114</f>
        <v>30090.033261648747</v>
      </c>
      <c r="K15" s="206">
        <f>T114</f>
        <v>80436.031799795193</v>
      </c>
      <c r="L15" s="170" t="str">
        <f t="shared" si="5"/>
        <v>Large General Service (3)</v>
      </c>
      <c r="M15" s="206">
        <f t="shared" si="0"/>
        <v>155</v>
      </c>
      <c r="N15" s="206">
        <f t="shared" ref="N15:N25" si="7">D15</f>
        <v>100849878</v>
      </c>
      <c r="O15" s="207">
        <f t="shared" ref="O15:O25" si="8">E15</f>
        <v>9550097.4600000009</v>
      </c>
      <c r="P15" s="209">
        <f t="shared" ref="P15:P17" si="9">D15/$D$25</f>
        <v>0.10080674611995789</v>
      </c>
      <c r="Q15" s="96">
        <f t="shared" ref="Q15:Q17" si="10">E15/$E$25</f>
        <v>0.10315602274712223</v>
      </c>
      <c r="R15" s="74"/>
      <c r="U15" s="24">
        <f t="shared" si="4"/>
        <v>155</v>
      </c>
      <c r="V15" s="24">
        <f>N108</f>
        <v>155</v>
      </c>
      <c r="W15" s="24">
        <f t="shared" si="6"/>
        <v>0</v>
      </c>
      <c r="X15" s="17"/>
      <c r="Y15" s="17"/>
      <c r="Z15" s="17"/>
      <c r="AA15" s="17"/>
    </row>
    <row r="16" spans="1:27" x14ac:dyDescent="0.25">
      <c r="A16" s="73" t="str">
        <f>'Summary of Returns'!B18</f>
        <v>All Electric School (4)</v>
      </c>
      <c r="B16" s="205" t="str">
        <f>'Summary of Returns'!C18</f>
        <v>AES</v>
      </c>
      <c r="C16" s="206">
        <f>O118</f>
        <v>3</v>
      </c>
      <c r="D16" s="206">
        <f>O119</f>
        <v>619360</v>
      </c>
      <c r="E16" s="207">
        <v>66590.199999999983</v>
      </c>
      <c r="F16" s="123">
        <f>O126</f>
        <v>2561.3999999999996</v>
      </c>
      <c r="G16" s="123">
        <f>P126</f>
        <v>288.56</v>
      </c>
      <c r="H16" s="208">
        <f>Q122</f>
        <v>173.2078853046595</v>
      </c>
      <c r="I16" s="206">
        <f>R124</f>
        <v>1132.2264891619734</v>
      </c>
      <c r="J16" s="206">
        <f>S124</f>
        <v>223.76821983273598</v>
      </c>
      <c r="K16" s="206">
        <f>T124</f>
        <v>908.4582693292374</v>
      </c>
      <c r="L16" s="170" t="str">
        <f t="shared" si="5"/>
        <v>All Electric School (4)</v>
      </c>
      <c r="M16" s="206">
        <f t="shared" si="0"/>
        <v>3</v>
      </c>
      <c r="N16" s="206">
        <f t="shared" si="7"/>
        <v>619360</v>
      </c>
      <c r="O16" s="207">
        <f t="shared" si="8"/>
        <v>66590.199999999983</v>
      </c>
      <c r="P16" s="209">
        <f t="shared" si="9"/>
        <v>6.1909510963272679E-4</v>
      </c>
      <c r="Q16" s="96">
        <f t="shared" si="10"/>
        <v>7.1927854293702841E-4</v>
      </c>
      <c r="R16" s="74"/>
      <c r="U16" s="24">
        <f t="shared" si="4"/>
        <v>3</v>
      </c>
      <c r="V16" s="24">
        <f>N118</f>
        <v>3</v>
      </c>
      <c r="W16" s="24">
        <f t="shared" si="6"/>
        <v>0</v>
      </c>
      <c r="X16" s="17"/>
      <c r="Y16" s="17"/>
      <c r="Z16" s="17"/>
      <c r="AA16" s="17"/>
    </row>
    <row r="17" spans="1:27" x14ac:dyDescent="0.25">
      <c r="A17" s="73" t="str">
        <f>'Summary of Returns'!B19</f>
        <v>reserved</v>
      </c>
      <c r="B17" s="205" t="str">
        <f>'Summary of Returns'!C19</f>
        <v>---</v>
      </c>
      <c r="C17" s="206">
        <f>O128</f>
        <v>0</v>
      </c>
      <c r="D17" s="206">
        <f>O129</f>
        <v>0</v>
      </c>
      <c r="E17" s="207">
        <v>0</v>
      </c>
      <c r="F17" s="123">
        <f>O136</f>
        <v>0</v>
      </c>
      <c r="G17" s="123">
        <f>P136</f>
        <v>0</v>
      </c>
      <c r="H17" s="208">
        <f>Q132</f>
        <v>0</v>
      </c>
      <c r="I17" s="206">
        <f>R134</f>
        <v>0</v>
      </c>
      <c r="J17" s="206">
        <f>S134</f>
        <v>0</v>
      </c>
      <c r="K17" s="206">
        <f>T134</f>
        <v>0</v>
      </c>
      <c r="L17" s="170" t="str">
        <f t="shared" si="5"/>
        <v>reserved</v>
      </c>
      <c r="M17" s="206">
        <f t="shared" si="0"/>
        <v>0</v>
      </c>
      <c r="N17" s="206">
        <f t="shared" si="7"/>
        <v>0</v>
      </c>
      <c r="O17" s="207">
        <f t="shared" si="8"/>
        <v>0</v>
      </c>
      <c r="P17" s="209">
        <f t="shared" si="9"/>
        <v>0</v>
      </c>
      <c r="Q17" s="96">
        <f t="shared" si="10"/>
        <v>0</v>
      </c>
      <c r="R17" s="74"/>
      <c r="U17" s="24">
        <f t="shared" si="4"/>
        <v>0</v>
      </c>
      <c r="V17" s="24">
        <f>N128</f>
        <v>0</v>
      </c>
      <c r="W17" s="24">
        <f t="shared" si="6"/>
        <v>0</v>
      </c>
      <c r="X17" s="17"/>
      <c r="Y17" s="17"/>
      <c r="Z17" s="17"/>
      <c r="AA17" s="17"/>
    </row>
    <row r="18" spans="1:27" x14ac:dyDescent="0.25">
      <c r="A18" s="73" t="str">
        <f>'Summary of Returns'!B20</f>
        <v>Security Lights (20)</v>
      </c>
      <c r="B18" s="205" t="str">
        <f>'Summary of Returns'!C20</f>
        <v>OLS</v>
      </c>
      <c r="C18" s="206">
        <f>O138</f>
        <v>59</v>
      </c>
      <c r="D18" s="206">
        <f>O139</f>
        <v>158907</v>
      </c>
      <c r="E18" s="206">
        <v>1098616.48</v>
      </c>
      <c r="F18" s="123">
        <f>O146</f>
        <v>435.71954685099848</v>
      </c>
      <c r="G18" s="123">
        <f>P146</f>
        <v>39.113095238095241</v>
      </c>
      <c r="H18" s="206">
        <f>Q142</f>
        <v>39.113095238095241</v>
      </c>
      <c r="I18" s="206">
        <f>R144</f>
        <v>217.63926011264721</v>
      </c>
      <c r="J18" s="206">
        <f>S144</f>
        <v>0</v>
      </c>
      <c r="K18" s="206">
        <f>T144</f>
        <v>217.63926011264721</v>
      </c>
      <c r="L18" s="170" t="str">
        <f t="shared" si="5"/>
        <v>Security Lights (20)</v>
      </c>
      <c r="M18" s="206">
        <f t="shared" si="0"/>
        <v>59</v>
      </c>
      <c r="N18" s="206">
        <f t="shared" si="7"/>
        <v>158907</v>
      </c>
      <c r="O18" s="207">
        <f t="shared" si="8"/>
        <v>1098616.48</v>
      </c>
      <c r="P18" s="210">
        <f t="shared" si="2"/>
        <v>1.5883903801732063E-4</v>
      </c>
      <c r="Q18" s="97">
        <f t="shared" si="3"/>
        <v>1.1866780111503002E-2</v>
      </c>
      <c r="R18" s="74"/>
      <c r="U18" s="24">
        <f t="shared" si="4"/>
        <v>59</v>
      </c>
      <c r="V18" s="24">
        <f>N138</f>
        <v>61</v>
      </c>
      <c r="W18" s="24">
        <f t="shared" si="6"/>
        <v>2</v>
      </c>
      <c r="X18" s="17"/>
      <c r="Y18" s="17"/>
      <c r="Z18" s="17"/>
      <c r="AA18" s="17"/>
    </row>
    <row r="19" spans="1:27" x14ac:dyDescent="0.25">
      <c r="A19" s="73" t="str">
        <f>'Summary of Returns'!B21</f>
        <v>App Harvest (70)</v>
      </c>
      <c r="B19" s="205" t="str">
        <f>'Summary of Returns'!C21</f>
        <v>Contract</v>
      </c>
      <c r="C19" s="206">
        <f>O148</f>
        <v>1</v>
      </c>
      <c r="D19" s="206">
        <f>O149</f>
        <v>41463518</v>
      </c>
      <c r="E19" s="206">
        <v>3017742.4965900006</v>
      </c>
      <c r="F19" s="123">
        <f>O156</f>
        <v>155543</v>
      </c>
      <c r="G19" s="123">
        <f>P156</f>
        <v>25535</v>
      </c>
      <c r="H19" s="123">
        <f>Q152</f>
        <v>25535</v>
      </c>
      <c r="I19" s="206">
        <f>R154</f>
        <v>50021</v>
      </c>
      <c r="J19" s="206">
        <f>S154</f>
        <v>1080</v>
      </c>
      <c r="K19" s="206">
        <f>T154</f>
        <v>48941</v>
      </c>
      <c r="L19" s="170" t="str">
        <f t="shared" si="5"/>
        <v>App Harvest (70)</v>
      </c>
      <c r="M19" s="206">
        <f t="shared" si="0"/>
        <v>1</v>
      </c>
      <c r="N19" s="206">
        <f t="shared" si="7"/>
        <v>41463518</v>
      </c>
      <c r="O19" s="207">
        <f t="shared" si="8"/>
        <v>3017742.4965900006</v>
      </c>
      <c r="P19" s="210">
        <f t="shared" si="2"/>
        <v>4.1445784716430734E-2</v>
      </c>
      <c r="Q19" s="97">
        <f t="shared" si="3"/>
        <v>3.2596349401359456E-2</v>
      </c>
      <c r="R19" s="74"/>
      <c r="U19" s="24">
        <f t="shared" si="4"/>
        <v>1</v>
      </c>
      <c r="V19" s="14">
        <v>1</v>
      </c>
      <c r="W19" s="24">
        <f t="shared" si="6"/>
        <v>0</v>
      </c>
      <c r="X19" s="17"/>
      <c r="Y19" s="17"/>
      <c r="Z19" s="17"/>
      <c r="AA19" s="17"/>
    </row>
    <row r="20" spans="1:27" x14ac:dyDescent="0.25">
      <c r="A20" s="73" t="str">
        <f>'Summary of Returns'!B22</f>
        <v>Dravo (14 now 18)</v>
      </c>
      <c r="B20" s="205" t="str">
        <f>'Summary of Returns'!C22</f>
        <v>Contract</v>
      </c>
      <c r="C20" s="206">
        <f>O158</f>
        <v>1</v>
      </c>
      <c r="D20" s="206">
        <f>O159</f>
        <v>59373527</v>
      </c>
      <c r="E20" s="206">
        <v>4646836.6700000009</v>
      </c>
      <c r="F20" s="123">
        <f>O166</f>
        <v>96000</v>
      </c>
      <c r="G20" s="123">
        <f>P166</f>
        <v>8705</v>
      </c>
      <c r="H20" s="208">
        <f>Q162</f>
        <v>8705</v>
      </c>
      <c r="I20" s="206">
        <f>R164</f>
        <v>75321</v>
      </c>
      <c r="J20" s="206">
        <f>S164</f>
        <v>22928</v>
      </c>
      <c r="K20" s="206">
        <f>T164</f>
        <v>52393</v>
      </c>
      <c r="L20" s="170" t="str">
        <f t="shared" si="5"/>
        <v>Dravo (14 now 18)</v>
      </c>
      <c r="M20" s="206">
        <f t="shared" si="0"/>
        <v>1</v>
      </c>
      <c r="N20" s="206">
        <f t="shared" si="7"/>
        <v>59373527</v>
      </c>
      <c r="O20" s="207">
        <f t="shared" si="8"/>
        <v>4646836.6700000009</v>
      </c>
      <c r="P20" s="210">
        <f t="shared" si="2"/>
        <v>5.934813389199603E-2</v>
      </c>
      <c r="Q20" s="97">
        <f t="shared" si="3"/>
        <v>5.0193120147768812E-2</v>
      </c>
      <c r="R20" s="74"/>
      <c r="U20" s="24">
        <f t="shared" si="4"/>
        <v>1</v>
      </c>
      <c r="V20" s="14">
        <v>1</v>
      </c>
      <c r="W20" s="24">
        <f t="shared" si="6"/>
        <v>0</v>
      </c>
      <c r="X20" s="17"/>
      <c r="Y20" s="17"/>
      <c r="Z20" s="17"/>
      <c r="AA20" s="17"/>
    </row>
    <row r="21" spans="1:27" x14ac:dyDescent="0.25">
      <c r="A21" s="73" t="str">
        <f>'Summary of Returns'!B23</f>
        <v>Guardian Industries (16)</v>
      </c>
      <c r="B21" s="205" t="str">
        <f>'Summary of Returns'!C23</f>
        <v>Contract</v>
      </c>
      <c r="C21" s="206">
        <f>O168</f>
        <v>1</v>
      </c>
      <c r="D21" s="206">
        <f>O169</f>
        <v>56173030</v>
      </c>
      <c r="E21" s="206">
        <v>4382407.72</v>
      </c>
      <c r="F21" s="123">
        <f ca="1">O176</f>
        <v>83029</v>
      </c>
      <c r="G21" s="123">
        <f ca="1">P176</f>
        <v>7833</v>
      </c>
      <c r="H21" s="208">
        <f ca="1">Q172</f>
        <v>7833</v>
      </c>
      <c r="I21" s="206">
        <f>R174</f>
        <v>81614</v>
      </c>
      <c r="J21" s="206">
        <f>S174</f>
        <v>22805</v>
      </c>
      <c r="K21" s="206">
        <f>T174</f>
        <v>58809</v>
      </c>
      <c r="L21" s="170" t="str">
        <f t="shared" si="5"/>
        <v>Guardian Industries (16)</v>
      </c>
      <c r="M21" s="206">
        <f t="shared" si="0"/>
        <v>1</v>
      </c>
      <c r="N21" s="206">
        <f t="shared" si="7"/>
        <v>56173030</v>
      </c>
      <c r="O21" s="206">
        <f t="shared" si="8"/>
        <v>4382407.72</v>
      </c>
      <c r="P21" s="210">
        <f t="shared" si="2"/>
        <v>5.6149005693380993E-2</v>
      </c>
      <c r="Q21" s="97">
        <f t="shared" si="3"/>
        <v>4.7336872984276746E-2</v>
      </c>
      <c r="R21" s="74"/>
      <c r="U21" s="24">
        <f t="shared" si="4"/>
        <v>1</v>
      </c>
      <c r="V21" s="14">
        <v>1</v>
      </c>
      <c r="W21" s="24">
        <f t="shared" si="6"/>
        <v>0</v>
      </c>
      <c r="X21" s="17"/>
      <c r="Y21" s="17"/>
      <c r="Z21" s="17"/>
      <c r="AA21" s="17"/>
    </row>
    <row r="22" spans="1:27" x14ac:dyDescent="0.25">
      <c r="A22" s="73" t="str">
        <f>'Summary of Returns'!B24</f>
        <v>Int'l Paper (12)</v>
      </c>
      <c r="B22" s="205" t="str">
        <f>'Summary of Returns'!C24</f>
        <v>Contract</v>
      </c>
      <c r="C22" s="206">
        <f>O178</f>
        <v>1</v>
      </c>
      <c r="D22" s="206">
        <f>O179</f>
        <v>264185950</v>
      </c>
      <c r="E22" s="206">
        <v>19385879.999999996</v>
      </c>
      <c r="F22" s="123">
        <f ca="1">O186</f>
        <v>395891</v>
      </c>
      <c r="G22" s="123">
        <f ca="1">P186</f>
        <v>34639</v>
      </c>
      <c r="H22" s="208">
        <f ca="1">Q182</f>
        <v>34639</v>
      </c>
      <c r="I22" s="206">
        <f>R184</f>
        <v>325509</v>
      </c>
      <c r="J22" s="206">
        <f>S184</f>
        <v>95563</v>
      </c>
      <c r="K22" s="206">
        <f>T184</f>
        <v>229946</v>
      </c>
      <c r="L22" s="170" t="str">
        <f t="shared" si="5"/>
        <v>Int'l Paper (12)</v>
      </c>
      <c r="M22" s="206">
        <f t="shared" si="0"/>
        <v>1</v>
      </c>
      <c r="N22" s="206">
        <f t="shared" si="7"/>
        <v>264185950</v>
      </c>
      <c r="O22" s="206">
        <f t="shared" si="8"/>
        <v>19385879.999999996</v>
      </c>
      <c r="P22" s="210">
        <f t="shared" si="2"/>
        <v>0.2640729618940133</v>
      </c>
      <c r="Q22" s="97">
        <f t="shared" si="3"/>
        <v>0.20939789218161353</v>
      </c>
      <c r="R22" s="74"/>
      <c r="U22" s="24">
        <f t="shared" si="4"/>
        <v>1</v>
      </c>
      <c r="V22" s="14">
        <v>1</v>
      </c>
      <c r="W22" s="24">
        <f t="shared" si="6"/>
        <v>0</v>
      </c>
      <c r="X22" s="17"/>
      <c r="Y22" s="17"/>
      <c r="Z22" s="17"/>
      <c r="AA22" s="17"/>
    </row>
    <row r="23" spans="1:27" x14ac:dyDescent="0.25">
      <c r="A23" s="73" t="str">
        <f>'Summary of Returns'!B25</f>
        <v>Tennessee Gas (17)</v>
      </c>
      <c r="B23" s="205" t="str">
        <f>'Summary of Returns'!C25</f>
        <v>Contract</v>
      </c>
      <c r="C23" s="206">
        <f>O188</f>
        <v>1</v>
      </c>
      <c r="D23" s="206">
        <f>O189</f>
        <v>140567003</v>
      </c>
      <c r="E23" s="206">
        <v>10013854.050000001</v>
      </c>
      <c r="F23" s="123">
        <f>O196</f>
        <v>292446</v>
      </c>
      <c r="G23" s="123">
        <f>P196</f>
        <v>28559</v>
      </c>
      <c r="H23" s="208">
        <f>Q192</f>
        <v>28559</v>
      </c>
      <c r="I23" s="206">
        <f>R194</f>
        <v>148817</v>
      </c>
      <c r="J23" s="206">
        <f>S194</f>
        <v>42762</v>
      </c>
      <c r="K23" s="206">
        <f>T194</f>
        <v>106055</v>
      </c>
      <c r="L23" s="170" t="str">
        <f t="shared" si="5"/>
        <v>Tennessee Gas (17)</v>
      </c>
      <c r="M23" s="206">
        <f t="shared" si="0"/>
        <v>1</v>
      </c>
      <c r="N23" s="206">
        <f t="shared" si="7"/>
        <v>140567003</v>
      </c>
      <c r="O23" s="206">
        <f t="shared" si="8"/>
        <v>10013854.050000001</v>
      </c>
      <c r="P23" s="210">
        <f t="shared" si="2"/>
        <v>0.14050688474074663</v>
      </c>
      <c r="Q23" s="97">
        <f t="shared" si="3"/>
        <v>0.10816532087706694</v>
      </c>
      <c r="R23" s="74"/>
      <c r="U23" s="24">
        <f t="shared" si="4"/>
        <v>1</v>
      </c>
      <c r="V23" s="14">
        <v>1</v>
      </c>
      <c r="W23" s="24">
        <f t="shared" si="6"/>
        <v>0</v>
      </c>
      <c r="X23" s="17"/>
      <c r="Y23" s="17"/>
      <c r="Z23" s="17"/>
      <c r="AA23" s="17"/>
    </row>
    <row r="24" spans="1:27" x14ac:dyDescent="0.25">
      <c r="A24" s="73">
        <f>'Summary of Returns'!B26</f>
        <v>0</v>
      </c>
      <c r="B24" s="205">
        <f>'Summary of Returns'!C26</f>
        <v>0</v>
      </c>
      <c r="C24" s="206">
        <v>0</v>
      </c>
      <c r="D24" s="206">
        <f>O200</f>
        <v>0</v>
      </c>
      <c r="E24" s="206"/>
      <c r="F24" s="123"/>
      <c r="G24" s="123"/>
      <c r="H24" s="123"/>
      <c r="I24" s="123"/>
      <c r="J24" s="123"/>
      <c r="K24" s="123"/>
      <c r="L24" s="211"/>
      <c r="M24" s="206"/>
      <c r="N24" s="206"/>
      <c r="O24" s="206"/>
      <c r="P24" s="210"/>
      <c r="Q24" s="96"/>
      <c r="R24" s="74"/>
      <c r="S24" s="24">
        <f t="shared" ref="S24" si="11">M24</f>
        <v>0</v>
      </c>
    </row>
    <row r="25" spans="1:27" x14ac:dyDescent="0.25">
      <c r="A25" s="19" t="s">
        <v>0</v>
      </c>
      <c r="B25" s="212"/>
      <c r="C25" s="213">
        <f t="shared" ref="C25:K25" si="12">SUM(C8:C24)</f>
        <v>25476</v>
      </c>
      <c r="D25" s="213">
        <f t="shared" si="12"/>
        <v>1000427867</v>
      </c>
      <c r="E25" s="214">
        <f t="shared" si="12"/>
        <v>92579155.396589994</v>
      </c>
      <c r="F25" s="215">
        <f t="shared" ca="1" si="12"/>
        <v>4277893.804745093</v>
      </c>
      <c r="G25" s="215">
        <f t="shared" ca="1" si="12"/>
        <v>481085.94775712583</v>
      </c>
      <c r="H25" s="215">
        <f t="shared" ca="1" si="12"/>
        <v>275955.59406949638</v>
      </c>
      <c r="I25" s="215">
        <f t="shared" si="12"/>
        <v>1615482.1702363272</v>
      </c>
      <c r="J25" s="215">
        <f t="shared" si="12"/>
        <v>405401.74923707452</v>
      </c>
      <c r="K25" s="215">
        <f t="shared" si="12"/>
        <v>1210080.4209992529</v>
      </c>
      <c r="L25" s="151" t="s">
        <v>0</v>
      </c>
      <c r="M25" s="213">
        <f t="shared" si="0"/>
        <v>25476</v>
      </c>
      <c r="N25" s="213">
        <f t="shared" si="7"/>
        <v>1000427867</v>
      </c>
      <c r="O25" s="214">
        <f t="shared" si="8"/>
        <v>92579155.396589994</v>
      </c>
      <c r="P25" s="216">
        <f>D25/$D$25</f>
        <v>1</v>
      </c>
      <c r="Q25" s="98">
        <f>E25/$E$25</f>
        <v>1</v>
      </c>
      <c r="R25" s="74"/>
      <c r="W25" s="17"/>
      <c r="X25" s="17"/>
      <c r="Y25" s="17"/>
      <c r="Z25" s="17"/>
      <c r="AA25" s="17"/>
    </row>
    <row r="26" spans="1:27" x14ac:dyDescent="0.25">
      <c r="A26" s="23" t="s">
        <v>1092</v>
      </c>
      <c r="C26" s="206">
        <f>C25-C18</f>
        <v>25417</v>
      </c>
      <c r="D26" s="206"/>
      <c r="E26" s="207"/>
      <c r="F26" s="180"/>
      <c r="G26" s="180"/>
      <c r="H26" s="180"/>
      <c r="I26" s="180"/>
      <c r="J26" s="180"/>
      <c r="K26" s="180"/>
      <c r="L26" s="110"/>
      <c r="M26" s="206">
        <f t="shared" si="0"/>
        <v>25417</v>
      </c>
      <c r="N26" s="206"/>
      <c r="O26" s="207"/>
      <c r="P26" s="110"/>
      <c r="Q26" s="74"/>
      <c r="R26" s="74"/>
    </row>
    <row r="27" spans="1:27" x14ac:dyDescent="0.25">
      <c r="A27" s="23"/>
      <c r="C27" s="206"/>
      <c r="D27" s="206"/>
      <c r="E27" s="207"/>
      <c r="F27" s="123"/>
      <c r="G27" s="123"/>
      <c r="H27" s="123"/>
      <c r="I27" s="123"/>
      <c r="J27" s="123"/>
      <c r="K27" s="123"/>
      <c r="L27" s="110"/>
      <c r="M27" s="206"/>
      <c r="N27" s="206"/>
      <c r="O27" s="207"/>
      <c r="P27" s="110"/>
      <c r="Q27" s="74"/>
      <c r="R27" s="74"/>
    </row>
    <row r="28" spans="1:27" x14ac:dyDescent="0.25">
      <c r="C28" s="110">
        <v>25475</v>
      </c>
      <c r="D28" s="206">
        <v>1000427867</v>
      </c>
      <c r="E28" s="207">
        <v>93828042</v>
      </c>
      <c r="F28" s="206" t="s">
        <v>1032</v>
      </c>
      <c r="G28" s="123"/>
      <c r="H28" s="206">
        <v>-1248887</v>
      </c>
      <c r="I28" s="206" t="s">
        <v>1206</v>
      </c>
      <c r="J28" s="123"/>
      <c r="K28" s="123"/>
      <c r="L28" s="110"/>
      <c r="M28" s="206"/>
      <c r="N28" s="206"/>
      <c r="O28" s="207"/>
      <c r="Q28" s="24"/>
    </row>
    <row r="29" spans="1:27" x14ac:dyDescent="0.25">
      <c r="C29" s="206">
        <f>C26-C28</f>
        <v>-58</v>
      </c>
      <c r="D29" s="206">
        <f>D25-D28</f>
        <v>0</v>
      </c>
      <c r="E29" s="206">
        <f>E25-E28</f>
        <v>-1248886.6034100056</v>
      </c>
      <c r="F29" s="206" t="s">
        <v>1033</v>
      </c>
      <c r="G29" s="123"/>
      <c r="H29" s="206">
        <f>H28-E29</f>
        <v>-0.39658999443054199</v>
      </c>
      <c r="I29" s="206" t="s">
        <v>1033</v>
      </c>
      <c r="J29" s="123"/>
      <c r="K29" s="123"/>
      <c r="L29" s="110"/>
      <c r="M29" s="206"/>
      <c r="N29" s="206"/>
      <c r="O29" s="206"/>
      <c r="Q29" s="24"/>
    </row>
    <row r="30" spans="1:27" x14ac:dyDescent="0.25">
      <c r="C30" s="195">
        <f>C29/C28</f>
        <v>-2.2767419038272818E-3</v>
      </c>
      <c r="D30" s="195">
        <f>D29/D28</f>
        <v>0</v>
      </c>
      <c r="E30" s="195">
        <f>E29/E28</f>
        <v>-1.3310376906405076E-2</v>
      </c>
      <c r="F30" s="110" t="s">
        <v>1033</v>
      </c>
      <c r="G30" s="123"/>
      <c r="H30" s="123"/>
      <c r="I30" s="123"/>
      <c r="J30" s="123"/>
      <c r="K30" s="123"/>
      <c r="L30" s="110"/>
      <c r="M30" s="206"/>
      <c r="N30" s="206"/>
      <c r="O30" s="206"/>
      <c r="Q30" s="24"/>
    </row>
    <row r="31" spans="1:27" x14ac:dyDescent="0.25"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75"/>
      <c r="U31" s="73"/>
      <c r="W31" s="73"/>
    </row>
    <row r="32" spans="1:27" x14ac:dyDescent="0.25">
      <c r="A32" s="13" t="str">
        <f>A1</f>
        <v>FLEMING-MASON ELECTRIC COOPERATIVE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75"/>
      <c r="U32" s="73"/>
      <c r="W32" s="73"/>
    </row>
    <row r="33" spans="1:23" x14ac:dyDescent="0.25">
      <c r="A33" s="14" t="s">
        <v>675</v>
      </c>
      <c r="C33" s="110"/>
      <c r="D33" s="110"/>
      <c r="E33" s="110">
        <f>E8+E13</f>
        <v>36923925.899999999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217"/>
      <c r="P33" s="217"/>
      <c r="Q33" s="75"/>
      <c r="U33" s="73"/>
      <c r="W33" s="73"/>
    </row>
    <row r="34" spans="1:23" ht="30.75" customHeight="1" x14ac:dyDescent="0.25"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76"/>
    </row>
    <row r="35" spans="1:23" x14ac:dyDescent="0.25">
      <c r="C35" s="110">
        <f>C206</f>
        <v>-5.4977135732769966E-8</v>
      </c>
      <c r="D35" s="110">
        <f t="shared" ref="D35:N35" si="13">D206</f>
        <v>8.2945916801691055E-8</v>
      </c>
      <c r="E35" s="110">
        <f t="shared" si="13"/>
        <v>-2.2802851162850857E-7</v>
      </c>
      <c r="F35" s="110">
        <f t="shared" si="13"/>
        <v>1.2841192074120045E-6</v>
      </c>
      <c r="G35" s="110">
        <f t="shared" si="13"/>
        <v>-1.0240182746201754E-7</v>
      </c>
      <c r="H35" s="110">
        <f t="shared" si="13"/>
        <v>7.6262728543952107E-4</v>
      </c>
      <c r="I35" s="110">
        <f t="shared" si="13"/>
        <v>1.6103149391710758E-7</v>
      </c>
      <c r="J35" s="110">
        <f t="shared" si="13"/>
        <v>1.3719545677304268E-7</v>
      </c>
      <c r="K35" s="110">
        <f t="shared" si="13"/>
        <v>-1.4036777429282665E-7</v>
      </c>
      <c r="L35" s="110">
        <f t="shared" si="13"/>
        <v>2.3889879230409861E-7</v>
      </c>
      <c r="M35" s="110">
        <f t="shared" si="13"/>
        <v>-1.2631062418222427E-8</v>
      </c>
      <c r="N35" s="110">
        <f t="shared" si="13"/>
        <v>-3.2034586183726788E-7</v>
      </c>
      <c r="O35" s="110"/>
      <c r="P35" s="115" t="s">
        <v>686</v>
      </c>
      <c r="Q35" s="77" t="s">
        <v>692</v>
      </c>
      <c r="R35" s="17" t="s">
        <v>682</v>
      </c>
      <c r="S35" s="17" t="s">
        <v>684</v>
      </c>
      <c r="T35" s="17" t="s">
        <v>685</v>
      </c>
    </row>
    <row r="36" spans="1:23" s="80" customFormat="1" ht="16.8" x14ac:dyDescent="0.55000000000000004">
      <c r="A36" s="78" t="s">
        <v>863</v>
      </c>
      <c r="B36" s="218" t="s">
        <v>864</v>
      </c>
      <c r="C36" s="219" t="s">
        <v>1001</v>
      </c>
      <c r="D36" s="219" t="s">
        <v>1002</v>
      </c>
      <c r="E36" s="219" t="s">
        <v>1003</v>
      </c>
      <c r="F36" s="219" t="s">
        <v>1004</v>
      </c>
      <c r="G36" s="219" t="s">
        <v>1005</v>
      </c>
      <c r="H36" s="219" t="s">
        <v>1006</v>
      </c>
      <c r="I36" s="219" t="s">
        <v>1007</v>
      </c>
      <c r="J36" s="219" t="s">
        <v>1008</v>
      </c>
      <c r="K36" s="219" t="s">
        <v>1009</v>
      </c>
      <c r="L36" s="219" t="s">
        <v>1010</v>
      </c>
      <c r="M36" s="219" t="s">
        <v>1011</v>
      </c>
      <c r="N36" s="219" t="s">
        <v>1012</v>
      </c>
      <c r="O36" s="220" t="s">
        <v>0</v>
      </c>
      <c r="P36" s="220" t="s">
        <v>680</v>
      </c>
      <c r="Q36" s="79" t="s">
        <v>693</v>
      </c>
      <c r="R36" s="79" t="s">
        <v>687</v>
      </c>
      <c r="S36" s="79" t="s">
        <v>687</v>
      </c>
      <c r="T36" s="79" t="s">
        <v>687</v>
      </c>
    </row>
    <row r="37" spans="1:23" x14ac:dyDescent="0.25"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24"/>
    </row>
    <row r="38" spans="1:23" x14ac:dyDescent="0.25">
      <c r="A38" s="15" t="str">
        <f>A8</f>
        <v>Residential &amp; Small Power (1)</v>
      </c>
      <c r="B38" s="201" t="str">
        <f>B8</f>
        <v>RSP</v>
      </c>
      <c r="C38" s="110">
        <v>23869</v>
      </c>
      <c r="D38" s="110">
        <v>23869</v>
      </c>
      <c r="E38" s="110">
        <v>23979</v>
      </c>
      <c r="F38" s="110">
        <v>23914</v>
      </c>
      <c r="G38" s="110">
        <v>24028</v>
      </c>
      <c r="H38" s="110">
        <v>23920</v>
      </c>
      <c r="I38" s="110">
        <v>24068</v>
      </c>
      <c r="J38" s="110">
        <v>24150</v>
      </c>
      <c r="K38" s="110">
        <v>24089</v>
      </c>
      <c r="L38" s="110">
        <v>24122</v>
      </c>
      <c r="M38" s="110">
        <v>24213</v>
      </c>
      <c r="N38" s="110">
        <v>24278</v>
      </c>
      <c r="O38" s="110">
        <f>ROUND(SUM(C38:N38)/12,0)</f>
        <v>24042</v>
      </c>
      <c r="P38" s="110"/>
      <c r="Q38" s="24"/>
    </row>
    <row r="39" spans="1:23" x14ac:dyDescent="0.25">
      <c r="A39" s="14" t="s">
        <v>1020</v>
      </c>
      <c r="C39" s="110">
        <f>39236878</f>
        <v>39236878</v>
      </c>
      <c r="D39" s="110">
        <v>34413402</v>
      </c>
      <c r="E39" s="110">
        <v>24248027</v>
      </c>
      <c r="F39" s="110">
        <v>22070609</v>
      </c>
      <c r="G39" s="110">
        <v>17847620</v>
      </c>
      <c r="H39" s="110">
        <v>22707634</v>
      </c>
      <c r="I39" s="110">
        <v>25783924</v>
      </c>
      <c r="J39" s="110">
        <v>24183321</v>
      </c>
      <c r="K39" s="110">
        <v>19523197</v>
      </c>
      <c r="L39" s="110">
        <v>18449427</v>
      </c>
      <c r="M39" s="110">
        <v>25079875</v>
      </c>
      <c r="N39" s="110">
        <v>34591863</v>
      </c>
      <c r="O39" s="110">
        <f>SUM(C39:N39)</f>
        <v>308135777</v>
      </c>
      <c r="P39" s="217"/>
      <c r="Q39" s="75"/>
      <c r="U39" s="73"/>
      <c r="W39" s="73"/>
    </row>
    <row r="40" spans="1:23" x14ac:dyDescent="0.25">
      <c r="A40" s="14" t="s">
        <v>677</v>
      </c>
      <c r="C40" s="110">
        <f>C39/744</f>
        <v>52737.739247311831</v>
      </c>
      <c r="D40" s="121">
        <f>D39/672</f>
        <v>51210.419642857145</v>
      </c>
      <c r="E40" s="110">
        <f t="shared" ref="E40:N40" si="14">E39/744</f>
        <v>32591.434139784946</v>
      </c>
      <c r="F40" s="110">
        <f>F39/720</f>
        <v>30653.62361111111</v>
      </c>
      <c r="G40" s="110">
        <f t="shared" si="14"/>
        <v>23988.736559139787</v>
      </c>
      <c r="H40" s="121">
        <f>H39/720</f>
        <v>31538.380555555555</v>
      </c>
      <c r="I40" s="121">
        <f>I39/744</f>
        <v>34655.81182795699</v>
      </c>
      <c r="J40" s="110">
        <f t="shared" si="14"/>
        <v>32504.46370967742</v>
      </c>
      <c r="K40" s="110">
        <f>K39/720</f>
        <v>27115.551388888889</v>
      </c>
      <c r="L40" s="110">
        <f t="shared" si="14"/>
        <v>24797.616935483871</v>
      </c>
      <c r="M40" s="110">
        <f>M39/720</f>
        <v>34833.159722222219</v>
      </c>
      <c r="N40" s="110">
        <f t="shared" si="14"/>
        <v>46494.43951612903</v>
      </c>
      <c r="O40" s="110">
        <f>O39/8760</f>
        <v>35175.317009132421</v>
      </c>
      <c r="P40" s="110"/>
      <c r="Q40" s="27"/>
    </row>
    <row r="41" spans="1:23" x14ac:dyDescent="0.25">
      <c r="A41" s="14" t="s">
        <v>752</v>
      </c>
      <c r="C41" s="195">
        <v>0.5942911921765619</v>
      </c>
      <c r="D41" s="195">
        <v>0.69187406330675716</v>
      </c>
      <c r="E41" s="195">
        <v>0.43559818776044251</v>
      </c>
      <c r="F41" s="195">
        <v>0.50094222468093619</v>
      </c>
      <c r="G41" s="195">
        <v>0.44968248484273976</v>
      </c>
      <c r="H41" s="195">
        <v>0.47148718298124209</v>
      </c>
      <c r="I41" s="195">
        <v>0.57766683375661843</v>
      </c>
      <c r="J41" s="195">
        <v>0.54220046603498695</v>
      </c>
      <c r="K41" s="195">
        <v>0.45514775066504354</v>
      </c>
      <c r="L41" s="195">
        <v>0.44788029532293122</v>
      </c>
      <c r="M41" s="195">
        <v>0.42324889772000401</v>
      </c>
      <c r="N41" s="195">
        <v>0.34706725123407145</v>
      </c>
      <c r="O41" s="195"/>
      <c r="Q41" s="24"/>
    </row>
    <row r="42" spans="1:23" x14ac:dyDescent="0.25">
      <c r="A42" s="14" t="s">
        <v>753</v>
      </c>
      <c r="C42" s="110">
        <f>C40/C41</f>
        <v>88740.570181029412</v>
      </c>
      <c r="D42" s="110">
        <f t="shared" ref="D42:N42" si="15">D40/D41</f>
        <v>74016.966900162457</v>
      </c>
      <c r="E42" s="110">
        <f t="shared" si="15"/>
        <v>74819.94887845729</v>
      </c>
      <c r="F42" s="110">
        <f t="shared" si="15"/>
        <v>61191.934121016136</v>
      </c>
      <c r="G42" s="110">
        <f t="shared" si="15"/>
        <v>53345.943788602264</v>
      </c>
      <c r="H42" s="110">
        <f t="shared" si="15"/>
        <v>66891.278689987841</v>
      </c>
      <c r="I42" s="110">
        <f t="shared" si="15"/>
        <v>59992.732493550277</v>
      </c>
      <c r="J42" s="110">
        <f t="shared" si="15"/>
        <v>59949.162248746543</v>
      </c>
      <c r="K42" s="110">
        <f t="shared" si="15"/>
        <v>59575.272753229561</v>
      </c>
      <c r="L42" s="110">
        <f t="shared" si="15"/>
        <v>55366.617362802848</v>
      </c>
      <c r="M42" s="110">
        <f t="shared" si="15"/>
        <v>82299.469437167296</v>
      </c>
      <c r="N42" s="110">
        <f t="shared" si="15"/>
        <v>133963.77604285095</v>
      </c>
      <c r="O42" s="110">
        <f>SUM(C42:N42)</f>
        <v>870153.67289760278</v>
      </c>
      <c r="Q42" s="24">
        <f>MAX(C42:N42)</f>
        <v>133963.77604285095</v>
      </c>
    </row>
    <row r="43" spans="1:23" x14ac:dyDescent="0.25">
      <c r="A43" s="14" t="s">
        <v>678</v>
      </c>
      <c r="C43" s="195">
        <v>0.9</v>
      </c>
      <c r="D43" s="195">
        <v>0.9</v>
      </c>
      <c r="E43" s="195">
        <v>0.85</v>
      </c>
      <c r="F43" s="195">
        <v>0.8</v>
      </c>
      <c r="G43" s="195">
        <v>0.85</v>
      </c>
      <c r="H43" s="195">
        <v>0.9</v>
      </c>
      <c r="I43" s="195">
        <v>0.95</v>
      </c>
      <c r="J43" s="195">
        <v>0.95</v>
      </c>
      <c r="K43" s="195">
        <v>0.9</v>
      </c>
      <c r="L43" s="195">
        <v>0.85</v>
      </c>
      <c r="M43" s="195">
        <v>0.8</v>
      </c>
      <c r="N43" s="195">
        <v>0.85</v>
      </c>
      <c r="O43" s="195"/>
      <c r="P43" s="110"/>
      <c r="Q43" s="24"/>
    </row>
    <row r="44" spans="1:23" x14ac:dyDescent="0.25">
      <c r="A44" s="14" t="s">
        <v>679</v>
      </c>
      <c r="C44" s="110">
        <f>C42*C43</f>
        <v>79866.51316292648</v>
      </c>
      <c r="D44" s="110">
        <f t="shared" ref="D44:N44" si="16">D42*D43</f>
        <v>66615.27021014622</v>
      </c>
      <c r="E44" s="110">
        <f t="shared" si="16"/>
        <v>63596.956546688692</v>
      </c>
      <c r="F44" s="110">
        <f t="shared" si="16"/>
        <v>48953.547296812911</v>
      </c>
      <c r="G44" s="110">
        <f t="shared" si="16"/>
        <v>45344.052220311925</v>
      </c>
      <c r="H44" s="110">
        <f t="shared" si="16"/>
        <v>60202.15082098906</v>
      </c>
      <c r="I44" s="110">
        <f t="shared" si="16"/>
        <v>56993.095868872762</v>
      </c>
      <c r="J44" s="110">
        <f t="shared" si="16"/>
        <v>56951.704136309214</v>
      </c>
      <c r="K44" s="110">
        <f t="shared" si="16"/>
        <v>53617.745477906603</v>
      </c>
      <c r="L44" s="110">
        <f t="shared" si="16"/>
        <v>47061.624758382422</v>
      </c>
      <c r="M44" s="110">
        <f t="shared" si="16"/>
        <v>65839.57554973384</v>
      </c>
      <c r="N44" s="110">
        <f t="shared" si="16"/>
        <v>113869.2096364233</v>
      </c>
      <c r="O44" s="110">
        <f>SUM(C44:N44)</f>
        <v>758911.44568550342</v>
      </c>
      <c r="P44" s="110"/>
      <c r="Q44" s="24"/>
      <c r="R44" s="24">
        <f>O44</f>
        <v>758911.44568550342</v>
      </c>
      <c r="S44" s="24">
        <f>H44+I44+J44</f>
        <v>174146.95082617103</v>
      </c>
      <c r="T44" s="24">
        <f>R44-S44</f>
        <v>584764.49485933245</v>
      </c>
    </row>
    <row r="45" spans="1:23" x14ac:dyDescent="0.25">
      <c r="A45" s="14" t="s">
        <v>754</v>
      </c>
      <c r="C45" s="195">
        <v>0.18</v>
      </c>
      <c r="D45" s="195">
        <v>0.18</v>
      </c>
      <c r="E45" s="195">
        <v>0.18</v>
      </c>
      <c r="F45" s="195">
        <v>0.18</v>
      </c>
      <c r="G45" s="195">
        <v>0.18</v>
      </c>
      <c r="H45" s="195">
        <v>0.18</v>
      </c>
      <c r="I45" s="195">
        <v>0.18</v>
      </c>
      <c r="J45" s="195">
        <v>0.18</v>
      </c>
      <c r="K45" s="195">
        <v>0.18</v>
      </c>
      <c r="L45" s="195">
        <v>0.18</v>
      </c>
      <c r="M45" s="195">
        <v>0.18</v>
      </c>
      <c r="N45" s="195">
        <v>0.18</v>
      </c>
      <c r="O45" s="195"/>
      <c r="P45" s="217"/>
      <c r="Q45" s="75"/>
      <c r="U45" s="73"/>
      <c r="W45" s="73"/>
    </row>
    <row r="46" spans="1:23" x14ac:dyDescent="0.25">
      <c r="A46" s="14" t="s">
        <v>755</v>
      </c>
      <c r="C46" s="110">
        <f>C40/C45</f>
        <v>292987.44026284351</v>
      </c>
      <c r="D46" s="110">
        <f t="shared" ref="D46:N46" si="17">D40/D45</f>
        <v>284502.33134920639</v>
      </c>
      <c r="E46" s="110">
        <f t="shared" si="17"/>
        <v>181063.52299880527</v>
      </c>
      <c r="F46" s="110">
        <f t="shared" si="17"/>
        <v>170297.90895061727</v>
      </c>
      <c r="G46" s="110">
        <f t="shared" si="17"/>
        <v>133270.7586618877</v>
      </c>
      <c r="H46" s="110">
        <f t="shared" si="17"/>
        <v>175213.225308642</v>
      </c>
      <c r="I46" s="110">
        <f t="shared" si="17"/>
        <v>192532.2879330944</v>
      </c>
      <c r="J46" s="110">
        <f t="shared" si="17"/>
        <v>180580.35394265235</v>
      </c>
      <c r="K46" s="110">
        <f t="shared" si="17"/>
        <v>150641.95216049382</v>
      </c>
      <c r="L46" s="110">
        <f t="shared" si="17"/>
        <v>137764.53853046594</v>
      </c>
      <c r="M46" s="110">
        <f t="shared" si="17"/>
        <v>193517.55401234567</v>
      </c>
      <c r="N46" s="110">
        <f t="shared" si="17"/>
        <v>258302.4417562724</v>
      </c>
      <c r="O46" s="110">
        <f>SUM(C46:N46)</f>
        <v>2350674.3158673267</v>
      </c>
      <c r="P46" s="110">
        <f>MAX(C46:N46)</f>
        <v>292987.44026284351</v>
      </c>
      <c r="Q46" s="27"/>
    </row>
    <row r="47" spans="1:23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27"/>
    </row>
    <row r="48" spans="1:23" hidden="1" x14ac:dyDescent="0.25">
      <c r="A48" s="15" t="str">
        <f>A9</f>
        <v>Residential &amp; Small Power ETS (11)</v>
      </c>
      <c r="B48" s="201" t="str">
        <f>B9</f>
        <v>RSP-ETS</v>
      </c>
      <c r="C48" s="110">
        <v>51</v>
      </c>
      <c r="D48" s="110">
        <v>50</v>
      </c>
      <c r="E48" s="110">
        <v>52</v>
      </c>
      <c r="F48" s="110">
        <v>51</v>
      </c>
      <c r="G48" s="110">
        <v>51</v>
      </c>
      <c r="H48" s="110">
        <v>51</v>
      </c>
      <c r="I48" s="110">
        <v>53</v>
      </c>
      <c r="J48" s="110">
        <v>51</v>
      </c>
      <c r="K48" s="110">
        <v>52</v>
      </c>
      <c r="L48" s="110">
        <v>51</v>
      </c>
      <c r="M48" s="110">
        <v>50</v>
      </c>
      <c r="N48" s="110">
        <v>50</v>
      </c>
      <c r="O48" s="110">
        <f>ROUND(SUM(C48:N48)/12,0)</f>
        <v>51</v>
      </c>
      <c r="P48" s="110"/>
      <c r="Q48" s="24"/>
    </row>
    <row r="49" spans="1:23" hidden="1" x14ac:dyDescent="0.25">
      <c r="A49" s="14" t="s">
        <v>1020</v>
      </c>
      <c r="C49" s="110">
        <v>140083</v>
      </c>
      <c r="D49" s="110">
        <v>126249</v>
      </c>
      <c r="E49" s="110">
        <v>84643</v>
      </c>
      <c r="F49" s="110">
        <v>73422</v>
      </c>
      <c r="G49" s="110">
        <v>43603</v>
      </c>
      <c r="H49" s="110">
        <v>45243</v>
      </c>
      <c r="I49" s="110">
        <v>51357</v>
      </c>
      <c r="J49" s="110">
        <v>47650</v>
      </c>
      <c r="K49" s="110">
        <v>40435</v>
      </c>
      <c r="L49" s="110">
        <v>56902</v>
      </c>
      <c r="M49" s="110">
        <v>82251</v>
      </c>
      <c r="N49" s="110">
        <v>117672</v>
      </c>
      <c r="O49" s="110">
        <f>SUM(C49:N49)</f>
        <v>909510</v>
      </c>
      <c r="P49" s="217"/>
      <c r="Q49" s="75"/>
      <c r="U49" s="73"/>
      <c r="W49" s="73"/>
    </row>
    <row r="50" spans="1:23" hidden="1" x14ac:dyDescent="0.25">
      <c r="A50" s="14" t="s">
        <v>677</v>
      </c>
      <c r="C50" s="110">
        <f>C49/744</f>
        <v>188.28360215053763</v>
      </c>
      <c r="D50" s="121">
        <f>D49/672</f>
        <v>187.87053571428572</v>
      </c>
      <c r="E50" s="110">
        <f t="shared" ref="E50:N50" si="18">E49/744</f>
        <v>113.76747311827957</v>
      </c>
      <c r="F50" s="110">
        <f>F49/720</f>
        <v>101.97499999999999</v>
      </c>
      <c r="G50" s="110">
        <f t="shared" si="18"/>
        <v>58.606182795698928</v>
      </c>
      <c r="H50" s="121">
        <f>H49/720</f>
        <v>62.837499999999999</v>
      </c>
      <c r="I50" s="121">
        <f>I49/744</f>
        <v>69.028225806451616</v>
      </c>
      <c r="J50" s="110">
        <f t="shared" si="18"/>
        <v>64.045698924731184</v>
      </c>
      <c r="K50" s="110">
        <f>K49/720</f>
        <v>56.159722222222221</v>
      </c>
      <c r="L50" s="110">
        <f t="shared" si="18"/>
        <v>76.481182795698928</v>
      </c>
      <c r="M50" s="110">
        <f>M49/720</f>
        <v>114.2375</v>
      </c>
      <c r="N50" s="110">
        <f t="shared" si="18"/>
        <v>158.16129032258064</v>
      </c>
      <c r="O50" s="110">
        <f>O49/8760</f>
        <v>103.82534246575342</v>
      </c>
      <c r="P50" s="110"/>
      <c r="Q50" s="27"/>
    </row>
    <row r="51" spans="1:23" hidden="1" x14ac:dyDescent="0.25">
      <c r="A51" s="14" t="s">
        <v>752</v>
      </c>
      <c r="C51" s="195">
        <f>C41</f>
        <v>0.5942911921765619</v>
      </c>
      <c r="D51" s="195">
        <f t="shared" ref="D51:N51" si="19">D41</f>
        <v>0.69187406330675716</v>
      </c>
      <c r="E51" s="195">
        <f t="shared" si="19"/>
        <v>0.43559818776044251</v>
      </c>
      <c r="F51" s="195">
        <f t="shared" si="19"/>
        <v>0.50094222468093619</v>
      </c>
      <c r="G51" s="195">
        <f t="shared" si="19"/>
        <v>0.44968248484273976</v>
      </c>
      <c r="H51" s="195">
        <f t="shared" si="19"/>
        <v>0.47148718298124209</v>
      </c>
      <c r="I51" s="195">
        <f t="shared" si="19"/>
        <v>0.57766683375661843</v>
      </c>
      <c r="J51" s="195">
        <f t="shared" si="19"/>
        <v>0.54220046603498695</v>
      </c>
      <c r="K51" s="195">
        <f t="shared" si="19"/>
        <v>0.45514775066504354</v>
      </c>
      <c r="L51" s="195">
        <f t="shared" si="19"/>
        <v>0.44788029532293122</v>
      </c>
      <c r="M51" s="195">
        <f t="shared" si="19"/>
        <v>0.42324889772000401</v>
      </c>
      <c r="N51" s="195">
        <f t="shared" si="19"/>
        <v>0.34706725123407145</v>
      </c>
      <c r="O51" s="195"/>
      <c r="Q51" s="24"/>
    </row>
    <row r="52" spans="1:23" hidden="1" x14ac:dyDescent="0.25">
      <c r="A52" s="14" t="s">
        <v>753</v>
      </c>
      <c r="C52" s="110">
        <f>C50/C51</f>
        <v>316.82044867762266</v>
      </c>
      <c r="D52" s="110">
        <f t="shared" ref="D52" si="20">D50/D51</f>
        <v>271.53863062357533</v>
      </c>
      <c r="E52" s="110">
        <f t="shared" ref="E52" si="21">E50/E51</f>
        <v>261.17526728748942</v>
      </c>
      <c r="F52" s="110">
        <f t="shared" ref="F52" si="22">F50/F51</f>
        <v>203.56638944730736</v>
      </c>
      <c r="G52" s="110">
        <f t="shared" ref="G52" si="23">G50/G51</f>
        <v>130.32791974584984</v>
      </c>
      <c r="H52" s="110">
        <f t="shared" ref="H52" si="24">H50/H51</f>
        <v>133.2750969022629</v>
      </c>
      <c r="I52" s="110">
        <f t="shared" ref="I52" si="25">I50/I51</f>
        <v>119.49487450673767</v>
      </c>
      <c r="J52" s="110">
        <f t="shared" ref="J52" si="26">J50/J51</f>
        <v>118.12180722212523</v>
      </c>
      <c r="K52" s="110">
        <f t="shared" ref="K52" si="27">K50/K51</f>
        <v>123.38789357997244</v>
      </c>
      <c r="L52" s="110">
        <f t="shared" ref="L52" si="28">L50/L51</f>
        <v>170.76255328570409</v>
      </c>
      <c r="M52" s="110">
        <f t="shared" ref="M52" si="29">M50/M51</f>
        <v>269.90619613042122</v>
      </c>
      <c r="N52" s="110">
        <f t="shared" ref="N52" si="30">N50/N51</f>
        <v>455.70790606202263</v>
      </c>
      <c r="O52" s="110">
        <f>SUM(C52:N52)</f>
        <v>2574.0849834710907</v>
      </c>
      <c r="Q52" s="24">
        <f>MAX(C52:N52)</f>
        <v>455.70790606202263</v>
      </c>
    </row>
    <row r="53" spans="1:23" hidden="1" x14ac:dyDescent="0.25">
      <c r="A53" s="14" t="s">
        <v>678</v>
      </c>
      <c r="C53" s="195">
        <f>C43</f>
        <v>0.9</v>
      </c>
      <c r="D53" s="195">
        <f t="shared" ref="D53:N53" si="31">D43</f>
        <v>0.9</v>
      </c>
      <c r="E53" s="195">
        <f t="shared" si="31"/>
        <v>0.85</v>
      </c>
      <c r="F53" s="195">
        <f t="shared" si="31"/>
        <v>0.8</v>
      </c>
      <c r="G53" s="195">
        <f t="shared" si="31"/>
        <v>0.85</v>
      </c>
      <c r="H53" s="195">
        <f t="shared" si="31"/>
        <v>0.9</v>
      </c>
      <c r="I53" s="195">
        <f t="shared" si="31"/>
        <v>0.95</v>
      </c>
      <c r="J53" s="195">
        <f t="shared" si="31"/>
        <v>0.95</v>
      </c>
      <c r="K53" s="195">
        <f t="shared" si="31"/>
        <v>0.9</v>
      </c>
      <c r="L53" s="195">
        <f t="shared" si="31"/>
        <v>0.85</v>
      </c>
      <c r="M53" s="195">
        <f t="shared" si="31"/>
        <v>0.8</v>
      </c>
      <c r="N53" s="195">
        <f t="shared" si="31"/>
        <v>0.85</v>
      </c>
      <c r="O53" s="195"/>
      <c r="P53" s="110"/>
      <c r="Q53" s="24"/>
    </row>
    <row r="54" spans="1:23" hidden="1" x14ac:dyDescent="0.25">
      <c r="A54" s="14" t="s">
        <v>679</v>
      </c>
      <c r="C54" s="110">
        <f>C52*C53</f>
        <v>285.13840380986039</v>
      </c>
      <c r="D54" s="110">
        <f t="shared" ref="D54" si="32">D52*D53</f>
        <v>244.38476756121781</v>
      </c>
      <c r="E54" s="110">
        <f t="shared" ref="E54" si="33">E52*E53</f>
        <v>221.99897719436601</v>
      </c>
      <c r="F54" s="110">
        <f t="shared" ref="F54" si="34">F52*F53</f>
        <v>162.85311155784589</v>
      </c>
      <c r="G54" s="110">
        <f t="shared" ref="G54" si="35">G52*G53</f>
        <v>110.77873178397236</v>
      </c>
      <c r="H54" s="110">
        <f t="shared" ref="H54" si="36">H52*H53</f>
        <v>119.94758721203661</v>
      </c>
      <c r="I54" s="110">
        <f t="shared" ref="I54" si="37">I52*I53</f>
        <v>113.52013078140078</v>
      </c>
      <c r="J54" s="110">
        <f t="shared" ref="J54" si="38">J52*J53</f>
        <v>112.21571686101896</v>
      </c>
      <c r="K54" s="110">
        <f t="shared" ref="K54" si="39">K52*K53</f>
        <v>111.0491042219752</v>
      </c>
      <c r="L54" s="110">
        <f t="shared" ref="L54" si="40">L52*L53</f>
        <v>145.14817029284848</v>
      </c>
      <c r="M54" s="110">
        <f t="shared" ref="M54" si="41">M52*M53</f>
        <v>215.92495690433699</v>
      </c>
      <c r="N54" s="110">
        <f t="shared" ref="N54" si="42">N52*N53</f>
        <v>387.35172015271922</v>
      </c>
      <c r="O54" s="110">
        <f>SUM(C54:N54)</f>
        <v>2230.3113783335989</v>
      </c>
      <c r="P54" s="110"/>
      <c r="Q54" s="24"/>
      <c r="R54" s="24">
        <f>O54</f>
        <v>2230.3113783335989</v>
      </c>
      <c r="S54" s="24">
        <f>H54+I54+J54</f>
        <v>345.68343485445632</v>
      </c>
      <c r="T54" s="24">
        <f>R54-S54</f>
        <v>1884.6279434791427</v>
      </c>
    </row>
    <row r="55" spans="1:23" hidden="1" x14ac:dyDescent="0.25">
      <c r="A55" s="14" t="s">
        <v>754</v>
      </c>
      <c r="C55" s="195">
        <v>0.18</v>
      </c>
      <c r="D55" s="195">
        <v>0.18</v>
      </c>
      <c r="E55" s="195">
        <v>0.18</v>
      </c>
      <c r="F55" s="195">
        <v>0.18</v>
      </c>
      <c r="G55" s="195">
        <v>0.18</v>
      </c>
      <c r="H55" s="195">
        <v>0.18</v>
      </c>
      <c r="I55" s="195">
        <v>0.18</v>
      </c>
      <c r="J55" s="195">
        <v>0.18</v>
      </c>
      <c r="K55" s="195">
        <v>0.18</v>
      </c>
      <c r="L55" s="195">
        <v>0.18</v>
      </c>
      <c r="M55" s="195">
        <v>0.18</v>
      </c>
      <c r="N55" s="195">
        <v>0.18</v>
      </c>
      <c r="O55" s="195"/>
      <c r="P55" s="217"/>
      <c r="Q55" s="75"/>
      <c r="U55" s="73"/>
      <c r="W55" s="73"/>
    </row>
    <row r="56" spans="1:23" hidden="1" x14ac:dyDescent="0.25">
      <c r="A56" s="14" t="s">
        <v>755</v>
      </c>
      <c r="C56" s="110">
        <f>C50/C55</f>
        <v>1046.0200119474314</v>
      </c>
      <c r="D56" s="110">
        <f t="shared" ref="D56:N56" si="43">D50/D55</f>
        <v>1043.7251984126985</v>
      </c>
      <c r="E56" s="110">
        <f t="shared" si="43"/>
        <v>632.04151732377545</v>
      </c>
      <c r="F56" s="110">
        <f t="shared" si="43"/>
        <v>566.52777777777771</v>
      </c>
      <c r="G56" s="110">
        <f t="shared" si="43"/>
        <v>325.5899044205496</v>
      </c>
      <c r="H56" s="110">
        <f t="shared" si="43"/>
        <v>349.09722222222223</v>
      </c>
      <c r="I56" s="110">
        <f t="shared" si="43"/>
        <v>383.49014336917566</v>
      </c>
      <c r="J56" s="110">
        <f t="shared" si="43"/>
        <v>355.80943847072882</v>
      </c>
      <c r="K56" s="110">
        <f t="shared" si="43"/>
        <v>311.99845679012344</v>
      </c>
      <c r="L56" s="110">
        <f t="shared" si="43"/>
        <v>424.89545997610514</v>
      </c>
      <c r="M56" s="110">
        <f t="shared" si="43"/>
        <v>634.65277777777783</v>
      </c>
      <c r="N56" s="110">
        <f t="shared" si="43"/>
        <v>878.67383512544802</v>
      </c>
      <c r="O56" s="110">
        <f>SUM(C56:N56)</f>
        <v>6952.5217436138137</v>
      </c>
      <c r="P56" s="110">
        <f>MAX(C56:N56)</f>
        <v>1046.0200119474314</v>
      </c>
      <c r="Q56" s="27"/>
    </row>
    <row r="57" spans="1:23" hidden="1" x14ac:dyDescent="0.25"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75"/>
      <c r="U57" s="73"/>
      <c r="W57" s="73"/>
    </row>
    <row r="58" spans="1:23" hidden="1" x14ac:dyDescent="0.25">
      <c r="A58" s="15" t="str">
        <f>A10</f>
        <v>Prepay (80)</v>
      </c>
      <c r="B58" s="201" t="str">
        <f>B10</f>
        <v>RSP-PPM</v>
      </c>
      <c r="C58" s="110">
        <v>524</v>
      </c>
      <c r="D58" s="110">
        <v>523</v>
      </c>
      <c r="E58" s="110">
        <v>536</v>
      </c>
      <c r="F58" s="110">
        <v>524</v>
      </c>
      <c r="G58" s="110">
        <v>537</v>
      </c>
      <c r="H58" s="110">
        <v>511</v>
      </c>
      <c r="I58" s="110">
        <v>517</v>
      </c>
      <c r="J58" s="110">
        <v>519</v>
      </c>
      <c r="K58" s="110">
        <v>514</v>
      </c>
      <c r="L58" s="110">
        <v>513</v>
      </c>
      <c r="M58" s="110">
        <v>528</v>
      </c>
      <c r="N58" s="110">
        <v>530</v>
      </c>
      <c r="O58" s="110">
        <f>ROUND(SUM(C58:N58)/12,0)</f>
        <v>523</v>
      </c>
      <c r="P58" s="110"/>
      <c r="Q58" s="24"/>
    </row>
    <row r="59" spans="1:23" hidden="1" x14ac:dyDescent="0.25">
      <c r="A59" s="14" t="s">
        <v>1020</v>
      </c>
      <c r="C59" s="110">
        <v>1104502</v>
      </c>
      <c r="D59" s="110">
        <v>829709</v>
      </c>
      <c r="E59" s="110">
        <v>675477</v>
      </c>
      <c r="F59" s="110">
        <v>542814</v>
      </c>
      <c r="G59" s="110">
        <v>466366</v>
      </c>
      <c r="H59" s="110">
        <v>557304</v>
      </c>
      <c r="I59" s="110">
        <v>646332</v>
      </c>
      <c r="J59" s="110">
        <v>580856</v>
      </c>
      <c r="K59" s="110">
        <v>444518</v>
      </c>
      <c r="L59" s="110">
        <v>488797</v>
      </c>
      <c r="M59" s="110">
        <v>658520</v>
      </c>
      <c r="N59" s="110">
        <v>912350</v>
      </c>
      <c r="O59" s="110">
        <f>SUM(C59:N59)</f>
        <v>7907545</v>
      </c>
      <c r="P59" s="217"/>
      <c r="Q59" s="75"/>
      <c r="U59" s="73"/>
      <c r="W59" s="73"/>
    </row>
    <row r="60" spans="1:23" hidden="1" x14ac:dyDescent="0.25">
      <c r="A60" s="14" t="s">
        <v>677</v>
      </c>
      <c r="C60" s="110">
        <f>C59/744</f>
        <v>1484.5456989247311</v>
      </c>
      <c r="D60" s="121">
        <f>D59/672</f>
        <v>1234.6860119047619</v>
      </c>
      <c r="E60" s="110">
        <f t="shared" ref="E60:N60" si="44">E59/744</f>
        <v>907.89919354838707</v>
      </c>
      <c r="F60" s="110">
        <f>F59/720</f>
        <v>753.9083333333333</v>
      </c>
      <c r="G60" s="110">
        <f t="shared" si="44"/>
        <v>626.83602150537638</v>
      </c>
      <c r="H60" s="121">
        <f>H59/720</f>
        <v>774.0333333333333</v>
      </c>
      <c r="I60" s="121">
        <f>I59/744</f>
        <v>868.72580645161293</v>
      </c>
      <c r="J60" s="110">
        <f t="shared" si="44"/>
        <v>780.72043010752691</v>
      </c>
      <c r="K60" s="110">
        <f>K59/720</f>
        <v>617.38611111111106</v>
      </c>
      <c r="L60" s="110">
        <f t="shared" si="44"/>
        <v>656.98521505376345</v>
      </c>
      <c r="M60" s="110">
        <f>M59/720</f>
        <v>914.61111111111109</v>
      </c>
      <c r="N60" s="110">
        <f t="shared" si="44"/>
        <v>1226.2768817204301</v>
      </c>
      <c r="O60" s="110">
        <f>O59/8760</f>
        <v>902.68778538812785</v>
      </c>
      <c r="P60" s="110"/>
      <c r="Q60" s="27"/>
    </row>
    <row r="61" spans="1:23" hidden="1" x14ac:dyDescent="0.25">
      <c r="A61" s="14" t="s">
        <v>752</v>
      </c>
      <c r="C61" s="195">
        <f>C41</f>
        <v>0.5942911921765619</v>
      </c>
      <c r="D61" s="195">
        <f t="shared" ref="D61:N61" si="45">D41</f>
        <v>0.69187406330675716</v>
      </c>
      <c r="E61" s="195">
        <f t="shared" si="45"/>
        <v>0.43559818776044251</v>
      </c>
      <c r="F61" s="195">
        <f t="shared" si="45"/>
        <v>0.50094222468093619</v>
      </c>
      <c r="G61" s="195">
        <f t="shared" si="45"/>
        <v>0.44968248484273976</v>
      </c>
      <c r="H61" s="195">
        <f t="shared" si="45"/>
        <v>0.47148718298124209</v>
      </c>
      <c r="I61" s="195">
        <f t="shared" si="45"/>
        <v>0.57766683375661843</v>
      </c>
      <c r="J61" s="195">
        <f t="shared" si="45"/>
        <v>0.54220046603498695</v>
      </c>
      <c r="K61" s="195">
        <f t="shared" si="45"/>
        <v>0.45514775066504354</v>
      </c>
      <c r="L61" s="195">
        <f t="shared" si="45"/>
        <v>0.44788029532293122</v>
      </c>
      <c r="M61" s="195">
        <f t="shared" si="45"/>
        <v>0.42324889772000401</v>
      </c>
      <c r="N61" s="195">
        <f t="shared" si="45"/>
        <v>0.34706725123407145</v>
      </c>
      <c r="O61" s="195"/>
      <c r="Q61" s="24"/>
    </row>
    <row r="62" spans="1:23" hidden="1" x14ac:dyDescent="0.25">
      <c r="A62" s="14" t="s">
        <v>753</v>
      </c>
      <c r="C62" s="110">
        <f>C60/C61</f>
        <v>2498.0106023238482</v>
      </c>
      <c r="D62" s="110">
        <f t="shared" ref="D62" si="46">D60/D61</f>
        <v>1784.5531107260738</v>
      </c>
      <c r="E62" s="110">
        <f t="shared" ref="E62" si="47">E60/E61</f>
        <v>2084.2584268226724</v>
      </c>
      <c r="F62" s="110">
        <f t="shared" ref="F62" si="48">F60/F61</f>
        <v>1504.9806069223216</v>
      </c>
      <c r="G62" s="110">
        <f t="shared" ref="G62" si="49">G60/G61</f>
        <v>1393.9524945575536</v>
      </c>
      <c r="H62" s="110">
        <f t="shared" ref="H62" si="50">H60/H61</f>
        <v>1641.6847822650736</v>
      </c>
      <c r="I62" s="110">
        <f t="shared" ref="I62" si="51">I60/I61</f>
        <v>1503.8526633115014</v>
      </c>
      <c r="J62" s="110">
        <f t="shared" ref="J62" si="52">J60/J61</f>
        <v>1439.9110274042973</v>
      </c>
      <c r="K62" s="110">
        <f t="shared" ref="K62" si="53">K60/K61</f>
        <v>1356.4520756370023</v>
      </c>
      <c r="L62" s="110">
        <f t="shared" ref="L62" si="54">L60/L61</f>
        <v>1466.8768014901461</v>
      </c>
      <c r="M62" s="110">
        <f t="shared" ref="M62" si="55">M60/M61</f>
        <v>2160.9296941776388</v>
      </c>
      <c r="N62" s="110">
        <f t="shared" ref="N62" si="56">N60/N61</f>
        <v>3533.2543688871301</v>
      </c>
      <c r="O62" s="110">
        <f>SUM(C62:N62)</f>
        <v>22368.716654525258</v>
      </c>
      <c r="Q62" s="24">
        <f>MAX(C62:N62)</f>
        <v>3533.2543688871301</v>
      </c>
    </row>
    <row r="63" spans="1:23" hidden="1" x14ac:dyDescent="0.25">
      <c r="A63" s="14" t="s">
        <v>678</v>
      </c>
      <c r="C63" s="195">
        <f>C43</f>
        <v>0.9</v>
      </c>
      <c r="D63" s="195">
        <f t="shared" ref="D63:N63" si="57">D43</f>
        <v>0.9</v>
      </c>
      <c r="E63" s="195">
        <f t="shared" si="57"/>
        <v>0.85</v>
      </c>
      <c r="F63" s="195">
        <f t="shared" si="57"/>
        <v>0.8</v>
      </c>
      <c r="G63" s="195">
        <f t="shared" si="57"/>
        <v>0.85</v>
      </c>
      <c r="H63" s="195">
        <f t="shared" si="57"/>
        <v>0.9</v>
      </c>
      <c r="I63" s="195">
        <f t="shared" si="57"/>
        <v>0.95</v>
      </c>
      <c r="J63" s="195">
        <f t="shared" si="57"/>
        <v>0.95</v>
      </c>
      <c r="K63" s="195">
        <f t="shared" si="57"/>
        <v>0.9</v>
      </c>
      <c r="L63" s="195">
        <f t="shared" si="57"/>
        <v>0.85</v>
      </c>
      <c r="M63" s="195">
        <f t="shared" si="57"/>
        <v>0.8</v>
      </c>
      <c r="N63" s="195">
        <f t="shared" si="57"/>
        <v>0.85</v>
      </c>
      <c r="O63" s="195"/>
      <c r="P63" s="110"/>
      <c r="Q63" s="24"/>
    </row>
    <row r="64" spans="1:23" hidden="1" x14ac:dyDescent="0.25">
      <c r="A64" s="14" t="s">
        <v>679</v>
      </c>
      <c r="C64" s="110">
        <f>C62*C63</f>
        <v>2248.2095420914634</v>
      </c>
      <c r="D64" s="110">
        <f t="shared" ref="D64" si="58">D62*D63</f>
        <v>1606.0977996534664</v>
      </c>
      <c r="E64" s="110">
        <f t="shared" ref="E64" si="59">E62*E63</f>
        <v>1771.6196627992715</v>
      </c>
      <c r="F64" s="110">
        <f t="shared" ref="F64" si="60">F62*F63</f>
        <v>1203.9844855378574</v>
      </c>
      <c r="G64" s="110">
        <f t="shared" ref="G64" si="61">G62*G63</f>
        <v>1184.8596203739205</v>
      </c>
      <c r="H64" s="110">
        <f t="shared" ref="H64" si="62">H62*H63</f>
        <v>1477.5163040385662</v>
      </c>
      <c r="I64" s="110">
        <f t="shared" ref="I64" si="63">I62*I63</f>
        <v>1428.6600301459262</v>
      </c>
      <c r="J64" s="110">
        <f t="shared" ref="J64" si="64">J62*J63</f>
        <v>1367.9154760340823</v>
      </c>
      <c r="K64" s="110">
        <f t="shared" ref="K64" si="65">K62*K63</f>
        <v>1220.806868073302</v>
      </c>
      <c r="L64" s="110">
        <f t="shared" ref="L64" si="66">L62*L63</f>
        <v>1246.8452812666242</v>
      </c>
      <c r="M64" s="110">
        <f t="shared" ref="M64" si="67">M62*M63</f>
        <v>1728.7437553421112</v>
      </c>
      <c r="N64" s="110">
        <f t="shared" ref="N64" si="68">N62*N63</f>
        <v>3003.2662135540604</v>
      </c>
      <c r="O64" s="110">
        <f>SUM(C64:N64)</f>
        <v>19488.525038910648</v>
      </c>
      <c r="P64" s="110"/>
      <c r="Q64" s="24"/>
      <c r="R64" s="24">
        <f>O64</f>
        <v>19488.525038910648</v>
      </c>
      <c r="S64" s="24">
        <f>H64+I64+J64</f>
        <v>4274.0918102185751</v>
      </c>
      <c r="T64" s="24">
        <f>R64-S64</f>
        <v>15214.433228692073</v>
      </c>
    </row>
    <row r="65" spans="1:23" hidden="1" x14ac:dyDescent="0.25">
      <c r="A65" s="14" t="s">
        <v>754</v>
      </c>
      <c r="C65" s="195">
        <v>0.23</v>
      </c>
      <c r="D65" s="195">
        <f>C65</f>
        <v>0.23</v>
      </c>
      <c r="E65" s="195">
        <f>D65</f>
        <v>0.23</v>
      </c>
      <c r="F65" s="195">
        <f t="shared" ref="F65:N65" si="69">E65</f>
        <v>0.23</v>
      </c>
      <c r="G65" s="195">
        <f t="shared" si="69"/>
        <v>0.23</v>
      </c>
      <c r="H65" s="195">
        <f t="shared" si="69"/>
        <v>0.23</v>
      </c>
      <c r="I65" s="195">
        <f t="shared" si="69"/>
        <v>0.23</v>
      </c>
      <c r="J65" s="195">
        <f t="shared" si="69"/>
        <v>0.23</v>
      </c>
      <c r="K65" s="195">
        <f t="shared" si="69"/>
        <v>0.23</v>
      </c>
      <c r="L65" s="195">
        <f t="shared" si="69"/>
        <v>0.23</v>
      </c>
      <c r="M65" s="195">
        <f t="shared" si="69"/>
        <v>0.23</v>
      </c>
      <c r="N65" s="195">
        <f t="shared" si="69"/>
        <v>0.23</v>
      </c>
      <c r="O65" s="195"/>
      <c r="P65" s="217"/>
      <c r="Q65" s="75"/>
      <c r="U65" s="73"/>
      <c r="W65" s="73"/>
    </row>
    <row r="66" spans="1:23" hidden="1" x14ac:dyDescent="0.25">
      <c r="A66" s="14" t="s">
        <v>755</v>
      </c>
      <c r="C66" s="110">
        <v>11010.5</v>
      </c>
      <c r="D66" s="110">
        <v>11331.5</v>
      </c>
      <c r="E66" s="110">
        <v>12531.51</v>
      </c>
      <c r="F66" s="110">
        <v>10855.78</v>
      </c>
      <c r="G66" s="110">
        <v>9703.84</v>
      </c>
      <c r="H66" s="110">
        <v>9002.52</v>
      </c>
      <c r="I66" s="110">
        <v>10015.370000000001</v>
      </c>
      <c r="J66" s="110">
        <v>10443.42</v>
      </c>
      <c r="K66" s="110">
        <v>10369.41</v>
      </c>
      <c r="L66" s="110">
        <v>10671.84</v>
      </c>
      <c r="M66" s="110">
        <v>10995.02</v>
      </c>
      <c r="N66" s="110">
        <v>10414.64</v>
      </c>
      <c r="O66" s="110">
        <f>SUM(C66:N66)</f>
        <v>127345.35</v>
      </c>
      <c r="P66" s="110">
        <f>MAX(C66:N66)</f>
        <v>12531.51</v>
      </c>
      <c r="Q66" s="27"/>
    </row>
    <row r="67" spans="1:23" x14ac:dyDescent="0.25">
      <c r="C67" s="121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24"/>
    </row>
    <row r="68" spans="1:23" hidden="1" x14ac:dyDescent="0.25">
      <c r="A68" s="15" t="str">
        <f>A11</f>
        <v>Net Metering (100)</v>
      </c>
      <c r="B68" s="201" t="str">
        <f>B11</f>
        <v>NM</v>
      </c>
      <c r="C68" s="110">
        <v>54</v>
      </c>
      <c r="D68" s="110">
        <v>54</v>
      </c>
      <c r="E68" s="110">
        <v>56</v>
      </c>
      <c r="F68" s="110">
        <v>58</v>
      </c>
      <c r="G68" s="110">
        <v>60</v>
      </c>
      <c r="H68" s="110">
        <v>60</v>
      </c>
      <c r="I68" s="110">
        <v>63</v>
      </c>
      <c r="J68" s="110">
        <v>64</v>
      </c>
      <c r="K68" s="110">
        <v>65</v>
      </c>
      <c r="L68" s="110">
        <v>66</v>
      </c>
      <c r="M68" s="110">
        <v>67</v>
      </c>
      <c r="N68" s="110">
        <v>66</v>
      </c>
      <c r="O68" s="110">
        <f>ROUND(SUM(C68:N68)/12,0)</f>
        <v>61</v>
      </c>
      <c r="P68" s="110"/>
      <c r="Q68" s="24"/>
    </row>
    <row r="69" spans="1:23" hidden="1" x14ac:dyDescent="0.25">
      <c r="A69" s="14" t="s">
        <v>1020</v>
      </c>
      <c r="C69" s="110">
        <v>102315</v>
      </c>
      <c r="D69" s="110">
        <v>83306</v>
      </c>
      <c r="E69" s="110">
        <v>61913</v>
      </c>
      <c r="F69" s="110">
        <v>57575</v>
      </c>
      <c r="G69" s="110">
        <v>38464</v>
      </c>
      <c r="H69" s="110">
        <v>45864</v>
      </c>
      <c r="I69" s="110">
        <v>56350</v>
      </c>
      <c r="J69" s="110">
        <v>56997</v>
      </c>
      <c r="K69" s="110">
        <v>49033</v>
      </c>
      <c r="L69" s="110">
        <v>49933</v>
      </c>
      <c r="M69" s="110">
        <v>78907</v>
      </c>
      <c r="N69" s="110">
        <v>116033</v>
      </c>
      <c r="O69" s="110">
        <f>SUM(C69:N69)</f>
        <v>796690</v>
      </c>
      <c r="P69" s="217"/>
      <c r="Q69" s="75"/>
      <c r="U69" s="73"/>
      <c r="W69" s="73"/>
    </row>
    <row r="70" spans="1:23" hidden="1" x14ac:dyDescent="0.25">
      <c r="A70" s="14" t="s">
        <v>677</v>
      </c>
      <c r="C70" s="110">
        <f>C69/744</f>
        <v>137.52016129032259</v>
      </c>
      <c r="D70" s="121">
        <f>D69/672</f>
        <v>123.9672619047619</v>
      </c>
      <c r="E70" s="110">
        <f t="shared" ref="E70:N70" si="70">E69/744</f>
        <v>83.216397849462368</v>
      </c>
      <c r="F70" s="110">
        <f>F69/720</f>
        <v>79.965277777777771</v>
      </c>
      <c r="G70" s="110">
        <f t="shared" si="70"/>
        <v>51.698924731182792</v>
      </c>
      <c r="H70" s="121">
        <f>H69/720</f>
        <v>63.7</v>
      </c>
      <c r="I70" s="121">
        <f>I69/744</f>
        <v>75.739247311827953</v>
      </c>
      <c r="J70" s="110">
        <f t="shared" si="70"/>
        <v>76.608870967741936</v>
      </c>
      <c r="K70" s="110">
        <f>K69/720</f>
        <v>68.101388888888891</v>
      </c>
      <c r="L70" s="110">
        <f t="shared" si="70"/>
        <v>67.114247311827953</v>
      </c>
      <c r="M70" s="110">
        <f>M69/720</f>
        <v>109.59305555555555</v>
      </c>
      <c r="N70" s="110">
        <f t="shared" si="70"/>
        <v>155.95833333333334</v>
      </c>
      <c r="O70" s="110">
        <f>O69/8760</f>
        <v>90.946347031963469</v>
      </c>
      <c r="P70" s="110"/>
      <c r="Q70" s="27"/>
    </row>
    <row r="71" spans="1:23" hidden="1" x14ac:dyDescent="0.25">
      <c r="A71" s="14" t="s">
        <v>752</v>
      </c>
      <c r="C71" s="195">
        <f>C41</f>
        <v>0.5942911921765619</v>
      </c>
      <c r="D71" s="195">
        <f t="shared" ref="D71:N71" si="71">D41</f>
        <v>0.69187406330675716</v>
      </c>
      <c r="E71" s="195">
        <f t="shared" si="71"/>
        <v>0.43559818776044251</v>
      </c>
      <c r="F71" s="195">
        <f t="shared" si="71"/>
        <v>0.50094222468093619</v>
      </c>
      <c r="G71" s="195">
        <f t="shared" si="71"/>
        <v>0.44968248484273976</v>
      </c>
      <c r="H71" s="195">
        <f t="shared" si="71"/>
        <v>0.47148718298124209</v>
      </c>
      <c r="I71" s="195">
        <f t="shared" si="71"/>
        <v>0.57766683375661843</v>
      </c>
      <c r="J71" s="195">
        <f t="shared" si="71"/>
        <v>0.54220046603498695</v>
      </c>
      <c r="K71" s="195">
        <f t="shared" si="71"/>
        <v>0.45514775066504354</v>
      </c>
      <c r="L71" s="195">
        <f t="shared" si="71"/>
        <v>0.44788029532293122</v>
      </c>
      <c r="M71" s="195">
        <f t="shared" si="71"/>
        <v>0.42324889772000401</v>
      </c>
      <c r="N71" s="195">
        <f t="shared" si="71"/>
        <v>0.34706725123407145</v>
      </c>
      <c r="O71" s="195"/>
      <c r="Q71" s="24"/>
    </row>
    <row r="72" spans="1:23" hidden="1" x14ac:dyDescent="0.25">
      <c r="A72" s="14" t="s">
        <v>753</v>
      </c>
      <c r="C72" s="110">
        <f>C70/C71</f>
        <v>231.40198458378939</v>
      </c>
      <c r="D72" s="110">
        <f t="shared" ref="D72" si="72">D70/D71</f>
        <v>179.17605020814079</v>
      </c>
      <c r="E72" s="110">
        <f t="shared" ref="E72" si="73">E70/E71</f>
        <v>191.03935734284386</v>
      </c>
      <c r="F72" s="110">
        <f t="shared" ref="F72" si="74">F70/F71</f>
        <v>159.62974139125495</v>
      </c>
      <c r="G72" s="110">
        <f t="shared" ref="G72" si="75">G70/G71</f>
        <v>114.96761931757833</v>
      </c>
      <c r="H72" s="110">
        <f t="shared" ref="H72" si="76">H70/H71</f>
        <v>135.10441492220644</v>
      </c>
      <c r="I72" s="110">
        <f t="shared" ref="I72" si="77">I70/I71</f>
        <v>131.11233480255208</v>
      </c>
      <c r="J72" s="110">
        <f t="shared" ref="J72" si="78">J70/J71</f>
        <v>141.29252143209803</v>
      </c>
      <c r="K72" s="110">
        <f t="shared" ref="K72" si="79">K70/K71</f>
        <v>149.62479500202272</v>
      </c>
      <c r="L72" s="110">
        <f t="shared" ref="L72" si="80">L70/L71</f>
        <v>149.84862699404346</v>
      </c>
      <c r="M72" s="110">
        <f t="shared" ref="M72" si="81">M70/M71</f>
        <v>258.93287884722554</v>
      </c>
      <c r="N72" s="110">
        <f t="shared" ref="N72" si="82">N70/N71</f>
        <v>449.36055700671932</v>
      </c>
      <c r="O72" s="110">
        <f>SUM(C72:N72)</f>
        <v>2291.4908818504746</v>
      </c>
      <c r="Q72" s="24">
        <f>MAX(C72:N72)</f>
        <v>449.36055700671932</v>
      </c>
    </row>
    <row r="73" spans="1:23" hidden="1" x14ac:dyDescent="0.25">
      <c r="A73" s="14" t="s">
        <v>678</v>
      </c>
      <c r="C73" s="195">
        <f>C43-0.2</f>
        <v>0.7</v>
      </c>
      <c r="D73" s="195">
        <f t="shared" ref="D73:N73" si="83">D43-0.2</f>
        <v>0.7</v>
      </c>
      <c r="E73" s="195">
        <f t="shared" si="83"/>
        <v>0.64999999999999991</v>
      </c>
      <c r="F73" s="195">
        <f t="shared" si="83"/>
        <v>0.60000000000000009</v>
      </c>
      <c r="G73" s="195">
        <f t="shared" si="83"/>
        <v>0.64999999999999991</v>
      </c>
      <c r="H73" s="195">
        <f t="shared" si="83"/>
        <v>0.7</v>
      </c>
      <c r="I73" s="195">
        <f t="shared" si="83"/>
        <v>0.75</v>
      </c>
      <c r="J73" s="195">
        <f t="shared" si="83"/>
        <v>0.75</v>
      </c>
      <c r="K73" s="195">
        <f t="shared" si="83"/>
        <v>0.7</v>
      </c>
      <c r="L73" s="195">
        <f t="shared" si="83"/>
        <v>0.64999999999999991</v>
      </c>
      <c r="M73" s="195">
        <f t="shared" si="83"/>
        <v>0.60000000000000009</v>
      </c>
      <c r="N73" s="195">
        <f t="shared" si="83"/>
        <v>0.64999999999999991</v>
      </c>
      <c r="O73" s="195"/>
      <c r="P73" s="110"/>
      <c r="Q73" s="24"/>
    </row>
    <row r="74" spans="1:23" hidden="1" x14ac:dyDescent="0.25">
      <c r="A74" s="14" t="s">
        <v>679</v>
      </c>
      <c r="C74" s="110">
        <f>C72*C73</f>
        <v>161.98138920865256</v>
      </c>
      <c r="D74" s="110">
        <f t="shared" ref="D74" si="84">D72*D73</f>
        <v>125.42323514569854</v>
      </c>
      <c r="E74" s="110">
        <f t="shared" ref="E74" si="85">E72*E73</f>
        <v>124.17558227284849</v>
      </c>
      <c r="F74" s="110">
        <f t="shared" ref="F74" si="86">F72*F73</f>
        <v>95.777844834752983</v>
      </c>
      <c r="G74" s="110">
        <f t="shared" ref="G74" si="87">G72*G73</f>
        <v>74.728952556425895</v>
      </c>
      <c r="H74" s="110">
        <f t="shared" ref="H74" si="88">H72*H73</f>
        <v>94.573090445544508</v>
      </c>
      <c r="I74" s="110">
        <f t="shared" ref="I74" si="89">I72*I73</f>
        <v>98.334251101914063</v>
      </c>
      <c r="J74" s="110">
        <f t="shared" ref="J74" si="90">J72*J73</f>
        <v>105.96939107407351</v>
      </c>
      <c r="K74" s="110">
        <f t="shared" ref="K74" si="91">K72*K73</f>
        <v>104.7373565014159</v>
      </c>
      <c r="L74" s="110">
        <f t="shared" ref="L74" si="92">L72*L73</f>
        <v>97.401607546128233</v>
      </c>
      <c r="M74" s="110">
        <f t="shared" ref="M74" si="93">M72*M73</f>
        <v>155.35972730833535</v>
      </c>
      <c r="N74" s="110">
        <f t="shared" ref="N74" si="94">N72*N73</f>
        <v>292.08436205436749</v>
      </c>
      <c r="O74" s="110">
        <f>SUM(C74:N74)</f>
        <v>1530.5467900501576</v>
      </c>
      <c r="P74" s="110"/>
      <c r="Q74" s="24"/>
      <c r="R74" s="24">
        <f>O74</f>
        <v>1530.5467900501576</v>
      </c>
      <c r="S74" s="24">
        <f>H74+I74+J74</f>
        <v>298.87673262153208</v>
      </c>
      <c r="T74" s="24">
        <f>R74-S74</f>
        <v>1231.6700574286256</v>
      </c>
    </row>
    <row r="75" spans="1:23" hidden="1" x14ac:dyDescent="0.25">
      <c r="A75" s="14" t="s">
        <v>754</v>
      </c>
      <c r="C75" s="195">
        <f>C70/C76</f>
        <v>5.2648253948020087E-3</v>
      </c>
      <c r="D75" s="195">
        <f t="shared" ref="D75:N75" si="95">D70/D76</f>
        <v>4.736471525668173E-3</v>
      </c>
      <c r="E75" s="195">
        <f t="shared" si="95"/>
        <v>3.1085642204408252E-3</v>
      </c>
      <c r="F75" s="195">
        <f t="shared" si="95"/>
        <v>3.0182700776269183E-3</v>
      </c>
      <c r="G75" s="195">
        <f t="shared" si="95"/>
        <v>1.8497694334729928E-3</v>
      </c>
      <c r="H75" s="195">
        <f t="shared" si="95"/>
        <v>2.2838966747934426E-3</v>
      </c>
      <c r="I75" s="195">
        <f t="shared" si="95"/>
        <v>2.598286099111087E-3</v>
      </c>
      <c r="J75" s="195">
        <f t="shared" si="95"/>
        <v>2.5515624367884282E-3</v>
      </c>
      <c r="K75" s="195">
        <f t="shared" si="95"/>
        <v>2.2137467321535148E-3</v>
      </c>
      <c r="L75" s="195">
        <f t="shared" si="95"/>
        <v>2.288092828158362E-3</v>
      </c>
      <c r="M75" s="195">
        <f t="shared" si="95"/>
        <v>3.965091221710639E-3</v>
      </c>
      <c r="N75" s="195">
        <f t="shared" si="95"/>
        <v>5.6066770259723692E-3</v>
      </c>
      <c r="O75" s="195"/>
      <c r="P75" s="217"/>
      <c r="Q75" s="75"/>
      <c r="U75" s="73"/>
      <c r="W75" s="73"/>
    </row>
    <row r="76" spans="1:23" hidden="1" x14ac:dyDescent="0.25">
      <c r="A76" s="14" t="s">
        <v>755</v>
      </c>
      <c r="C76" s="110">
        <v>26120.555</v>
      </c>
      <c r="D76" s="110">
        <v>26172.914000000001</v>
      </c>
      <c r="E76" s="110">
        <v>26770.042999999998</v>
      </c>
      <c r="F76" s="110">
        <v>26493.744999999999</v>
      </c>
      <c r="G76" s="110">
        <v>27948.848000000002</v>
      </c>
      <c r="H76" s="110">
        <v>27890.929</v>
      </c>
      <c r="I76" s="110">
        <v>29149.695</v>
      </c>
      <c r="J76" s="110">
        <v>30024.298000000003</v>
      </c>
      <c r="K76" s="110">
        <v>30762.953999999998</v>
      </c>
      <c r="L76" s="110">
        <v>29331.96</v>
      </c>
      <c r="M76" s="110">
        <v>27639.478999999999</v>
      </c>
      <c r="N76" s="110">
        <v>27816.536</v>
      </c>
      <c r="O76" s="110">
        <f>SUM(C76:N76)</f>
        <v>336121.95600000001</v>
      </c>
      <c r="P76" s="110">
        <f>MAX(C76:N76)</f>
        <v>30762.953999999998</v>
      </c>
      <c r="Q76" s="27"/>
    </row>
    <row r="77" spans="1:23" hidden="1" x14ac:dyDescent="0.25">
      <c r="C77" s="121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</row>
    <row r="78" spans="1:23" x14ac:dyDescent="0.25">
      <c r="A78" s="15" t="str">
        <f>A12</f>
        <v>Time of Day (110)</v>
      </c>
      <c r="B78" s="201" t="str">
        <f>B12</f>
        <v>RSP-TOD</v>
      </c>
      <c r="C78" s="110">
        <v>24</v>
      </c>
      <c r="D78" s="110">
        <v>24</v>
      </c>
      <c r="E78" s="110">
        <v>23</v>
      </c>
      <c r="F78" s="110">
        <v>23</v>
      </c>
      <c r="G78" s="110">
        <v>24</v>
      </c>
      <c r="H78" s="110">
        <v>23</v>
      </c>
      <c r="I78" s="110">
        <v>23</v>
      </c>
      <c r="J78" s="110">
        <v>23</v>
      </c>
      <c r="K78" s="110">
        <v>24</v>
      </c>
      <c r="L78" s="110">
        <v>24</v>
      </c>
      <c r="M78" s="110">
        <v>23</v>
      </c>
      <c r="N78" s="110">
        <v>23</v>
      </c>
      <c r="O78" s="110">
        <f>ROUND(SUM(C78:N78)/12,0)</f>
        <v>23</v>
      </c>
      <c r="P78" s="110"/>
      <c r="Q78" s="24"/>
    </row>
    <row r="79" spans="1:23" x14ac:dyDescent="0.25">
      <c r="A79" s="14" t="s">
        <v>1020</v>
      </c>
      <c r="C79" s="110">
        <v>36543</v>
      </c>
      <c r="D79" s="110">
        <v>37042</v>
      </c>
      <c r="E79" s="110">
        <v>36990</v>
      </c>
      <c r="F79" s="110">
        <v>33171</v>
      </c>
      <c r="G79" s="110">
        <v>24855</v>
      </c>
      <c r="H79" s="110">
        <v>24255</v>
      </c>
      <c r="I79" s="110">
        <v>21455</v>
      </c>
      <c r="J79" s="110">
        <v>24252</v>
      </c>
      <c r="K79" s="110">
        <v>22985</v>
      </c>
      <c r="L79" s="110">
        <v>27412</v>
      </c>
      <c r="M79" s="110">
        <v>29214</v>
      </c>
      <c r="N79" s="110">
        <v>31149</v>
      </c>
      <c r="O79" s="110">
        <f>SUM(C79:N79)</f>
        <v>349323</v>
      </c>
      <c r="P79" s="217"/>
      <c r="Q79" s="75"/>
      <c r="U79" s="73"/>
      <c r="W79" s="73"/>
    </row>
    <row r="80" spans="1:23" x14ac:dyDescent="0.25">
      <c r="A80" s="14" t="s">
        <v>677</v>
      </c>
      <c r="C80" s="110">
        <f>C79/744</f>
        <v>49.116935483870968</v>
      </c>
      <c r="D80" s="121">
        <f>D79/672</f>
        <v>55.12202380952381</v>
      </c>
      <c r="E80" s="110">
        <f t="shared" ref="E80:N80" si="96">E79/744</f>
        <v>49.717741935483872</v>
      </c>
      <c r="F80" s="110">
        <f>F79/720</f>
        <v>46.070833333333333</v>
      </c>
      <c r="G80" s="110">
        <f t="shared" si="96"/>
        <v>33.407258064516128</v>
      </c>
      <c r="H80" s="121">
        <f>H79/720</f>
        <v>33.6875</v>
      </c>
      <c r="I80" s="121">
        <f>I79/744</f>
        <v>28.837365591397848</v>
      </c>
      <c r="J80" s="110">
        <f t="shared" si="96"/>
        <v>32.596774193548384</v>
      </c>
      <c r="K80" s="110">
        <f>K79/720</f>
        <v>31.923611111111111</v>
      </c>
      <c r="L80" s="110">
        <f t="shared" si="96"/>
        <v>36.844086021505376</v>
      </c>
      <c r="M80" s="110">
        <f>M79/720</f>
        <v>40.575000000000003</v>
      </c>
      <c r="N80" s="110">
        <f t="shared" si="96"/>
        <v>41.866935483870968</v>
      </c>
      <c r="O80" s="110">
        <f>O79/8760</f>
        <v>39.877054794520546</v>
      </c>
      <c r="P80" s="110"/>
      <c r="Q80" s="27"/>
    </row>
    <row r="81" spans="1:23" x14ac:dyDescent="0.25">
      <c r="A81" s="14" t="s">
        <v>752</v>
      </c>
      <c r="C81" s="195">
        <f>C41</f>
        <v>0.5942911921765619</v>
      </c>
      <c r="D81" s="195">
        <f t="shared" ref="D81:N81" si="97">D41</f>
        <v>0.69187406330675716</v>
      </c>
      <c r="E81" s="195">
        <f t="shared" si="97"/>
        <v>0.43559818776044251</v>
      </c>
      <c r="F81" s="195">
        <f t="shared" si="97"/>
        <v>0.50094222468093619</v>
      </c>
      <c r="G81" s="195">
        <f t="shared" si="97"/>
        <v>0.44968248484273976</v>
      </c>
      <c r="H81" s="195">
        <f t="shared" si="97"/>
        <v>0.47148718298124209</v>
      </c>
      <c r="I81" s="195">
        <f t="shared" si="97"/>
        <v>0.57766683375661843</v>
      </c>
      <c r="J81" s="195">
        <f t="shared" si="97"/>
        <v>0.54220046603498695</v>
      </c>
      <c r="K81" s="195">
        <f t="shared" si="97"/>
        <v>0.45514775066504354</v>
      </c>
      <c r="L81" s="195">
        <f t="shared" si="97"/>
        <v>0.44788029532293122</v>
      </c>
      <c r="M81" s="195">
        <f t="shared" si="97"/>
        <v>0.42324889772000401</v>
      </c>
      <c r="N81" s="195">
        <f t="shared" si="97"/>
        <v>0.34706725123407145</v>
      </c>
      <c r="O81" s="195"/>
      <c r="Q81" s="24"/>
    </row>
    <row r="82" spans="1:23" x14ac:dyDescent="0.25">
      <c r="A82" s="14" t="s">
        <v>753</v>
      </c>
      <c r="C82" s="110">
        <f>C80/C81</f>
        <v>82.647927700194643</v>
      </c>
      <c r="D82" s="110">
        <f t="shared" ref="D82" si="98">D80/D81</f>
        <v>79.670602979496692</v>
      </c>
      <c r="E82" s="110">
        <f t="shared" ref="E82" si="99">E80/E81</f>
        <v>114.13670518488514</v>
      </c>
      <c r="F82" s="110">
        <f t="shared" ref="F82" si="100">F80/F81</f>
        <v>91.968356955090201</v>
      </c>
      <c r="G82" s="110">
        <f t="shared" ref="G82" si="101">G80/G81</f>
        <v>74.290770022317218</v>
      </c>
      <c r="H82" s="110">
        <f t="shared" ref="H82" si="102">H80/H81</f>
        <v>71.449450199243785</v>
      </c>
      <c r="I82" s="110">
        <f t="shared" ref="I82" si="103">I80/I81</f>
        <v>49.920410704325732</v>
      </c>
      <c r="J82" s="110">
        <f t="shared" ref="J82" si="104">J80/J81</f>
        <v>60.11941382478448</v>
      </c>
      <c r="K82" s="110">
        <f t="shared" ref="K82" si="105">K80/K81</f>
        <v>70.139006651061365</v>
      </c>
      <c r="L82" s="110">
        <f t="shared" ref="L82" si="106">L80/L81</f>
        <v>82.263244010188046</v>
      </c>
      <c r="M82" s="110">
        <f t="shared" ref="M82" si="107">M80/M81</f>
        <v>95.865577485430293</v>
      </c>
      <c r="N82" s="110">
        <f t="shared" ref="N82" si="108">N80/N81</f>
        <v>120.63061362028301</v>
      </c>
      <c r="O82" s="110">
        <f>SUM(C82:N82)</f>
        <v>993.10207933730055</v>
      </c>
      <c r="Q82" s="24">
        <f>MAX(C82:N82)</f>
        <v>120.63061362028301</v>
      </c>
    </row>
    <row r="83" spans="1:23" x14ac:dyDescent="0.25">
      <c r="A83" s="14" t="s">
        <v>678</v>
      </c>
      <c r="C83" s="195">
        <f>C43</f>
        <v>0.9</v>
      </c>
      <c r="D83" s="195">
        <f t="shared" ref="D83:N83" si="109">D43</f>
        <v>0.9</v>
      </c>
      <c r="E83" s="195">
        <f t="shared" si="109"/>
        <v>0.85</v>
      </c>
      <c r="F83" s="195">
        <f t="shared" si="109"/>
        <v>0.8</v>
      </c>
      <c r="G83" s="195">
        <f t="shared" si="109"/>
        <v>0.85</v>
      </c>
      <c r="H83" s="195">
        <f t="shared" si="109"/>
        <v>0.9</v>
      </c>
      <c r="I83" s="195">
        <f t="shared" si="109"/>
        <v>0.95</v>
      </c>
      <c r="J83" s="195">
        <f t="shared" si="109"/>
        <v>0.95</v>
      </c>
      <c r="K83" s="195">
        <f t="shared" si="109"/>
        <v>0.9</v>
      </c>
      <c r="L83" s="195">
        <f t="shared" si="109"/>
        <v>0.85</v>
      </c>
      <c r="M83" s="195">
        <f t="shared" si="109"/>
        <v>0.8</v>
      </c>
      <c r="N83" s="195">
        <f t="shared" si="109"/>
        <v>0.85</v>
      </c>
      <c r="O83" s="195"/>
      <c r="P83" s="110"/>
      <c r="Q83" s="24"/>
    </row>
    <row r="84" spans="1:23" x14ac:dyDescent="0.25">
      <c r="A84" s="14" t="s">
        <v>679</v>
      </c>
      <c r="C84" s="110">
        <f>C82*C83</f>
        <v>74.383134930175174</v>
      </c>
      <c r="D84" s="110">
        <f t="shared" ref="D84" si="110">D82*D83</f>
        <v>71.70354268154702</v>
      </c>
      <c r="E84" s="110">
        <f t="shared" ref="E84" si="111">E82*E83</f>
        <v>97.016199407152371</v>
      </c>
      <c r="F84" s="110">
        <f t="shared" ref="F84" si="112">F82*F83</f>
        <v>73.574685564072169</v>
      </c>
      <c r="G84" s="110">
        <f t="shared" ref="G84" si="113">G82*G83</f>
        <v>63.147154518969636</v>
      </c>
      <c r="H84" s="110">
        <f t="shared" ref="H84" si="114">H82*H83</f>
        <v>64.304505179319406</v>
      </c>
      <c r="I84" s="110">
        <f t="shared" ref="I84" si="115">I82*I83</f>
        <v>47.424390169109444</v>
      </c>
      <c r="J84" s="110">
        <f t="shared" ref="J84" si="116">J82*J83</f>
        <v>57.113443133545253</v>
      </c>
      <c r="K84" s="110">
        <f t="shared" ref="K84" si="117">K82*K83</f>
        <v>63.12510598595523</v>
      </c>
      <c r="L84" s="110">
        <f t="shared" ref="L84" si="118">L82*L83</f>
        <v>69.923757408659839</v>
      </c>
      <c r="M84" s="110">
        <f t="shared" ref="M84" si="119">M82*M83</f>
        <v>76.692461988344235</v>
      </c>
      <c r="N84" s="110">
        <f t="shared" ref="N84" si="120">N82*N83</f>
        <v>102.53602157724056</v>
      </c>
      <c r="O84" s="110">
        <f>SUM(C84:N84)</f>
        <v>860.94440254409039</v>
      </c>
      <c r="P84" s="110"/>
      <c r="Q84" s="24"/>
      <c r="R84" s="24">
        <f>O84</f>
        <v>860.94440254409039</v>
      </c>
      <c r="S84" s="24">
        <f>H84+I84+J84</f>
        <v>168.84233848197411</v>
      </c>
      <c r="T84" s="24">
        <f>R84-S84</f>
        <v>692.10206406211626</v>
      </c>
    </row>
    <row r="85" spans="1:23" x14ac:dyDescent="0.25">
      <c r="A85" s="14" t="s">
        <v>754</v>
      </c>
      <c r="C85" s="195">
        <f>C80/C86</f>
        <v>1.0527463881145182E-2</v>
      </c>
      <c r="D85" s="195">
        <f t="shared" ref="D85:N85" si="121">D80/D86</f>
        <v>1.1859452533708226E-2</v>
      </c>
      <c r="E85" s="195">
        <f t="shared" si="121"/>
        <v>1.0583061635613636E-2</v>
      </c>
      <c r="F85" s="195">
        <f t="shared" si="121"/>
        <v>9.9135049606077826E-3</v>
      </c>
      <c r="G85" s="195">
        <f t="shared" si="121"/>
        <v>7.2275039947116834E-3</v>
      </c>
      <c r="H85" s="195">
        <f t="shared" si="121"/>
        <v>6.8626472349770417E-3</v>
      </c>
      <c r="I85" s="195">
        <f t="shared" si="121"/>
        <v>5.6396338971001041E-3</v>
      </c>
      <c r="J85" s="195">
        <f t="shared" si="121"/>
        <v>6.2306275576864854E-3</v>
      </c>
      <c r="K85" s="195">
        <f t="shared" si="121"/>
        <v>6.0282819661289493E-3</v>
      </c>
      <c r="L85" s="195">
        <f t="shared" si="121"/>
        <v>7.6299444222066764E-3</v>
      </c>
      <c r="M85" s="195">
        <f t="shared" si="121"/>
        <v>8.4050759823011793E-3</v>
      </c>
      <c r="N85" s="195">
        <f t="shared" si="121"/>
        <v>9.2208170686515455E-3</v>
      </c>
      <c r="O85" s="195"/>
      <c r="P85" s="217"/>
      <c r="Q85" s="75"/>
      <c r="U85" s="73"/>
      <c r="W85" s="73"/>
    </row>
    <row r="86" spans="1:23" x14ac:dyDescent="0.25">
      <c r="A86" s="14" t="s">
        <v>755</v>
      </c>
      <c r="C86" s="110">
        <v>4665.6000000000004</v>
      </c>
      <c r="D86" s="110">
        <v>4647.9399999999996</v>
      </c>
      <c r="E86" s="110">
        <v>4697.8599999999997</v>
      </c>
      <c r="F86" s="110">
        <v>4647.28</v>
      </c>
      <c r="G86" s="110">
        <v>4622.24</v>
      </c>
      <c r="H86" s="110">
        <v>4908.82</v>
      </c>
      <c r="I86" s="110">
        <v>5113.34</v>
      </c>
      <c r="J86" s="110">
        <v>5231.7</v>
      </c>
      <c r="K86" s="110">
        <v>5295.64</v>
      </c>
      <c r="L86" s="110">
        <v>4828.88</v>
      </c>
      <c r="M86" s="110">
        <v>4827.4399999999996</v>
      </c>
      <c r="N86" s="110">
        <v>4540.4799999999996</v>
      </c>
      <c r="O86" s="110">
        <f>SUM(C86:N86)</f>
        <v>58027.22</v>
      </c>
      <c r="P86" s="110">
        <f>MAX(C86:N86)</f>
        <v>5295.64</v>
      </c>
      <c r="Q86" s="27"/>
    </row>
    <row r="87" spans="1:23" x14ac:dyDescent="0.25">
      <c r="H87" s="221"/>
    </row>
    <row r="88" spans="1:23" x14ac:dyDescent="0.25">
      <c r="A88" s="15" t="str">
        <f>A13</f>
        <v>Inclining Block Rate (8)</v>
      </c>
      <c r="B88" s="201" t="str">
        <f>B13</f>
        <v>RSP-IB</v>
      </c>
      <c r="C88" s="110">
        <v>304</v>
      </c>
      <c r="D88" s="110">
        <v>310</v>
      </c>
      <c r="E88" s="110">
        <v>316</v>
      </c>
      <c r="F88" s="110">
        <v>316</v>
      </c>
      <c r="G88" s="110">
        <v>314</v>
      </c>
      <c r="H88" s="110">
        <v>311</v>
      </c>
      <c r="I88" s="110">
        <v>313</v>
      </c>
      <c r="J88" s="110">
        <v>312</v>
      </c>
      <c r="K88" s="110">
        <v>311</v>
      </c>
      <c r="L88" s="110">
        <v>312</v>
      </c>
      <c r="M88" s="110">
        <v>314</v>
      </c>
      <c r="N88" s="110">
        <v>313</v>
      </c>
      <c r="O88" s="110">
        <f>ROUND(SUM(C88:N88)/12,0)</f>
        <v>312</v>
      </c>
      <c r="P88" s="110"/>
      <c r="Q88" s="24"/>
    </row>
    <row r="89" spans="1:23" x14ac:dyDescent="0.25">
      <c r="A89" s="14" t="s">
        <v>1020</v>
      </c>
      <c r="C89" s="110">
        <v>91344</v>
      </c>
      <c r="D89" s="110">
        <v>84657</v>
      </c>
      <c r="E89" s="110">
        <v>70317</v>
      </c>
      <c r="F89" s="110">
        <v>73360</v>
      </c>
      <c r="G89" s="110">
        <v>68391</v>
      </c>
      <c r="H89" s="110">
        <v>74920</v>
      </c>
      <c r="I89" s="110">
        <v>79136</v>
      </c>
      <c r="J89" s="110">
        <v>77152</v>
      </c>
      <c r="K89" s="110">
        <v>71606</v>
      </c>
      <c r="L89" s="110">
        <v>68429</v>
      </c>
      <c r="M89" s="110">
        <v>76588</v>
      </c>
      <c r="N89" s="110">
        <v>84724</v>
      </c>
      <c r="O89" s="110">
        <f>SUM(C89:N89)</f>
        <v>920624</v>
      </c>
      <c r="P89" s="217"/>
      <c r="Q89" s="75"/>
      <c r="U89" s="73"/>
      <c r="W89" s="73"/>
    </row>
    <row r="90" spans="1:23" x14ac:dyDescent="0.25">
      <c r="A90" s="14" t="s">
        <v>677</v>
      </c>
      <c r="C90" s="110">
        <f>C89/744</f>
        <v>122.7741935483871</v>
      </c>
      <c r="D90" s="121">
        <f>D89/720</f>
        <v>117.57916666666667</v>
      </c>
      <c r="E90" s="110">
        <f t="shared" ref="E90" si="122">E89/744</f>
        <v>94.512096774193552</v>
      </c>
      <c r="F90" s="110">
        <f>F89/720</f>
        <v>101.88888888888889</v>
      </c>
      <c r="G90" s="110">
        <f t="shared" ref="G90" si="123">G89/744</f>
        <v>91.923387096774192</v>
      </c>
      <c r="H90" s="121">
        <f>H89/744</f>
        <v>100.6989247311828</v>
      </c>
      <c r="I90" s="121">
        <f>I89/672</f>
        <v>117.76190476190476</v>
      </c>
      <c r="J90" s="110">
        <f t="shared" ref="J90" si="124">J89/744</f>
        <v>103.6989247311828</v>
      </c>
      <c r="K90" s="110">
        <f>K89/720</f>
        <v>99.452777777777783</v>
      </c>
      <c r="L90" s="110">
        <f t="shared" ref="L90" si="125">L89/744</f>
        <v>91.974462365591393</v>
      </c>
      <c r="M90" s="110">
        <f>M89/720</f>
        <v>106.37222222222222</v>
      </c>
      <c r="N90" s="110">
        <f t="shared" ref="N90" si="126">N89/744</f>
        <v>113.8763440860215</v>
      </c>
      <c r="O90" s="110">
        <f>O89/8760</f>
        <v>105.09406392694063</v>
      </c>
      <c r="P90" s="110"/>
      <c r="Q90" s="27"/>
    </row>
    <row r="91" spans="1:23" x14ac:dyDescent="0.25">
      <c r="A91" s="14" t="s">
        <v>752</v>
      </c>
      <c r="C91" s="195">
        <f>C41</f>
        <v>0.5942911921765619</v>
      </c>
      <c r="D91" s="195">
        <f t="shared" ref="D91:N91" si="127">D41</f>
        <v>0.69187406330675716</v>
      </c>
      <c r="E91" s="195">
        <f t="shared" si="127"/>
        <v>0.43559818776044251</v>
      </c>
      <c r="F91" s="195">
        <f t="shared" si="127"/>
        <v>0.50094222468093619</v>
      </c>
      <c r="G91" s="195">
        <f t="shared" si="127"/>
        <v>0.44968248484273976</v>
      </c>
      <c r="H91" s="195">
        <f t="shared" si="127"/>
        <v>0.47148718298124209</v>
      </c>
      <c r="I91" s="195">
        <f t="shared" si="127"/>
        <v>0.57766683375661843</v>
      </c>
      <c r="J91" s="195">
        <f t="shared" si="127"/>
        <v>0.54220046603498695</v>
      </c>
      <c r="K91" s="195">
        <f t="shared" si="127"/>
        <v>0.45514775066504354</v>
      </c>
      <c r="L91" s="195">
        <f t="shared" si="127"/>
        <v>0.44788029532293122</v>
      </c>
      <c r="M91" s="195">
        <f t="shared" si="127"/>
        <v>0.42324889772000401</v>
      </c>
      <c r="N91" s="195">
        <f t="shared" si="127"/>
        <v>0.34706725123407145</v>
      </c>
      <c r="O91" s="195"/>
      <c r="Q91" s="24"/>
    </row>
    <row r="92" spans="1:23" x14ac:dyDescent="0.25">
      <c r="A92" s="14" t="s">
        <v>753</v>
      </c>
      <c r="C92" s="110">
        <f>C90/C91</f>
        <v>206.58928680859754</v>
      </c>
      <c r="D92" s="110">
        <f t="shared" ref="D92" si="128">D90/D91</f>
        <v>169.94301839370357</v>
      </c>
      <c r="E92" s="110">
        <f t="shared" ref="E92" si="129">E90/E91</f>
        <v>216.97082180279992</v>
      </c>
      <c r="F92" s="110">
        <f t="shared" ref="F92" si="130">F90/F91</f>
        <v>203.39449115870539</v>
      </c>
      <c r="G92" s="110">
        <f t="shared" ref="G92" si="131">G90/G91</f>
        <v>204.41842899200552</v>
      </c>
      <c r="H92" s="110">
        <f t="shared" ref="H92" si="132">H90/H91</f>
        <v>213.57722620253935</v>
      </c>
      <c r="I92" s="110">
        <f t="shared" ref="I92" si="133">I90/I91</f>
        <v>203.8578257922282</v>
      </c>
      <c r="J92" s="110">
        <f t="shared" ref="J92" si="134">J90/J91</f>
        <v>191.25569088775248</v>
      </c>
      <c r="K92" s="110">
        <f t="shared" ref="K92" si="135">K90/K91</f>
        <v>218.50657864937571</v>
      </c>
      <c r="L92" s="110">
        <f t="shared" ref="L92" si="136">L90/L91</f>
        <v>205.35500964443156</v>
      </c>
      <c r="M92" s="110">
        <f t="shared" ref="M92" si="137">M90/M91</f>
        <v>251.3230933269711</v>
      </c>
      <c r="N92" s="110">
        <f t="shared" ref="N92" si="138">N90/N91</f>
        <v>328.11031199604668</v>
      </c>
      <c r="O92" s="110">
        <f>SUM(C92:N92)</f>
        <v>2613.3017836551571</v>
      </c>
      <c r="Q92" s="24">
        <f>MAX(C92:N92)</f>
        <v>328.11031199604668</v>
      </c>
    </row>
    <row r="93" spans="1:23" x14ac:dyDescent="0.25">
      <c r="A93" s="14" t="s">
        <v>678</v>
      </c>
      <c r="C93" s="195">
        <f>C43</f>
        <v>0.9</v>
      </c>
      <c r="D93" s="195">
        <f t="shared" ref="D93:N93" si="139">D43</f>
        <v>0.9</v>
      </c>
      <c r="E93" s="195">
        <f t="shared" si="139"/>
        <v>0.85</v>
      </c>
      <c r="F93" s="195">
        <f t="shared" si="139"/>
        <v>0.8</v>
      </c>
      <c r="G93" s="195">
        <f t="shared" si="139"/>
        <v>0.85</v>
      </c>
      <c r="H93" s="195">
        <f t="shared" si="139"/>
        <v>0.9</v>
      </c>
      <c r="I93" s="195">
        <f t="shared" si="139"/>
        <v>0.95</v>
      </c>
      <c r="J93" s="195">
        <f t="shared" si="139"/>
        <v>0.95</v>
      </c>
      <c r="K93" s="195">
        <f t="shared" si="139"/>
        <v>0.9</v>
      </c>
      <c r="L93" s="195">
        <f t="shared" si="139"/>
        <v>0.85</v>
      </c>
      <c r="M93" s="195">
        <f t="shared" si="139"/>
        <v>0.8</v>
      </c>
      <c r="N93" s="195">
        <f t="shared" si="139"/>
        <v>0.85</v>
      </c>
      <c r="O93" s="195"/>
      <c r="P93" s="110"/>
      <c r="Q93" s="24"/>
    </row>
    <row r="94" spans="1:23" x14ac:dyDescent="0.25">
      <c r="A94" s="14" t="s">
        <v>679</v>
      </c>
      <c r="C94" s="110">
        <f>C92*C93</f>
        <v>185.93035812773778</v>
      </c>
      <c r="D94" s="110">
        <f t="shared" ref="D94" si="140">D92*D93</f>
        <v>152.9487165543332</v>
      </c>
      <c r="E94" s="110">
        <f t="shared" ref="E94" si="141">E92*E93</f>
        <v>184.42519853237994</v>
      </c>
      <c r="F94" s="110">
        <f t="shared" ref="F94" si="142">F92*F93</f>
        <v>162.71559292696432</v>
      </c>
      <c r="G94" s="110">
        <f t="shared" ref="G94" si="143">G92*G93</f>
        <v>173.75566464320468</v>
      </c>
      <c r="H94" s="110">
        <f t="shared" ref="H94" si="144">H92*H93</f>
        <v>192.21950358228543</v>
      </c>
      <c r="I94" s="110">
        <f t="shared" ref="I94" si="145">I92*I93</f>
        <v>193.66493450261677</v>
      </c>
      <c r="J94" s="110">
        <f t="shared" ref="J94" si="146">J92*J93</f>
        <v>181.69290634336485</v>
      </c>
      <c r="K94" s="110">
        <f t="shared" ref="K94" si="147">K92*K93</f>
        <v>196.65592078443814</v>
      </c>
      <c r="L94" s="110">
        <f t="shared" ref="L94" si="148">L92*L93</f>
        <v>174.55175819776682</v>
      </c>
      <c r="M94" s="110">
        <f t="shared" ref="M94" si="149">M92*M93</f>
        <v>201.05847466157689</v>
      </c>
      <c r="N94" s="110">
        <f t="shared" ref="N94" si="150">N92*N93</f>
        <v>278.89376519663966</v>
      </c>
      <c r="O94" s="110">
        <f>SUM(C94:N94)</f>
        <v>2278.5127940533084</v>
      </c>
      <c r="P94" s="110"/>
      <c r="Q94" s="24"/>
      <c r="R94" s="24">
        <f>O94</f>
        <v>2278.5127940533084</v>
      </c>
      <c r="S94" s="24">
        <f>H94+I94+J94</f>
        <v>567.577344428267</v>
      </c>
      <c r="T94" s="24">
        <f>R94-S94</f>
        <v>1710.9354496250414</v>
      </c>
    </row>
    <row r="95" spans="1:23" x14ac:dyDescent="0.25">
      <c r="A95" s="14" t="s">
        <v>754</v>
      </c>
      <c r="C95" s="195">
        <v>0.5</v>
      </c>
      <c r="D95" s="195">
        <v>0.5</v>
      </c>
      <c r="E95" s="195">
        <v>0.5</v>
      </c>
      <c r="F95" s="195">
        <v>0.5</v>
      </c>
      <c r="G95" s="195">
        <v>0.5</v>
      </c>
      <c r="H95" s="195">
        <v>0.5</v>
      </c>
      <c r="I95" s="195">
        <v>0.5</v>
      </c>
      <c r="J95" s="195">
        <v>0.5</v>
      </c>
      <c r="K95" s="195">
        <v>0.5</v>
      </c>
      <c r="L95" s="195">
        <v>0.5</v>
      </c>
      <c r="M95" s="195">
        <v>0.5</v>
      </c>
      <c r="N95" s="195">
        <v>0.5</v>
      </c>
      <c r="O95" s="195"/>
      <c r="P95" s="217"/>
      <c r="Q95" s="75"/>
      <c r="U95" s="73"/>
      <c r="W95" s="73"/>
    </row>
    <row r="96" spans="1:23" x14ac:dyDescent="0.25">
      <c r="A96" s="14" t="s">
        <v>755</v>
      </c>
      <c r="C96" s="110">
        <f>C90/C95</f>
        <v>245.54838709677421</v>
      </c>
      <c r="D96" s="110">
        <f t="shared" ref="D96:N96" si="151">D90/D95</f>
        <v>235.15833333333333</v>
      </c>
      <c r="E96" s="110">
        <f t="shared" si="151"/>
        <v>189.0241935483871</v>
      </c>
      <c r="F96" s="110">
        <f t="shared" si="151"/>
        <v>203.77777777777777</v>
      </c>
      <c r="G96" s="110">
        <f t="shared" si="151"/>
        <v>183.84677419354838</v>
      </c>
      <c r="H96" s="110">
        <f t="shared" si="151"/>
        <v>201.3978494623656</v>
      </c>
      <c r="I96" s="110">
        <f t="shared" si="151"/>
        <v>235.52380952380952</v>
      </c>
      <c r="J96" s="110">
        <f t="shared" si="151"/>
        <v>207.3978494623656</v>
      </c>
      <c r="K96" s="110">
        <f t="shared" si="151"/>
        <v>198.90555555555557</v>
      </c>
      <c r="L96" s="110">
        <f t="shared" si="151"/>
        <v>183.94892473118279</v>
      </c>
      <c r="M96" s="110">
        <f t="shared" si="151"/>
        <v>212.74444444444444</v>
      </c>
      <c r="N96" s="110">
        <f t="shared" si="151"/>
        <v>227.75268817204301</v>
      </c>
      <c r="O96" s="110">
        <f>SUM(C96:N96)</f>
        <v>2525.0265873015869</v>
      </c>
      <c r="P96" s="110">
        <f>MAX(C96:N96)</f>
        <v>245.54838709677421</v>
      </c>
      <c r="Q96" s="27"/>
    </row>
    <row r="97" spans="1:23" ht="16.5" customHeight="1" x14ac:dyDescent="0.25">
      <c r="C97" s="110"/>
      <c r="H97" s="221"/>
      <c r="M97" s="110"/>
    </row>
    <row r="98" spans="1:23" ht="14.25" customHeight="1" x14ac:dyDescent="0.25">
      <c r="A98" s="107" t="str">
        <f>A14</f>
        <v>Small General Service (2)</v>
      </c>
      <c r="B98" s="201" t="str">
        <f>B14</f>
        <v>SGS</v>
      </c>
      <c r="C98" s="110">
        <v>237</v>
      </c>
      <c r="D98" s="110">
        <v>235</v>
      </c>
      <c r="E98" s="110">
        <v>238</v>
      </c>
      <c r="F98" s="110">
        <v>242</v>
      </c>
      <c r="G98" s="110">
        <v>240</v>
      </c>
      <c r="H98" s="110">
        <v>242</v>
      </c>
      <c r="I98" s="110">
        <v>242</v>
      </c>
      <c r="J98" s="110">
        <v>243</v>
      </c>
      <c r="K98" s="110">
        <v>244</v>
      </c>
      <c r="L98" s="110">
        <v>246</v>
      </c>
      <c r="M98" s="110">
        <v>249</v>
      </c>
      <c r="N98" s="110">
        <v>247</v>
      </c>
      <c r="O98" s="110">
        <f>ROUND(SUM(C98:N98)/12,0)</f>
        <v>242</v>
      </c>
      <c r="P98" s="110"/>
      <c r="Q98" s="24"/>
    </row>
    <row r="99" spans="1:23" x14ac:dyDescent="0.25">
      <c r="A99" s="14" t="s">
        <v>1020</v>
      </c>
      <c r="C99" s="110">
        <v>1769933</v>
      </c>
      <c r="D99" s="110">
        <v>1474651</v>
      </c>
      <c r="E99" s="110">
        <v>1426723</v>
      </c>
      <c r="F99" s="110">
        <v>1289806</v>
      </c>
      <c r="G99" s="110">
        <v>1392520</v>
      </c>
      <c r="H99" s="110">
        <v>1577158</v>
      </c>
      <c r="I99" s="110">
        <v>1714252</v>
      </c>
      <c r="J99" s="110">
        <v>1689389</v>
      </c>
      <c r="K99" s="110">
        <v>1418330</v>
      </c>
      <c r="L99" s="110">
        <v>1279666</v>
      </c>
      <c r="M99" s="110">
        <v>1374432</v>
      </c>
      <c r="N99" s="110">
        <v>1610365</v>
      </c>
      <c r="O99" s="110">
        <f>SUM(C99:N99)</f>
        <v>18017225</v>
      </c>
      <c r="P99" s="217"/>
      <c r="Q99" s="75"/>
      <c r="U99" s="73"/>
      <c r="W99" s="73"/>
    </row>
    <row r="100" spans="1:23" x14ac:dyDescent="0.25">
      <c r="A100" s="14" t="s">
        <v>677</v>
      </c>
      <c r="C100" s="110">
        <f>C99/744</f>
        <v>2378.9422043010754</v>
      </c>
      <c r="D100" s="121">
        <f>D99/672</f>
        <v>2194.4211309523807</v>
      </c>
      <c r="E100" s="110">
        <f t="shared" ref="E100" si="152">E99/744</f>
        <v>1917.638440860215</v>
      </c>
      <c r="F100" s="110">
        <f>F99/720</f>
        <v>1791.3972222222221</v>
      </c>
      <c r="G100" s="110">
        <f t="shared" ref="G100" si="153">G99/744</f>
        <v>1871.6666666666667</v>
      </c>
      <c r="H100" s="121">
        <f>H99/720</f>
        <v>2190.4972222222223</v>
      </c>
      <c r="I100" s="121">
        <f>I99/744</f>
        <v>2304.1021505376343</v>
      </c>
      <c r="J100" s="110">
        <f t="shared" ref="J100" si="154">J99/744</f>
        <v>2270.6841397849462</v>
      </c>
      <c r="K100" s="110">
        <f>K99/720</f>
        <v>1969.9027777777778</v>
      </c>
      <c r="L100" s="110">
        <f t="shared" ref="L100" si="155">L99/744</f>
        <v>1719.9811827956989</v>
      </c>
      <c r="M100" s="110">
        <f>M99/720</f>
        <v>1908.9333333333334</v>
      </c>
      <c r="N100" s="110">
        <f t="shared" ref="N100" si="156">N99/744</f>
        <v>2164.4690860215055</v>
      </c>
      <c r="O100" s="110">
        <f>O99/8760</f>
        <v>2056.7608447488583</v>
      </c>
      <c r="P100" s="110"/>
      <c r="Q100" s="27"/>
    </row>
    <row r="101" spans="1:23" x14ac:dyDescent="0.25">
      <c r="A101" s="14" t="s">
        <v>752</v>
      </c>
      <c r="C101" s="195">
        <v>0.4</v>
      </c>
      <c r="D101" s="195">
        <v>0.4</v>
      </c>
      <c r="E101" s="195">
        <v>0.4</v>
      </c>
      <c r="F101" s="195">
        <v>0.4</v>
      </c>
      <c r="G101" s="195">
        <v>0.4</v>
      </c>
      <c r="H101" s="195">
        <v>0.4</v>
      </c>
      <c r="I101" s="195">
        <v>0.4</v>
      </c>
      <c r="J101" s="195">
        <v>0.4</v>
      </c>
      <c r="K101" s="195">
        <v>0.4</v>
      </c>
      <c r="L101" s="195">
        <v>0.4</v>
      </c>
      <c r="M101" s="195">
        <v>0.4</v>
      </c>
      <c r="N101" s="195">
        <v>0.4</v>
      </c>
      <c r="O101" s="195"/>
      <c r="Q101" s="24"/>
    </row>
    <row r="102" spans="1:23" x14ac:dyDescent="0.25">
      <c r="A102" s="14" t="s">
        <v>753</v>
      </c>
      <c r="C102" s="110">
        <f>C100/C101</f>
        <v>5947.3555107526881</v>
      </c>
      <c r="D102" s="110">
        <f t="shared" ref="D102" si="157">D100/D101</f>
        <v>5486.0528273809514</v>
      </c>
      <c r="E102" s="110">
        <f t="shared" ref="E102" si="158">E100/E101</f>
        <v>4794.0961021505373</v>
      </c>
      <c r="F102" s="110">
        <f t="shared" ref="F102" si="159">F100/F101</f>
        <v>4478.4930555555547</v>
      </c>
      <c r="G102" s="110">
        <f t="shared" ref="G102" si="160">G100/G101</f>
        <v>4679.166666666667</v>
      </c>
      <c r="H102" s="110">
        <f t="shared" ref="H102" si="161">H100/H101</f>
        <v>5476.2430555555557</v>
      </c>
      <c r="I102" s="110">
        <f t="shared" ref="I102" si="162">I100/I101</f>
        <v>5760.2553763440856</v>
      </c>
      <c r="J102" s="110">
        <f t="shared" ref="J102" si="163">J100/J101</f>
        <v>5676.7103494623652</v>
      </c>
      <c r="K102" s="110">
        <f t="shared" ref="K102" si="164">K100/K101</f>
        <v>4924.7569444444443</v>
      </c>
      <c r="L102" s="110">
        <f t="shared" ref="L102" si="165">L100/L101</f>
        <v>4299.9529569892475</v>
      </c>
      <c r="M102" s="110">
        <f t="shared" ref="M102" si="166">M100/M101</f>
        <v>4772.333333333333</v>
      </c>
      <c r="N102" s="110">
        <f t="shared" ref="N102" si="167">N100/N101</f>
        <v>5411.1727150537636</v>
      </c>
      <c r="O102" s="110">
        <f>SUM(C102:N102)</f>
        <v>61706.588893689193</v>
      </c>
      <c r="P102" s="110"/>
      <c r="Q102" s="27">
        <f>MAX(C102:N102)</f>
        <v>5947.3555107526881</v>
      </c>
    </row>
    <row r="103" spans="1:23" x14ac:dyDescent="0.25">
      <c r="A103" s="14" t="s">
        <v>678</v>
      </c>
      <c r="C103" s="195">
        <v>0.6</v>
      </c>
      <c r="D103" s="195">
        <v>0.6</v>
      </c>
      <c r="E103" s="195">
        <v>0.6</v>
      </c>
      <c r="F103" s="195">
        <v>0.6</v>
      </c>
      <c r="G103" s="195">
        <v>0.6</v>
      </c>
      <c r="H103" s="195">
        <v>0.6</v>
      </c>
      <c r="I103" s="195">
        <v>0.6</v>
      </c>
      <c r="J103" s="195">
        <v>0.6</v>
      </c>
      <c r="K103" s="195">
        <v>0.6</v>
      </c>
      <c r="L103" s="195">
        <v>0.6</v>
      </c>
      <c r="M103" s="195">
        <v>0.6</v>
      </c>
      <c r="N103" s="195">
        <v>0.6</v>
      </c>
      <c r="O103" s="195"/>
      <c r="P103" s="110"/>
      <c r="Q103" s="24"/>
    </row>
    <row r="104" spans="1:23" x14ac:dyDescent="0.25">
      <c r="A104" s="14" t="s">
        <v>679</v>
      </c>
      <c r="C104" s="110">
        <f>C102*C103</f>
        <v>3568.4133064516127</v>
      </c>
      <c r="D104" s="110">
        <f t="shared" ref="D104:N104" si="168">D102*D103</f>
        <v>3291.6316964285706</v>
      </c>
      <c r="E104" s="110">
        <f t="shared" si="168"/>
        <v>2876.4576612903224</v>
      </c>
      <c r="F104" s="110">
        <f t="shared" si="168"/>
        <v>2687.0958333333328</v>
      </c>
      <c r="G104" s="110">
        <f t="shared" si="168"/>
        <v>2807.5</v>
      </c>
      <c r="H104" s="110">
        <f t="shared" si="168"/>
        <v>3285.7458333333334</v>
      </c>
      <c r="I104" s="110">
        <f t="shared" si="168"/>
        <v>3456.1532258064512</v>
      </c>
      <c r="J104" s="110">
        <f t="shared" si="168"/>
        <v>3406.026209677419</v>
      </c>
      <c r="K104" s="110">
        <f t="shared" si="168"/>
        <v>2954.8541666666665</v>
      </c>
      <c r="L104" s="110">
        <f t="shared" si="168"/>
        <v>2579.9717741935483</v>
      </c>
      <c r="M104" s="110">
        <f t="shared" si="168"/>
        <v>2863.3999999999996</v>
      </c>
      <c r="N104" s="110">
        <f t="shared" si="168"/>
        <v>3246.703629032258</v>
      </c>
      <c r="O104" s="110">
        <f>SUM(C104:N104)</f>
        <v>37023.953336213519</v>
      </c>
      <c r="P104" s="110"/>
      <c r="Q104" s="24"/>
      <c r="R104" s="24">
        <f>O104</f>
        <v>37023.953336213519</v>
      </c>
      <c r="S104" s="24">
        <f>H104+I104+J104</f>
        <v>10147.925268817204</v>
      </c>
      <c r="T104" s="24">
        <f>R104-S104</f>
        <v>26876.028067396313</v>
      </c>
    </row>
    <row r="105" spans="1:23" x14ac:dyDescent="0.25">
      <c r="A105" s="14" t="s">
        <v>754</v>
      </c>
      <c r="C105" s="195">
        <f>C100/C106</f>
        <v>0.38843589024208286</v>
      </c>
      <c r="D105" s="195">
        <f t="shared" ref="D105:N105" si="169">D100/D106</f>
        <v>0.36909935023941115</v>
      </c>
      <c r="E105" s="195">
        <f t="shared" si="169"/>
        <v>0.31679474782484107</v>
      </c>
      <c r="F105" s="195">
        <f t="shared" si="169"/>
        <v>0.29613121542963095</v>
      </c>
      <c r="G105" s="195">
        <f t="shared" si="169"/>
        <v>0.31889432097772602</v>
      </c>
      <c r="H105" s="195">
        <f t="shared" si="169"/>
        <v>0.36703285475554415</v>
      </c>
      <c r="I105" s="195">
        <f t="shared" si="169"/>
        <v>0.39044776485133464</v>
      </c>
      <c r="J105" s="195">
        <f t="shared" si="169"/>
        <v>0.38977914588641621</v>
      </c>
      <c r="K105" s="195">
        <f t="shared" si="169"/>
        <v>0.34280921791226154</v>
      </c>
      <c r="L105" s="195">
        <f t="shared" si="169"/>
        <v>0.31339514381545253</v>
      </c>
      <c r="M105" s="195">
        <f t="shared" si="169"/>
        <v>0.3189514457298</v>
      </c>
      <c r="N105" s="195">
        <f t="shared" si="169"/>
        <v>0.3384645181884478</v>
      </c>
      <c r="O105" s="195"/>
      <c r="P105" s="217"/>
      <c r="Q105" s="75"/>
      <c r="U105" s="73"/>
      <c r="W105" s="73"/>
    </row>
    <row r="106" spans="1:23" x14ac:dyDescent="0.25">
      <c r="A106" s="14" t="s">
        <v>755</v>
      </c>
      <c r="C106" s="110">
        <v>6124.4139999999998</v>
      </c>
      <c r="D106" s="110">
        <v>5945.34</v>
      </c>
      <c r="E106" s="110">
        <v>6053.2520000000004</v>
      </c>
      <c r="F106" s="110">
        <v>6049.3360000000002</v>
      </c>
      <c r="G106" s="110">
        <v>5869.2380000000003</v>
      </c>
      <c r="H106" s="110">
        <v>5968.1229999999996</v>
      </c>
      <c r="I106" s="110">
        <v>5901.1790000000001</v>
      </c>
      <c r="J106" s="110">
        <v>5825.5659999999998</v>
      </c>
      <c r="K106" s="110">
        <v>5746.3530000000001</v>
      </c>
      <c r="L106" s="110">
        <v>5488.2190000000001</v>
      </c>
      <c r="M106" s="110">
        <v>5985.0280000000002</v>
      </c>
      <c r="N106" s="110">
        <v>6394.9660000000003</v>
      </c>
      <c r="O106" s="110">
        <f>SUM(C106:N106)</f>
        <v>71351.013999999996</v>
      </c>
      <c r="P106" s="110">
        <f>MAX(C106:N106)</f>
        <v>6394.9660000000003</v>
      </c>
      <c r="Q106" s="27"/>
    </row>
    <row r="108" spans="1:23" x14ac:dyDescent="0.25">
      <c r="A108" s="107" t="str">
        <f>A15</f>
        <v>Large General Service (3)</v>
      </c>
      <c r="B108" s="201" t="str">
        <f>B15</f>
        <v>LGS</v>
      </c>
      <c r="C108" s="110">
        <v>155</v>
      </c>
      <c r="D108" s="110">
        <v>155</v>
      </c>
      <c r="E108" s="110">
        <v>155</v>
      </c>
      <c r="F108" s="110">
        <v>155</v>
      </c>
      <c r="G108" s="110">
        <v>155</v>
      </c>
      <c r="H108" s="110">
        <v>156</v>
      </c>
      <c r="I108" s="110">
        <v>155</v>
      </c>
      <c r="J108" s="110">
        <v>155</v>
      </c>
      <c r="K108" s="110">
        <v>155</v>
      </c>
      <c r="L108" s="110">
        <v>155</v>
      </c>
      <c r="M108" s="110">
        <v>155</v>
      </c>
      <c r="N108" s="110">
        <v>155</v>
      </c>
      <c r="O108" s="110">
        <f>ROUND(SUM(C108:N108)/12,0)</f>
        <v>155</v>
      </c>
      <c r="P108" s="110"/>
      <c r="Q108" s="24"/>
    </row>
    <row r="109" spans="1:23" x14ac:dyDescent="0.25">
      <c r="A109" s="14" t="s">
        <v>1020</v>
      </c>
      <c r="C109" s="110">
        <v>8612245</v>
      </c>
      <c r="D109" s="110">
        <v>7785471</v>
      </c>
      <c r="E109" s="110">
        <v>8638832</v>
      </c>
      <c r="F109" s="110">
        <v>7946080</v>
      </c>
      <c r="G109" s="110">
        <v>8702848</v>
      </c>
      <c r="H109" s="110">
        <v>9242668</v>
      </c>
      <c r="I109" s="110">
        <v>9131320</v>
      </c>
      <c r="J109" s="110">
        <v>9301654</v>
      </c>
      <c r="K109" s="110">
        <v>8291460</v>
      </c>
      <c r="L109" s="110">
        <v>7751333</v>
      </c>
      <c r="M109" s="110">
        <v>7675939</v>
      </c>
      <c r="N109" s="110">
        <v>7770028</v>
      </c>
      <c r="O109" s="110">
        <f>SUM(C109:N109)</f>
        <v>100849878</v>
      </c>
      <c r="P109" s="217"/>
      <c r="Q109" s="75"/>
      <c r="U109" s="73"/>
      <c r="W109" s="73"/>
    </row>
    <row r="110" spans="1:23" x14ac:dyDescent="0.25">
      <c r="A110" s="14" t="s">
        <v>677</v>
      </c>
      <c r="C110" s="110">
        <f>C109/744</f>
        <v>11575.598118279569</v>
      </c>
      <c r="D110" s="121">
        <f>D109/672</f>
        <v>11585.522321428571</v>
      </c>
      <c r="E110" s="110">
        <f t="shared" ref="E110:N110" si="170">E109/744</f>
        <v>11611.333333333334</v>
      </c>
      <c r="F110" s="110">
        <f>F109/720</f>
        <v>11036.222222222223</v>
      </c>
      <c r="G110" s="110">
        <f t="shared" si="170"/>
        <v>11697.376344086022</v>
      </c>
      <c r="H110" s="121">
        <f>H109/720</f>
        <v>12837.038888888888</v>
      </c>
      <c r="I110" s="121">
        <f>I109/744</f>
        <v>12273.279569892473</v>
      </c>
      <c r="J110" s="110">
        <f t="shared" si="170"/>
        <v>12502.223118279569</v>
      </c>
      <c r="K110" s="110">
        <f>K109/720</f>
        <v>11515.916666666666</v>
      </c>
      <c r="L110" s="110">
        <f t="shared" si="170"/>
        <v>10418.458333333334</v>
      </c>
      <c r="M110" s="110">
        <f>M109/720</f>
        <v>10661.026388888889</v>
      </c>
      <c r="N110" s="110">
        <f t="shared" si="170"/>
        <v>10443.586021505376</v>
      </c>
      <c r="O110" s="110">
        <f>O109/8760</f>
        <v>11512.543150684931</v>
      </c>
      <c r="P110" s="110"/>
      <c r="Q110" s="27"/>
    </row>
    <row r="111" spans="1:23" x14ac:dyDescent="0.25">
      <c r="A111" s="14" t="s">
        <v>752</v>
      </c>
      <c r="C111" s="195">
        <v>0.5</v>
      </c>
      <c r="D111" s="195">
        <v>0.5</v>
      </c>
      <c r="E111" s="195">
        <v>0.5</v>
      </c>
      <c r="F111" s="195">
        <v>0.5</v>
      </c>
      <c r="G111" s="195">
        <v>0.5</v>
      </c>
      <c r="H111" s="195">
        <v>0.5</v>
      </c>
      <c r="I111" s="195">
        <v>0.5</v>
      </c>
      <c r="J111" s="195">
        <v>0.5</v>
      </c>
      <c r="K111" s="195">
        <v>0.5</v>
      </c>
      <c r="L111" s="195">
        <v>0.5</v>
      </c>
      <c r="M111" s="195">
        <v>0.5</v>
      </c>
      <c r="N111" s="195">
        <v>0.5</v>
      </c>
      <c r="O111" s="195"/>
      <c r="Q111" s="24"/>
    </row>
    <row r="112" spans="1:23" x14ac:dyDescent="0.25">
      <c r="A112" s="14" t="s">
        <v>753</v>
      </c>
      <c r="C112" s="110">
        <f>C110/C111</f>
        <v>23151.196236559139</v>
      </c>
      <c r="D112" s="110">
        <f t="shared" ref="D112" si="171">D110/D111</f>
        <v>23171.044642857141</v>
      </c>
      <c r="E112" s="110">
        <f t="shared" ref="E112" si="172">E110/E111</f>
        <v>23222.666666666668</v>
      </c>
      <c r="F112" s="110">
        <f t="shared" ref="F112" si="173">F110/F111</f>
        <v>22072.444444444445</v>
      </c>
      <c r="G112" s="110">
        <f t="shared" ref="G112" si="174">G110/G111</f>
        <v>23394.752688172044</v>
      </c>
      <c r="H112" s="110">
        <f t="shared" ref="H112" si="175">H110/H111</f>
        <v>25674.077777777777</v>
      </c>
      <c r="I112" s="110">
        <f t="shared" ref="I112" si="176">I110/I111</f>
        <v>24546.559139784946</v>
      </c>
      <c r="J112" s="110">
        <f t="shared" ref="J112" si="177">J110/J111</f>
        <v>25004.446236559139</v>
      </c>
      <c r="K112" s="110">
        <f t="shared" ref="K112" si="178">K110/K111</f>
        <v>23031.833333333332</v>
      </c>
      <c r="L112" s="110">
        <f t="shared" ref="L112" si="179">L110/L111</f>
        <v>20836.916666666668</v>
      </c>
      <c r="M112" s="110">
        <f t="shared" ref="M112" si="180">M110/M111</f>
        <v>21322.052777777779</v>
      </c>
      <c r="N112" s="110">
        <f t="shared" ref="N112" si="181">N110/N111</f>
        <v>20887.172043010753</v>
      </c>
      <c r="O112" s="110">
        <f>SUM(C112:N112)</f>
        <v>276315.16265360982</v>
      </c>
      <c r="Q112" s="24">
        <f>MAX(C112:N112)</f>
        <v>25674.077777777777</v>
      </c>
    </row>
    <row r="113" spans="1:23" x14ac:dyDescent="0.25">
      <c r="A113" s="14" t="s">
        <v>678</v>
      </c>
      <c r="C113" s="195">
        <v>0.4</v>
      </c>
      <c r="D113" s="195">
        <f>C113</f>
        <v>0.4</v>
      </c>
      <c r="E113" s="195">
        <f t="shared" ref="E113:L113" si="182">D113</f>
        <v>0.4</v>
      </c>
      <c r="F113" s="195">
        <f t="shared" si="182"/>
        <v>0.4</v>
      </c>
      <c r="G113" s="195">
        <f t="shared" si="182"/>
        <v>0.4</v>
      </c>
      <c r="H113" s="195">
        <f t="shared" si="182"/>
        <v>0.4</v>
      </c>
      <c r="I113" s="195">
        <f t="shared" si="182"/>
        <v>0.4</v>
      </c>
      <c r="J113" s="195">
        <f t="shared" si="182"/>
        <v>0.4</v>
      </c>
      <c r="K113" s="195">
        <f t="shared" si="182"/>
        <v>0.4</v>
      </c>
      <c r="L113" s="195">
        <f t="shared" si="182"/>
        <v>0.4</v>
      </c>
      <c r="M113" s="195">
        <f>L113</f>
        <v>0.4</v>
      </c>
      <c r="N113" s="195">
        <f>M113</f>
        <v>0.4</v>
      </c>
      <c r="O113" s="195"/>
      <c r="P113" s="110"/>
      <c r="Q113" s="24"/>
    </row>
    <row r="114" spans="1:23" x14ac:dyDescent="0.25">
      <c r="A114" s="14" t="s">
        <v>679</v>
      </c>
      <c r="C114" s="110">
        <f>C113*C112</f>
        <v>9260.4784946236559</v>
      </c>
      <c r="D114" s="110">
        <f t="shared" ref="D114:N114" si="183">D113*D112</f>
        <v>9268.4178571428565</v>
      </c>
      <c r="E114" s="110">
        <f t="shared" si="183"/>
        <v>9289.0666666666675</v>
      </c>
      <c r="F114" s="110">
        <f t="shared" si="183"/>
        <v>8828.9777777777781</v>
      </c>
      <c r="G114" s="110">
        <f t="shared" si="183"/>
        <v>9357.9010752688173</v>
      </c>
      <c r="H114" s="110">
        <f t="shared" si="183"/>
        <v>10269.631111111112</v>
      </c>
      <c r="I114" s="110">
        <f t="shared" si="183"/>
        <v>9818.6236559139779</v>
      </c>
      <c r="J114" s="110">
        <f t="shared" si="183"/>
        <v>10001.778494623657</v>
      </c>
      <c r="K114" s="110">
        <f t="shared" si="183"/>
        <v>9212.7333333333336</v>
      </c>
      <c r="L114" s="110">
        <f t="shared" si="183"/>
        <v>8334.7666666666682</v>
      </c>
      <c r="M114" s="110">
        <f t="shared" si="183"/>
        <v>8528.8211111111123</v>
      </c>
      <c r="N114" s="110">
        <f t="shared" si="183"/>
        <v>8354.8688172043021</v>
      </c>
      <c r="O114" s="110">
        <f>SUM(C114:N114)</f>
        <v>110526.06506144394</v>
      </c>
      <c r="P114" s="110"/>
      <c r="Q114" s="24"/>
      <c r="R114" s="24">
        <f>O114</f>
        <v>110526.06506144394</v>
      </c>
      <c r="S114" s="24">
        <f>H114+I114+J114</f>
        <v>30090.033261648747</v>
      </c>
      <c r="T114" s="24">
        <f>R114-S114</f>
        <v>80436.031799795193</v>
      </c>
    </row>
    <row r="115" spans="1:23" x14ac:dyDescent="0.25">
      <c r="A115" s="14" t="s">
        <v>754</v>
      </c>
      <c r="C115" s="195">
        <f>C110/C116</f>
        <v>0.48146227357903881</v>
      </c>
      <c r="D115" s="222">
        <f t="shared" ref="D115:N115" si="184">D109/(744*D116)</f>
        <v>0.4416430398587719</v>
      </c>
      <c r="E115" s="222">
        <f t="shared" si="184"/>
        <v>0.46350283733486752</v>
      </c>
      <c r="F115" s="222">
        <f t="shared" si="184"/>
        <v>0.4192231062708956</v>
      </c>
      <c r="G115" s="222">
        <f t="shared" si="184"/>
        <v>0.46687090706686268</v>
      </c>
      <c r="H115" s="222">
        <f t="shared" si="184"/>
        <v>0.48887913173169478</v>
      </c>
      <c r="I115" s="222">
        <f t="shared" si="184"/>
        <v>0.49143988204640282</v>
      </c>
      <c r="J115" s="222">
        <f t="shared" si="184"/>
        <v>0.47676199034929112</v>
      </c>
      <c r="K115" s="222">
        <f t="shared" si="184"/>
        <v>0.44244372973552587</v>
      </c>
      <c r="L115" s="222">
        <f t="shared" si="184"/>
        <v>0.43156082500350168</v>
      </c>
      <c r="M115" s="222">
        <f t="shared" si="184"/>
        <v>0.41172741214163472</v>
      </c>
      <c r="N115" s="222">
        <f t="shared" si="184"/>
        <v>0.42324522243647567</v>
      </c>
      <c r="O115" s="195"/>
      <c r="P115" s="217"/>
      <c r="Q115" s="75"/>
      <c r="U115" s="73"/>
      <c r="W115" s="73"/>
    </row>
    <row r="116" spans="1:23" x14ac:dyDescent="0.25">
      <c r="A116" s="14" t="s">
        <v>755</v>
      </c>
      <c r="C116" s="110">
        <v>24042.586000000003</v>
      </c>
      <c r="D116" s="110">
        <v>23694.118999999999</v>
      </c>
      <c r="E116" s="110">
        <v>25051.267</v>
      </c>
      <c r="F116" s="110">
        <v>25476.207999999999</v>
      </c>
      <c r="G116" s="110">
        <v>25054.841</v>
      </c>
      <c r="H116" s="110">
        <v>25411.067999999999</v>
      </c>
      <c r="I116" s="110">
        <v>24974.121999999999</v>
      </c>
      <c r="J116" s="110">
        <v>26223.196</v>
      </c>
      <c r="K116" s="110">
        <v>25188.367999999999</v>
      </c>
      <c r="L116" s="110">
        <v>24141.343999999997</v>
      </c>
      <c r="M116" s="110">
        <v>25058.137999999999</v>
      </c>
      <c r="N116" s="110">
        <v>24675.024000000001</v>
      </c>
      <c r="O116" s="110">
        <f>SUM(C116:N116)</f>
        <v>298990.28099999996</v>
      </c>
      <c r="P116" s="110">
        <f>MAX(C116:N116)</f>
        <v>26223.196</v>
      </c>
      <c r="Q116" s="27"/>
    </row>
    <row r="117" spans="1:23" x14ac:dyDescent="0.25"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1:23" x14ac:dyDescent="0.25">
      <c r="A118" s="15" t="str">
        <f>A16</f>
        <v>All Electric School (4)</v>
      </c>
      <c r="B118" s="201" t="str">
        <f>B16</f>
        <v>AES</v>
      </c>
      <c r="C118" s="110">
        <v>3</v>
      </c>
      <c r="D118" s="110">
        <v>3</v>
      </c>
      <c r="E118" s="110">
        <v>3</v>
      </c>
      <c r="F118" s="110">
        <v>3</v>
      </c>
      <c r="G118" s="110">
        <v>3</v>
      </c>
      <c r="H118" s="110">
        <v>3</v>
      </c>
      <c r="I118" s="110">
        <v>3</v>
      </c>
      <c r="J118" s="110">
        <v>3</v>
      </c>
      <c r="K118" s="110">
        <v>3</v>
      </c>
      <c r="L118" s="110">
        <v>3</v>
      </c>
      <c r="M118" s="110">
        <v>3</v>
      </c>
      <c r="N118" s="110">
        <v>3</v>
      </c>
      <c r="O118" s="110">
        <f>ROUND(SUM(C118:N118)/12,0)</f>
        <v>3</v>
      </c>
      <c r="P118" s="110"/>
      <c r="Q118" s="24"/>
    </row>
    <row r="119" spans="1:23" x14ac:dyDescent="0.25">
      <c r="A119" s="14" t="s">
        <v>1020</v>
      </c>
      <c r="C119" s="110">
        <v>71240</v>
      </c>
      <c r="D119" s="110">
        <v>57640</v>
      </c>
      <c r="E119" s="110">
        <v>53640</v>
      </c>
      <c r="F119" s="110">
        <v>43400</v>
      </c>
      <c r="G119" s="110">
        <v>39240</v>
      </c>
      <c r="H119" s="110">
        <v>34280</v>
      </c>
      <c r="I119" s="110">
        <v>37600</v>
      </c>
      <c r="J119" s="110">
        <v>51840</v>
      </c>
      <c r="K119" s="110">
        <v>52200</v>
      </c>
      <c r="L119" s="110">
        <v>43440</v>
      </c>
      <c r="M119" s="110">
        <v>57520</v>
      </c>
      <c r="N119" s="110">
        <v>77320</v>
      </c>
      <c r="O119" s="110">
        <f>SUM(C119:N119)</f>
        <v>619360</v>
      </c>
      <c r="P119" s="217"/>
      <c r="Q119" s="75"/>
      <c r="U119" s="73"/>
      <c r="W119" s="73"/>
    </row>
    <row r="120" spans="1:23" x14ac:dyDescent="0.25">
      <c r="A120" s="14" t="s">
        <v>677</v>
      </c>
      <c r="C120" s="110">
        <f>C119/744</f>
        <v>95.752688172043008</v>
      </c>
      <c r="D120" s="121">
        <f>D119/672</f>
        <v>85.773809523809518</v>
      </c>
      <c r="E120" s="110">
        <f t="shared" ref="E120:N120" si="185">E119/744</f>
        <v>72.096774193548384</v>
      </c>
      <c r="F120" s="110">
        <f>F119/720</f>
        <v>60.277777777777779</v>
      </c>
      <c r="G120" s="110">
        <f t="shared" si="185"/>
        <v>52.741935483870968</v>
      </c>
      <c r="H120" s="121">
        <f>H119/720</f>
        <v>47.611111111111114</v>
      </c>
      <c r="I120" s="121">
        <f>I119/744</f>
        <v>50.537634408602152</v>
      </c>
      <c r="J120" s="110">
        <f t="shared" si="185"/>
        <v>69.677419354838705</v>
      </c>
      <c r="K120" s="110">
        <f>K119/720</f>
        <v>72.5</v>
      </c>
      <c r="L120" s="110">
        <f t="shared" si="185"/>
        <v>58.387096774193552</v>
      </c>
      <c r="M120" s="110">
        <f>M119/720</f>
        <v>79.888888888888886</v>
      </c>
      <c r="N120" s="110">
        <f t="shared" si="185"/>
        <v>103.9247311827957</v>
      </c>
      <c r="O120" s="110">
        <f>O119/8760</f>
        <v>70.703196347031962</v>
      </c>
      <c r="P120" s="110"/>
      <c r="Q120" s="27"/>
    </row>
    <row r="121" spans="1:23" x14ac:dyDescent="0.25">
      <c r="A121" s="14" t="s">
        <v>752</v>
      </c>
      <c r="C121" s="195">
        <v>0.6</v>
      </c>
      <c r="D121" s="195">
        <v>0.6</v>
      </c>
      <c r="E121" s="195">
        <v>0.6</v>
      </c>
      <c r="F121" s="195">
        <v>0.6</v>
      </c>
      <c r="G121" s="195">
        <v>0.6</v>
      </c>
      <c r="H121" s="195">
        <v>0.6</v>
      </c>
      <c r="I121" s="195">
        <v>0.6</v>
      </c>
      <c r="J121" s="195">
        <v>0.6</v>
      </c>
      <c r="K121" s="195">
        <v>0.6</v>
      </c>
      <c r="L121" s="195">
        <v>0.6</v>
      </c>
      <c r="M121" s="195">
        <v>0.6</v>
      </c>
      <c r="N121" s="195">
        <v>0.6</v>
      </c>
      <c r="O121" s="195"/>
      <c r="Q121" s="24"/>
    </row>
    <row r="122" spans="1:23" x14ac:dyDescent="0.25">
      <c r="A122" s="14" t="s">
        <v>753</v>
      </c>
      <c r="C122" s="110">
        <f>C120/C121</f>
        <v>159.5878136200717</v>
      </c>
      <c r="D122" s="110">
        <f t="shared" ref="D122" si="186">D120/D121</f>
        <v>142.95634920634922</v>
      </c>
      <c r="E122" s="110">
        <f t="shared" ref="E122" si="187">E120/E121</f>
        <v>120.16129032258064</v>
      </c>
      <c r="F122" s="110">
        <f t="shared" ref="F122" si="188">F120/F121</f>
        <v>100.46296296296296</v>
      </c>
      <c r="G122" s="110">
        <f t="shared" ref="G122" si="189">G120/G121</f>
        <v>87.903225806451616</v>
      </c>
      <c r="H122" s="110">
        <f t="shared" ref="H122" si="190">H120/H121</f>
        <v>79.351851851851862</v>
      </c>
      <c r="I122" s="110">
        <f t="shared" ref="I122" si="191">I120/I121</f>
        <v>84.229390681003593</v>
      </c>
      <c r="J122" s="110">
        <f t="shared" ref="J122" si="192">J120/J121</f>
        <v>116.12903225806451</v>
      </c>
      <c r="K122" s="110">
        <f t="shared" ref="K122" si="193">K120/K121</f>
        <v>120.83333333333334</v>
      </c>
      <c r="L122" s="110">
        <f t="shared" ref="L122" si="194">L120/L121</f>
        <v>97.311827956989262</v>
      </c>
      <c r="M122" s="110">
        <f t="shared" ref="M122" si="195">M120/M121</f>
        <v>133.14814814814815</v>
      </c>
      <c r="N122" s="110">
        <f t="shared" ref="N122" si="196">N120/N121</f>
        <v>173.2078853046595</v>
      </c>
      <c r="O122" s="110">
        <f>SUM(C122:N122)</f>
        <v>1415.2831114524665</v>
      </c>
      <c r="Q122" s="24">
        <f>MAX(C122:N122)</f>
        <v>173.2078853046595</v>
      </c>
    </row>
    <row r="123" spans="1:23" x14ac:dyDescent="0.25">
      <c r="A123" s="14" t="s">
        <v>678</v>
      </c>
      <c r="C123" s="195">
        <v>0.8</v>
      </c>
      <c r="D123" s="195">
        <f>C123</f>
        <v>0.8</v>
      </c>
      <c r="E123" s="195">
        <f t="shared" ref="E123:N123" si="197">D123</f>
        <v>0.8</v>
      </c>
      <c r="F123" s="195">
        <f t="shared" si="197"/>
        <v>0.8</v>
      </c>
      <c r="G123" s="195">
        <f t="shared" si="197"/>
        <v>0.8</v>
      </c>
      <c r="H123" s="195">
        <f t="shared" si="197"/>
        <v>0.8</v>
      </c>
      <c r="I123" s="195">
        <f t="shared" si="197"/>
        <v>0.8</v>
      </c>
      <c r="J123" s="195">
        <f t="shared" si="197"/>
        <v>0.8</v>
      </c>
      <c r="K123" s="195">
        <f t="shared" si="197"/>
        <v>0.8</v>
      </c>
      <c r="L123" s="195">
        <f t="shared" si="197"/>
        <v>0.8</v>
      </c>
      <c r="M123" s="195">
        <f t="shared" si="197"/>
        <v>0.8</v>
      </c>
      <c r="N123" s="195">
        <f t="shared" si="197"/>
        <v>0.8</v>
      </c>
      <c r="O123" s="195"/>
      <c r="P123" s="110"/>
      <c r="Q123" s="24"/>
    </row>
    <row r="124" spans="1:23" x14ac:dyDescent="0.25">
      <c r="A124" s="14" t="s">
        <v>679</v>
      </c>
      <c r="C124" s="110">
        <f>C122*C123</f>
        <v>127.67025089605737</v>
      </c>
      <c r="D124" s="110">
        <f t="shared" ref="D124:N124" si="198">D122*D123</f>
        <v>114.36507936507938</v>
      </c>
      <c r="E124" s="110">
        <f t="shared" si="198"/>
        <v>96.129032258064512</v>
      </c>
      <c r="F124" s="110">
        <f t="shared" si="198"/>
        <v>80.370370370370381</v>
      </c>
      <c r="G124" s="110">
        <f t="shared" si="198"/>
        <v>70.322580645161295</v>
      </c>
      <c r="H124" s="110">
        <f t="shared" si="198"/>
        <v>63.481481481481495</v>
      </c>
      <c r="I124" s="110">
        <f t="shared" si="198"/>
        <v>67.383512544802883</v>
      </c>
      <c r="J124" s="110">
        <f t="shared" si="198"/>
        <v>92.903225806451616</v>
      </c>
      <c r="K124" s="110">
        <f t="shared" si="198"/>
        <v>96.666666666666686</v>
      </c>
      <c r="L124" s="110">
        <f t="shared" si="198"/>
        <v>77.849462365591421</v>
      </c>
      <c r="M124" s="110">
        <f t="shared" si="198"/>
        <v>106.51851851851853</v>
      </c>
      <c r="N124" s="110">
        <f t="shared" si="198"/>
        <v>138.5663082437276</v>
      </c>
      <c r="O124" s="110">
        <f>SUM(C124:N124)</f>
        <v>1132.2264891619734</v>
      </c>
      <c r="P124" s="110"/>
      <c r="Q124" s="24"/>
      <c r="R124" s="24">
        <f>O124</f>
        <v>1132.2264891619734</v>
      </c>
      <c r="S124" s="24">
        <f>H124+I124+J124</f>
        <v>223.76821983273598</v>
      </c>
      <c r="T124" s="24">
        <f>R124-S124</f>
        <v>908.4582693292374</v>
      </c>
    </row>
    <row r="125" spans="1:23" x14ac:dyDescent="0.25">
      <c r="A125" s="14" t="s">
        <v>754</v>
      </c>
      <c r="C125" s="195">
        <f>C120/C126</f>
        <v>0.33182938789867966</v>
      </c>
      <c r="D125" s="195">
        <f t="shared" ref="D125:N125" si="199">D119/(744*D126)</f>
        <v>0.28278989005537269</v>
      </c>
      <c r="E125" s="195">
        <f t="shared" si="199"/>
        <v>0.28492243990494942</v>
      </c>
      <c r="F125" s="195">
        <f t="shared" si="199"/>
        <v>0.26966222879684421</v>
      </c>
      <c r="G125" s="195">
        <f t="shared" si="199"/>
        <v>0.2950432730133753</v>
      </c>
      <c r="H125" s="195">
        <f t="shared" si="199"/>
        <v>0.38460157610354173</v>
      </c>
      <c r="I125" s="195">
        <f t="shared" si="199"/>
        <v>0.4052087428528075</v>
      </c>
      <c r="J125" s="195">
        <f t="shared" si="199"/>
        <v>0.34202542388984247</v>
      </c>
      <c r="K125" s="195">
        <f t="shared" si="199"/>
        <v>0.348575567977845</v>
      </c>
      <c r="L125" s="195">
        <f t="shared" si="199"/>
        <v>0.29094626656464789</v>
      </c>
      <c r="M125" s="195">
        <f t="shared" si="199"/>
        <v>0.33742941671171983</v>
      </c>
      <c r="N125" s="195">
        <f t="shared" si="199"/>
        <v>0.38286446795901746</v>
      </c>
      <c r="O125" s="195"/>
      <c r="P125" s="217"/>
      <c r="Q125" s="75"/>
      <c r="U125" s="73"/>
      <c r="W125" s="73"/>
    </row>
    <row r="126" spans="1:23" x14ac:dyDescent="0.25">
      <c r="A126" s="14" t="s">
        <v>755</v>
      </c>
      <c r="C126" s="110">
        <v>288.56</v>
      </c>
      <c r="D126" s="110">
        <v>273.95999999999998</v>
      </c>
      <c r="E126" s="110">
        <v>253.04</v>
      </c>
      <c r="F126" s="110">
        <v>216.32</v>
      </c>
      <c r="G126" s="110">
        <v>178.76</v>
      </c>
      <c r="H126" s="110">
        <v>119.8</v>
      </c>
      <c r="I126" s="110">
        <v>124.72</v>
      </c>
      <c r="J126" s="110">
        <v>203.72</v>
      </c>
      <c r="K126" s="110">
        <v>201.28</v>
      </c>
      <c r="L126" s="110">
        <v>200.68</v>
      </c>
      <c r="M126" s="110">
        <v>229.12</v>
      </c>
      <c r="N126" s="110">
        <v>271.44</v>
      </c>
      <c r="O126" s="110">
        <f>SUM(C126:N126)</f>
        <v>2561.3999999999996</v>
      </c>
      <c r="P126" s="110">
        <f>MAX(C126:N126)</f>
        <v>288.56</v>
      </c>
      <c r="Q126" s="27"/>
    </row>
    <row r="127" spans="1:23" x14ac:dyDescent="0.25">
      <c r="C127" s="102">
        <v>185.12</v>
      </c>
      <c r="D127" s="102">
        <v>100.96</v>
      </c>
      <c r="E127" s="102">
        <v>102.84</v>
      </c>
      <c r="F127" s="102">
        <v>157.32</v>
      </c>
      <c r="G127" s="102">
        <v>31.36</v>
      </c>
      <c r="H127" s="102">
        <v>48.2</v>
      </c>
      <c r="I127" s="102">
        <v>56</v>
      </c>
      <c r="J127" s="102">
        <v>104.44</v>
      </c>
      <c r="K127" s="102">
        <v>112.96</v>
      </c>
      <c r="L127" s="102">
        <v>124.96</v>
      </c>
      <c r="M127" s="102">
        <v>108.6</v>
      </c>
      <c r="N127" s="102">
        <v>171.04</v>
      </c>
    </row>
    <row r="128" spans="1:23" hidden="1" x14ac:dyDescent="0.25">
      <c r="A128" s="107" t="str">
        <f>A17</f>
        <v>reserved</v>
      </c>
      <c r="B128" s="201" t="str">
        <f>B17</f>
        <v>---</v>
      </c>
      <c r="C128" s="110">
        <v>0</v>
      </c>
      <c r="D128" s="110">
        <v>0</v>
      </c>
      <c r="E128" s="110">
        <v>0</v>
      </c>
      <c r="F128" s="110">
        <v>0</v>
      </c>
      <c r="G128" s="110">
        <v>0</v>
      </c>
      <c r="H128" s="110">
        <v>0</v>
      </c>
      <c r="I128" s="110">
        <v>0</v>
      </c>
      <c r="J128" s="110">
        <v>0</v>
      </c>
      <c r="K128" s="110">
        <v>0</v>
      </c>
      <c r="L128" s="110">
        <v>0</v>
      </c>
      <c r="M128" s="110">
        <v>0</v>
      </c>
      <c r="N128" s="110">
        <v>0</v>
      </c>
      <c r="O128" s="110">
        <f>ROUND(SUM(C128:N128)/12,0)</f>
        <v>0</v>
      </c>
      <c r="P128" s="110"/>
      <c r="Q128" s="24"/>
    </row>
    <row r="129" spans="1:23" hidden="1" x14ac:dyDescent="0.25">
      <c r="A129" s="14" t="s">
        <v>1020</v>
      </c>
      <c r="C129" s="110">
        <v>0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0">
        <v>0</v>
      </c>
      <c r="O129" s="110">
        <f>SUM(C129:N129)</f>
        <v>0</v>
      </c>
      <c r="P129" s="217"/>
      <c r="Q129" s="75"/>
      <c r="U129" s="73"/>
      <c r="W129" s="73"/>
    </row>
    <row r="130" spans="1:23" hidden="1" x14ac:dyDescent="0.25">
      <c r="A130" s="14" t="s">
        <v>677</v>
      </c>
      <c r="C130" s="110">
        <f>C129/744</f>
        <v>0</v>
      </c>
      <c r="D130" s="121">
        <f>D129/672</f>
        <v>0</v>
      </c>
      <c r="E130" s="110">
        <f t="shared" ref="E130:N130" si="200">E129/744</f>
        <v>0</v>
      </c>
      <c r="F130" s="110">
        <f>F129/720</f>
        <v>0</v>
      </c>
      <c r="G130" s="110">
        <f t="shared" si="200"/>
        <v>0</v>
      </c>
      <c r="H130" s="121">
        <f>H129/720</f>
        <v>0</v>
      </c>
      <c r="I130" s="121">
        <f>I129/744</f>
        <v>0</v>
      </c>
      <c r="J130" s="110">
        <f t="shared" si="200"/>
        <v>0</v>
      </c>
      <c r="K130" s="110">
        <f>K129/720</f>
        <v>0</v>
      </c>
      <c r="L130" s="110">
        <f t="shared" si="200"/>
        <v>0</v>
      </c>
      <c r="M130" s="110">
        <f>M129/720</f>
        <v>0</v>
      </c>
      <c r="N130" s="110">
        <f t="shared" si="200"/>
        <v>0</v>
      </c>
      <c r="O130" s="110">
        <f>O129/8760</f>
        <v>0</v>
      </c>
      <c r="P130" s="110"/>
      <c r="Q130" s="27"/>
    </row>
    <row r="131" spans="1:23" hidden="1" x14ac:dyDescent="0.25">
      <c r="A131" s="14" t="s">
        <v>752</v>
      </c>
      <c r="C131" s="195">
        <v>0</v>
      </c>
      <c r="D131" s="195">
        <v>0</v>
      </c>
      <c r="E131" s="195">
        <v>0</v>
      </c>
      <c r="F131" s="195">
        <v>0</v>
      </c>
      <c r="G131" s="195">
        <v>0</v>
      </c>
      <c r="H131" s="195">
        <v>0</v>
      </c>
      <c r="I131" s="195"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/>
      <c r="Q131" s="24"/>
    </row>
    <row r="132" spans="1:23" hidden="1" x14ac:dyDescent="0.25">
      <c r="A132" s="14" t="s">
        <v>753</v>
      </c>
      <c r="C132" s="110">
        <v>0</v>
      </c>
      <c r="D132" s="110">
        <v>0</v>
      </c>
      <c r="E132" s="110">
        <v>0</v>
      </c>
      <c r="F132" s="110">
        <v>0</v>
      </c>
      <c r="G132" s="110">
        <v>0</v>
      </c>
      <c r="H132" s="110">
        <v>0</v>
      </c>
      <c r="I132" s="110">
        <v>0</v>
      </c>
      <c r="J132" s="110">
        <v>0</v>
      </c>
      <c r="K132" s="110">
        <v>0</v>
      </c>
      <c r="L132" s="110">
        <v>0</v>
      </c>
      <c r="M132" s="110">
        <v>0</v>
      </c>
      <c r="N132" s="110">
        <v>0</v>
      </c>
      <c r="O132" s="110">
        <f>SUM(C132:N132)</f>
        <v>0</v>
      </c>
      <c r="Q132" s="24">
        <f>MAX(C132:N132)</f>
        <v>0</v>
      </c>
    </row>
    <row r="133" spans="1:23" hidden="1" x14ac:dyDescent="0.25">
      <c r="A133" s="14" t="s">
        <v>678</v>
      </c>
      <c r="C133" s="195">
        <v>0</v>
      </c>
      <c r="D133" s="195">
        <v>0</v>
      </c>
      <c r="E133" s="195">
        <v>0</v>
      </c>
      <c r="F133" s="195">
        <v>0</v>
      </c>
      <c r="G133" s="195">
        <v>0</v>
      </c>
      <c r="H133" s="195">
        <v>0</v>
      </c>
      <c r="I133" s="195"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/>
      <c r="P133" s="110"/>
      <c r="Q133" s="24"/>
    </row>
    <row r="134" spans="1:23" hidden="1" x14ac:dyDescent="0.25">
      <c r="A134" s="14" t="s">
        <v>679</v>
      </c>
      <c r="C134" s="110">
        <v>0</v>
      </c>
      <c r="D134" s="110">
        <v>0</v>
      </c>
      <c r="E134" s="110">
        <v>0</v>
      </c>
      <c r="F134" s="110">
        <v>0</v>
      </c>
      <c r="G134" s="110">
        <v>0</v>
      </c>
      <c r="H134" s="110">
        <v>0</v>
      </c>
      <c r="I134" s="110">
        <v>0</v>
      </c>
      <c r="J134" s="110">
        <v>0</v>
      </c>
      <c r="K134" s="110">
        <v>0</v>
      </c>
      <c r="L134" s="110">
        <v>0</v>
      </c>
      <c r="M134" s="110">
        <v>0</v>
      </c>
      <c r="N134" s="110">
        <v>0</v>
      </c>
      <c r="O134" s="110">
        <f>SUM(C134:N134)</f>
        <v>0</v>
      </c>
      <c r="P134" s="110"/>
      <c r="Q134" s="24"/>
      <c r="R134" s="24">
        <f>O134</f>
        <v>0</v>
      </c>
      <c r="S134" s="24">
        <f>H134+I134+J134</f>
        <v>0</v>
      </c>
      <c r="T134" s="24">
        <f>R134-S134</f>
        <v>0</v>
      </c>
    </row>
    <row r="135" spans="1:23" hidden="1" x14ac:dyDescent="0.25">
      <c r="A135" s="14" t="s">
        <v>754</v>
      </c>
      <c r="C135" s="195">
        <v>0</v>
      </c>
      <c r="D135" s="195">
        <v>0</v>
      </c>
      <c r="E135" s="195">
        <v>0</v>
      </c>
      <c r="F135" s="195">
        <v>0</v>
      </c>
      <c r="G135" s="195">
        <v>0</v>
      </c>
      <c r="H135" s="195">
        <v>0</v>
      </c>
      <c r="I135" s="195"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/>
      <c r="P135" s="217"/>
      <c r="Q135" s="75"/>
      <c r="U135" s="73"/>
      <c r="W135" s="73"/>
    </row>
    <row r="136" spans="1:23" hidden="1" x14ac:dyDescent="0.25">
      <c r="A136" s="14" t="s">
        <v>755</v>
      </c>
      <c r="C136" s="110">
        <v>0</v>
      </c>
      <c r="D136" s="110">
        <v>0</v>
      </c>
      <c r="E136" s="110">
        <v>0</v>
      </c>
      <c r="F136" s="110">
        <v>0</v>
      </c>
      <c r="G136" s="110">
        <v>0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0">
        <v>0</v>
      </c>
      <c r="N136" s="110">
        <v>0</v>
      </c>
      <c r="O136" s="110">
        <f>SUM(C136:N136)</f>
        <v>0</v>
      </c>
      <c r="P136" s="110">
        <f>MAX(C136:N136)</f>
        <v>0</v>
      </c>
      <c r="Q136" s="27"/>
    </row>
    <row r="137" spans="1:23" hidden="1" x14ac:dyDescent="0.25">
      <c r="L137" s="110"/>
    </row>
    <row r="138" spans="1:23" x14ac:dyDescent="0.25">
      <c r="A138" s="15" t="str">
        <f>A18</f>
        <v>Security Lights (20)</v>
      </c>
      <c r="B138" s="201" t="str">
        <f>B18</f>
        <v>OLS</v>
      </c>
      <c r="C138" s="110">
        <v>54</v>
      </c>
      <c r="D138" s="110">
        <v>54</v>
      </c>
      <c r="E138" s="110">
        <v>56</v>
      </c>
      <c r="F138" s="110">
        <v>58</v>
      </c>
      <c r="G138" s="110">
        <v>58</v>
      </c>
      <c r="H138" s="110">
        <v>60</v>
      </c>
      <c r="I138" s="110">
        <v>61</v>
      </c>
      <c r="J138" s="110">
        <v>61</v>
      </c>
      <c r="K138" s="110">
        <v>63</v>
      </c>
      <c r="L138" s="110">
        <v>63</v>
      </c>
      <c r="M138" s="110">
        <v>62</v>
      </c>
      <c r="N138" s="110">
        <v>61</v>
      </c>
      <c r="O138" s="110">
        <f>ROUND(SUM(C138:N138)/12,0)</f>
        <v>59</v>
      </c>
      <c r="P138" s="110"/>
      <c r="Q138" s="24"/>
    </row>
    <row r="139" spans="1:23" x14ac:dyDescent="0.25">
      <c r="A139" s="14" t="s">
        <v>1020</v>
      </c>
      <c r="C139" s="110">
        <v>13142</v>
      </c>
      <c r="D139" s="110">
        <v>13142</v>
      </c>
      <c r="E139" s="110">
        <v>13166</v>
      </c>
      <c r="F139" s="110">
        <v>13166</v>
      </c>
      <c r="G139" s="110">
        <v>13217</v>
      </c>
      <c r="H139" s="110">
        <v>13259</v>
      </c>
      <c r="I139" s="110">
        <v>13280</v>
      </c>
      <c r="J139" s="110">
        <v>13310</v>
      </c>
      <c r="K139" s="110">
        <v>13561</v>
      </c>
      <c r="L139" s="110">
        <v>13319</v>
      </c>
      <c r="M139" s="110">
        <v>13192</v>
      </c>
      <c r="N139" s="110">
        <v>13153</v>
      </c>
      <c r="O139" s="110">
        <f>SUM(C139:N139)</f>
        <v>158907</v>
      </c>
      <c r="P139" s="217"/>
      <c r="Q139" s="75"/>
      <c r="U139" s="73"/>
      <c r="W139" s="73"/>
    </row>
    <row r="140" spans="1:23" x14ac:dyDescent="0.25">
      <c r="A140" s="14" t="s">
        <v>677</v>
      </c>
      <c r="C140" s="110">
        <f>C139/744</f>
        <v>17.663978494623656</v>
      </c>
      <c r="D140" s="121">
        <f>D139/672</f>
        <v>19.55654761904762</v>
      </c>
      <c r="E140" s="110">
        <f t="shared" ref="E140" si="201">E139/744</f>
        <v>17.696236559139784</v>
      </c>
      <c r="F140" s="110">
        <f>F139/720</f>
        <v>18.286111111111111</v>
      </c>
      <c r="G140" s="110">
        <f t="shared" ref="G140" si="202">G139/744</f>
        <v>17.76478494623656</v>
      </c>
      <c r="H140" s="121">
        <f>H139/720</f>
        <v>18.415277777777778</v>
      </c>
      <c r="I140" s="121">
        <f>I139/744</f>
        <v>17.849462365591396</v>
      </c>
      <c r="J140" s="110">
        <f t="shared" ref="J140" si="203">J139/744</f>
        <v>17.88978494623656</v>
      </c>
      <c r="K140" s="110">
        <f>K139/720</f>
        <v>18.834722222222222</v>
      </c>
      <c r="L140" s="110">
        <f t="shared" ref="L140" si="204">L139/744</f>
        <v>17.901881720430108</v>
      </c>
      <c r="M140" s="110">
        <f>M139/720</f>
        <v>18.322222222222223</v>
      </c>
      <c r="N140" s="110">
        <f t="shared" ref="N140" si="205">N139/744</f>
        <v>17.678763440860216</v>
      </c>
      <c r="O140" s="110">
        <f>O139/8760</f>
        <v>18.140068493150686</v>
      </c>
      <c r="P140" s="110"/>
      <c r="Q140" s="27"/>
    </row>
    <row r="141" spans="1:23" x14ac:dyDescent="0.25">
      <c r="A141" s="14" t="s">
        <v>752</v>
      </c>
      <c r="C141" s="195">
        <v>0.5</v>
      </c>
      <c r="D141" s="195">
        <f>C141</f>
        <v>0.5</v>
      </c>
      <c r="E141" s="195">
        <f t="shared" ref="E141:N141" si="206">D141</f>
        <v>0.5</v>
      </c>
      <c r="F141" s="195">
        <f t="shared" si="206"/>
        <v>0.5</v>
      </c>
      <c r="G141" s="195">
        <f t="shared" si="206"/>
        <v>0.5</v>
      </c>
      <c r="H141" s="195">
        <f t="shared" si="206"/>
        <v>0.5</v>
      </c>
      <c r="I141" s="195">
        <f t="shared" si="206"/>
        <v>0.5</v>
      </c>
      <c r="J141" s="195">
        <f t="shared" si="206"/>
        <v>0.5</v>
      </c>
      <c r="K141" s="195">
        <f t="shared" si="206"/>
        <v>0.5</v>
      </c>
      <c r="L141" s="195">
        <f t="shared" si="206"/>
        <v>0.5</v>
      </c>
      <c r="M141" s="195">
        <f t="shared" si="206"/>
        <v>0.5</v>
      </c>
      <c r="N141" s="195">
        <f t="shared" si="206"/>
        <v>0.5</v>
      </c>
      <c r="O141" s="195"/>
      <c r="Q141" s="24"/>
    </row>
    <row r="142" spans="1:23" x14ac:dyDescent="0.25">
      <c r="A142" s="14" t="s">
        <v>753</v>
      </c>
      <c r="C142" s="110">
        <f>C140/C141</f>
        <v>35.327956989247312</v>
      </c>
      <c r="D142" s="110">
        <f t="shared" ref="D142:N142" si="207">D140/D141</f>
        <v>39.113095238095241</v>
      </c>
      <c r="E142" s="110">
        <f t="shared" si="207"/>
        <v>35.392473118279568</v>
      </c>
      <c r="F142" s="110">
        <f t="shared" si="207"/>
        <v>36.572222222222223</v>
      </c>
      <c r="G142" s="110">
        <f t="shared" si="207"/>
        <v>35.52956989247312</v>
      </c>
      <c r="H142" s="110">
        <f t="shared" si="207"/>
        <v>36.830555555555556</v>
      </c>
      <c r="I142" s="110">
        <f t="shared" si="207"/>
        <v>35.698924731182792</v>
      </c>
      <c r="J142" s="110">
        <f t="shared" si="207"/>
        <v>35.77956989247312</v>
      </c>
      <c r="K142" s="110">
        <f t="shared" si="207"/>
        <v>37.669444444444444</v>
      </c>
      <c r="L142" s="110">
        <f t="shared" si="207"/>
        <v>35.803763440860216</v>
      </c>
      <c r="M142" s="110">
        <f t="shared" si="207"/>
        <v>36.644444444444446</v>
      </c>
      <c r="N142" s="110">
        <f t="shared" si="207"/>
        <v>35.357526881720432</v>
      </c>
      <c r="O142" s="110">
        <f>SUM(C142:N142)</f>
        <v>435.71954685099848</v>
      </c>
      <c r="Q142" s="24">
        <f>MAX(C142:N142)</f>
        <v>39.113095238095241</v>
      </c>
    </row>
    <row r="143" spans="1:23" x14ac:dyDescent="0.25">
      <c r="A143" s="14" t="s">
        <v>678</v>
      </c>
      <c r="C143" s="195">
        <v>1</v>
      </c>
      <c r="D143" s="195">
        <v>1</v>
      </c>
      <c r="E143" s="195">
        <v>1</v>
      </c>
      <c r="F143" s="195">
        <v>0</v>
      </c>
      <c r="G143" s="195">
        <v>0</v>
      </c>
      <c r="H143" s="195">
        <v>0</v>
      </c>
      <c r="I143" s="195">
        <v>0</v>
      </c>
      <c r="J143" s="195">
        <v>0</v>
      </c>
      <c r="K143" s="195">
        <v>0</v>
      </c>
      <c r="L143" s="195">
        <v>1</v>
      </c>
      <c r="M143" s="195">
        <v>1</v>
      </c>
      <c r="N143" s="195">
        <v>1</v>
      </c>
      <c r="O143" s="195"/>
      <c r="P143" s="110"/>
      <c r="Q143" s="24"/>
    </row>
    <row r="144" spans="1:23" x14ac:dyDescent="0.25">
      <c r="A144" s="14" t="s">
        <v>679</v>
      </c>
      <c r="C144" s="110">
        <f>C142*C143</f>
        <v>35.327956989247312</v>
      </c>
      <c r="D144" s="110">
        <f t="shared" ref="D144:N144" si="208">D142*D143</f>
        <v>39.113095238095241</v>
      </c>
      <c r="E144" s="110">
        <f t="shared" si="208"/>
        <v>35.392473118279568</v>
      </c>
      <c r="F144" s="110">
        <f t="shared" si="208"/>
        <v>0</v>
      </c>
      <c r="G144" s="110">
        <f t="shared" si="208"/>
        <v>0</v>
      </c>
      <c r="H144" s="110">
        <f t="shared" si="208"/>
        <v>0</v>
      </c>
      <c r="I144" s="110">
        <f t="shared" si="208"/>
        <v>0</v>
      </c>
      <c r="J144" s="110">
        <f t="shared" si="208"/>
        <v>0</v>
      </c>
      <c r="K144" s="110">
        <f t="shared" si="208"/>
        <v>0</v>
      </c>
      <c r="L144" s="110">
        <f t="shared" si="208"/>
        <v>35.803763440860216</v>
      </c>
      <c r="M144" s="110">
        <f t="shared" si="208"/>
        <v>36.644444444444446</v>
      </c>
      <c r="N144" s="110">
        <f t="shared" si="208"/>
        <v>35.357526881720432</v>
      </c>
      <c r="O144" s="110">
        <f>SUM(C144:N144)</f>
        <v>217.63926011264721</v>
      </c>
      <c r="P144" s="110"/>
      <c r="Q144" s="24"/>
      <c r="R144" s="24">
        <f>O144</f>
        <v>217.63926011264721</v>
      </c>
      <c r="S144" s="24">
        <f>H144+I144+J144</f>
        <v>0</v>
      </c>
      <c r="T144" s="24">
        <f>R144-S144</f>
        <v>217.63926011264721</v>
      </c>
    </row>
    <row r="145" spans="1:23" x14ac:dyDescent="0.25">
      <c r="A145" s="14" t="s">
        <v>754</v>
      </c>
      <c r="C145" s="195">
        <v>0.5</v>
      </c>
      <c r="D145" s="195">
        <f>C145</f>
        <v>0.5</v>
      </c>
      <c r="E145" s="195">
        <f t="shared" ref="E145:N145" si="209">D145</f>
        <v>0.5</v>
      </c>
      <c r="F145" s="195">
        <f t="shared" si="209"/>
        <v>0.5</v>
      </c>
      <c r="G145" s="195">
        <f t="shared" si="209"/>
        <v>0.5</v>
      </c>
      <c r="H145" s="195">
        <f t="shared" si="209"/>
        <v>0.5</v>
      </c>
      <c r="I145" s="195">
        <f t="shared" si="209"/>
        <v>0.5</v>
      </c>
      <c r="J145" s="195">
        <f t="shared" si="209"/>
        <v>0.5</v>
      </c>
      <c r="K145" s="195">
        <f t="shared" si="209"/>
        <v>0.5</v>
      </c>
      <c r="L145" s="195">
        <f t="shared" si="209"/>
        <v>0.5</v>
      </c>
      <c r="M145" s="195">
        <f t="shared" si="209"/>
        <v>0.5</v>
      </c>
      <c r="N145" s="195">
        <f t="shared" si="209"/>
        <v>0.5</v>
      </c>
      <c r="O145" s="195"/>
      <c r="P145" s="217"/>
      <c r="Q145" s="75"/>
      <c r="U145" s="73"/>
      <c r="W145" s="73"/>
    </row>
    <row r="146" spans="1:23" x14ac:dyDescent="0.25">
      <c r="A146" s="14" t="s">
        <v>755</v>
      </c>
      <c r="C146" s="110">
        <f>C140/C145</f>
        <v>35.327956989247312</v>
      </c>
      <c r="D146" s="110">
        <f t="shared" ref="D146:N146" si="210">D140/D145</f>
        <v>39.113095238095241</v>
      </c>
      <c r="E146" s="110">
        <f t="shared" si="210"/>
        <v>35.392473118279568</v>
      </c>
      <c r="F146" s="110">
        <f t="shared" si="210"/>
        <v>36.572222222222223</v>
      </c>
      <c r="G146" s="110">
        <f t="shared" si="210"/>
        <v>35.52956989247312</v>
      </c>
      <c r="H146" s="110">
        <f t="shared" si="210"/>
        <v>36.830555555555556</v>
      </c>
      <c r="I146" s="110">
        <f t="shared" si="210"/>
        <v>35.698924731182792</v>
      </c>
      <c r="J146" s="110">
        <f t="shared" si="210"/>
        <v>35.77956989247312</v>
      </c>
      <c r="K146" s="110">
        <f t="shared" si="210"/>
        <v>37.669444444444444</v>
      </c>
      <c r="L146" s="110">
        <f t="shared" si="210"/>
        <v>35.803763440860216</v>
      </c>
      <c r="M146" s="110">
        <f t="shared" si="210"/>
        <v>36.644444444444446</v>
      </c>
      <c r="N146" s="110">
        <f t="shared" si="210"/>
        <v>35.357526881720432</v>
      </c>
      <c r="O146" s="110">
        <f>SUM(C146:N146)</f>
        <v>435.71954685099848</v>
      </c>
      <c r="P146" s="110">
        <f>MAX(C146:N146)</f>
        <v>39.113095238095241</v>
      </c>
      <c r="Q146" s="27"/>
    </row>
    <row r="148" spans="1:23" x14ac:dyDescent="0.25">
      <c r="A148" s="107" t="str">
        <f>A19</f>
        <v>App Harvest (70)</v>
      </c>
      <c r="B148" s="201" t="str">
        <f>B19</f>
        <v>Contract</v>
      </c>
      <c r="C148" s="110">
        <v>1</v>
      </c>
      <c r="D148" s="110">
        <v>1</v>
      </c>
      <c r="E148" s="110">
        <v>1</v>
      </c>
      <c r="F148" s="110">
        <v>1</v>
      </c>
      <c r="G148" s="110">
        <v>1</v>
      </c>
      <c r="H148" s="110">
        <v>1</v>
      </c>
      <c r="I148" s="110">
        <v>1</v>
      </c>
      <c r="J148" s="110">
        <v>1</v>
      </c>
      <c r="K148" s="110">
        <v>1</v>
      </c>
      <c r="L148" s="110">
        <v>1</v>
      </c>
      <c r="M148" s="110">
        <v>1</v>
      </c>
      <c r="N148" s="110">
        <v>1</v>
      </c>
      <c r="O148" s="110">
        <f>ROUND(SUM(C148:N148)/12,0)</f>
        <v>1</v>
      </c>
      <c r="P148" s="110"/>
      <c r="Q148" s="24"/>
    </row>
    <row r="149" spans="1:23" x14ac:dyDescent="0.25">
      <c r="A149" s="14" t="s">
        <v>1020</v>
      </c>
      <c r="C149" s="110">
        <v>8044111</v>
      </c>
      <c r="D149" s="110">
        <v>6446792</v>
      </c>
      <c r="E149" s="110">
        <v>4120202</v>
      </c>
      <c r="F149" s="110">
        <v>1551203</v>
      </c>
      <c r="G149" s="110">
        <v>341077</v>
      </c>
      <c r="H149" s="110">
        <v>327369</v>
      </c>
      <c r="I149" s="110">
        <v>278201</v>
      </c>
      <c r="J149" s="110">
        <v>200000</v>
      </c>
      <c r="K149" s="110">
        <v>237719</v>
      </c>
      <c r="L149" s="110">
        <v>4000000</v>
      </c>
      <c r="M149" s="110">
        <v>6907070</v>
      </c>
      <c r="N149" s="110">
        <v>9009774</v>
      </c>
      <c r="O149" s="110">
        <f>SUM(C149:N149)</f>
        <v>41463518</v>
      </c>
      <c r="P149" s="217"/>
      <c r="Q149" s="75"/>
      <c r="U149" s="73"/>
      <c r="W149" s="73"/>
    </row>
    <row r="150" spans="1:23" x14ac:dyDescent="0.25">
      <c r="A150" s="14" t="s">
        <v>677</v>
      </c>
      <c r="C150" s="110">
        <f>C149/744</f>
        <v>10811.977150537634</v>
      </c>
      <c r="D150" s="121">
        <f>D149/672</f>
        <v>9593.4404761904771</v>
      </c>
      <c r="E150" s="110">
        <f t="shared" ref="E150:N150" si="211">E149/744</f>
        <v>5537.9059139784949</v>
      </c>
      <c r="F150" s="110">
        <f>F149/720</f>
        <v>2154.4486111111109</v>
      </c>
      <c r="G150" s="110">
        <f t="shared" si="211"/>
        <v>458.43682795698925</v>
      </c>
      <c r="H150" s="121">
        <f>H149/720</f>
        <v>454.67916666666667</v>
      </c>
      <c r="I150" s="121">
        <f>I149/744</f>
        <v>373.92607526881721</v>
      </c>
      <c r="J150" s="110">
        <f t="shared" si="211"/>
        <v>268.81720430107526</v>
      </c>
      <c r="K150" s="110">
        <f>K149/720</f>
        <v>330.16527777777776</v>
      </c>
      <c r="L150" s="110">
        <f t="shared" si="211"/>
        <v>5376.3440860215051</v>
      </c>
      <c r="M150" s="110">
        <f>M149/720</f>
        <v>9593.1527777777774</v>
      </c>
      <c r="N150" s="110">
        <f t="shared" si="211"/>
        <v>12109.911290322581</v>
      </c>
      <c r="O150" s="110">
        <f>O149/8760</f>
        <v>4733.2783105022827</v>
      </c>
      <c r="P150" s="110"/>
      <c r="Q150" s="27"/>
    </row>
    <row r="151" spans="1:23" x14ac:dyDescent="0.25">
      <c r="A151" s="14" t="s">
        <v>752</v>
      </c>
      <c r="C151" s="195">
        <f>C155</f>
        <v>0.42341794206139155</v>
      </c>
      <c r="D151" s="195">
        <f t="shared" ref="D151:N151" si="212">D155+0</f>
        <v>0.34071417940990439</v>
      </c>
      <c r="E151" s="195">
        <f t="shared" si="212"/>
        <v>0.2887935916759749</v>
      </c>
      <c r="F151" s="195">
        <f t="shared" si="212"/>
        <v>0.21496548807270896</v>
      </c>
      <c r="G151" s="195">
        <f t="shared" si="212"/>
        <v>0.7958972707586619</v>
      </c>
      <c r="H151" s="195">
        <f t="shared" si="212"/>
        <v>0.97347809020839282</v>
      </c>
      <c r="I151" s="195">
        <f t="shared" si="212"/>
        <v>1.280568750920607</v>
      </c>
      <c r="J151" s="195">
        <f t="shared" si="212"/>
        <v>0.8784875957551479</v>
      </c>
      <c r="K151" s="195">
        <f t="shared" si="212"/>
        <v>1.4589716207590711</v>
      </c>
      <c r="L151" s="195">
        <f t="shared" si="212"/>
        <v>0.21915637070037117</v>
      </c>
      <c r="M151" s="195">
        <f t="shared" si="212"/>
        <v>0.37291408863463105</v>
      </c>
      <c r="N151" s="195">
        <f t="shared" si="212"/>
        <v>0.49571866594304231</v>
      </c>
      <c r="O151" s="195"/>
      <c r="Q151" s="24"/>
    </row>
    <row r="152" spans="1:23" x14ac:dyDescent="0.25">
      <c r="A152" s="14" t="s">
        <v>753</v>
      </c>
      <c r="C152" s="110">
        <v>25535</v>
      </c>
      <c r="D152" s="110">
        <v>25432</v>
      </c>
      <c r="E152" s="110">
        <v>19176</v>
      </c>
      <c r="F152" s="110">
        <v>9699</v>
      </c>
      <c r="G152" s="110">
        <v>576</v>
      </c>
      <c r="H152" s="110">
        <v>452</v>
      </c>
      <c r="I152" s="110">
        <v>292</v>
      </c>
      <c r="J152" s="110">
        <v>306</v>
      </c>
      <c r="K152" s="110">
        <v>219</v>
      </c>
      <c r="L152" s="110">
        <v>24532</v>
      </c>
      <c r="M152" s="110">
        <v>24895</v>
      </c>
      <c r="N152" s="110">
        <v>24429</v>
      </c>
      <c r="O152" s="110">
        <f>SUM(C152:N152)</f>
        <v>155543</v>
      </c>
      <c r="Q152" s="24">
        <f>MAX(C152:N152)</f>
        <v>25535</v>
      </c>
    </row>
    <row r="153" spans="1:23" x14ac:dyDescent="0.25">
      <c r="A153" s="14" t="s">
        <v>678</v>
      </c>
      <c r="C153" s="195">
        <v>0.7</v>
      </c>
      <c r="D153" s="195">
        <f>C153</f>
        <v>0.7</v>
      </c>
      <c r="E153" s="195">
        <f t="shared" ref="E153:L153" si="213">D153</f>
        <v>0.7</v>
      </c>
      <c r="F153" s="195">
        <f t="shared" si="213"/>
        <v>0.7</v>
      </c>
      <c r="G153" s="195">
        <f t="shared" si="213"/>
        <v>0.7</v>
      </c>
      <c r="H153" s="195">
        <f t="shared" si="213"/>
        <v>0.7</v>
      </c>
      <c r="I153" s="195">
        <f t="shared" si="213"/>
        <v>0.7</v>
      </c>
      <c r="J153" s="195">
        <f t="shared" si="213"/>
        <v>0.7</v>
      </c>
      <c r="K153" s="195">
        <f t="shared" si="213"/>
        <v>0.7</v>
      </c>
      <c r="L153" s="195">
        <f t="shared" si="213"/>
        <v>0.7</v>
      </c>
      <c r="M153" s="195">
        <f>L153</f>
        <v>0.7</v>
      </c>
      <c r="N153" s="195">
        <f>M153</f>
        <v>0.7</v>
      </c>
      <c r="O153" s="195"/>
      <c r="P153" s="110"/>
      <c r="Q153" s="24"/>
    </row>
    <row r="154" spans="1:23" x14ac:dyDescent="0.25">
      <c r="A154" s="14" t="s">
        <v>679</v>
      </c>
      <c r="C154" s="110">
        <v>680</v>
      </c>
      <c r="D154" s="110">
        <v>9710</v>
      </c>
      <c r="E154" s="110">
        <v>9772</v>
      </c>
      <c r="F154" s="110">
        <v>7915</v>
      </c>
      <c r="G154" s="110">
        <v>579</v>
      </c>
      <c r="H154" s="110">
        <v>397</v>
      </c>
      <c r="I154" s="110">
        <v>378</v>
      </c>
      <c r="J154" s="110">
        <v>305</v>
      </c>
      <c r="K154" s="110">
        <v>315</v>
      </c>
      <c r="L154" s="110">
        <v>9678</v>
      </c>
      <c r="M154" s="110">
        <v>9714</v>
      </c>
      <c r="N154" s="110">
        <v>578</v>
      </c>
      <c r="O154" s="110">
        <f>SUM(C154:N154)</f>
        <v>50021</v>
      </c>
      <c r="P154" s="110"/>
      <c r="Q154" s="24"/>
      <c r="R154" s="24">
        <f>O154</f>
        <v>50021</v>
      </c>
      <c r="S154" s="24">
        <f>H154+I154+J154</f>
        <v>1080</v>
      </c>
      <c r="T154" s="24">
        <f>R154-S154</f>
        <v>48941</v>
      </c>
    </row>
    <row r="155" spans="1:23" x14ac:dyDescent="0.25">
      <c r="A155" s="14" t="s">
        <v>754</v>
      </c>
      <c r="C155" s="195">
        <f>C150/C156</f>
        <v>0.42341794206139155</v>
      </c>
      <c r="D155" s="195">
        <f t="shared" ref="D155:N155" si="214">D149/(744*D156)</f>
        <v>0.34071417940990439</v>
      </c>
      <c r="E155" s="195">
        <f t="shared" si="214"/>
        <v>0.2887935916759749</v>
      </c>
      <c r="F155" s="195">
        <f t="shared" si="214"/>
        <v>0.21496548807270896</v>
      </c>
      <c r="G155" s="195">
        <f t="shared" si="214"/>
        <v>0.7958972707586619</v>
      </c>
      <c r="H155" s="195">
        <f t="shared" si="214"/>
        <v>0.97347809020839282</v>
      </c>
      <c r="I155" s="195">
        <f t="shared" si="214"/>
        <v>1.280568750920607</v>
      </c>
      <c r="J155" s="195">
        <f t="shared" si="214"/>
        <v>0.8784875957551479</v>
      </c>
      <c r="K155" s="195">
        <f t="shared" si="214"/>
        <v>1.4589716207590711</v>
      </c>
      <c r="L155" s="195">
        <f t="shared" si="214"/>
        <v>0.21915637070037117</v>
      </c>
      <c r="M155" s="195">
        <f t="shared" si="214"/>
        <v>0.37291408863463105</v>
      </c>
      <c r="N155" s="195">
        <f t="shared" si="214"/>
        <v>0.49571866594304231</v>
      </c>
      <c r="O155" s="195"/>
      <c r="P155" s="217"/>
      <c r="Q155" s="75"/>
      <c r="U155" s="73"/>
      <c r="W155" s="73"/>
    </row>
    <row r="156" spans="1:23" x14ac:dyDescent="0.25">
      <c r="A156" s="14" t="s">
        <v>755</v>
      </c>
      <c r="C156" s="110">
        <f>C152</f>
        <v>25535</v>
      </c>
      <c r="D156" s="110">
        <f t="shared" ref="D156:N156" si="215">D152</f>
        <v>25432</v>
      </c>
      <c r="E156" s="110">
        <f t="shared" si="215"/>
        <v>19176</v>
      </c>
      <c r="F156" s="110">
        <f t="shared" si="215"/>
        <v>9699</v>
      </c>
      <c r="G156" s="110">
        <f t="shared" si="215"/>
        <v>576</v>
      </c>
      <c r="H156" s="110">
        <f t="shared" si="215"/>
        <v>452</v>
      </c>
      <c r="I156" s="110">
        <f t="shared" si="215"/>
        <v>292</v>
      </c>
      <c r="J156" s="110">
        <f t="shared" si="215"/>
        <v>306</v>
      </c>
      <c r="K156" s="110">
        <f t="shared" si="215"/>
        <v>219</v>
      </c>
      <c r="L156" s="110">
        <f t="shared" si="215"/>
        <v>24532</v>
      </c>
      <c r="M156" s="110">
        <f t="shared" si="215"/>
        <v>24895</v>
      </c>
      <c r="N156" s="110">
        <f t="shared" si="215"/>
        <v>24429</v>
      </c>
      <c r="O156" s="110">
        <f>SUM(C156:N156)</f>
        <v>155543</v>
      </c>
      <c r="P156" s="110">
        <f>MAX(C156:N156)</f>
        <v>25535</v>
      </c>
      <c r="Q156" s="27"/>
    </row>
    <row r="158" spans="1:23" x14ac:dyDescent="0.25">
      <c r="A158" s="107" t="str">
        <f>A20</f>
        <v>Dravo (14 now 18)</v>
      </c>
      <c r="B158" s="201" t="str">
        <f>B20</f>
        <v>Contract</v>
      </c>
      <c r="C158" s="110">
        <v>1</v>
      </c>
      <c r="D158" s="110">
        <v>1</v>
      </c>
      <c r="E158" s="110">
        <v>1</v>
      </c>
      <c r="F158" s="110">
        <v>1</v>
      </c>
      <c r="G158" s="110">
        <v>1</v>
      </c>
      <c r="H158" s="110">
        <v>1</v>
      </c>
      <c r="I158" s="110">
        <v>1</v>
      </c>
      <c r="J158" s="110">
        <v>1</v>
      </c>
      <c r="K158" s="110">
        <v>1</v>
      </c>
      <c r="L158" s="110">
        <v>1</v>
      </c>
      <c r="M158" s="110">
        <v>1</v>
      </c>
      <c r="N158" s="110">
        <v>1</v>
      </c>
      <c r="O158" s="110">
        <f>ROUND(SUM(C158:N158)/12,0)</f>
        <v>1</v>
      </c>
      <c r="P158" s="110"/>
      <c r="Q158" s="24"/>
    </row>
    <row r="159" spans="1:23" x14ac:dyDescent="0.25">
      <c r="A159" s="14" t="s">
        <v>1020</v>
      </c>
      <c r="C159" s="110">
        <v>2993120</v>
      </c>
      <c r="D159" s="110">
        <v>4043215</v>
      </c>
      <c r="E159" s="110">
        <v>4454926</v>
      </c>
      <c r="F159" s="110">
        <v>5807132</v>
      </c>
      <c r="G159" s="110">
        <v>4616579</v>
      </c>
      <c r="H159" s="110">
        <v>4233261</v>
      </c>
      <c r="I159" s="110">
        <v>6114676</v>
      </c>
      <c r="J159" s="110">
        <v>6431756</v>
      </c>
      <c r="K159" s="110">
        <v>5915927</v>
      </c>
      <c r="L159" s="110">
        <v>5805826</v>
      </c>
      <c r="M159" s="110">
        <v>4336960</v>
      </c>
      <c r="N159" s="110">
        <v>4620149</v>
      </c>
      <c r="O159" s="110">
        <f>SUM(C159:N159)</f>
        <v>59373527</v>
      </c>
      <c r="P159" s="217"/>
      <c r="Q159" s="75"/>
      <c r="U159" s="73"/>
      <c r="W159" s="73"/>
    </row>
    <row r="160" spans="1:23" x14ac:dyDescent="0.25">
      <c r="A160" s="14" t="s">
        <v>677</v>
      </c>
      <c r="C160" s="110">
        <f>C159/744</f>
        <v>4023.010752688172</v>
      </c>
      <c r="D160" s="121">
        <f>D159/672</f>
        <v>6016.6889880952385</v>
      </c>
      <c r="E160" s="110">
        <f t="shared" ref="E160:N160" si="216">E159/744</f>
        <v>5987.8037634408602</v>
      </c>
      <c r="F160" s="110">
        <f>F159/720</f>
        <v>8065.4611111111108</v>
      </c>
      <c r="G160" s="110">
        <f t="shared" si="216"/>
        <v>6205.0793010752686</v>
      </c>
      <c r="H160" s="121">
        <f>H159/720</f>
        <v>5879.5291666666662</v>
      </c>
      <c r="I160" s="121">
        <f>I159/744</f>
        <v>8218.6505376344085</v>
      </c>
      <c r="J160" s="110">
        <f t="shared" si="216"/>
        <v>8644.8333333333339</v>
      </c>
      <c r="K160" s="110">
        <f>K159/720</f>
        <v>8216.5652777777777</v>
      </c>
      <c r="L160" s="110">
        <f t="shared" si="216"/>
        <v>7803.5295698924729</v>
      </c>
      <c r="M160" s="110">
        <f>M159/720</f>
        <v>6023.5555555555557</v>
      </c>
      <c r="N160" s="110">
        <f t="shared" si="216"/>
        <v>6209.8776881720432</v>
      </c>
      <c r="O160" s="110">
        <f>O159/8760</f>
        <v>6777.799885844749</v>
      </c>
      <c r="P160" s="110"/>
      <c r="Q160" s="27"/>
    </row>
    <row r="161" spans="1:23" x14ac:dyDescent="0.25">
      <c r="A161" s="14" t="s">
        <v>752</v>
      </c>
      <c r="C161" s="195">
        <f>C165</f>
        <v>0.53819541841982232</v>
      </c>
      <c r="D161" s="195">
        <f t="shared" ref="D161:N161" si="217">D165+0</f>
        <v>0.72662505193753979</v>
      </c>
      <c r="E161" s="195">
        <f t="shared" si="217"/>
        <v>0.7995465033303325</v>
      </c>
      <c r="F161" s="195">
        <f t="shared" si="217"/>
        <v>1.0971724692488838</v>
      </c>
      <c r="G161" s="195">
        <f t="shared" si="217"/>
        <v>0.86409682510447972</v>
      </c>
      <c r="H161" s="195">
        <f t="shared" si="217"/>
        <v>0.7991386145342515</v>
      </c>
      <c r="I161" s="195">
        <f t="shared" si="217"/>
        <v>0.95013301013114548</v>
      </c>
      <c r="J161" s="195">
        <f t="shared" si="217"/>
        <v>0.99468799140873698</v>
      </c>
      <c r="K161" s="195">
        <f t="shared" si="217"/>
        <v>0.91354719496165404</v>
      </c>
      <c r="L161" s="195">
        <f t="shared" si="217"/>
        <v>0.89716366634772049</v>
      </c>
      <c r="M161" s="195">
        <f t="shared" si="217"/>
        <v>0.67049083411869759</v>
      </c>
      <c r="N161" s="195">
        <f t="shared" si="217"/>
        <v>0.71336906239770737</v>
      </c>
      <c r="O161" s="195"/>
      <c r="Q161" s="24"/>
    </row>
    <row r="162" spans="1:23" x14ac:dyDescent="0.25">
      <c r="A162" s="14" t="s">
        <v>753</v>
      </c>
      <c r="C162" s="110">
        <f>C166</f>
        <v>7475</v>
      </c>
      <c r="D162" s="110">
        <f t="shared" ref="D162:N162" si="218">D166</f>
        <v>7479</v>
      </c>
      <c r="E162" s="110">
        <f t="shared" si="218"/>
        <v>7489</v>
      </c>
      <c r="F162" s="110">
        <f t="shared" si="218"/>
        <v>7114</v>
      </c>
      <c r="G162" s="110">
        <f t="shared" si="218"/>
        <v>7181</v>
      </c>
      <c r="H162" s="110">
        <f t="shared" si="218"/>
        <v>7120</v>
      </c>
      <c r="I162" s="110">
        <f t="shared" si="218"/>
        <v>8650</v>
      </c>
      <c r="J162" s="110">
        <f t="shared" si="218"/>
        <v>8691</v>
      </c>
      <c r="K162" s="110">
        <f t="shared" si="218"/>
        <v>8704</v>
      </c>
      <c r="L162" s="110">
        <f t="shared" si="218"/>
        <v>8698</v>
      </c>
      <c r="M162" s="110">
        <f t="shared" si="218"/>
        <v>8694</v>
      </c>
      <c r="N162" s="110">
        <f t="shared" si="218"/>
        <v>8705</v>
      </c>
      <c r="O162" s="110">
        <f>SUM(C162:N162)</f>
        <v>96000</v>
      </c>
      <c r="Q162" s="24">
        <f>MAX(C162:N162)</f>
        <v>8705</v>
      </c>
    </row>
    <row r="163" spans="1:23" x14ac:dyDescent="0.25">
      <c r="A163" s="14" t="s">
        <v>678</v>
      </c>
      <c r="C163" s="195">
        <v>0.7</v>
      </c>
      <c r="D163" s="195">
        <f>C163</f>
        <v>0.7</v>
      </c>
      <c r="E163" s="195">
        <f t="shared" ref="E163:L163" si="219">D163</f>
        <v>0.7</v>
      </c>
      <c r="F163" s="195">
        <f t="shared" si="219"/>
        <v>0.7</v>
      </c>
      <c r="G163" s="195">
        <f t="shared" si="219"/>
        <v>0.7</v>
      </c>
      <c r="H163" s="195">
        <f t="shared" si="219"/>
        <v>0.7</v>
      </c>
      <c r="I163" s="195">
        <f t="shared" si="219"/>
        <v>0.7</v>
      </c>
      <c r="J163" s="195">
        <f t="shared" si="219"/>
        <v>0.7</v>
      </c>
      <c r="K163" s="195">
        <f t="shared" si="219"/>
        <v>0.7</v>
      </c>
      <c r="L163" s="195">
        <f t="shared" si="219"/>
        <v>0.7</v>
      </c>
      <c r="M163" s="195">
        <f>L163</f>
        <v>0.7</v>
      </c>
      <c r="N163" s="195">
        <f>M163</f>
        <v>0.7</v>
      </c>
      <c r="O163" s="195"/>
      <c r="P163" s="110"/>
      <c r="Q163" s="24"/>
    </row>
    <row r="164" spans="1:23" x14ac:dyDescent="0.25">
      <c r="A164" s="14" t="s">
        <v>679</v>
      </c>
      <c r="C164" s="110">
        <v>4583</v>
      </c>
      <c r="D164" s="110">
        <v>5691</v>
      </c>
      <c r="E164" s="110">
        <v>5575</v>
      </c>
      <c r="F164" s="110">
        <v>7541</v>
      </c>
      <c r="G164" s="110">
        <v>0</v>
      </c>
      <c r="H164" s="110">
        <v>4850</v>
      </c>
      <c r="I164" s="110">
        <v>9005</v>
      </c>
      <c r="J164" s="110">
        <v>9073</v>
      </c>
      <c r="K164" s="110">
        <v>8761</v>
      </c>
      <c r="L164" s="110">
        <v>7258</v>
      </c>
      <c r="M164" s="110">
        <v>6301</v>
      </c>
      <c r="N164" s="110">
        <v>6683</v>
      </c>
      <c r="O164" s="110">
        <f>SUM(C164:N164)</f>
        <v>75321</v>
      </c>
      <c r="P164" s="110"/>
      <c r="Q164" s="24"/>
      <c r="R164" s="24">
        <f>O164</f>
        <v>75321</v>
      </c>
      <c r="S164" s="24">
        <f>H164+I164+J164</f>
        <v>22928</v>
      </c>
      <c r="T164" s="24">
        <f>R164-S164</f>
        <v>52393</v>
      </c>
    </row>
    <row r="165" spans="1:23" x14ac:dyDescent="0.25">
      <c r="A165" s="14" t="s">
        <v>754</v>
      </c>
      <c r="C165" s="195">
        <f>C160/C166</f>
        <v>0.53819541841982232</v>
      </c>
      <c r="D165" s="195">
        <f t="shared" ref="D165:N165" si="220">D159/(744*D166)</f>
        <v>0.72662505193753979</v>
      </c>
      <c r="E165" s="195">
        <f t="shared" si="220"/>
        <v>0.7995465033303325</v>
      </c>
      <c r="F165" s="195">
        <f t="shared" si="220"/>
        <v>1.0971724692488838</v>
      </c>
      <c r="G165" s="195">
        <f t="shared" si="220"/>
        <v>0.86409682510447972</v>
      </c>
      <c r="H165" s="195">
        <f t="shared" si="220"/>
        <v>0.7991386145342515</v>
      </c>
      <c r="I165" s="195">
        <f t="shared" si="220"/>
        <v>0.95013301013114548</v>
      </c>
      <c r="J165" s="195">
        <f t="shared" si="220"/>
        <v>0.99468799140873698</v>
      </c>
      <c r="K165" s="195">
        <f t="shared" si="220"/>
        <v>0.91354719496165404</v>
      </c>
      <c r="L165" s="195">
        <f t="shared" si="220"/>
        <v>0.89716366634772049</v>
      </c>
      <c r="M165" s="195">
        <f t="shared" si="220"/>
        <v>0.67049083411869759</v>
      </c>
      <c r="N165" s="195">
        <f t="shared" si="220"/>
        <v>0.71336906239770737</v>
      </c>
      <c r="O165" s="195"/>
      <c r="P165" s="217"/>
      <c r="Q165" s="75"/>
      <c r="U165" s="73"/>
      <c r="W165" s="73"/>
    </row>
    <row r="166" spans="1:23" x14ac:dyDescent="0.25">
      <c r="A166" s="14" t="s">
        <v>755</v>
      </c>
      <c r="C166" s="110">
        <v>7475</v>
      </c>
      <c r="D166" s="110">
        <v>7479</v>
      </c>
      <c r="E166" s="110">
        <v>7489</v>
      </c>
      <c r="F166" s="110">
        <v>7114</v>
      </c>
      <c r="G166" s="110">
        <v>7181</v>
      </c>
      <c r="H166" s="110">
        <v>7120</v>
      </c>
      <c r="I166" s="110">
        <v>8650</v>
      </c>
      <c r="J166" s="110">
        <v>8691</v>
      </c>
      <c r="K166" s="110">
        <v>8704</v>
      </c>
      <c r="L166" s="110">
        <v>8698</v>
      </c>
      <c r="M166" s="110">
        <v>8694</v>
      </c>
      <c r="N166" s="110">
        <v>8705</v>
      </c>
      <c r="O166" s="110">
        <f>SUM(C166:N166)</f>
        <v>96000</v>
      </c>
      <c r="P166" s="110">
        <f>MAX(C166:N166)</f>
        <v>8705</v>
      </c>
      <c r="Q166" s="27"/>
    </row>
    <row r="167" spans="1:23" ht="15.75" customHeight="1" x14ac:dyDescent="0.25"/>
    <row r="168" spans="1:23" x14ac:dyDescent="0.25">
      <c r="A168" s="107" t="str">
        <f>A21</f>
        <v>Guardian Industries (16)</v>
      </c>
      <c r="B168" s="201" t="str">
        <f>B21</f>
        <v>Contract</v>
      </c>
      <c r="C168" s="110">
        <v>1</v>
      </c>
      <c r="D168" s="110">
        <v>1</v>
      </c>
      <c r="E168" s="110">
        <v>1</v>
      </c>
      <c r="F168" s="110">
        <v>1</v>
      </c>
      <c r="G168" s="110">
        <v>1</v>
      </c>
      <c r="H168" s="110">
        <v>1</v>
      </c>
      <c r="I168" s="110">
        <v>1</v>
      </c>
      <c r="J168" s="110">
        <v>1</v>
      </c>
      <c r="K168" s="110">
        <v>1</v>
      </c>
      <c r="L168" s="110">
        <v>1</v>
      </c>
      <c r="M168" s="110">
        <v>1</v>
      </c>
      <c r="N168" s="110">
        <v>1</v>
      </c>
      <c r="O168" s="110">
        <f>ROUND(SUM(C168:N168)/12,0)</f>
        <v>1</v>
      </c>
      <c r="P168" s="110"/>
      <c r="Q168" s="24"/>
    </row>
    <row r="169" spans="1:23" x14ac:dyDescent="0.25">
      <c r="A169" s="14" t="s">
        <v>1020</v>
      </c>
      <c r="C169" s="110">
        <v>4707766</v>
      </c>
      <c r="D169" s="110">
        <v>4362681</v>
      </c>
      <c r="E169" s="110">
        <v>4992461</v>
      </c>
      <c r="F169" s="110">
        <v>4737421</v>
      </c>
      <c r="G169" s="110">
        <v>4942844</v>
      </c>
      <c r="H169" s="110">
        <v>4964599</v>
      </c>
      <c r="I169" s="110">
        <v>4281026</v>
      </c>
      <c r="J169" s="110">
        <v>5027536</v>
      </c>
      <c r="K169" s="110">
        <v>4834586</v>
      </c>
      <c r="L169" s="110">
        <v>4601958</v>
      </c>
      <c r="M169" s="110">
        <v>4548442</v>
      </c>
      <c r="N169" s="110">
        <v>4171710</v>
      </c>
      <c r="O169" s="110">
        <f>SUM(C169:N169)</f>
        <v>56173030</v>
      </c>
      <c r="P169" s="217"/>
      <c r="Q169" s="75"/>
      <c r="U169" s="73"/>
      <c r="W169" s="73"/>
    </row>
    <row r="170" spans="1:23" x14ac:dyDescent="0.25">
      <c r="A170" s="14" t="s">
        <v>677</v>
      </c>
      <c r="C170" s="110">
        <f>C169/744</f>
        <v>6327.6424731182797</v>
      </c>
      <c r="D170" s="121">
        <f>D169/672</f>
        <v>6492.0848214285716</v>
      </c>
      <c r="E170" s="110">
        <f t="shared" ref="E170:N170" si="221">E169/744</f>
        <v>6710.2970430107525</v>
      </c>
      <c r="F170" s="110">
        <f>F169/720</f>
        <v>6579.7513888888889</v>
      </c>
      <c r="G170" s="110">
        <f t="shared" si="221"/>
        <v>6643.6075268817203</v>
      </c>
      <c r="H170" s="121">
        <f>H169/720</f>
        <v>6895.2763888888885</v>
      </c>
      <c r="I170" s="121">
        <f>I169/744</f>
        <v>5754.0672043010754</v>
      </c>
      <c r="J170" s="110">
        <f t="shared" si="221"/>
        <v>6757.4408602150534</v>
      </c>
      <c r="K170" s="110">
        <f>K169/720</f>
        <v>6714.7027777777776</v>
      </c>
      <c r="L170" s="110">
        <f t="shared" si="221"/>
        <v>6185.427419354839</v>
      </c>
      <c r="M170" s="110">
        <f>M169/720</f>
        <v>6317.2805555555551</v>
      </c>
      <c r="N170" s="110">
        <f t="shared" si="221"/>
        <v>5607.1370967741932</v>
      </c>
      <c r="O170" s="110">
        <f>O169/8760</f>
        <v>6412.4463470319633</v>
      </c>
      <c r="P170" s="110"/>
      <c r="Q170" s="27"/>
    </row>
    <row r="171" spans="1:23" x14ac:dyDescent="0.25">
      <c r="A171" s="14" t="s">
        <v>752</v>
      </c>
      <c r="C171" s="195">
        <f ca="1">C175</f>
        <v>0.89033945027694938</v>
      </c>
      <c r="D171" s="195">
        <f t="shared" ref="D171:N171" ca="1" si="222">D175+0</f>
        <v>0.84663854293778473</v>
      </c>
      <c r="E171" s="195">
        <f t="shared" ca="1" si="222"/>
        <v>0.99574076910680409</v>
      </c>
      <c r="F171" s="195">
        <f t="shared" ca="1" si="222"/>
        <v>0.9205582397117279</v>
      </c>
      <c r="G171" s="195">
        <f t="shared" ca="1" si="222"/>
        <v>0.89560629912128886</v>
      </c>
      <c r="H171" s="195">
        <f t="shared" ca="1" si="222"/>
        <v>0.85188920187406736</v>
      </c>
      <c r="I171" s="195">
        <f t="shared" ca="1" si="222"/>
        <v>0.75226398278220363</v>
      </c>
      <c r="J171" s="195">
        <f t="shared" ca="1" si="222"/>
        <v>0.89633119249436977</v>
      </c>
      <c r="K171" s="195">
        <f t="shared" ca="1" si="222"/>
        <v>0.83480208920421262</v>
      </c>
      <c r="L171" s="195">
        <f t="shared" ca="1" si="222"/>
        <v>0.85269195193752945</v>
      </c>
      <c r="M171" s="195">
        <f t="shared" ca="1" si="222"/>
        <v>0.89535695838136453</v>
      </c>
      <c r="N171" s="195">
        <f t="shared" ca="1" si="222"/>
        <v>1.8474916299091246</v>
      </c>
      <c r="O171" s="195"/>
      <c r="Q171" s="24"/>
    </row>
    <row r="172" spans="1:23" x14ac:dyDescent="0.25">
      <c r="A172" s="14" t="s">
        <v>753</v>
      </c>
      <c r="C172" s="110">
        <f ca="1">C176</f>
        <v>7107</v>
      </c>
      <c r="D172" s="110">
        <f t="shared" ref="D172:N172" ca="1" si="223">D176</f>
        <v>6926</v>
      </c>
      <c r="E172" s="110">
        <f t="shared" ca="1" si="223"/>
        <v>6739</v>
      </c>
      <c r="F172" s="110">
        <f t="shared" ca="1" si="223"/>
        <v>6917</v>
      </c>
      <c r="G172" s="110">
        <f t="shared" ca="1" si="223"/>
        <v>7418</v>
      </c>
      <c r="H172" s="110">
        <f t="shared" ca="1" si="223"/>
        <v>7833</v>
      </c>
      <c r="I172" s="110">
        <f t="shared" ca="1" si="223"/>
        <v>7649</v>
      </c>
      <c r="J172" s="110">
        <f t="shared" ca="1" si="223"/>
        <v>7539</v>
      </c>
      <c r="K172" s="110">
        <f t="shared" ca="1" si="223"/>
        <v>7784</v>
      </c>
      <c r="L172" s="110">
        <f t="shared" ca="1" si="223"/>
        <v>7254</v>
      </c>
      <c r="M172" s="110">
        <f t="shared" ca="1" si="223"/>
        <v>6828</v>
      </c>
      <c r="N172" s="110">
        <f t="shared" ca="1" si="223"/>
        <v>3035</v>
      </c>
      <c r="O172" s="110">
        <f ca="1">SUM(C172:N172)</f>
        <v>83029</v>
      </c>
      <c r="Q172" s="24">
        <f ca="1">MAX(C172:N172)</f>
        <v>7833</v>
      </c>
    </row>
    <row r="173" spans="1:23" x14ac:dyDescent="0.25">
      <c r="A173" s="14" t="s">
        <v>678</v>
      </c>
      <c r="C173" s="195">
        <v>0.7</v>
      </c>
      <c r="D173" s="195">
        <f>C173</f>
        <v>0.7</v>
      </c>
      <c r="E173" s="195">
        <f t="shared" ref="E173:L173" si="224">D173</f>
        <v>0.7</v>
      </c>
      <c r="F173" s="195">
        <f t="shared" si="224"/>
        <v>0.7</v>
      </c>
      <c r="G173" s="195">
        <f t="shared" si="224"/>
        <v>0.7</v>
      </c>
      <c r="H173" s="195">
        <f t="shared" si="224"/>
        <v>0.7</v>
      </c>
      <c r="I173" s="195">
        <f t="shared" si="224"/>
        <v>0.7</v>
      </c>
      <c r="J173" s="195">
        <f t="shared" si="224"/>
        <v>0.7</v>
      </c>
      <c r="K173" s="195">
        <f t="shared" si="224"/>
        <v>0.7</v>
      </c>
      <c r="L173" s="195">
        <f t="shared" si="224"/>
        <v>0.7</v>
      </c>
      <c r="M173" s="195">
        <f>L173</f>
        <v>0.7</v>
      </c>
      <c r="N173" s="195">
        <f>M173</f>
        <v>0.7</v>
      </c>
      <c r="O173" s="195"/>
      <c r="P173" s="110"/>
      <c r="Q173" s="24"/>
    </row>
    <row r="174" spans="1:23" x14ac:dyDescent="0.25">
      <c r="A174" s="14" t="s">
        <v>679</v>
      </c>
      <c r="C174" s="110">
        <v>7107</v>
      </c>
      <c r="D174" s="110">
        <v>6909</v>
      </c>
      <c r="E174" s="110">
        <v>6163</v>
      </c>
      <c r="F174" s="110">
        <v>6690</v>
      </c>
      <c r="G174" s="110">
        <v>7309</v>
      </c>
      <c r="H174" s="110">
        <v>7617</v>
      </c>
      <c r="I174" s="110">
        <v>7649</v>
      </c>
      <c r="J174" s="110">
        <v>7539</v>
      </c>
      <c r="K174" s="110">
        <v>7784</v>
      </c>
      <c r="L174" s="110">
        <v>7096</v>
      </c>
      <c r="M174" s="110">
        <v>6719</v>
      </c>
      <c r="N174" s="110">
        <v>3032</v>
      </c>
      <c r="O174" s="110">
        <f>SUM(C174:N174)</f>
        <v>81614</v>
      </c>
      <c r="P174" s="110"/>
      <c r="Q174" s="24"/>
      <c r="R174" s="24">
        <f>O174</f>
        <v>81614</v>
      </c>
      <c r="S174" s="24">
        <f>H174+I174+J174</f>
        <v>22805</v>
      </c>
      <c r="T174" s="24">
        <f>R174-S174</f>
        <v>58809</v>
      </c>
    </row>
    <row r="175" spans="1:23" x14ac:dyDescent="0.25">
      <c r="A175" s="14" t="s">
        <v>754</v>
      </c>
      <c r="C175" s="195">
        <f ca="1">C170/C176</f>
        <v>0.89033945027694938</v>
      </c>
      <c r="D175" s="195">
        <f t="shared" ref="D175:N175" ca="1" si="225">D169/(744*D176)</f>
        <v>0.84663854293778473</v>
      </c>
      <c r="E175" s="195">
        <f t="shared" ca="1" si="225"/>
        <v>0.99574076910680409</v>
      </c>
      <c r="F175" s="195">
        <f t="shared" ca="1" si="225"/>
        <v>0.9205582397117279</v>
      </c>
      <c r="G175" s="195">
        <f t="shared" ca="1" si="225"/>
        <v>0.89560629912128886</v>
      </c>
      <c r="H175" s="195">
        <f t="shared" ca="1" si="225"/>
        <v>0.85188920187406736</v>
      </c>
      <c r="I175" s="195">
        <f t="shared" ca="1" si="225"/>
        <v>0.75226398278220363</v>
      </c>
      <c r="J175" s="195">
        <f t="shared" ca="1" si="225"/>
        <v>0.89633119249436977</v>
      </c>
      <c r="K175" s="195">
        <f t="shared" ca="1" si="225"/>
        <v>0.83480208920421262</v>
      </c>
      <c r="L175" s="195">
        <f t="shared" ca="1" si="225"/>
        <v>0.85269195193752945</v>
      </c>
      <c r="M175" s="195">
        <f t="shared" ca="1" si="225"/>
        <v>0.89535695838136453</v>
      </c>
      <c r="N175" s="195">
        <f t="shared" ca="1" si="225"/>
        <v>1.8474916299091246</v>
      </c>
      <c r="O175" s="195"/>
      <c r="P175" s="217"/>
      <c r="Q175" s="75"/>
      <c r="U175" s="73"/>
      <c r="W175" s="73"/>
    </row>
    <row r="176" spans="1:23" x14ac:dyDescent="0.25">
      <c r="A176" s="14" t="s">
        <v>755</v>
      </c>
      <c r="C176" s="110">
        <f ca="1">MAX(C172,C174)</f>
        <v>7107</v>
      </c>
      <c r="D176" s="110">
        <f t="shared" ref="D176:N176" ca="1" si="226">MAX(D172,D174)</f>
        <v>6926</v>
      </c>
      <c r="E176" s="110">
        <f t="shared" ca="1" si="226"/>
        <v>6739</v>
      </c>
      <c r="F176" s="110">
        <f t="shared" ca="1" si="226"/>
        <v>6917</v>
      </c>
      <c r="G176" s="110">
        <f t="shared" ca="1" si="226"/>
        <v>7418</v>
      </c>
      <c r="H176" s="110">
        <f t="shared" ca="1" si="226"/>
        <v>7833</v>
      </c>
      <c r="I176" s="110">
        <f t="shared" ca="1" si="226"/>
        <v>7649</v>
      </c>
      <c r="J176" s="110">
        <f t="shared" ca="1" si="226"/>
        <v>7539</v>
      </c>
      <c r="K176" s="110">
        <f t="shared" ca="1" si="226"/>
        <v>7784</v>
      </c>
      <c r="L176" s="110">
        <f t="shared" ca="1" si="226"/>
        <v>7254</v>
      </c>
      <c r="M176" s="110">
        <f t="shared" ca="1" si="226"/>
        <v>6828</v>
      </c>
      <c r="N176" s="110">
        <f t="shared" ca="1" si="226"/>
        <v>3035</v>
      </c>
      <c r="O176" s="110">
        <f ca="1">SUM(C176:N176)</f>
        <v>83029</v>
      </c>
      <c r="P176" s="110">
        <f ca="1">MAX(C176:N176)</f>
        <v>7833</v>
      </c>
      <c r="Q176" s="27"/>
    </row>
    <row r="178" spans="1:23" x14ac:dyDescent="0.25">
      <c r="A178" s="107" t="str">
        <f>A22</f>
        <v>Int'l Paper (12)</v>
      </c>
      <c r="B178" s="201" t="str">
        <f>B22</f>
        <v>Contract</v>
      </c>
      <c r="C178" s="110">
        <v>1</v>
      </c>
      <c r="D178" s="110">
        <v>1</v>
      </c>
      <c r="E178" s="110">
        <v>1</v>
      </c>
      <c r="F178" s="110">
        <v>1</v>
      </c>
      <c r="G178" s="110">
        <v>1</v>
      </c>
      <c r="H178" s="110">
        <v>1</v>
      </c>
      <c r="I178" s="110">
        <v>1</v>
      </c>
      <c r="J178" s="110">
        <v>1</v>
      </c>
      <c r="K178" s="110">
        <v>1</v>
      </c>
      <c r="L178" s="110">
        <v>1</v>
      </c>
      <c r="M178" s="110">
        <v>1</v>
      </c>
      <c r="N178" s="110">
        <v>1</v>
      </c>
      <c r="O178" s="110">
        <f>ROUND(SUM(C178:N178)/12,0)</f>
        <v>1</v>
      </c>
      <c r="P178" s="110"/>
      <c r="Q178" s="24"/>
    </row>
    <row r="179" spans="1:23" x14ac:dyDescent="0.25">
      <c r="A179" s="14" t="s">
        <v>1020</v>
      </c>
      <c r="C179" s="110">
        <v>23768492</v>
      </c>
      <c r="D179" s="110">
        <v>21468045</v>
      </c>
      <c r="E179" s="110">
        <v>23807612</v>
      </c>
      <c r="F179" s="110">
        <v>19474865</v>
      </c>
      <c r="G179" s="110">
        <v>23868064</v>
      </c>
      <c r="H179" s="110">
        <v>21110299</v>
      </c>
      <c r="I179" s="110">
        <v>22752041</v>
      </c>
      <c r="J179" s="110">
        <v>24298983</v>
      </c>
      <c r="K179" s="110">
        <v>20396585</v>
      </c>
      <c r="L179" s="110">
        <v>22150977</v>
      </c>
      <c r="M179" s="110">
        <v>20249139</v>
      </c>
      <c r="N179" s="110">
        <v>20840848</v>
      </c>
      <c r="O179" s="110">
        <f>SUM(C179:N179)</f>
        <v>264185950</v>
      </c>
      <c r="P179" s="217"/>
      <c r="Q179" s="75"/>
      <c r="U179" s="73"/>
      <c r="W179" s="73"/>
    </row>
    <row r="180" spans="1:23" x14ac:dyDescent="0.25">
      <c r="A180" s="14" t="s">
        <v>677</v>
      </c>
      <c r="C180" s="110">
        <f>C179/744</f>
        <v>31946.897849462366</v>
      </c>
      <c r="D180" s="121">
        <f>D179/672</f>
        <v>31946.495535714286</v>
      </c>
      <c r="E180" s="110">
        <f t="shared" ref="E180:N180" si="227">E179/744</f>
        <v>31999.478494623654</v>
      </c>
      <c r="F180" s="110">
        <f>F179/720</f>
        <v>27048.423611111109</v>
      </c>
      <c r="G180" s="110">
        <f t="shared" si="227"/>
        <v>32080.731182795698</v>
      </c>
      <c r="H180" s="121">
        <f>H179/720</f>
        <v>29319.859722222223</v>
      </c>
      <c r="I180" s="121">
        <f>I179/744</f>
        <v>30580.700268817203</v>
      </c>
      <c r="J180" s="110">
        <f t="shared" si="227"/>
        <v>32659.923387096773</v>
      </c>
      <c r="K180" s="110">
        <f>K179/720</f>
        <v>28328.590277777777</v>
      </c>
      <c r="L180" s="110">
        <f t="shared" si="227"/>
        <v>29772.818548387098</v>
      </c>
      <c r="M180" s="110">
        <f>M179/720</f>
        <v>28123.804166666665</v>
      </c>
      <c r="N180" s="110">
        <f t="shared" si="227"/>
        <v>28011.892473118278</v>
      </c>
      <c r="O180" s="110">
        <f>O179/8760</f>
        <v>30158.213470319635</v>
      </c>
      <c r="P180" s="110"/>
      <c r="Q180" s="27"/>
    </row>
    <row r="181" spans="1:23" x14ac:dyDescent="0.25">
      <c r="A181" s="14" t="s">
        <v>752</v>
      </c>
      <c r="C181" s="195">
        <f ca="1">C185</f>
        <v>0.96557147583456349</v>
      </c>
      <c r="D181" s="195">
        <f t="shared" ref="D181:N181" ca="1" si="228">D185+0</f>
        <v>0.87843701880018221</v>
      </c>
      <c r="E181" s="195">
        <f t="shared" ca="1" si="228"/>
        <v>0.95695082073697346</v>
      </c>
      <c r="F181" s="195">
        <f t="shared" ca="1" si="228"/>
        <v>0.83458403957417104</v>
      </c>
      <c r="G181" s="195">
        <f t="shared" ca="1" si="228"/>
        <v>0.96897218747117608</v>
      </c>
      <c r="H181" s="195">
        <f t="shared" ca="1" si="228"/>
        <v>0.86630408804381043</v>
      </c>
      <c r="I181" s="195">
        <f t="shared" ca="1" si="228"/>
        <v>0.9012879536934042</v>
      </c>
      <c r="J181" s="195">
        <f t="shared" ca="1" si="228"/>
        <v>0.99448626372816828</v>
      </c>
      <c r="K181" s="195">
        <f t="shared" ca="1" si="228"/>
        <v>0.79144215436202647</v>
      </c>
      <c r="L181" s="195">
        <f t="shared" ca="1" si="228"/>
        <v>0.88273299775815628</v>
      </c>
      <c r="M181" s="195">
        <f t="shared" ca="1" si="228"/>
        <v>0.8516626929129566</v>
      </c>
      <c r="N181" s="195">
        <f t="shared" ca="1" si="228"/>
        <v>0.86998858541270507</v>
      </c>
      <c r="O181" s="195"/>
      <c r="Q181" s="24"/>
    </row>
    <row r="182" spans="1:23" x14ac:dyDescent="0.25">
      <c r="A182" s="14" t="s">
        <v>753</v>
      </c>
      <c r="C182" s="110">
        <f ca="1">C186</f>
        <v>33086</v>
      </c>
      <c r="D182" s="110">
        <f t="shared" ref="D182:N182" ca="1" si="229">D186</f>
        <v>32848</v>
      </c>
      <c r="E182" s="110">
        <f t="shared" ca="1" si="229"/>
        <v>33439</v>
      </c>
      <c r="F182" s="110">
        <f t="shared" ca="1" si="229"/>
        <v>31364</v>
      </c>
      <c r="G182" s="110">
        <f t="shared" ca="1" si="229"/>
        <v>33108</v>
      </c>
      <c r="H182" s="110">
        <f t="shared" ca="1" si="229"/>
        <v>32753</v>
      </c>
      <c r="I182" s="110">
        <f t="shared" ca="1" si="229"/>
        <v>33930</v>
      </c>
      <c r="J182" s="110">
        <f t="shared" ca="1" si="229"/>
        <v>32841</v>
      </c>
      <c r="K182" s="110">
        <f t="shared" ca="1" si="229"/>
        <v>34639</v>
      </c>
      <c r="L182" s="110">
        <f t="shared" ca="1" si="229"/>
        <v>33728</v>
      </c>
      <c r="M182" s="110">
        <f t="shared" ca="1" si="229"/>
        <v>31957</v>
      </c>
      <c r="N182" s="110">
        <f t="shared" ca="1" si="229"/>
        <v>32198</v>
      </c>
      <c r="O182" s="110">
        <f ca="1">SUM(C182:N182)</f>
        <v>395891</v>
      </c>
      <c r="Q182" s="24">
        <f ca="1">MAX(C182:N182)</f>
        <v>34639</v>
      </c>
    </row>
    <row r="183" spans="1:23" x14ac:dyDescent="0.25">
      <c r="A183" s="14" t="s">
        <v>678</v>
      </c>
      <c r="C183" s="195">
        <v>0.7</v>
      </c>
      <c r="D183" s="195">
        <f>C183</f>
        <v>0.7</v>
      </c>
      <c r="E183" s="195">
        <f t="shared" ref="E183:L183" si="230">D183</f>
        <v>0.7</v>
      </c>
      <c r="F183" s="195">
        <f t="shared" si="230"/>
        <v>0.7</v>
      </c>
      <c r="G183" s="195">
        <f t="shared" si="230"/>
        <v>0.7</v>
      </c>
      <c r="H183" s="195">
        <f t="shared" si="230"/>
        <v>0.7</v>
      </c>
      <c r="I183" s="195">
        <f t="shared" si="230"/>
        <v>0.7</v>
      </c>
      <c r="J183" s="195">
        <f t="shared" si="230"/>
        <v>0.7</v>
      </c>
      <c r="K183" s="195">
        <f t="shared" si="230"/>
        <v>0.7</v>
      </c>
      <c r="L183" s="195">
        <f t="shared" si="230"/>
        <v>0.7</v>
      </c>
      <c r="M183" s="195">
        <f>L183</f>
        <v>0.7</v>
      </c>
      <c r="N183" s="195">
        <f>M183</f>
        <v>0.7</v>
      </c>
      <c r="O183" s="195"/>
      <c r="P183" s="110"/>
      <c r="Q183" s="24"/>
    </row>
    <row r="184" spans="1:23" x14ac:dyDescent="0.25">
      <c r="A184" s="14" t="s">
        <v>679</v>
      </c>
      <c r="C184" s="110">
        <v>31172</v>
      </c>
      <c r="D184" s="110">
        <v>32773</v>
      </c>
      <c r="E184" s="110">
        <v>34290</v>
      </c>
      <c r="F184" s="110">
        <v>33998</v>
      </c>
      <c r="G184" s="110">
        <v>33015</v>
      </c>
      <c r="H184" s="110">
        <v>31697</v>
      </c>
      <c r="I184" s="110">
        <v>32201</v>
      </c>
      <c r="J184" s="110">
        <v>31665</v>
      </c>
      <c r="K184" s="110">
        <v>4098</v>
      </c>
      <c r="L184" s="110">
        <v>13591</v>
      </c>
      <c r="M184" s="110">
        <v>30506</v>
      </c>
      <c r="N184" s="110">
        <v>16503</v>
      </c>
      <c r="O184" s="110">
        <f>SUM(C184:N184)</f>
        <v>325509</v>
      </c>
      <c r="P184" s="110"/>
      <c r="Q184" s="24"/>
      <c r="R184" s="24">
        <f>O184</f>
        <v>325509</v>
      </c>
      <c r="S184" s="24">
        <f>H184+I184+J184</f>
        <v>95563</v>
      </c>
      <c r="T184" s="24">
        <f>R184-S184</f>
        <v>229946</v>
      </c>
    </row>
    <row r="185" spans="1:23" x14ac:dyDescent="0.25">
      <c r="A185" s="14" t="s">
        <v>754</v>
      </c>
      <c r="C185" s="195">
        <f ca="1">C180/C186</f>
        <v>0.96557147583456349</v>
      </c>
      <c r="D185" s="222">
        <f t="shared" ref="D185:N185" ca="1" si="231">D179/(744*D186)</f>
        <v>0.87843701880018221</v>
      </c>
      <c r="E185" s="222">
        <f t="shared" ca="1" si="231"/>
        <v>0.95695082073697346</v>
      </c>
      <c r="F185" s="222">
        <f t="shared" ca="1" si="231"/>
        <v>0.83458403957417104</v>
      </c>
      <c r="G185" s="222">
        <f t="shared" ca="1" si="231"/>
        <v>0.96897218747117608</v>
      </c>
      <c r="H185" s="222">
        <f t="shared" ca="1" si="231"/>
        <v>0.86630408804381043</v>
      </c>
      <c r="I185" s="222">
        <f t="shared" ca="1" si="231"/>
        <v>0.9012879536934042</v>
      </c>
      <c r="J185" s="222">
        <f t="shared" ca="1" si="231"/>
        <v>0.99448626372816828</v>
      </c>
      <c r="K185" s="222">
        <f t="shared" ca="1" si="231"/>
        <v>0.79144215436202647</v>
      </c>
      <c r="L185" s="222">
        <f t="shared" ca="1" si="231"/>
        <v>0.88273299775815628</v>
      </c>
      <c r="M185" s="222">
        <f t="shared" ca="1" si="231"/>
        <v>0.8516626929129566</v>
      </c>
      <c r="N185" s="222">
        <f t="shared" ca="1" si="231"/>
        <v>0.86998858541270507</v>
      </c>
      <c r="O185" s="195"/>
      <c r="P185" s="217"/>
      <c r="Q185" s="75"/>
      <c r="U185" s="73"/>
      <c r="W185" s="73"/>
    </row>
    <row r="186" spans="1:23" x14ac:dyDescent="0.25">
      <c r="A186" s="14" t="s">
        <v>755</v>
      </c>
      <c r="C186" s="110">
        <f ca="1">C182</f>
        <v>33086</v>
      </c>
      <c r="D186" s="110">
        <f t="shared" ref="D186:N186" ca="1" si="232">D182</f>
        <v>32848</v>
      </c>
      <c r="E186" s="110">
        <f t="shared" ca="1" si="232"/>
        <v>33439</v>
      </c>
      <c r="F186" s="110">
        <f t="shared" ca="1" si="232"/>
        <v>31364</v>
      </c>
      <c r="G186" s="110">
        <f t="shared" ca="1" si="232"/>
        <v>33108</v>
      </c>
      <c r="H186" s="110">
        <f t="shared" ca="1" si="232"/>
        <v>32753</v>
      </c>
      <c r="I186" s="110">
        <f t="shared" ca="1" si="232"/>
        <v>33930</v>
      </c>
      <c r="J186" s="110">
        <f t="shared" ca="1" si="232"/>
        <v>32841</v>
      </c>
      <c r="K186" s="110">
        <f t="shared" ca="1" si="232"/>
        <v>34639</v>
      </c>
      <c r="L186" s="110">
        <f t="shared" ca="1" si="232"/>
        <v>33728</v>
      </c>
      <c r="M186" s="110">
        <f t="shared" ca="1" si="232"/>
        <v>31957</v>
      </c>
      <c r="N186" s="110">
        <f t="shared" ca="1" si="232"/>
        <v>32198</v>
      </c>
      <c r="O186" s="110">
        <f ca="1">SUM(C186:N186)</f>
        <v>395891</v>
      </c>
      <c r="P186" s="110">
        <f ca="1">MAX(C186:N186)</f>
        <v>34639</v>
      </c>
      <c r="Q186" s="27"/>
    </row>
    <row r="188" spans="1:23" x14ac:dyDescent="0.25">
      <c r="A188" s="107" t="str">
        <f>A23</f>
        <v>Tennessee Gas (17)</v>
      </c>
      <c r="B188" s="201" t="str">
        <f>B23</f>
        <v>Contract</v>
      </c>
      <c r="C188" s="110">
        <v>1</v>
      </c>
      <c r="D188" s="110">
        <v>1</v>
      </c>
      <c r="E188" s="110">
        <v>1</v>
      </c>
      <c r="F188" s="110">
        <v>1</v>
      </c>
      <c r="G188" s="110">
        <v>1</v>
      </c>
      <c r="H188" s="110">
        <v>1</v>
      </c>
      <c r="I188" s="110">
        <v>1</v>
      </c>
      <c r="J188" s="110">
        <v>1</v>
      </c>
      <c r="K188" s="110">
        <v>1</v>
      </c>
      <c r="L188" s="110">
        <v>1</v>
      </c>
      <c r="M188" s="110">
        <v>1</v>
      </c>
      <c r="N188" s="110">
        <v>1</v>
      </c>
      <c r="O188" s="110">
        <f>ROUND(SUM(C188:N188)/12,0)</f>
        <v>1</v>
      </c>
      <c r="P188" s="110"/>
      <c r="Q188" s="24"/>
    </row>
    <row r="189" spans="1:23" x14ac:dyDescent="0.25">
      <c r="A189" s="14" t="s">
        <v>1020</v>
      </c>
      <c r="C189" s="110">
        <v>10052206</v>
      </c>
      <c r="D189" s="110">
        <v>3386585</v>
      </c>
      <c r="E189" s="110">
        <v>11864341</v>
      </c>
      <c r="F189" s="110">
        <v>13080010</v>
      </c>
      <c r="G189" s="110">
        <v>13207617</v>
      </c>
      <c r="H189" s="110">
        <v>15665848</v>
      </c>
      <c r="I189" s="110">
        <v>13917772</v>
      </c>
      <c r="J189" s="110">
        <v>16377070</v>
      </c>
      <c r="K189" s="110">
        <v>18130185</v>
      </c>
      <c r="L189" s="110">
        <v>13972164</v>
      </c>
      <c r="M189" s="110">
        <v>9895399</v>
      </c>
      <c r="N189" s="110">
        <v>1017806</v>
      </c>
      <c r="O189" s="110">
        <f>SUM(C189:N189)</f>
        <v>140567003</v>
      </c>
      <c r="P189" s="217"/>
      <c r="Q189" s="75"/>
      <c r="U189" s="73"/>
      <c r="W189" s="73"/>
    </row>
    <row r="190" spans="1:23" x14ac:dyDescent="0.25">
      <c r="A190" s="14" t="s">
        <v>677</v>
      </c>
      <c r="C190" s="110">
        <f>C189/744</f>
        <v>13511.029569892473</v>
      </c>
      <c r="D190" s="121">
        <f>D189/672</f>
        <v>5039.5610119047615</v>
      </c>
      <c r="E190" s="110">
        <f t="shared" ref="E190:N190" si="233">E189/744</f>
        <v>15946.694892473119</v>
      </c>
      <c r="F190" s="110">
        <f>F189/720</f>
        <v>18166.680555555555</v>
      </c>
      <c r="G190" s="110">
        <f t="shared" si="233"/>
        <v>17752.173387096773</v>
      </c>
      <c r="H190" s="121">
        <f>H189/720</f>
        <v>21758.12222222222</v>
      </c>
      <c r="I190" s="121">
        <f>I189/744</f>
        <v>18706.682795698925</v>
      </c>
      <c r="J190" s="110">
        <f t="shared" si="233"/>
        <v>22012.190860215054</v>
      </c>
      <c r="K190" s="110">
        <f>K189/720</f>
        <v>25180.8125</v>
      </c>
      <c r="L190" s="110">
        <f t="shared" si="233"/>
        <v>18779.790322580644</v>
      </c>
      <c r="M190" s="110">
        <f>M189/720</f>
        <v>13743.609722222222</v>
      </c>
      <c r="N190" s="110">
        <f t="shared" si="233"/>
        <v>1368.0188172043011</v>
      </c>
      <c r="O190" s="110">
        <f>O189/8760</f>
        <v>16046.461529680366</v>
      </c>
      <c r="P190" s="110"/>
      <c r="Q190" s="27"/>
    </row>
    <row r="191" spans="1:23" x14ac:dyDescent="0.25">
      <c r="A191" s="14" t="s">
        <v>752</v>
      </c>
      <c r="C191" s="195">
        <f>C195</f>
        <v>0.4741876801281884</v>
      </c>
      <c r="D191" s="195">
        <f t="shared" ref="D191:N191" si="234">D195+0</f>
        <v>0.21283310231167463</v>
      </c>
      <c r="E191" s="195">
        <f t="shared" si="234"/>
        <v>0.74371303481359563</v>
      </c>
      <c r="F191" s="195">
        <f t="shared" si="234"/>
        <v>0.81976399338573802</v>
      </c>
      <c r="G191" s="195">
        <f t="shared" si="234"/>
        <v>0.82764573579639023</v>
      </c>
      <c r="H191" s="195">
        <f t="shared" si="234"/>
        <v>0.7395422629891808</v>
      </c>
      <c r="I191" s="195">
        <f t="shared" si="234"/>
        <v>0.65678964945224794</v>
      </c>
      <c r="J191" s="195">
        <f t="shared" si="234"/>
        <v>0.77076196156080579</v>
      </c>
      <c r="K191" s="195">
        <f t="shared" si="234"/>
        <v>0.85344896248402802</v>
      </c>
      <c r="L191" s="195">
        <f t="shared" si="234"/>
        <v>0.65958802762646263</v>
      </c>
      <c r="M191" s="195">
        <f t="shared" si="234"/>
        <v>0.620724668554547</v>
      </c>
      <c r="N191" s="195">
        <f t="shared" si="234"/>
        <v>9.5907095990206193E-2</v>
      </c>
      <c r="O191" s="195"/>
      <c r="Q191" s="24"/>
    </row>
    <row r="192" spans="1:23" x14ac:dyDescent="0.25">
      <c r="A192" s="14" t="s">
        <v>753</v>
      </c>
      <c r="C192" s="110">
        <f>C196</f>
        <v>28493</v>
      </c>
      <c r="D192" s="110">
        <f t="shared" ref="D192:N192" si="235">D196</f>
        <v>21387</v>
      </c>
      <c r="E192" s="110">
        <f t="shared" si="235"/>
        <v>21442</v>
      </c>
      <c r="F192" s="110">
        <f t="shared" si="235"/>
        <v>21446</v>
      </c>
      <c r="G192" s="110">
        <f t="shared" si="235"/>
        <v>21449</v>
      </c>
      <c r="H192" s="110">
        <f t="shared" si="235"/>
        <v>28472</v>
      </c>
      <c r="I192" s="110">
        <f t="shared" si="235"/>
        <v>28482</v>
      </c>
      <c r="J192" s="110">
        <f t="shared" si="235"/>
        <v>28559</v>
      </c>
      <c r="K192" s="110">
        <f t="shared" si="235"/>
        <v>28553</v>
      </c>
      <c r="L192" s="110">
        <f t="shared" si="235"/>
        <v>28472</v>
      </c>
      <c r="M192" s="110">
        <f t="shared" si="235"/>
        <v>21427</v>
      </c>
      <c r="N192" s="110">
        <f t="shared" si="235"/>
        <v>14264</v>
      </c>
      <c r="O192" s="110">
        <f>SUM(C192:N192)</f>
        <v>292446</v>
      </c>
      <c r="Q192" s="24">
        <f>MAX(C192:N192)</f>
        <v>28559</v>
      </c>
    </row>
    <row r="193" spans="1:23" x14ac:dyDescent="0.25">
      <c r="A193" s="14" t="s">
        <v>678</v>
      </c>
      <c r="C193" s="195">
        <v>0.7</v>
      </c>
      <c r="D193" s="195">
        <f>C193</f>
        <v>0.7</v>
      </c>
      <c r="E193" s="195">
        <f t="shared" ref="E193:L193" si="236">D193</f>
        <v>0.7</v>
      </c>
      <c r="F193" s="195">
        <f t="shared" si="236"/>
        <v>0.7</v>
      </c>
      <c r="G193" s="195">
        <f t="shared" si="236"/>
        <v>0.7</v>
      </c>
      <c r="H193" s="195">
        <f t="shared" si="236"/>
        <v>0.7</v>
      </c>
      <c r="I193" s="195">
        <f t="shared" si="236"/>
        <v>0.7</v>
      </c>
      <c r="J193" s="195">
        <f t="shared" si="236"/>
        <v>0.7</v>
      </c>
      <c r="K193" s="195">
        <f t="shared" si="236"/>
        <v>0.7</v>
      </c>
      <c r="L193" s="195">
        <f t="shared" si="236"/>
        <v>0.7</v>
      </c>
      <c r="M193" s="195">
        <f>L193</f>
        <v>0.7</v>
      </c>
      <c r="N193" s="195">
        <f>M193</f>
        <v>0.7</v>
      </c>
      <c r="O193" s="195"/>
      <c r="P193" s="110"/>
      <c r="Q193" s="24"/>
    </row>
    <row r="194" spans="1:23" x14ac:dyDescent="0.25">
      <c r="A194" s="14" t="s">
        <v>679</v>
      </c>
      <c r="C194" s="110">
        <v>7204</v>
      </c>
      <c r="D194" s="110">
        <v>27</v>
      </c>
      <c r="E194" s="110">
        <v>12067</v>
      </c>
      <c r="F194" s="110">
        <v>11317</v>
      </c>
      <c r="G194" s="110">
        <v>21388</v>
      </c>
      <c r="H194" s="110">
        <v>21364</v>
      </c>
      <c r="I194" s="110">
        <v>0</v>
      </c>
      <c r="J194" s="110">
        <v>21398</v>
      </c>
      <c r="K194" s="110">
        <v>21389</v>
      </c>
      <c r="L194" s="110">
        <v>21336</v>
      </c>
      <c r="M194" s="110">
        <v>11276</v>
      </c>
      <c r="N194" s="110">
        <v>51</v>
      </c>
      <c r="O194" s="110">
        <f>SUM(C194:N194)</f>
        <v>148817</v>
      </c>
      <c r="P194" s="110"/>
      <c r="Q194" s="24"/>
      <c r="R194" s="24">
        <f>O194</f>
        <v>148817</v>
      </c>
      <c r="S194" s="24">
        <f>H194+I194+J194</f>
        <v>42762</v>
      </c>
      <c r="T194" s="24">
        <f>R194-S194</f>
        <v>106055</v>
      </c>
    </row>
    <row r="195" spans="1:23" x14ac:dyDescent="0.25">
      <c r="A195" s="14" t="s">
        <v>754</v>
      </c>
      <c r="C195" s="195">
        <f>C190/C196</f>
        <v>0.4741876801281884</v>
      </c>
      <c r="D195" s="195">
        <f t="shared" ref="D195:N195" si="237">D189/(744*D196)</f>
        <v>0.21283310231167463</v>
      </c>
      <c r="E195" s="195">
        <f t="shared" si="237"/>
        <v>0.74371303481359563</v>
      </c>
      <c r="F195" s="195">
        <f t="shared" si="237"/>
        <v>0.81976399338573802</v>
      </c>
      <c r="G195" s="195">
        <f t="shared" si="237"/>
        <v>0.82764573579639023</v>
      </c>
      <c r="H195" s="195">
        <f t="shared" si="237"/>
        <v>0.7395422629891808</v>
      </c>
      <c r="I195" s="195">
        <f t="shared" si="237"/>
        <v>0.65678964945224794</v>
      </c>
      <c r="J195" s="195">
        <f t="shared" si="237"/>
        <v>0.77076196156080579</v>
      </c>
      <c r="K195" s="195">
        <f t="shared" si="237"/>
        <v>0.85344896248402802</v>
      </c>
      <c r="L195" s="195">
        <f t="shared" si="237"/>
        <v>0.65958802762646263</v>
      </c>
      <c r="M195" s="195">
        <f t="shared" si="237"/>
        <v>0.620724668554547</v>
      </c>
      <c r="N195" s="195">
        <f t="shared" si="237"/>
        <v>9.5907095990206193E-2</v>
      </c>
      <c r="O195" s="195"/>
      <c r="P195" s="217"/>
      <c r="Q195" s="75"/>
      <c r="U195" s="73"/>
      <c r="W195" s="73"/>
    </row>
    <row r="196" spans="1:23" ht="12" customHeight="1" x14ac:dyDescent="0.25">
      <c r="A196" s="14" t="s">
        <v>755</v>
      </c>
      <c r="C196" s="110">
        <v>28493</v>
      </c>
      <c r="D196" s="110">
        <v>21387</v>
      </c>
      <c r="E196" s="110">
        <v>21442</v>
      </c>
      <c r="F196" s="110">
        <v>21446</v>
      </c>
      <c r="G196" s="110">
        <v>21449</v>
      </c>
      <c r="H196" s="110">
        <v>28472</v>
      </c>
      <c r="I196" s="110">
        <v>28482</v>
      </c>
      <c r="J196" s="110">
        <v>28559</v>
      </c>
      <c r="K196" s="110">
        <v>28553</v>
      </c>
      <c r="L196" s="110">
        <v>28472</v>
      </c>
      <c r="M196" s="110">
        <v>21427</v>
      </c>
      <c r="N196" s="110">
        <v>14264</v>
      </c>
      <c r="O196" s="110">
        <f>SUM(C196:N196)</f>
        <v>292446</v>
      </c>
      <c r="P196" s="110">
        <f>MAX(C196:N196)</f>
        <v>28559</v>
      </c>
      <c r="Q196" s="27"/>
    </row>
    <row r="197" spans="1:23" x14ac:dyDescent="0.25"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1:23" x14ac:dyDescent="0.25">
      <c r="A198" s="14" t="s">
        <v>740</v>
      </c>
      <c r="C198" s="110">
        <f>C39+C49+C59+C69+C79+C89+C99+C109+C119+C129+C139+C149+C159+C169+C179+C189</f>
        <v>100743920</v>
      </c>
      <c r="D198" s="110">
        <f t="shared" ref="D198:N198" si="238">D39+D49+D59+D69+D79+D89+D99+D109+D119+D129+D139+D149+D159+D169+D179+D189</f>
        <v>84612587</v>
      </c>
      <c r="E198" s="110">
        <f t="shared" si="238"/>
        <v>84549270</v>
      </c>
      <c r="F198" s="110">
        <f t="shared" si="238"/>
        <v>76794034</v>
      </c>
      <c r="G198" s="110">
        <f t="shared" si="238"/>
        <v>75613305</v>
      </c>
      <c r="H198" s="110">
        <f t="shared" si="238"/>
        <v>80623961</v>
      </c>
      <c r="I198" s="110">
        <f t="shared" si="238"/>
        <v>84878722</v>
      </c>
      <c r="J198" s="110">
        <f t="shared" si="238"/>
        <v>88361766</v>
      </c>
      <c r="K198" s="110">
        <f t="shared" si="238"/>
        <v>79442327</v>
      </c>
      <c r="L198" s="110">
        <f t="shared" si="238"/>
        <v>78759583</v>
      </c>
      <c r="M198" s="110">
        <f t="shared" si="238"/>
        <v>81063448</v>
      </c>
      <c r="N198" s="110">
        <f t="shared" si="238"/>
        <v>84984944</v>
      </c>
      <c r="O198" s="110">
        <f>SUM(C198:N198)</f>
        <v>1000427867</v>
      </c>
      <c r="P198" s="110"/>
      <c r="Q198" s="27"/>
    </row>
    <row r="199" spans="1:23" x14ac:dyDescent="0.25"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27"/>
    </row>
    <row r="200" spans="1:23" x14ac:dyDescent="0.25">
      <c r="A200" s="14" t="s">
        <v>1194</v>
      </c>
      <c r="C200" s="110">
        <v>174336.035</v>
      </c>
      <c r="D200" s="110">
        <v>148808.11199999999</v>
      </c>
      <c r="E200" s="110">
        <v>151628.52799999999</v>
      </c>
      <c r="F200" s="110">
        <v>134651.76800000001</v>
      </c>
      <c r="G200" s="110">
        <v>127101.022</v>
      </c>
      <c r="H200" s="110">
        <v>140663.247</v>
      </c>
      <c r="I200" s="110">
        <v>136835.946</v>
      </c>
      <c r="J200" s="110">
        <v>139740.14299999998</v>
      </c>
      <c r="K200" s="110">
        <v>131204.853</v>
      </c>
      <c r="L200" s="110">
        <v>140527.21899999998</v>
      </c>
      <c r="M200" s="110">
        <v>155787.141</v>
      </c>
      <c r="N200" s="110">
        <v>196897.13099999999</v>
      </c>
      <c r="O200" s="110"/>
      <c r="P200" s="110"/>
      <c r="Q200" s="27"/>
    </row>
    <row r="201" spans="1:23" x14ac:dyDescent="0.25">
      <c r="A201" s="14" t="s">
        <v>712</v>
      </c>
      <c r="C201" s="110">
        <v>146560.04599999997</v>
      </c>
      <c r="D201" s="110">
        <v>136639.35600000003</v>
      </c>
      <c r="E201" s="110">
        <v>146160.23799999998</v>
      </c>
      <c r="F201" s="110">
        <v>129709.897</v>
      </c>
      <c r="G201" s="110">
        <v>121478.046</v>
      </c>
      <c r="H201" s="110">
        <v>141694.571</v>
      </c>
      <c r="I201" s="110">
        <f>121449.86+I194</f>
        <v>121449.86</v>
      </c>
      <c r="J201" s="110">
        <v>142257.31900000002</v>
      </c>
      <c r="K201" s="110">
        <v>109925.374</v>
      </c>
      <c r="L201" s="110">
        <v>118782.88700000002</v>
      </c>
      <c r="M201" s="110">
        <v>144268.739</v>
      </c>
      <c r="N201" s="110">
        <v>156555.83799999999</v>
      </c>
      <c r="O201" s="110">
        <f>SUM(C201:N201)</f>
        <v>1615482.1710000003</v>
      </c>
      <c r="P201" s="110"/>
      <c r="Q201" s="27"/>
      <c r="R201" s="27"/>
      <c r="S201" s="27"/>
    </row>
    <row r="202" spans="1:23" x14ac:dyDescent="0.25">
      <c r="A202" s="14" t="s">
        <v>859</v>
      </c>
      <c r="C202" s="110">
        <f>'Purchased Power'!C109</f>
        <v>105225338</v>
      </c>
      <c r="D202" s="110">
        <f>'Purchased Power'!D109</f>
        <v>83135070</v>
      </c>
      <c r="E202" s="110">
        <f>'Purchased Power'!E109</f>
        <v>86660455</v>
      </c>
      <c r="F202" s="110">
        <f>'Purchased Power'!F109</f>
        <v>76137817</v>
      </c>
      <c r="G202" s="110">
        <f>'Purchased Power'!G109</f>
        <v>77091670</v>
      </c>
      <c r="H202" s="110">
        <f>'Purchased Power'!H109</f>
        <v>81896495</v>
      </c>
      <c r="I202" s="110">
        <f>'Purchased Power'!I109</f>
        <v>86674220</v>
      </c>
      <c r="J202" s="110">
        <f>'Purchased Power'!J109</f>
        <v>89752371</v>
      </c>
      <c r="K202" s="110">
        <f>'Purchased Power'!K109</f>
        <v>79657184</v>
      </c>
      <c r="L202" s="110">
        <f>'Purchased Power'!L109</f>
        <v>80663702</v>
      </c>
      <c r="M202" s="110">
        <f>'Purchased Power'!M109</f>
        <v>83188014</v>
      </c>
      <c r="N202" s="110">
        <f>'Purchased Power'!N109</f>
        <v>94931832</v>
      </c>
      <c r="O202" s="110">
        <f>SUM(C202:N202)</f>
        <v>1025014168</v>
      </c>
      <c r="P202" s="222"/>
      <c r="Q202" s="27"/>
      <c r="R202" s="27"/>
      <c r="S202" s="27"/>
    </row>
    <row r="203" spans="1:23" x14ac:dyDescent="0.25">
      <c r="P203" s="222"/>
    </row>
    <row r="204" spans="1:23" x14ac:dyDescent="0.25">
      <c r="A204" s="14" t="s">
        <v>713</v>
      </c>
      <c r="C204" s="123">
        <f>(C44+C54+C64+C74+C84+C94+C104+C114+C124+C134+C144+C154+C164+C174+C184+C194)</f>
        <v>146560.04600005495</v>
      </c>
      <c r="D204" s="123">
        <f t="shared" ref="D204:N204" si="239">(D44+D54+D64+D74+D84+D94+D104+D114+D124+D134+D144+D154+D164+D174+D184+D194)</f>
        <v>136639.35599991708</v>
      </c>
      <c r="E204" s="123">
        <f t="shared" si="239"/>
        <v>146160.23800022801</v>
      </c>
      <c r="F204" s="123">
        <f t="shared" si="239"/>
        <v>129709.89699871588</v>
      </c>
      <c r="G204" s="123">
        <f t="shared" si="239"/>
        <v>121478.0460001024</v>
      </c>
      <c r="H204" s="123">
        <f t="shared" si="239"/>
        <v>141694.57023737271</v>
      </c>
      <c r="I204" s="123">
        <f t="shared" si="239"/>
        <v>121449.85999983897</v>
      </c>
      <c r="J204" s="123">
        <f t="shared" si="239"/>
        <v>142257.31899986282</v>
      </c>
      <c r="K204" s="123">
        <f t="shared" si="239"/>
        <v>109925.37400014036</v>
      </c>
      <c r="L204" s="123">
        <f t="shared" si="239"/>
        <v>118782.88699976112</v>
      </c>
      <c r="M204" s="123">
        <f t="shared" si="239"/>
        <v>144268.73900001263</v>
      </c>
      <c r="N204" s="123">
        <f t="shared" si="239"/>
        <v>156555.83800032033</v>
      </c>
      <c r="O204" s="123">
        <f>SUM(C204:N204)</f>
        <v>1615482.1702363275</v>
      </c>
      <c r="P204" s="222"/>
    </row>
    <row r="206" spans="1:23" x14ac:dyDescent="0.25">
      <c r="A206" s="14" t="s">
        <v>714</v>
      </c>
      <c r="C206" s="123">
        <f>C201-C204</f>
        <v>-5.4977135732769966E-8</v>
      </c>
      <c r="D206" s="123">
        <f t="shared" ref="D206:O206" si="240">D201-D204</f>
        <v>8.2945916801691055E-8</v>
      </c>
      <c r="E206" s="123">
        <f t="shared" si="240"/>
        <v>-2.2802851162850857E-7</v>
      </c>
      <c r="F206" s="123">
        <f t="shared" si="240"/>
        <v>1.2841192074120045E-6</v>
      </c>
      <c r="G206" s="123">
        <f t="shared" si="240"/>
        <v>-1.0240182746201754E-7</v>
      </c>
      <c r="H206" s="123">
        <f t="shared" si="240"/>
        <v>7.6262728543952107E-4</v>
      </c>
      <c r="I206" s="123">
        <f t="shared" si="240"/>
        <v>1.6103149391710758E-7</v>
      </c>
      <c r="J206" s="123">
        <f t="shared" si="240"/>
        <v>1.3719545677304268E-7</v>
      </c>
      <c r="K206" s="123">
        <f t="shared" si="240"/>
        <v>-1.4036777429282665E-7</v>
      </c>
      <c r="L206" s="123">
        <f t="shared" si="240"/>
        <v>2.3889879230409861E-7</v>
      </c>
      <c r="M206" s="123">
        <f t="shared" si="240"/>
        <v>-1.2631062418222427E-8</v>
      </c>
      <c r="N206" s="123">
        <f t="shared" si="240"/>
        <v>-3.2034586183726788E-7</v>
      </c>
      <c r="O206" s="123">
        <f t="shared" si="240"/>
        <v>7.6367286965250969E-4</v>
      </c>
    </row>
    <row r="207" spans="1:23" x14ac:dyDescent="0.25">
      <c r="C207" s="223">
        <f>C206/C201</f>
        <v>-3.7511680183813516E-13</v>
      </c>
      <c r="D207" s="223">
        <f t="shared" ref="D207:O207" si="241">D206/D201</f>
        <v>6.0704265030121362E-13</v>
      </c>
      <c r="E207" s="223">
        <f t="shared" si="241"/>
        <v>-1.5601268494685168E-12</v>
      </c>
      <c r="F207" s="223">
        <f t="shared" si="241"/>
        <v>9.8999323653152272E-12</v>
      </c>
      <c r="G207" s="223">
        <f t="shared" si="241"/>
        <v>-8.4296571136827085E-13</v>
      </c>
      <c r="H207" s="223">
        <f t="shared" si="241"/>
        <v>5.3821912869161455E-9</v>
      </c>
      <c r="I207" s="223">
        <f t="shared" si="241"/>
        <v>1.3259092593199168E-12</v>
      </c>
      <c r="J207" s="223">
        <f t="shared" si="241"/>
        <v>9.6441756204503375E-13</v>
      </c>
      <c r="K207" s="223">
        <f t="shared" si="241"/>
        <v>-1.276936972648614E-12</v>
      </c>
      <c r="L207" s="223">
        <f t="shared" si="241"/>
        <v>2.0112223093558801E-12</v>
      </c>
      <c r="M207" s="223">
        <f t="shared" si="241"/>
        <v>-8.7552317333434424E-14</v>
      </c>
      <c r="N207" s="223">
        <f t="shared" si="241"/>
        <v>-2.0462083428486895E-12</v>
      </c>
      <c r="O207" s="223">
        <f t="shared" si="241"/>
        <v>4.7272132330608652E-10</v>
      </c>
    </row>
    <row r="208" spans="1:23" x14ac:dyDescent="0.25"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</row>
    <row r="209" spans="3:15" x14ac:dyDescent="0.25"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</row>
    <row r="210" spans="3:15" x14ac:dyDescent="0.25"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</row>
    <row r="211" spans="3:15" x14ac:dyDescent="0.25">
      <c r="C211" s="224">
        <f>C38+C88</f>
        <v>24173</v>
      </c>
      <c r="D211" s="224">
        <f t="shared" ref="D211:N211" si="242">D38+D88</f>
        <v>24179</v>
      </c>
      <c r="E211" s="224">
        <f t="shared" si="242"/>
        <v>24295</v>
      </c>
      <c r="F211" s="224">
        <f t="shared" si="242"/>
        <v>24230</v>
      </c>
      <c r="G211" s="224">
        <f t="shared" si="242"/>
        <v>24342</v>
      </c>
      <c r="H211" s="224">
        <f t="shared" si="242"/>
        <v>24231</v>
      </c>
      <c r="I211" s="224">
        <f t="shared" si="242"/>
        <v>24381</v>
      </c>
      <c r="J211" s="224">
        <f t="shared" si="242"/>
        <v>24462</v>
      </c>
      <c r="K211" s="224">
        <f t="shared" si="242"/>
        <v>24400</v>
      </c>
      <c r="L211" s="224">
        <f t="shared" si="242"/>
        <v>24434</v>
      </c>
      <c r="M211" s="224">
        <f t="shared" si="242"/>
        <v>24527</v>
      </c>
      <c r="N211" s="224">
        <f t="shared" si="242"/>
        <v>24591</v>
      </c>
      <c r="O211" s="224"/>
    </row>
    <row r="212" spans="3:15" x14ac:dyDescent="0.25">
      <c r="C212" s="224">
        <f>C39+C89</f>
        <v>39328222</v>
      </c>
      <c r="D212" s="224">
        <f t="shared" ref="D212:N212" si="243">D39+D89</f>
        <v>34498059</v>
      </c>
      <c r="E212" s="224">
        <f t="shared" si="243"/>
        <v>24318344</v>
      </c>
      <c r="F212" s="224">
        <f t="shared" si="243"/>
        <v>22143969</v>
      </c>
      <c r="G212" s="224">
        <f t="shared" si="243"/>
        <v>17916011</v>
      </c>
      <c r="H212" s="224">
        <f t="shared" si="243"/>
        <v>22782554</v>
      </c>
      <c r="I212" s="224">
        <f t="shared" si="243"/>
        <v>25863060</v>
      </c>
      <c r="J212" s="224">
        <f t="shared" si="243"/>
        <v>24260473</v>
      </c>
      <c r="K212" s="224">
        <f t="shared" si="243"/>
        <v>19594803</v>
      </c>
      <c r="L212" s="224">
        <f t="shared" si="243"/>
        <v>18517856</v>
      </c>
      <c r="M212" s="224">
        <f t="shared" si="243"/>
        <v>25156463</v>
      </c>
      <c r="N212" s="224">
        <f t="shared" si="243"/>
        <v>34676587</v>
      </c>
      <c r="O212" s="224"/>
    </row>
  </sheetData>
  <printOptions horizontalCentered="1"/>
  <pageMargins left="0.25" right="0.25" top="1" bottom="0.32" header="0.5" footer="0.25"/>
  <pageSetup scale="65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96" max="19" man="1"/>
  </rowBreaks>
  <colBreaks count="1" manualBreakCount="1">
    <brk id="11" max="206" man="1"/>
  </colBreaks>
  <ignoredErrors>
    <ignoredError sqref="D40:M40 D50:M50 D60:M60 D70:M70 D80:M80 D100:N100 D140:M140 D190:M190 D180:M180 D170:M170 D160:M160 D150:M150 D130:M130 D120:M120 D110:M110 D90:M90" formula="1"/>
    <ignoredError sqref="O1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169"/>
  <sheetViews>
    <sheetView view="pageBreakPreview" zoomScale="60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09375" defaultRowHeight="13.2" x14ac:dyDescent="0.25"/>
  <cols>
    <col min="1" max="1" width="5.6640625" style="102" customWidth="1"/>
    <col min="2" max="2" width="28.88671875" style="102" customWidth="1"/>
    <col min="3" max="3" width="15.109375" style="102" customWidth="1"/>
    <col min="4" max="4" width="12.88671875" style="102" bestFit="1" customWidth="1"/>
    <col min="5" max="5" width="16.44140625" style="102" bestFit="1" customWidth="1"/>
    <col min="6" max="13" width="12.88671875" style="102" bestFit="1" customWidth="1"/>
    <col min="14" max="14" width="16.44140625" style="102" bestFit="1" customWidth="1"/>
    <col min="15" max="15" width="14" style="102" bestFit="1" customWidth="1"/>
    <col min="16" max="16" width="14.44140625" style="102" bestFit="1" customWidth="1"/>
    <col min="17" max="17" width="12.6640625" style="102" bestFit="1" customWidth="1"/>
    <col min="18" max="16384" width="9.109375" style="102"/>
  </cols>
  <sheetData>
    <row r="1" spans="1:18" x14ac:dyDescent="0.25">
      <c r="A1" s="132" t="str">
        <f>'Summary of Returns'!A1</f>
        <v>FLEMING-MASON ELECTRIC COOPERATIVE</v>
      </c>
    </row>
    <row r="2" spans="1:18" x14ac:dyDescent="0.25">
      <c r="A2" s="132" t="s">
        <v>96</v>
      </c>
    </row>
    <row r="3" spans="1:18" ht="25.5" customHeight="1" x14ac:dyDescent="0.25"/>
    <row r="4" spans="1:18" x14ac:dyDescent="0.25">
      <c r="A4" s="226" t="s">
        <v>939</v>
      </c>
      <c r="B4" s="226" t="s">
        <v>940</v>
      </c>
      <c r="C4" s="227" t="s">
        <v>1001</v>
      </c>
      <c r="D4" s="227" t="s">
        <v>1002</v>
      </c>
      <c r="E4" s="227" t="s">
        <v>1003</v>
      </c>
      <c r="F4" s="227" t="s">
        <v>1004</v>
      </c>
      <c r="G4" s="227" t="s">
        <v>1005</v>
      </c>
      <c r="H4" s="227" t="s">
        <v>1006</v>
      </c>
      <c r="I4" s="227" t="s">
        <v>1007</v>
      </c>
      <c r="J4" s="227" t="s">
        <v>1008</v>
      </c>
      <c r="K4" s="227" t="s">
        <v>1009</v>
      </c>
      <c r="L4" s="227" t="s">
        <v>1010</v>
      </c>
      <c r="M4" s="227" t="s">
        <v>1011</v>
      </c>
      <c r="N4" s="227" t="s">
        <v>1012</v>
      </c>
      <c r="O4" s="226" t="s">
        <v>856</v>
      </c>
      <c r="P4" s="201"/>
      <c r="R4" s="103"/>
    </row>
    <row r="5" spans="1:18" x14ac:dyDescent="0.25">
      <c r="A5" s="226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6"/>
      <c r="P5" s="201"/>
      <c r="R5" s="103"/>
    </row>
    <row r="6" spans="1:18" x14ac:dyDescent="0.25">
      <c r="A6" s="103">
        <v>1</v>
      </c>
      <c r="B6" s="150" t="s">
        <v>1158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228"/>
    </row>
    <row r="7" spans="1:18" x14ac:dyDescent="0.25">
      <c r="A7" s="103">
        <f t="shared" ref="A7:A107" si="0">A6+1</f>
        <v>2</v>
      </c>
      <c r="B7" s="229" t="s">
        <v>1081</v>
      </c>
      <c r="C7" s="228">
        <v>7500</v>
      </c>
      <c r="D7" s="228">
        <v>7500</v>
      </c>
      <c r="E7" s="228">
        <v>7500</v>
      </c>
      <c r="F7" s="228">
        <v>7541</v>
      </c>
      <c r="G7" s="228">
        <v>7541</v>
      </c>
      <c r="H7" s="228">
        <v>7541</v>
      </c>
      <c r="I7" s="228">
        <v>9005</v>
      </c>
      <c r="J7" s="228">
        <v>9073</v>
      </c>
      <c r="K7" s="228">
        <v>9073</v>
      </c>
      <c r="L7" s="228">
        <v>9073</v>
      </c>
      <c r="M7" s="228">
        <v>9073</v>
      </c>
      <c r="N7" s="228">
        <v>9073</v>
      </c>
      <c r="O7" s="228">
        <f>SUM(C7:N7)</f>
        <v>99493</v>
      </c>
    </row>
    <row r="8" spans="1:18" x14ac:dyDescent="0.25">
      <c r="A8" s="103">
        <f t="shared" si="0"/>
        <v>3</v>
      </c>
      <c r="B8" s="229" t="s">
        <v>858</v>
      </c>
      <c r="C8" s="228">
        <v>3000000</v>
      </c>
      <c r="D8" s="228">
        <v>4050415</v>
      </c>
      <c r="E8" s="228">
        <v>4461006</v>
      </c>
      <c r="F8" s="228">
        <v>5841532</v>
      </c>
      <c r="G8" s="228">
        <v>4633219</v>
      </c>
      <c r="H8" s="228">
        <v>4276781</v>
      </c>
      <c r="I8" s="228">
        <v>6140116</v>
      </c>
      <c r="J8" s="228">
        <v>6476556</v>
      </c>
      <c r="K8" s="228">
        <v>5949527</v>
      </c>
      <c r="L8" s="228">
        <v>5855266</v>
      </c>
      <c r="M8" s="228">
        <v>4371360</v>
      </c>
      <c r="N8" s="228">
        <v>4631509</v>
      </c>
      <c r="O8" s="228">
        <f t="shared" ref="O8:O71" si="1">SUM(C8:N8)</f>
        <v>59687287</v>
      </c>
    </row>
    <row r="9" spans="1:18" x14ac:dyDescent="0.25">
      <c r="A9" s="103">
        <f t="shared" si="0"/>
        <v>4</v>
      </c>
      <c r="B9" s="229" t="s">
        <v>1082</v>
      </c>
      <c r="C9" s="228">
        <v>56175</v>
      </c>
      <c r="D9" s="228">
        <v>56175</v>
      </c>
      <c r="E9" s="228">
        <v>56175</v>
      </c>
      <c r="F9" s="228">
        <v>56482</v>
      </c>
      <c r="G9" s="228">
        <v>56482</v>
      </c>
      <c r="H9" s="228">
        <v>56482</v>
      </c>
      <c r="I9" s="228">
        <v>67447</v>
      </c>
      <c r="J9" s="228">
        <v>67957</v>
      </c>
      <c r="K9" s="228">
        <v>67957</v>
      </c>
      <c r="L9" s="228">
        <v>67957</v>
      </c>
      <c r="M9" s="228">
        <v>67957</v>
      </c>
      <c r="N9" s="228">
        <v>67957</v>
      </c>
      <c r="O9" s="228">
        <f t="shared" si="1"/>
        <v>745203</v>
      </c>
    </row>
    <row r="10" spans="1:18" x14ac:dyDescent="0.25">
      <c r="A10" s="103">
        <f t="shared" si="0"/>
        <v>5</v>
      </c>
      <c r="B10" s="229" t="s">
        <v>1083</v>
      </c>
      <c r="C10" s="228">
        <v>102216</v>
      </c>
      <c r="D10" s="228">
        <v>151547</v>
      </c>
      <c r="E10" s="228">
        <v>177923</v>
      </c>
      <c r="F10" s="228">
        <v>232984</v>
      </c>
      <c r="G10" s="228">
        <v>184791</v>
      </c>
      <c r="H10" s="228">
        <v>170575</v>
      </c>
      <c r="I10" s="228">
        <v>344892</v>
      </c>
      <c r="J10" s="228">
        <v>258311</v>
      </c>
      <c r="K10" s="228">
        <v>237291</v>
      </c>
      <c r="L10" s="228">
        <v>233531</v>
      </c>
      <c r="M10" s="228">
        <v>174347</v>
      </c>
      <c r="N10" s="228">
        <v>184723</v>
      </c>
      <c r="O10" s="228">
        <f t="shared" si="1"/>
        <v>2453131</v>
      </c>
    </row>
    <row r="11" spans="1:18" x14ac:dyDescent="0.25">
      <c r="A11" s="103">
        <f t="shared" si="0"/>
        <v>6</v>
      </c>
      <c r="B11" s="229" t="s">
        <v>1084</v>
      </c>
      <c r="C11" s="228">
        <v>0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f t="shared" si="1"/>
        <v>0</v>
      </c>
    </row>
    <row r="12" spans="1:18" x14ac:dyDescent="0.25">
      <c r="A12" s="103">
        <f t="shared" si="0"/>
        <v>7</v>
      </c>
      <c r="B12" s="229" t="s">
        <v>1085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f t="shared" si="1"/>
        <v>0</v>
      </c>
    </row>
    <row r="13" spans="1:18" x14ac:dyDescent="0.25">
      <c r="A13" s="103">
        <f t="shared" si="0"/>
        <v>8</v>
      </c>
      <c r="B13" s="229" t="s">
        <v>1086</v>
      </c>
      <c r="C13" s="228">
        <v>18357</v>
      </c>
      <c r="D13" s="228">
        <v>40261</v>
      </c>
      <c r="E13" s="228">
        <v>44655</v>
      </c>
      <c r="F13" s="228">
        <v>43403</v>
      </c>
      <c r="G13" s="228">
        <v>32757</v>
      </c>
      <c r="H13" s="228">
        <v>39261</v>
      </c>
      <c r="I13" s="228">
        <v>101189</v>
      </c>
      <c r="J13" s="228">
        <v>96242</v>
      </c>
      <c r="K13" s="228">
        <v>117146</v>
      </c>
      <c r="L13" s="228">
        <v>124600</v>
      </c>
      <c r="M13" s="228">
        <v>66488</v>
      </c>
      <c r="N13" s="228">
        <v>71047</v>
      </c>
      <c r="O13" s="228">
        <f t="shared" si="1"/>
        <v>795406</v>
      </c>
    </row>
    <row r="14" spans="1:18" x14ac:dyDescent="0.25">
      <c r="A14" s="103">
        <f t="shared" si="0"/>
        <v>9</v>
      </c>
      <c r="B14" s="229" t="s">
        <v>1087</v>
      </c>
      <c r="C14" s="228">
        <v>24533</v>
      </c>
      <c r="D14" s="228">
        <v>35189</v>
      </c>
      <c r="E14" s="228">
        <v>29241</v>
      </c>
      <c r="F14" s="228">
        <v>51195</v>
      </c>
      <c r="G14" s="228">
        <v>44749</v>
      </c>
      <c r="H14" s="228">
        <v>48896</v>
      </c>
      <c r="I14" s="228">
        <v>73029</v>
      </c>
      <c r="J14" s="228">
        <v>61053</v>
      </c>
      <c r="K14" s="228">
        <v>48449</v>
      </c>
      <c r="L14" s="228">
        <v>58033</v>
      </c>
      <c r="M14" s="228">
        <v>46628</v>
      </c>
      <c r="N14" s="228">
        <v>52282</v>
      </c>
      <c r="O14" s="228">
        <f t="shared" si="1"/>
        <v>573277</v>
      </c>
    </row>
    <row r="15" spans="1:18" x14ac:dyDescent="0.25">
      <c r="A15" s="103">
        <f t="shared" si="0"/>
        <v>10</v>
      </c>
      <c r="B15" s="229" t="s">
        <v>1088</v>
      </c>
      <c r="C15" s="228">
        <v>201281</v>
      </c>
      <c r="D15" s="228">
        <v>293172</v>
      </c>
      <c r="E15" s="228">
        <v>307994</v>
      </c>
      <c r="F15" s="228">
        <v>384064</v>
      </c>
      <c r="G15" s="228">
        <v>318779</v>
      </c>
      <c r="H15" s="228">
        <v>315214</v>
      </c>
      <c r="I15" s="228">
        <v>486557</v>
      </c>
      <c r="J15" s="228">
        <v>483563</v>
      </c>
      <c r="K15" s="228">
        <v>470843</v>
      </c>
      <c r="L15" s="228">
        <v>484121</v>
      </c>
      <c r="M15" s="228">
        <v>355420</v>
      </c>
      <c r="N15" s="228">
        <v>376009</v>
      </c>
      <c r="O15" s="228">
        <f t="shared" si="1"/>
        <v>4477017</v>
      </c>
    </row>
    <row r="16" spans="1:18" x14ac:dyDescent="0.25">
      <c r="A16" s="103">
        <f t="shared" si="0"/>
        <v>11</v>
      </c>
      <c r="B16" s="150" t="s">
        <v>1156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228"/>
    </row>
    <row r="17" spans="1:15" x14ac:dyDescent="0.25">
      <c r="A17" s="103">
        <f t="shared" si="0"/>
        <v>12</v>
      </c>
      <c r="B17" s="229" t="s">
        <v>1081</v>
      </c>
      <c r="C17" s="228">
        <v>7634</v>
      </c>
      <c r="D17" s="228">
        <v>7634</v>
      </c>
      <c r="E17" s="228">
        <v>7634</v>
      </c>
      <c r="F17" s="228">
        <v>7634</v>
      </c>
      <c r="G17" s="228">
        <v>7634</v>
      </c>
      <c r="H17" s="228">
        <v>7634</v>
      </c>
      <c r="I17" s="228">
        <v>7634</v>
      </c>
      <c r="J17" s="228">
        <v>7619</v>
      </c>
      <c r="K17" s="228">
        <v>7741</v>
      </c>
      <c r="L17" s="228">
        <v>7741</v>
      </c>
      <c r="M17" s="228">
        <v>7741</v>
      </c>
      <c r="N17" s="228">
        <v>7741</v>
      </c>
      <c r="O17" s="228">
        <f t="shared" si="1"/>
        <v>92021</v>
      </c>
    </row>
    <row r="18" spans="1:15" x14ac:dyDescent="0.25">
      <c r="A18" s="103">
        <f t="shared" si="0"/>
        <v>13</v>
      </c>
      <c r="B18" s="229" t="s">
        <v>858</v>
      </c>
      <c r="C18" s="228">
        <v>4707766</v>
      </c>
      <c r="D18" s="228">
        <v>4362681</v>
      </c>
      <c r="E18" s="228">
        <v>4992461</v>
      </c>
      <c r="F18" s="228">
        <v>4737421</v>
      </c>
      <c r="G18" s="228">
        <v>4942844</v>
      </c>
      <c r="H18" s="228">
        <v>4964599</v>
      </c>
      <c r="I18" s="228">
        <v>4281026</v>
      </c>
      <c r="J18" s="228">
        <v>5027536</v>
      </c>
      <c r="K18" s="228">
        <v>4834586</v>
      </c>
      <c r="L18" s="228">
        <v>4601958</v>
      </c>
      <c r="M18" s="228">
        <v>4548442</v>
      </c>
      <c r="N18" s="228">
        <v>4171710</v>
      </c>
      <c r="O18" s="228">
        <f t="shared" si="1"/>
        <v>56173030</v>
      </c>
    </row>
    <row r="19" spans="1:15" x14ac:dyDescent="0.25">
      <c r="A19" s="103">
        <f t="shared" si="0"/>
        <v>14</v>
      </c>
      <c r="B19" s="229" t="s">
        <v>1082</v>
      </c>
      <c r="C19" s="228">
        <v>57179</v>
      </c>
      <c r="D19" s="228">
        <v>57179</v>
      </c>
      <c r="E19" s="228">
        <v>57179</v>
      </c>
      <c r="F19" s="228">
        <v>57179</v>
      </c>
      <c r="G19" s="228">
        <v>57179</v>
      </c>
      <c r="H19" s="228">
        <v>57179</v>
      </c>
      <c r="I19" s="228">
        <v>57179</v>
      </c>
      <c r="J19" s="228">
        <v>57066</v>
      </c>
      <c r="K19" s="228">
        <v>57980</v>
      </c>
      <c r="L19" s="228">
        <v>57980</v>
      </c>
      <c r="M19" s="228">
        <v>57980</v>
      </c>
      <c r="N19" s="228">
        <v>57980</v>
      </c>
      <c r="O19" s="228">
        <f t="shared" si="1"/>
        <v>689239</v>
      </c>
    </row>
    <row r="20" spans="1:15" x14ac:dyDescent="0.25">
      <c r="A20" s="103">
        <f t="shared" si="0"/>
        <v>15</v>
      </c>
      <c r="B20" s="229" t="s">
        <v>1083</v>
      </c>
      <c r="C20" s="228">
        <v>187765</v>
      </c>
      <c r="D20" s="228">
        <v>174001</v>
      </c>
      <c r="E20" s="228">
        <v>199119</v>
      </c>
      <c r="F20" s="228">
        <v>188947</v>
      </c>
      <c r="G20" s="228">
        <v>197140</v>
      </c>
      <c r="H20" s="228">
        <v>198008</v>
      </c>
      <c r="I20" s="228">
        <v>170744</v>
      </c>
      <c r="J20" s="228">
        <v>200518</v>
      </c>
      <c r="K20" s="228">
        <v>192823</v>
      </c>
      <c r="L20" s="228">
        <v>183544</v>
      </c>
      <c r="M20" s="228">
        <v>181410</v>
      </c>
      <c r="N20" s="228">
        <v>166384</v>
      </c>
      <c r="O20" s="228">
        <f t="shared" si="1"/>
        <v>2240403</v>
      </c>
    </row>
    <row r="21" spans="1:15" x14ac:dyDescent="0.25">
      <c r="A21" s="103">
        <f t="shared" si="0"/>
        <v>16</v>
      </c>
      <c r="B21" s="229" t="s">
        <v>1084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f t="shared" si="1"/>
        <v>0</v>
      </c>
    </row>
    <row r="22" spans="1:15" x14ac:dyDescent="0.25">
      <c r="A22" s="103">
        <f t="shared" si="0"/>
        <v>17</v>
      </c>
      <c r="B22" s="229" t="s">
        <v>1085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f t="shared" si="1"/>
        <v>0</v>
      </c>
    </row>
    <row r="23" spans="1:15" x14ac:dyDescent="0.25">
      <c r="A23" s="103">
        <f t="shared" si="0"/>
        <v>18</v>
      </c>
      <c r="B23" s="229" t="s">
        <v>1086</v>
      </c>
      <c r="C23" s="228">
        <v>37003</v>
      </c>
      <c r="D23" s="228">
        <v>43365</v>
      </c>
      <c r="E23" s="228">
        <v>49975</v>
      </c>
      <c r="F23" s="228">
        <v>35199</v>
      </c>
      <c r="G23" s="228">
        <v>34946</v>
      </c>
      <c r="H23" s="228">
        <v>45575</v>
      </c>
      <c r="I23" s="228">
        <v>70551</v>
      </c>
      <c r="J23" s="228">
        <v>74709</v>
      </c>
      <c r="K23" s="228">
        <v>95193</v>
      </c>
      <c r="L23" s="228">
        <v>97930</v>
      </c>
      <c r="M23" s="228">
        <v>69182</v>
      </c>
      <c r="N23" s="228">
        <v>63994</v>
      </c>
      <c r="O23" s="228">
        <f t="shared" si="1"/>
        <v>717622</v>
      </c>
    </row>
    <row r="24" spans="1:15" x14ac:dyDescent="0.25">
      <c r="A24" s="103">
        <f t="shared" si="0"/>
        <v>19</v>
      </c>
      <c r="B24" s="229" t="s">
        <v>1087</v>
      </c>
      <c r="C24" s="228">
        <v>39134</v>
      </c>
      <c r="D24" s="228">
        <v>37448</v>
      </c>
      <c r="E24" s="228">
        <v>32128</v>
      </c>
      <c r="F24" s="228">
        <v>43268</v>
      </c>
      <c r="G24" s="228">
        <v>47237</v>
      </c>
      <c r="H24" s="228">
        <v>55220</v>
      </c>
      <c r="I24" s="228">
        <v>52711</v>
      </c>
      <c r="J24" s="228">
        <v>48016</v>
      </c>
      <c r="K24" s="228">
        <v>39686</v>
      </c>
      <c r="L24" s="228">
        <v>46234</v>
      </c>
      <c r="M24" s="228">
        <v>46594</v>
      </c>
      <c r="N24" s="228">
        <v>46570</v>
      </c>
      <c r="O24" s="228">
        <f t="shared" si="1"/>
        <v>534246</v>
      </c>
    </row>
    <row r="25" spans="1:15" x14ac:dyDescent="0.25">
      <c r="A25" s="103">
        <f t="shared" si="0"/>
        <v>20</v>
      </c>
      <c r="B25" s="229" t="s">
        <v>1088</v>
      </c>
      <c r="C25" s="228">
        <v>321081</v>
      </c>
      <c r="D25" s="228">
        <v>311993</v>
      </c>
      <c r="E25" s="228">
        <v>338401</v>
      </c>
      <c r="F25" s="228">
        <v>324593</v>
      </c>
      <c r="G25" s="228">
        <v>336502</v>
      </c>
      <c r="H25" s="228">
        <v>355982</v>
      </c>
      <c r="I25" s="228">
        <v>351185</v>
      </c>
      <c r="J25" s="228">
        <v>380309</v>
      </c>
      <c r="K25" s="228">
        <v>385682</v>
      </c>
      <c r="L25" s="228">
        <v>385688</v>
      </c>
      <c r="M25" s="228">
        <v>355166</v>
      </c>
      <c r="N25" s="228">
        <v>334928</v>
      </c>
      <c r="O25" s="228">
        <f t="shared" si="1"/>
        <v>4181510</v>
      </c>
    </row>
    <row r="26" spans="1:15" x14ac:dyDescent="0.25">
      <c r="A26" s="103">
        <f t="shared" si="0"/>
        <v>21</v>
      </c>
      <c r="B26" s="150" t="s">
        <v>1157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228"/>
    </row>
    <row r="27" spans="1:15" x14ac:dyDescent="0.25">
      <c r="A27" s="103">
        <f t="shared" si="0"/>
        <v>22</v>
      </c>
      <c r="B27" s="229" t="s">
        <v>1081</v>
      </c>
      <c r="C27" s="228">
        <v>34689</v>
      </c>
      <c r="D27" s="228">
        <v>17707</v>
      </c>
      <c r="E27" s="228">
        <v>34689</v>
      </c>
      <c r="F27" s="228">
        <v>34689</v>
      </c>
      <c r="G27" s="228">
        <v>34689</v>
      </c>
      <c r="H27" s="228">
        <v>34689</v>
      </c>
      <c r="I27" s="228">
        <v>34689</v>
      </c>
      <c r="J27" s="228">
        <v>34000</v>
      </c>
      <c r="K27" s="228">
        <v>34000</v>
      </c>
      <c r="L27" s="228">
        <v>34000</v>
      </c>
      <c r="M27" s="228">
        <v>34000</v>
      </c>
      <c r="N27" s="228">
        <v>34000</v>
      </c>
      <c r="O27" s="228">
        <f t="shared" si="1"/>
        <v>395841</v>
      </c>
    </row>
    <row r="28" spans="1:15" x14ac:dyDescent="0.25">
      <c r="A28" s="103">
        <f t="shared" si="0"/>
        <v>23</v>
      </c>
      <c r="B28" s="229" t="s">
        <v>858</v>
      </c>
      <c r="C28" s="228">
        <v>23768492</v>
      </c>
      <c r="D28" s="228">
        <v>9620607</v>
      </c>
      <c r="E28" s="228">
        <v>23807612</v>
      </c>
      <c r="F28" s="228">
        <v>19474865</v>
      </c>
      <c r="G28" s="228">
        <v>23868064</v>
      </c>
      <c r="H28" s="228">
        <v>21110299</v>
      </c>
      <c r="I28" s="228">
        <v>22752041</v>
      </c>
      <c r="J28" s="228">
        <v>24298983</v>
      </c>
      <c r="K28" s="228">
        <v>20396585</v>
      </c>
      <c r="L28" s="228">
        <v>22150977</v>
      </c>
      <c r="M28" s="228">
        <v>20249139</v>
      </c>
      <c r="N28" s="228">
        <v>20840848</v>
      </c>
      <c r="O28" s="228">
        <f t="shared" si="1"/>
        <v>252338512</v>
      </c>
    </row>
    <row r="29" spans="1:15" x14ac:dyDescent="0.25">
      <c r="A29" s="103">
        <f t="shared" si="0"/>
        <v>24</v>
      </c>
      <c r="B29" s="229" t="s">
        <v>1082</v>
      </c>
      <c r="C29" s="228">
        <v>253230</v>
      </c>
      <c r="D29" s="228">
        <v>122855</v>
      </c>
      <c r="E29" s="228">
        <v>253230</v>
      </c>
      <c r="F29" s="228">
        <v>253230</v>
      </c>
      <c r="G29" s="228">
        <v>253230</v>
      </c>
      <c r="H29" s="228">
        <v>253230</v>
      </c>
      <c r="I29" s="228">
        <v>253230</v>
      </c>
      <c r="J29" s="228">
        <v>248200</v>
      </c>
      <c r="K29" s="228">
        <v>248200</v>
      </c>
      <c r="L29" s="228">
        <v>248200</v>
      </c>
      <c r="M29" s="228">
        <v>248200</v>
      </c>
      <c r="N29" s="228">
        <v>248200</v>
      </c>
      <c r="O29" s="228">
        <f t="shared" si="1"/>
        <v>2883235</v>
      </c>
    </row>
    <row r="30" spans="1:15" x14ac:dyDescent="0.25">
      <c r="A30" s="103">
        <f t="shared" si="0"/>
        <v>25</v>
      </c>
      <c r="B30" s="229" t="s">
        <v>1083</v>
      </c>
      <c r="C30" s="228">
        <v>897974</v>
      </c>
      <c r="D30" s="228">
        <v>418686</v>
      </c>
      <c r="E30" s="228">
        <v>899452</v>
      </c>
      <c r="F30" s="228">
        <v>735760</v>
      </c>
      <c r="G30" s="228">
        <v>901735</v>
      </c>
      <c r="H30" s="228">
        <v>797547</v>
      </c>
      <c r="I30" s="228">
        <v>859572</v>
      </c>
      <c r="J30" s="228">
        <v>318016</v>
      </c>
      <c r="K30" s="228">
        <v>770583</v>
      </c>
      <c r="L30" s="228">
        <v>836864</v>
      </c>
      <c r="M30" s="228">
        <v>765012</v>
      </c>
      <c r="N30" s="228">
        <v>787367</v>
      </c>
      <c r="O30" s="228">
        <f t="shared" si="1"/>
        <v>8988568</v>
      </c>
    </row>
    <row r="31" spans="1:15" x14ac:dyDescent="0.25">
      <c r="A31" s="103">
        <f t="shared" si="0"/>
        <v>26</v>
      </c>
      <c r="B31" s="229" t="s">
        <v>1084</v>
      </c>
      <c r="C31" s="228">
        <v>151</v>
      </c>
      <c r="D31" s="228">
        <v>151</v>
      </c>
      <c r="E31" s="228">
        <v>151</v>
      </c>
      <c r="F31" s="228">
        <v>151</v>
      </c>
      <c r="G31" s="228">
        <v>151</v>
      </c>
      <c r="H31" s="228">
        <v>151</v>
      </c>
      <c r="I31" s="228">
        <v>151</v>
      </c>
      <c r="J31" s="228">
        <v>151</v>
      </c>
      <c r="K31" s="228">
        <v>151</v>
      </c>
      <c r="L31" s="228">
        <v>151</v>
      </c>
      <c r="M31" s="228">
        <v>151</v>
      </c>
      <c r="N31" s="228">
        <v>151</v>
      </c>
      <c r="O31" s="228">
        <f t="shared" si="1"/>
        <v>1812</v>
      </c>
    </row>
    <row r="32" spans="1:15" x14ac:dyDescent="0.25">
      <c r="A32" s="103">
        <f t="shared" si="0"/>
        <v>27</v>
      </c>
      <c r="B32" s="229" t="s">
        <v>1085</v>
      </c>
      <c r="C32" s="228">
        <v>5576</v>
      </c>
      <c r="D32" s="228">
        <v>5576</v>
      </c>
      <c r="E32" s="228">
        <v>5576</v>
      </c>
      <c r="F32" s="228">
        <v>5576</v>
      </c>
      <c r="G32" s="228">
        <v>5576</v>
      </c>
      <c r="H32" s="228">
        <v>5576</v>
      </c>
      <c r="I32" s="228">
        <v>5576</v>
      </c>
      <c r="J32" s="228">
        <v>5576</v>
      </c>
      <c r="K32" s="228">
        <v>5576</v>
      </c>
      <c r="L32" s="228">
        <v>5576</v>
      </c>
      <c r="M32" s="228">
        <v>5576</v>
      </c>
      <c r="N32" s="228">
        <v>5576</v>
      </c>
      <c r="O32" s="228">
        <f t="shared" si="1"/>
        <v>66912</v>
      </c>
    </row>
    <row r="33" spans="1:15" x14ac:dyDescent="0.25">
      <c r="A33" s="103">
        <f t="shared" si="0"/>
        <v>28</v>
      </c>
      <c r="B33" s="229" t="s">
        <v>1086</v>
      </c>
      <c r="C33" s="228">
        <v>186820</v>
      </c>
      <c r="D33" s="228">
        <v>95629</v>
      </c>
      <c r="E33" s="228">
        <v>238314</v>
      </c>
      <c r="F33" s="228">
        <v>144698</v>
      </c>
      <c r="G33" s="228">
        <v>168747</v>
      </c>
      <c r="H33" s="228">
        <v>193793</v>
      </c>
      <c r="I33" s="228">
        <v>374954</v>
      </c>
      <c r="J33" s="228">
        <v>361083</v>
      </c>
      <c r="K33" s="228">
        <v>401609</v>
      </c>
      <c r="L33" s="228">
        <v>471373</v>
      </c>
      <c r="M33" s="228">
        <v>307989</v>
      </c>
      <c r="N33" s="228">
        <v>319699</v>
      </c>
      <c r="O33" s="228">
        <f t="shared" si="1"/>
        <v>3264708</v>
      </c>
    </row>
    <row r="34" spans="1:15" x14ac:dyDescent="0.25">
      <c r="A34" s="103">
        <f t="shared" si="0"/>
        <v>29</v>
      </c>
      <c r="B34" s="229" t="s">
        <v>1087</v>
      </c>
      <c r="C34" s="228">
        <v>186513</v>
      </c>
      <c r="D34" s="228">
        <v>87691</v>
      </c>
      <c r="E34" s="228">
        <v>146516</v>
      </c>
      <c r="F34" s="228">
        <v>175242</v>
      </c>
      <c r="G34" s="228">
        <v>217097</v>
      </c>
      <c r="H34" s="228">
        <v>229555</v>
      </c>
      <c r="I34" s="228">
        <v>263749</v>
      </c>
      <c r="J34" s="228">
        <v>221522</v>
      </c>
      <c r="K34" s="228">
        <v>163576</v>
      </c>
      <c r="L34" s="228">
        <v>212767</v>
      </c>
      <c r="M34" s="228">
        <v>200366</v>
      </c>
      <c r="N34" s="228">
        <v>219800</v>
      </c>
      <c r="O34" s="228">
        <f t="shared" si="1"/>
        <v>2324394</v>
      </c>
    </row>
    <row r="35" spans="1:15" x14ac:dyDescent="0.25">
      <c r="A35" s="103">
        <f t="shared" si="0"/>
        <v>30</v>
      </c>
      <c r="B35" s="229" t="s">
        <v>1088</v>
      </c>
      <c r="C35" s="228">
        <v>1530264</v>
      </c>
      <c r="D35" s="228">
        <v>730588</v>
      </c>
      <c r="E35" s="228">
        <v>1543239</v>
      </c>
      <c r="F35" s="228">
        <v>1314657</v>
      </c>
      <c r="G35" s="228">
        <v>1546536</v>
      </c>
      <c r="H35" s="228">
        <v>1479852</v>
      </c>
      <c r="I35" s="228">
        <v>1757232</v>
      </c>
      <c r="J35" s="228">
        <v>1754548</v>
      </c>
      <c r="K35" s="228">
        <v>1589695</v>
      </c>
      <c r="L35" s="228">
        <v>1774931</v>
      </c>
      <c r="M35" s="228">
        <v>1527294</v>
      </c>
      <c r="N35" s="228">
        <v>1580793</v>
      </c>
      <c r="O35" s="228">
        <f t="shared" si="1"/>
        <v>18129629</v>
      </c>
    </row>
    <row r="36" spans="1:15" x14ac:dyDescent="0.25">
      <c r="A36" s="103">
        <f t="shared" si="0"/>
        <v>31</v>
      </c>
      <c r="B36" s="150" t="s">
        <v>1155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28"/>
    </row>
    <row r="37" spans="1:15" x14ac:dyDescent="0.25">
      <c r="A37" s="103">
        <f t="shared" si="0"/>
        <v>32</v>
      </c>
      <c r="B37" s="229" t="s">
        <v>1081</v>
      </c>
      <c r="C37" s="228">
        <v>10000</v>
      </c>
      <c r="D37" s="228">
        <v>10000</v>
      </c>
      <c r="E37" s="228">
        <v>10000</v>
      </c>
      <c r="F37" s="228">
        <v>7916</v>
      </c>
      <c r="G37" s="228">
        <v>580</v>
      </c>
      <c r="H37" s="228">
        <v>500</v>
      </c>
      <c r="I37" s="228">
        <v>500</v>
      </c>
      <c r="J37" s="228">
        <v>500</v>
      </c>
      <c r="K37" s="228">
        <v>500</v>
      </c>
      <c r="L37" s="228">
        <v>10000</v>
      </c>
      <c r="M37" s="228">
        <v>10000</v>
      </c>
      <c r="N37" s="228">
        <v>10000</v>
      </c>
      <c r="O37" s="228">
        <f t="shared" si="1"/>
        <v>70496</v>
      </c>
    </row>
    <row r="38" spans="1:15" x14ac:dyDescent="0.25">
      <c r="A38" s="103">
        <f t="shared" si="0"/>
        <v>33</v>
      </c>
      <c r="B38" s="229" t="s">
        <v>858</v>
      </c>
      <c r="C38" s="228">
        <v>8044111</v>
      </c>
      <c r="D38" s="228">
        <v>6446792</v>
      </c>
      <c r="E38" s="228">
        <v>4120202</v>
      </c>
      <c r="F38" s="228">
        <v>1551203</v>
      </c>
      <c r="G38" s="228">
        <v>341077</v>
      </c>
      <c r="H38" s="228">
        <v>327369</v>
      </c>
      <c r="I38" s="228">
        <v>278201</v>
      </c>
      <c r="J38" s="228">
        <v>200000</v>
      </c>
      <c r="K38" s="228">
        <v>237719</v>
      </c>
      <c r="L38" s="228">
        <v>4000000</v>
      </c>
      <c r="M38" s="228">
        <v>6907070</v>
      </c>
      <c r="N38" s="228">
        <v>9009774</v>
      </c>
      <c r="O38" s="228">
        <f t="shared" si="1"/>
        <v>41463518</v>
      </c>
    </row>
    <row r="39" spans="1:15" x14ac:dyDescent="0.25">
      <c r="A39" s="103">
        <f t="shared" si="0"/>
        <v>34</v>
      </c>
      <c r="B39" s="229" t="s">
        <v>1166</v>
      </c>
      <c r="C39" s="228">
        <v>-23531</v>
      </c>
      <c r="D39" s="228">
        <v>-23531</v>
      </c>
      <c r="E39" s="228">
        <v>-23531</v>
      </c>
      <c r="F39" s="228">
        <v>-29342</v>
      </c>
      <c r="G39" s="228">
        <v>-1817</v>
      </c>
      <c r="H39" s="228">
        <v>-1498</v>
      </c>
      <c r="I39" s="228">
        <v>-1498</v>
      </c>
      <c r="J39" s="228">
        <v>-1498</v>
      </c>
      <c r="K39" s="228">
        <v>-1498</v>
      </c>
      <c r="L39" s="228">
        <v>-17648</v>
      </c>
      <c r="M39" s="228">
        <v>-17648</v>
      </c>
      <c r="N39" s="228">
        <v>-17648</v>
      </c>
      <c r="O39" s="228">
        <f t="shared" si="1"/>
        <v>-160688</v>
      </c>
    </row>
    <row r="40" spans="1:15" x14ac:dyDescent="0.25">
      <c r="A40" s="103">
        <f t="shared" si="0"/>
        <v>35</v>
      </c>
      <c r="B40" s="229" t="s">
        <v>1163</v>
      </c>
      <c r="C40" s="228">
        <v>74900</v>
      </c>
      <c r="D40" s="228">
        <v>74900</v>
      </c>
      <c r="E40" s="228">
        <v>74900</v>
      </c>
      <c r="F40" s="228">
        <v>3745</v>
      </c>
      <c r="G40" s="228">
        <v>3745</v>
      </c>
      <c r="H40" s="228">
        <v>3745</v>
      </c>
      <c r="I40" s="228">
        <v>3745</v>
      </c>
      <c r="J40" s="228">
        <v>3745</v>
      </c>
      <c r="K40" s="228">
        <v>3745</v>
      </c>
      <c r="L40" s="228">
        <v>74900</v>
      </c>
      <c r="M40" s="228">
        <v>74900</v>
      </c>
      <c r="N40" s="228">
        <v>74900</v>
      </c>
      <c r="O40" s="228">
        <f t="shared" si="1"/>
        <v>471870</v>
      </c>
    </row>
    <row r="41" spans="1:15" x14ac:dyDescent="0.25">
      <c r="A41" s="103">
        <f t="shared" si="0"/>
        <v>36</v>
      </c>
      <c r="B41" s="229" t="s">
        <v>1164</v>
      </c>
      <c r="C41" s="228">
        <v>0</v>
      </c>
      <c r="D41" s="228">
        <v>0</v>
      </c>
      <c r="E41" s="228">
        <v>0</v>
      </c>
      <c r="F41" s="228">
        <v>74012</v>
      </c>
      <c r="G41" s="228">
        <v>798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f t="shared" si="1"/>
        <v>74810</v>
      </c>
    </row>
    <row r="42" spans="1:15" x14ac:dyDescent="0.25">
      <c r="A42" s="103">
        <f t="shared" si="0"/>
        <v>37</v>
      </c>
      <c r="B42" s="230" t="s">
        <v>1165</v>
      </c>
      <c r="C42" s="228">
        <v>-16072</v>
      </c>
      <c r="D42" s="228">
        <v>-16072</v>
      </c>
      <c r="E42" s="228">
        <v>-16072</v>
      </c>
      <c r="F42" s="228">
        <v>-4402</v>
      </c>
      <c r="G42" s="228">
        <v>0</v>
      </c>
      <c r="H42" s="228">
        <v>0</v>
      </c>
      <c r="I42" s="228">
        <v>0</v>
      </c>
      <c r="J42" s="228">
        <v>0</v>
      </c>
      <c r="K42" s="228">
        <v>0</v>
      </c>
      <c r="L42" s="228">
        <v>-16072</v>
      </c>
      <c r="M42" s="228">
        <v>-16072</v>
      </c>
      <c r="N42" s="228">
        <v>-16072</v>
      </c>
      <c r="O42" s="228">
        <f t="shared" si="1"/>
        <v>-100834</v>
      </c>
    </row>
    <row r="43" spans="1:15" x14ac:dyDescent="0.25">
      <c r="A43" s="103">
        <f t="shared" si="0"/>
        <v>38</v>
      </c>
      <c r="B43" s="229" t="s">
        <v>1082</v>
      </c>
      <c r="C43" s="228">
        <v>35297</v>
      </c>
      <c r="D43" s="228">
        <v>35297</v>
      </c>
      <c r="E43" s="228">
        <v>35297</v>
      </c>
      <c r="F43" s="228">
        <v>44013</v>
      </c>
      <c r="G43" s="228">
        <v>2726</v>
      </c>
      <c r="H43" s="228">
        <v>2247</v>
      </c>
      <c r="I43" s="228">
        <v>2247</v>
      </c>
      <c r="J43" s="228">
        <v>2247</v>
      </c>
      <c r="K43" s="228">
        <v>2247</v>
      </c>
      <c r="L43" s="228">
        <v>41180</v>
      </c>
      <c r="M43" s="228">
        <v>41180</v>
      </c>
      <c r="N43" s="228">
        <v>41180</v>
      </c>
      <c r="O43" s="228">
        <f t="shared" si="1"/>
        <v>285158</v>
      </c>
    </row>
    <row r="44" spans="1:15" x14ac:dyDescent="0.25">
      <c r="A44" s="103">
        <f t="shared" si="0"/>
        <v>39</v>
      </c>
      <c r="B44" s="229" t="s">
        <v>1083</v>
      </c>
      <c r="C44" s="228">
        <v>320831</v>
      </c>
      <c r="D44" s="228">
        <v>257124</v>
      </c>
      <c r="E44" s="228">
        <v>164330</v>
      </c>
      <c r="F44" s="228">
        <v>61868</v>
      </c>
      <c r="G44" s="228">
        <v>13604</v>
      </c>
      <c r="H44" s="228">
        <v>13057</v>
      </c>
      <c r="I44" s="228">
        <v>11096</v>
      </c>
      <c r="J44" s="228">
        <v>7598</v>
      </c>
      <c r="K44" s="228">
        <v>9481</v>
      </c>
      <c r="L44" s="228">
        <v>120477</v>
      </c>
      <c r="M44" s="228">
        <v>275482</v>
      </c>
      <c r="N44" s="228">
        <v>359346</v>
      </c>
      <c r="O44" s="228">
        <f t="shared" si="1"/>
        <v>1614294</v>
      </c>
    </row>
    <row r="45" spans="1:15" x14ac:dyDescent="0.25">
      <c r="A45" s="103">
        <f t="shared" si="0"/>
        <v>40</v>
      </c>
      <c r="B45" s="229" t="s">
        <v>1084</v>
      </c>
      <c r="C45" s="228">
        <v>151</v>
      </c>
      <c r="D45" s="228">
        <v>151</v>
      </c>
      <c r="E45" s="228">
        <v>151</v>
      </c>
      <c r="F45" s="228">
        <v>151</v>
      </c>
      <c r="G45" s="228">
        <v>151</v>
      </c>
      <c r="H45" s="228">
        <v>151</v>
      </c>
      <c r="I45" s="228">
        <v>151</v>
      </c>
      <c r="J45" s="228">
        <v>151</v>
      </c>
      <c r="K45" s="228">
        <v>151</v>
      </c>
      <c r="L45" s="228">
        <v>151</v>
      </c>
      <c r="M45" s="228">
        <v>151</v>
      </c>
      <c r="N45" s="228">
        <v>151</v>
      </c>
      <c r="O45" s="228">
        <f t="shared" si="1"/>
        <v>1812</v>
      </c>
    </row>
    <row r="46" spans="1:15" x14ac:dyDescent="0.25">
      <c r="A46" s="103">
        <f t="shared" si="0"/>
        <v>41</v>
      </c>
      <c r="B46" s="229" t="s">
        <v>1085</v>
      </c>
      <c r="C46" s="228">
        <v>5576</v>
      </c>
      <c r="D46" s="228">
        <v>5576</v>
      </c>
      <c r="E46" s="228">
        <v>5576</v>
      </c>
      <c r="F46" s="228">
        <v>5576</v>
      </c>
      <c r="G46" s="228">
        <v>5576</v>
      </c>
      <c r="H46" s="228">
        <v>5576</v>
      </c>
      <c r="I46" s="228">
        <v>5576</v>
      </c>
      <c r="J46" s="228">
        <v>5576</v>
      </c>
      <c r="K46" s="228">
        <v>5576</v>
      </c>
      <c r="L46" s="228">
        <v>5576</v>
      </c>
      <c r="M46" s="228">
        <v>5576</v>
      </c>
      <c r="N46" s="228">
        <v>5576</v>
      </c>
      <c r="O46" s="228">
        <f t="shared" si="1"/>
        <v>66912</v>
      </c>
    </row>
    <row r="47" spans="1:15" x14ac:dyDescent="0.25">
      <c r="A47" s="103">
        <f t="shared" si="0"/>
        <v>42</v>
      </c>
      <c r="B47" s="229" t="s">
        <v>1086</v>
      </c>
      <c r="C47" s="228">
        <v>63227</v>
      </c>
      <c r="D47" s="228">
        <v>64081</v>
      </c>
      <c r="E47" s="228">
        <v>41243</v>
      </c>
      <c r="F47" s="228">
        <v>11525</v>
      </c>
      <c r="G47" s="228">
        <v>2411</v>
      </c>
      <c r="H47" s="228">
        <v>3005</v>
      </c>
      <c r="I47" s="228">
        <v>4585</v>
      </c>
      <c r="J47" s="228">
        <v>2758</v>
      </c>
      <c r="K47" s="228">
        <v>4681</v>
      </c>
      <c r="L47" s="228">
        <v>53444</v>
      </c>
      <c r="M47" s="228">
        <v>105057</v>
      </c>
      <c r="N47" s="228">
        <v>138210</v>
      </c>
      <c r="O47" s="228">
        <f t="shared" si="1"/>
        <v>494227</v>
      </c>
    </row>
    <row r="48" spans="1:15" x14ac:dyDescent="0.25">
      <c r="A48" s="103">
        <f t="shared" si="0"/>
        <v>43</v>
      </c>
      <c r="B48" s="229" t="s">
        <v>1087</v>
      </c>
      <c r="C48" s="228">
        <v>59001</v>
      </c>
      <c r="D48" s="228">
        <v>49408</v>
      </c>
      <c r="E48" s="228">
        <v>25868</v>
      </c>
      <c r="F48" s="228">
        <v>18938</v>
      </c>
      <c r="G48" s="228">
        <v>3995</v>
      </c>
      <c r="H48" s="228">
        <v>4413</v>
      </c>
      <c r="I48" s="228">
        <v>4177</v>
      </c>
      <c r="J48" s="228">
        <v>2649</v>
      </c>
      <c r="K48" s="228">
        <v>2539</v>
      </c>
      <c r="L48" s="228">
        <v>30077</v>
      </c>
      <c r="M48" s="228">
        <v>64545</v>
      </c>
      <c r="N48" s="228">
        <v>87861</v>
      </c>
      <c r="O48" s="228">
        <f t="shared" si="1"/>
        <v>353471</v>
      </c>
    </row>
    <row r="49" spans="1:17" x14ac:dyDescent="0.25">
      <c r="A49" s="103">
        <f t="shared" si="0"/>
        <v>44</v>
      </c>
      <c r="B49" s="229" t="s">
        <v>1088</v>
      </c>
      <c r="C49" s="228">
        <v>484083</v>
      </c>
      <c r="D49" s="228">
        <v>411637</v>
      </c>
      <c r="E49" s="228">
        <v>272465</v>
      </c>
      <c r="F49" s="228">
        <v>142071</v>
      </c>
      <c r="G49" s="228">
        <v>28463</v>
      </c>
      <c r="H49" s="228">
        <v>28449</v>
      </c>
      <c r="I49" s="228">
        <v>27832</v>
      </c>
      <c r="J49" s="228">
        <v>20979</v>
      </c>
      <c r="K49" s="228">
        <v>24675</v>
      </c>
      <c r="L49" s="228">
        <v>250905</v>
      </c>
      <c r="M49" s="228">
        <v>491991</v>
      </c>
      <c r="N49" s="228">
        <v>635835</v>
      </c>
      <c r="O49" s="228">
        <f t="shared" si="1"/>
        <v>2819385</v>
      </c>
    </row>
    <row r="50" spans="1:17" x14ac:dyDescent="0.25">
      <c r="A50" s="103">
        <f t="shared" si="0"/>
        <v>45</v>
      </c>
      <c r="B50" s="229" t="s">
        <v>1138</v>
      </c>
      <c r="C50" s="228">
        <v>0</v>
      </c>
      <c r="D50" s="228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3941</v>
      </c>
      <c r="O50" s="228">
        <f t="shared" si="1"/>
        <v>3941</v>
      </c>
    </row>
    <row r="51" spans="1:17" x14ac:dyDescent="0.25">
      <c r="A51" s="103">
        <f t="shared" si="0"/>
        <v>46</v>
      </c>
      <c r="B51" s="229" t="s">
        <v>1139</v>
      </c>
      <c r="C51" s="228">
        <v>0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-430</v>
      </c>
      <c r="O51" s="228">
        <f t="shared" si="1"/>
        <v>-430</v>
      </c>
    </row>
    <row r="52" spans="1:17" x14ac:dyDescent="0.25">
      <c r="A52" s="103">
        <f t="shared" si="0"/>
        <v>47</v>
      </c>
      <c r="B52" s="150" t="s">
        <v>1091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228"/>
    </row>
    <row r="53" spans="1:17" x14ac:dyDescent="0.25">
      <c r="A53" s="103">
        <f t="shared" si="0"/>
        <v>48</v>
      </c>
      <c r="B53" s="229" t="s">
        <v>1081</v>
      </c>
      <c r="C53" s="228">
        <v>177443</v>
      </c>
      <c r="D53" s="228">
        <v>156565</v>
      </c>
      <c r="E53" s="228">
        <v>151911</v>
      </c>
      <c r="F53" s="228">
        <v>127222</v>
      </c>
      <c r="G53" s="228">
        <v>123868</v>
      </c>
      <c r="H53" s="228">
        <v>136891</v>
      </c>
      <c r="I53" s="228">
        <v>134081</v>
      </c>
      <c r="J53" s="228">
        <v>134816</v>
      </c>
      <c r="K53" s="228">
        <v>127862</v>
      </c>
      <c r="L53" s="228">
        <v>130920</v>
      </c>
      <c r="M53" s="228">
        <v>155325</v>
      </c>
      <c r="N53" s="228">
        <v>214120</v>
      </c>
      <c r="O53" s="228">
        <f t="shared" si="1"/>
        <v>1771024</v>
      </c>
    </row>
    <row r="54" spans="1:17" x14ac:dyDescent="0.25">
      <c r="A54" s="103">
        <f t="shared" si="0"/>
        <v>49</v>
      </c>
      <c r="B54" s="229" t="s">
        <v>858</v>
      </c>
      <c r="C54" s="228">
        <v>95173132</v>
      </c>
      <c r="D54" s="228">
        <v>79748485</v>
      </c>
      <c r="E54" s="228">
        <v>74796114</v>
      </c>
      <c r="F54" s="228">
        <v>63057807</v>
      </c>
      <c r="G54" s="228">
        <v>63884053</v>
      </c>
      <c r="H54" s="228">
        <v>66230647</v>
      </c>
      <c r="I54" s="228">
        <v>72756448</v>
      </c>
      <c r="J54" s="228">
        <v>73375301</v>
      </c>
      <c r="K54" s="228">
        <v>61526999</v>
      </c>
      <c r="L54" s="228">
        <v>66691538</v>
      </c>
      <c r="M54" s="228">
        <v>73292615</v>
      </c>
      <c r="N54" s="228">
        <v>87804026</v>
      </c>
      <c r="O54" s="228">
        <f t="shared" si="1"/>
        <v>878337165</v>
      </c>
      <c r="Q54" s="123"/>
    </row>
    <row r="55" spans="1:17" x14ac:dyDescent="0.25">
      <c r="A55" s="103">
        <f t="shared" si="0"/>
        <v>50</v>
      </c>
      <c r="B55" s="229" t="s">
        <v>1082</v>
      </c>
      <c r="C55" s="228">
        <v>1168766</v>
      </c>
      <c r="D55" s="228">
        <v>1032639</v>
      </c>
      <c r="E55" s="228">
        <v>1002294</v>
      </c>
      <c r="F55" s="228">
        <v>869813</v>
      </c>
      <c r="G55" s="228">
        <v>848342</v>
      </c>
      <c r="H55" s="228">
        <v>936378</v>
      </c>
      <c r="I55" s="228">
        <v>922123</v>
      </c>
      <c r="J55" s="228">
        <v>924923</v>
      </c>
      <c r="K55" s="228">
        <v>880296</v>
      </c>
      <c r="L55" s="228">
        <v>877670</v>
      </c>
      <c r="M55" s="228">
        <v>1031529</v>
      </c>
      <c r="N55" s="228">
        <v>1414873</v>
      </c>
      <c r="O55" s="228">
        <f t="shared" si="1"/>
        <v>11909646</v>
      </c>
    </row>
    <row r="56" spans="1:17" x14ac:dyDescent="0.25">
      <c r="A56" s="103">
        <f t="shared" si="0"/>
        <v>51</v>
      </c>
      <c r="B56" s="229" t="s">
        <v>1083</v>
      </c>
      <c r="C56" s="228">
        <v>4096681</v>
      </c>
      <c r="D56" s="228">
        <v>3422601</v>
      </c>
      <c r="E56" s="228">
        <v>3182425</v>
      </c>
      <c r="F56" s="228">
        <v>2684446</v>
      </c>
      <c r="G56" s="228">
        <v>2735980</v>
      </c>
      <c r="H56" s="228">
        <v>2885772</v>
      </c>
      <c r="I56" s="228">
        <v>3171056</v>
      </c>
      <c r="J56" s="228">
        <v>3178640</v>
      </c>
      <c r="K56" s="228">
        <v>2649877</v>
      </c>
      <c r="L56" s="228">
        <v>2777140</v>
      </c>
      <c r="M56" s="228">
        <v>3129588</v>
      </c>
      <c r="N56" s="228">
        <v>3787550</v>
      </c>
      <c r="O56" s="228">
        <f t="shared" si="1"/>
        <v>37701756</v>
      </c>
    </row>
    <row r="57" spans="1:17" x14ac:dyDescent="0.25">
      <c r="A57" s="103">
        <f t="shared" si="0"/>
        <v>52</v>
      </c>
      <c r="B57" s="229" t="s">
        <v>1084</v>
      </c>
      <c r="C57" s="228">
        <v>2416</v>
      </c>
      <c r="D57" s="228">
        <v>2416</v>
      </c>
      <c r="E57" s="228">
        <v>2416</v>
      </c>
      <c r="F57" s="228">
        <v>2416</v>
      </c>
      <c r="G57" s="228">
        <v>2416</v>
      </c>
      <c r="H57" s="228">
        <v>2416</v>
      </c>
      <c r="I57" s="228">
        <v>2416</v>
      </c>
      <c r="J57" s="228">
        <v>2416</v>
      </c>
      <c r="K57" s="228">
        <v>2416</v>
      </c>
      <c r="L57" s="228">
        <v>2416</v>
      </c>
      <c r="M57" s="228">
        <v>2416</v>
      </c>
      <c r="N57" s="228">
        <v>2416</v>
      </c>
      <c r="O57" s="228">
        <f t="shared" si="1"/>
        <v>28992</v>
      </c>
    </row>
    <row r="58" spans="1:17" x14ac:dyDescent="0.25">
      <c r="A58" s="103">
        <f t="shared" si="0"/>
        <v>53</v>
      </c>
      <c r="B58" s="229" t="s">
        <v>1085</v>
      </c>
      <c r="C58" s="228">
        <v>60331</v>
      </c>
      <c r="D58" s="228">
        <v>60331</v>
      </c>
      <c r="E58" s="228">
        <v>60331</v>
      </c>
      <c r="F58" s="228">
        <v>60331</v>
      </c>
      <c r="G58" s="228">
        <v>60331</v>
      </c>
      <c r="H58" s="228">
        <v>60331</v>
      </c>
      <c r="I58" s="228">
        <v>60331</v>
      </c>
      <c r="J58" s="228">
        <v>60331</v>
      </c>
      <c r="K58" s="228">
        <v>60331</v>
      </c>
      <c r="L58" s="228">
        <v>60331</v>
      </c>
      <c r="M58" s="228">
        <v>60331</v>
      </c>
      <c r="N58" s="228">
        <v>60331</v>
      </c>
      <c r="O58" s="228">
        <f t="shared" si="1"/>
        <v>723972</v>
      </c>
    </row>
    <row r="59" spans="1:17" x14ac:dyDescent="0.25">
      <c r="A59" s="103">
        <f t="shared" si="0"/>
        <v>54</v>
      </c>
      <c r="B59" s="229" t="s">
        <v>1086</v>
      </c>
      <c r="C59" s="228">
        <v>742838</v>
      </c>
      <c r="D59" s="228">
        <v>792700</v>
      </c>
      <c r="E59" s="228">
        <v>748710</v>
      </c>
      <c r="F59" s="228">
        <v>468518</v>
      </c>
      <c r="G59" s="228">
        <v>451661</v>
      </c>
      <c r="H59" s="228">
        <v>607998</v>
      </c>
      <c r="I59" s="228">
        <v>1199026</v>
      </c>
      <c r="J59" s="228">
        <v>1090144</v>
      </c>
      <c r="K59" s="228">
        <v>1211465</v>
      </c>
      <c r="L59" s="228">
        <v>1387520</v>
      </c>
      <c r="M59" s="228">
        <v>1114781</v>
      </c>
      <c r="N59" s="228">
        <v>1346912</v>
      </c>
      <c r="O59" s="228">
        <f t="shared" si="1"/>
        <v>11162273</v>
      </c>
    </row>
    <row r="60" spans="1:17" x14ac:dyDescent="0.25">
      <c r="A60" s="103">
        <f t="shared" si="0"/>
        <v>55</v>
      </c>
      <c r="B60" s="229" t="s">
        <v>1087</v>
      </c>
      <c r="C60" s="228">
        <v>842659</v>
      </c>
      <c r="D60" s="228">
        <v>724378</v>
      </c>
      <c r="E60" s="228">
        <v>524099</v>
      </c>
      <c r="F60" s="228">
        <v>628356</v>
      </c>
      <c r="G60" s="228">
        <v>669322</v>
      </c>
      <c r="H60" s="228">
        <v>824897</v>
      </c>
      <c r="I60" s="228">
        <v>945683</v>
      </c>
      <c r="J60" s="228">
        <v>759557</v>
      </c>
      <c r="K60" s="228">
        <v>551062</v>
      </c>
      <c r="L60" s="228">
        <v>695312</v>
      </c>
      <c r="M60" s="228">
        <v>806136</v>
      </c>
      <c r="N60" s="228">
        <v>1067215</v>
      </c>
      <c r="O60" s="228">
        <f t="shared" si="1"/>
        <v>9038676</v>
      </c>
    </row>
    <row r="61" spans="1:17" x14ac:dyDescent="0.25">
      <c r="A61" s="103">
        <f t="shared" si="0"/>
        <v>56</v>
      </c>
      <c r="B61" s="229" t="s">
        <v>1088</v>
      </c>
      <c r="C61" s="228">
        <v>6913691</v>
      </c>
      <c r="D61" s="228">
        <v>6035065</v>
      </c>
      <c r="E61" s="228">
        <v>5520275</v>
      </c>
      <c r="F61" s="228">
        <v>4713880</v>
      </c>
      <c r="G61" s="228">
        <v>4768052</v>
      </c>
      <c r="H61" s="228">
        <v>5317792</v>
      </c>
      <c r="I61" s="228">
        <v>6300635</v>
      </c>
      <c r="J61" s="228">
        <v>6016011</v>
      </c>
      <c r="K61" s="228">
        <v>5355447</v>
      </c>
      <c r="L61" s="228">
        <v>5800389</v>
      </c>
      <c r="M61" s="228">
        <v>6144781</v>
      </c>
      <c r="N61" s="228">
        <v>7679297</v>
      </c>
      <c r="O61" s="228">
        <f t="shared" si="1"/>
        <v>70565315</v>
      </c>
    </row>
    <row r="62" spans="1:17" x14ac:dyDescent="0.25">
      <c r="A62" s="103">
        <f t="shared" si="0"/>
        <v>57</v>
      </c>
      <c r="B62" s="231" t="s">
        <v>1089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228">
        <f t="shared" si="1"/>
        <v>0</v>
      </c>
    </row>
    <row r="63" spans="1:17" x14ac:dyDescent="0.25">
      <c r="A63" s="103">
        <f t="shared" si="0"/>
        <v>58</v>
      </c>
      <c r="B63" s="229" t="s">
        <v>1090</v>
      </c>
      <c r="C63" s="228">
        <v>-2172</v>
      </c>
      <c r="D63" s="228">
        <v>-1025</v>
      </c>
      <c r="E63" s="228">
        <v>-2202</v>
      </c>
      <c r="F63" s="228">
        <v>-2208</v>
      </c>
      <c r="G63" s="228">
        <v>-2210</v>
      </c>
      <c r="H63" s="228">
        <v>-200</v>
      </c>
      <c r="I63" s="228">
        <v>-2222</v>
      </c>
      <c r="J63" s="228">
        <v>-215</v>
      </c>
      <c r="K63" s="228">
        <v>0</v>
      </c>
      <c r="L63" s="228">
        <v>-2206</v>
      </c>
      <c r="M63" s="228">
        <v>-2223</v>
      </c>
      <c r="N63" s="228">
        <v>-2228</v>
      </c>
      <c r="O63" s="228">
        <f t="shared" si="1"/>
        <v>-19111</v>
      </c>
    </row>
    <row r="64" spans="1:17" x14ac:dyDescent="0.25">
      <c r="A64" s="103">
        <f t="shared" si="0"/>
        <v>59</v>
      </c>
      <c r="B64" s="229" t="s">
        <v>1087</v>
      </c>
      <c r="C64" s="228">
        <v>-301</v>
      </c>
      <c r="D64" s="228">
        <v>-140</v>
      </c>
      <c r="E64" s="228">
        <v>-231</v>
      </c>
      <c r="F64" s="228">
        <v>-340</v>
      </c>
      <c r="G64" s="228">
        <v>-361</v>
      </c>
      <c r="H64" s="228">
        <v>-37</v>
      </c>
      <c r="I64" s="228">
        <v>-392</v>
      </c>
      <c r="J64" s="228">
        <v>-31</v>
      </c>
      <c r="K64" s="228">
        <v>0</v>
      </c>
      <c r="L64" s="228">
        <v>-300</v>
      </c>
      <c r="M64" s="228">
        <v>-336</v>
      </c>
      <c r="N64" s="228">
        <v>-360</v>
      </c>
      <c r="O64" s="228">
        <f t="shared" si="1"/>
        <v>-2829</v>
      </c>
    </row>
    <row r="65" spans="1:15" x14ac:dyDescent="0.25">
      <c r="A65" s="103">
        <f t="shared" si="0"/>
        <v>60</v>
      </c>
      <c r="B65" s="229" t="s">
        <v>1088</v>
      </c>
      <c r="C65" s="228">
        <v>-2473</v>
      </c>
      <c r="D65" s="228">
        <v>-1165</v>
      </c>
      <c r="E65" s="228">
        <v>-2433</v>
      </c>
      <c r="F65" s="228">
        <v>-2548</v>
      </c>
      <c r="G65" s="228">
        <v>-2571</v>
      </c>
      <c r="H65" s="228">
        <v>-237</v>
      </c>
      <c r="I65" s="228">
        <v>-2614</v>
      </c>
      <c r="J65" s="228">
        <v>-246</v>
      </c>
      <c r="K65" s="228">
        <v>0</v>
      </c>
      <c r="L65" s="228">
        <v>-2506</v>
      </c>
      <c r="M65" s="228">
        <v>-2559</v>
      </c>
      <c r="N65" s="228">
        <v>-2588</v>
      </c>
      <c r="O65" s="228">
        <f t="shared" si="1"/>
        <v>-21940</v>
      </c>
    </row>
    <row r="66" spans="1:15" x14ac:dyDescent="0.25">
      <c r="A66" s="103">
        <f t="shared" si="0"/>
        <v>61</v>
      </c>
      <c r="B66" s="231" t="s">
        <v>1140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228">
        <f t="shared" si="1"/>
        <v>0</v>
      </c>
    </row>
    <row r="67" spans="1:15" x14ac:dyDescent="0.25">
      <c r="A67" s="103">
        <f t="shared" si="0"/>
        <v>62</v>
      </c>
      <c r="B67" s="229" t="s">
        <v>858</v>
      </c>
      <c r="C67" s="228">
        <v>1400</v>
      </c>
      <c r="D67" s="228">
        <v>1400</v>
      </c>
      <c r="E67" s="228">
        <v>1400</v>
      </c>
      <c r="F67" s="228">
        <v>1400</v>
      </c>
      <c r="G67" s="228">
        <v>1400</v>
      </c>
      <c r="H67" s="228">
        <v>1400</v>
      </c>
      <c r="I67" s="228">
        <v>1400</v>
      </c>
      <c r="J67" s="228">
        <v>1400</v>
      </c>
      <c r="K67" s="228">
        <v>1400</v>
      </c>
      <c r="L67" s="228">
        <v>1400</v>
      </c>
      <c r="M67" s="228">
        <v>1400</v>
      </c>
      <c r="N67" s="228">
        <v>1400</v>
      </c>
      <c r="O67" s="228">
        <f t="shared" si="1"/>
        <v>16800</v>
      </c>
    </row>
    <row r="68" spans="1:15" x14ac:dyDescent="0.25">
      <c r="A68" s="103">
        <f t="shared" si="0"/>
        <v>63</v>
      </c>
      <c r="B68" s="229" t="s">
        <v>1088</v>
      </c>
      <c r="C68" s="228">
        <v>35</v>
      </c>
      <c r="D68" s="228">
        <v>35</v>
      </c>
      <c r="E68" s="228">
        <v>35</v>
      </c>
      <c r="F68" s="228">
        <v>35</v>
      </c>
      <c r="G68" s="228">
        <v>35</v>
      </c>
      <c r="H68" s="228">
        <v>35</v>
      </c>
      <c r="I68" s="228">
        <v>35</v>
      </c>
      <c r="J68" s="228">
        <v>35</v>
      </c>
      <c r="K68" s="228">
        <v>35</v>
      </c>
      <c r="L68" s="228">
        <v>35</v>
      </c>
      <c r="M68" s="228">
        <v>35</v>
      </c>
      <c r="N68" s="228">
        <v>35</v>
      </c>
      <c r="O68" s="228">
        <f t="shared" si="1"/>
        <v>420</v>
      </c>
    </row>
    <row r="69" spans="1:15" x14ac:dyDescent="0.25">
      <c r="A69" s="103">
        <f t="shared" si="0"/>
        <v>64</v>
      </c>
      <c r="B69" s="211" t="s">
        <v>1161</v>
      </c>
      <c r="C69" s="228">
        <v>-124</v>
      </c>
      <c r="D69" s="228">
        <v>-125</v>
      </c>
      <c r="E69" s="228">
        <v>-172</v>
      </c>
      <c r="F69" s="228">
        <v>-210</v>
      </c>
      <c r="G69" s="228">
        <v>-240</v>
      </c>
      <c r="H69" s="228">
        <v>-353</v>
      </c>
      <c r="I69" s="228">
        <v>-493</v>
      </c>
      <c r="J69" s="228">
        <v>-347</v>
      </c>
      <c r="K69" s="228">
        <v>-464</v>
      </c>
      <c r="L69" s="228">
        <v>-342</v>
      </c>
      <c r="M69" s="228">
        <v>-241</v>
      </c>
      <c r="N69" s="228">
        <v>-164</v>
      </c>
      <c r="O69" s="228">
        <f t="shared" si="1"/>
        <v>-3275</v>
      </c>
    </row>
    <row r="70" spans="1:15" x14ac:dyDescent="0.25">
      <c r="A70" s="103">
        <f t="shared" si="0"/>
        <v>65</v>
      </c>
      <c r="B70" s="232" t="s">
        <v>1088</v>
      </c>
      <c r="C70" s="228">
        <v>6911129</v>
      </c>
      <c r="D70" s="228">
        <v>6033810</v>
      </c>
      <c r="E70" s="228">
        <v>5517705</v>
      </c>
      <c r="F70" s="228">
        <v>4711157</v>
      </c>
      <c r="G70" s="228">
        <v>4765276</v>
      </c>
      <c r="H70" s="228">
        <v>5317237</v>
      </c>
      <c r="I70" s="228">
        <v>6297563</v>
      </c>
      <c r="J70" s="228">
        <v>6015453</v>
      </c>
      <c r="K70" s="228">
        <v>5355018</v>
      </c>
      <c r="L70" s="228">
        <v>5797576</v>
      </c>
      <c r="M70" s="228">
        <v>6142016</v>
      </c>
      <c r="N70" s="228">
        <v>7676580</v>
      </c>
      <c r="O70" s="228">
        <f t="shared" si="1"/>
        <v>70540520</v>
      </c>
    </row>
    <row r="71" spans="1:15" x14ac:dyDescent="0.25">
      <c r="A71" s="103">
        <f t="shared" si="0"/>
        <v>66</v>
      </c>
      <c r="B71" s="233" t="s">
        <v>1159</v>
      </c>
      <c r="C71" s="228">
        <f>C61+C65+C68+C69</f>
        <v>6911129</v>
      </c>
      <c r="D71" s="228">
        <f t="shared" ref="D71:N71" si="2">D61+D65+D68+D69</f>
        <v>6033810</v>
      </c>
      <c r="E71" s="228">
        <f t="shared" si="2"/>
        <v>5517705</v>
      </c>
      <c r="F71" s="228">
        <f t="shared" si="2"/>
        <v>4711157</v>
      </c>
      <c r="G71" s="228">
        <f t="shared" si="2"/>
        <v>4765276</v>
      </c>
      <c r="H71" s="228">
        <f t="shared" si="2"/>
        <v>5317237</v>
      </c>
      <c r="I71" s="228">
        <f t="shared" si="2"/>
        <v>6297563</v>
      </c>
      <c r="J71" s="228">
        <f t="shared" si="2"/>
        <v>6015453</v>
      </c>
      <c r="K71" s="228">
        <f t="shared" si="2"/>
        <v>5355018</v>
      </c>
      <c r="L71" s="228">
        <f t="shared" si="2"/>
        <v>5797576</v>
      </c>
      <c r="M71" s="228">
        <f t="shared" si="2"/>
        <v>6142016</v>
      </c>
      <c r="N71" s="228">
        <f t="shared" si="2"/>
        <v>7676580</v>
      </c>
      <c r="O71" s="228">
        <f t="shared" si="1"/>
        <v>70540520</v>
      </c>
    </row>
    <row r="72" spans="1:15" x14ac:dyDescent="0.25">
      <c r="A72" s="103">
        <f t="shared" si="0"/>
        <v>67</v>
      </c>
      <c r="B72" s="233" t="s">
        <v>1160</v>
      </c>
      <c r="C72" s="228">
        <f>C71-C70</f>
        <v>0</v>
      </c>
      <c r="D72" s="228">
        <f t="shared" ref="D72:N72" si="3">D71-D70</f>
        <v>0</v>
      </c>
      <c r="E72" s="228">
        <f t="shared" si="3"/>
        <v>0</v>
      </c>
      <c r="F72" s="228">
        <f t="shared" si="3"/>
        <v>0</v>
      </c>
      <c r="G72" s="228">
        <f t="shared" si="3"/>
        <v>0</v>
      </c>
      <c r="H72" s="228">
        <f t="shared" si="3"/>
        <v>0</v>
      </c>
      <c r="I72" s="228">
        <f t="shared" si="3"/>
        <v>0</v>
      </c>
      <c r="J72" s="228">
        <f t="shared" si="3"/>
        <v>0</v>
      </c>
      <c r="K72" s="228">
        <f t="shared" si="3"/>
        <v>0</v>
      </c>
      <c r="L72" s="228">
        <f t="shared" si="3"/>
        <v>0</v>
      </c>
      <c r="M72" s="228">
        <f t="shared" si="3"/>
        <v>0</v>
      </c>
      <c r="N72" s="228">
        <f t="shared" si="3"/>
        <v>0</v>
      </c>
      <c r="O72" s="228">
        <f t="shared" ref="O72:O122" si="4">SUM(C72:N72)</f>
        <v>0</v>
      </c>
    </row>
    <row r="73" spans="1:15" x14ac:dyDescent="0.25">
      <c r="A73" s="103">
        <f t="shared" si="0"/>
        <v>68</v>
      </c>
      <c r="B73" s="150" t="s">
        <v>1129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228"/>
    </row>
    <row r="74" spans="1:15" x14ac:dyDescent="0.25">
      <c r="A74" s="103">
        <f t="shared" si="0"/>
        <v>69</v>
      </c>
      <c r="B74" s="229" t="s">
        <v>1130</v>
      </c>
      <c r="C74" s="228">
        <v>325</v>
      </c>
      <c r="D74" s="228">
        <v>303.7</v>
      </c>
      <c r="E74" s="228">
        <v>308</v>
      </c>
      <c r="F74" s="228">
        <v>295.89999999999998</v>
      </c>
      <c r="G74" s="228">
        <v>283.3</v>
      </c>
      <c r="H74" s="228">
        <v>258.8</v>
      </c>
      <c r="I74" s="228">
        <v>275.8</v>
      </c>
      <c r="J74" s="228">
        <v>283.3</v>
      </c>
      <c r="K74" s="228">
        <v>263.8</v>
      </c>
      <c r="L74" s="228">
        <v>283.8</v>
      </c>
      <c r="M74" s="228">
        <v>286.89999999999998</v>
      </c>
      <c r="N74" s="228">
        <v>293.8</v>
      </c>
      <c r="O74" s="228">
        <f t="shared" si="4"/>
        <v>3462.1000000000008</v>
      </c>
    </row>
    <row r="75" spans="1:15" x14ac:dyDescent="0.25">
      <c r="A75" s="103">
        <f t="shared" si="0"/>
        <v>70</v>
      </c>
      <c r="B75" s="229" t="s">
        <v>1131</v>
      </c>
      <c r="C75" s="228">
        <v>186519.3</v>
      </c>
      <c r="D75" s="228">
        <v>167796.3</v>
      </c>
      <c r="E75" s="228">
        <v>183424.5</v>
      </c>
      <c r="F75" s="228">
        <v>137892</v>
      </c>
      <c r="G75" s="228">
        <v>160037.6</v>
      </c>
      <c r="H75" s="228">
        <v>130617.3</v>
      </c>
      <c r="I75" s="228">
        <v>144539.9</v>
      </c>
      <c r="J75" s="228">
        <v>153024.4</v>
      </c>
      <c r="K75" s="228">
        <v>129598.5</v>
      </c>
      <c r="L75" s="228">
        <v>156643.1</v>
      </c>
      <c r="M75" s="228">
        <v>148881.5</v>
      </c>
      <c r="N75" s="228">
        <v>160776.5</v>
      </c>
      <c r="O75" s="228">
        <f t="shared" si="4"/>
        <v>1859750.9</v>
      </c>
    </row>
    <row r="76" spans="1:15" x14ac:dyDescent="0.25">
      <c r="A76" s="103">
        <f t="shared" si="0"/>
        <v>71</v>
      </c>
      <c r="B76" s="229" t="s">
        <v>1082</v>
      </c>
      <c r="C76" s="228">
        <v>199549</v>
      </c>
      <c r="D76" s="228">
        <v>188071</v>
      </c>
      <c r="E76" s="228">
        <v>190547</v>
      </c>
      <c r="F76" s="228">
        <v>182882</v>
      </c>
      <c r="G76" s="228">
        <v>175609</v>
      </c>
      <c r="H76" s="228">
        <v>160265</v>
      </c>
      <c r="I76" s="228">
        <v>170960</v>
      </c>
      <c r="J76" s="228">
        <f>175525+3598</f>
        <v>179123</v>
      </c>
      <c r="K76" s="228">
        <f>156980+6541</f>
        <v>163521</v>
      </c>
      <c r="L76" s="228">
        <v>175919</v>
      </c>
      <c r="M76" s="228">
        <v>177667</v>
      </c>
      <c r="N76" s="228">
        <v>181407</v>
      </c>
      <c r="O76" s="228">
        <f t="shared" si="4"/>
        <v>2145520</v>
      </c>
    </row>
    <row r="77" spans="1:15" x14ac:dyDescent="0.25">
      <c r="A77" s="103">
        <f t="shared" si="0"/>
        <v>72</v>
      </c>
      <c r="B77" s="229" t="s">
        <v>1083</v>
      </c>
      <c r="C77" s="228">
        <v>811607</v>
      </c>
      <c r="D77" s="228">
        <v>732997</v>
      </c>
      <c r="E77" s="228">
        <v>800485</v>
      </c>
      <c r="F77" s="228">
        <v>601190</v>
      </c>
      <c r="G77" s="228">
        <v>699790</v>
      </c>
      <c r="H77" s="228">
        <v>570586</v>
      </c>
      <c r="I77" s="228">
        <v>632021</v>
      </c>
      <c r="J77" s="228">
        <f>657374+13707</f>
        <v>671081</v>
      </c>
      <c r="K77" s="228">
        <f>544022+22665</f>
        <v>566687</v>
      </c>
      <c r="L77" s="228">
        <v>684945</v>
      </c>
      <c r="M77" s="228">
        <v>650373</v>
      </c>
      <c r="N77" s="228">
        <v>700277</v>
      </c>
      <c r="O77" s="228">
        <f t="shared" si="4"/>
        <v>8122039</v>
      </c>
    </row>
    <row r="78" spans="1:15" x14ac:dyDescent="0.25">
      <c r="A78" s="103">
        <f t="shared" si="0"/>
        <v>73</v>
      </c>
      <c r="B78" s="229" t="s">
        <v>1086</v>
      </c>
      <c r="C78" s="228">
        <v>162579</v>
      </c>
      <c r="D78" s="228">
        <v>184981</v>
      </c>
      <c r="E78" s="228">
        <v>203493</v>
      </c>
      <c r="F78" s="228">
        <v>113591</v>
      </c>
      <c r="G78" s="228">
        <v>125443</v>
      </c>
      <c r="H78" s="228">
        <v>132909</v>
      </c>
      <c r="I78" s="228">
        <v>264113</v>
      </c>
      <c r="J78" s="228">
        <f>252216-92</f>
        <v>252124</v>
      </c>
      <c r="K78" s="228">
        <f>282960-103</f>
        <v>282857</v>
      </c>
      <c r="L78" s="228">
        <v>369526</v>
      </c>
      <c r="M78" s="228">
        <v>251124</v>
      </c>
      <c r="N78" s="228">
        <v>273434</v>
      </c>
      <c r="O78" s="228">
        <f t="shared" si="4"/>
        <v>2616174</v>
      </c>
    </row>
    <row r="79" spans="1:15" x14ac:dyDescent="0.25">
      <c r="A79" s="103">
        <f t="shared" si="0"/>
        <v>74</v>
      </c>
      <c r="B79" s="229" t="s">
        <v>1087</v>
      </c>
      <c r="C79" s="228">
        <v>162914</v>
      </c>
      <c r="D79" s="228">
        <v>150865</v>
      </c>
      <c r="E79" s="228">
        <v>125306</v>
      </c>
      <c r="F79" s="228">
        <v>138061</v>
      </c>
      <c r="G79" s="228">
        <v>163438</v>
      </c>
      <c r="H79" s="228">
        <v>158586</v>
      </c>
      <c r="I79" s="228">
        <v>188449</v>
      </c>
      <c r="J79" s="228">
        <f>156366+2487</f>
        <v>158853</v>
      </c>
      <c r="K79" s="228">
        <f>112860+3339</f>
        <v>116199</v>
      </c>
      <c r="L79" s="228">
        <v>167579</v>
      </c>
      <c r="M79" s="228">
        <v>162954</v>
      </c>
      <c r="N79" s="228">
        <v>186552</v>
      </c>
      <c r="O79" s="228">
        <f t="shared" si="4"/>
        <v>1879756</v>
      </c>
    </row>
    <row r="80" spans="1:15" x14ac:dyDescent="0.25">
      <c r="A80" s="103">
        <f t="shared" si="0"/>
        <v>75</v>
      </c>
      <c r="B80" s="229" t="s">
        <v>0</v>
      </c>
      <c r="C80" s="228">
        <v>1336649</v>
      </c>
      <c r="D80" s="228">
        <v>1256914</v>
      </c>
      <c r="E80" s="228">
        <v>1319831</v>
      </c>
      <c r="F80" s="228">
        <v>1035724</v>
      </c>
      <c r="G80" s="228">
        <v>1164280</v>
      </c>
      <c r="H80" s="228">
        <v>1022346</v>
      </c>
      <c r="I80" s="228">
        <v>1255543</v>
      </c>
      <c r="J80" s="228">
        <f>1238481+19700</f>
        <v>1258181</v>
      </c>
      <c r="K80" s="228">
        <f>1096822+32442</f>
        <v>1129264</v>
      </c>
      <c r="L80" s="228">
        <v>1397969</v>
      </c>
      <c r="M80" s="228">
        <v>1242118</v>
      </c>
      <c r="N80" s="228">
        <v>1341670</v>
      </c>
      <c r="O80" s="228">
        <f t="shared" si="4"/>
        <v>14760489</v>
      </c>
    </row>
    <row r="81" spans="1:15" x14ac:dyDescent="0.25">
      <c r="A81" s="103">
        <f t="shared" si="0"/>
        <v>76</v>
      </c>
      <c r="B81" s="150" t="s">
        <v>1132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</row>
    <row r="82" spans="1:15" x14ac:dyDescent="0.25">
      <c r="A82" s="103">
        <f t="shared" si="0"/>
        <v>77</v>
      </c>
      <c r="B82" s="229" t="s">
        <v>1081</v>
      </c>
      <c r="C82" s="228">
        <v>29633</v>
      </c>
      <c r="D82" s="228">
        <v>25000</v>
      </c>
      <c r="E82" s="228">
        <v>25000</v>
      </c>
      <c r="F82" s="228">
        <v>25000</v>
      </c>
      <c r="G82" s="228">
        <v>25000</v>
      </c>
      <c r="H82" s="228">
        <v>29611</v>
      </c>
      <c r="I82" s="228">
        <v>29621</v>
      </c>
      <c r="J82" s="228">
        <v>29701</v>
      </c>
      <c r="K82" s="228">
        <v>29695</v>
      </c>
      <c r="L82" s="228">
        <v>29611</v>
      </c>
      <c r="M82" s="228">
        <v>25000</v>
      </c>
      <c r="N82" s="228">
        <v>25000</v>
      </c>
      <c r="O82" s="228">
        <f t="shared" si="4"/>
        <v>327872</v>
      </c>
    </row>
    <row r="83" spans="1:15" x14ac:dyDescent="0.25">
      <c r="A83" s="103">
        <f t="shared" si="0"/>
        <v>78</v>
      </c>
      <c r="B83" s="229" t="s">
        <v>858</v>
      </c>
      <c r="C83" s="228">
        <v>4631375</v>
      </c>
      <c r="D83" s="228">
        <v>1655529</v>
      </c>
      <c r="E83" s="228">
        <v>5742664</v>
      </c>
      <c r="F83" s="228">
        <v>6001352</v>
      </c>
      <c r="G83" s="228">
        <v>5812534</v>
      </c>
      <c r="H83" s="228">
        <v>7656048</v>
      </c>
      <c r="I83" s="228">
        <v>5441948</v>
      </c>
      <c r="J83" s="228">
        <v>7814345</v>
      </c>
      <c r="K83" s="228">
        <v>8361293</v>
      </c>
      <c r="L83" s="228">
        <v>6294004</v>
      </c>
      <c r="M83" s="228">
        <v>4562026</v>
      </c>
      <c r="N83" s="228">
        <v>6788341</v>
      </c>
      <c r="O83" s="228">
        <f t="shared" si="4"/>
        <v>70761459</v>
      </c>
    </row>
    <row r="84" spans="1:15" x14ac:dyDescent="0.25">
      <c r="A84" s="103">
        <f t="shared" si="0"/>
        <v>79</v>
      </c>
      <c r="B84" s="229" t="s">
        <v>1082</v>
      </c>
      <c r="C84" s="228">
        <v>51858</v>
      </c>
      <c r="D84" s="228">
        <v>43750</v>
      </c>
      <c r="E84" s="228">
        <v>43750</v>
      </c>
      <c r="F84" s="228">
        <v>43750</v>
      </c>
      <c r="G84" s="228">
        <v>43750</v>
      </c>
      <c r="H84" s="228">
        <v>51819</v>
      </c>
      <c r="I84" s="228">
        <v>51837</v>
      </c>
      <c r="J84" s="228">
        <v>51977</v>
      </c>
      <c r="K84" s="228">
        <v>51966</v>
      </c>
      <c r="L84" s="228">
        <v>51819</v>
      </c>
      <c r="M84" s="228">
        <v>43750</v>
      </c>
      <c r="N84" s="228">
        <v>43750</v>
      </c>
      <c r="O84" s="228">
        <f t="shared" si="4"/>
        <v>573776</v>
      </c>
    </row>
    <row r="85" spans="1:15" x14ac:dyDescent="0.25">
      <c r="A85" s="103">
        <f t="shared" si="0"/>
        <v>80</v>
      </c>
      <c r="B85" s="229" t="s">
        <v>1083</v>
      </c>
      <c r="C85" s="228">
        <v>237366</v>
      </c>
      <c r="D85" s="228">
        <v>83678</v>
      </c>
      <c r="E85" s="228">
        <v>262194</v>
      </c>
      <c r="F85" s="228">
        <v>416200</v>
      </c>
      <c r="G85" s="228">
        <v>525966</v>
      </c>
      <c r="H85" s="228">
        <v>847947</v>
      </c>
      <c r="I85" s="228">
        <v>564426</v>
      </c>
      <c r="J85" s="228">
        <v>839778</v>
      </c>
      <c r="K85" s="228">
        <v>755787</v>
      </c>
      <c r="L85" s="228">
        <v>407414</v>
      </c>
      <c r="M85" s="228">
        <v>246970</v>
      </c>
      <c r="N85" s="228">
        <v>37662</v>
      </c>
      <c r="O85" s="228">
        <f t="shared" si="4"/>
        <v>5225388</v>
      </c>
    </row>
    <row r="86" spans="1:15" x14ac:dyDescent="0.25">
      <c r="A86" s="103">
        <f t="shared" si="0"/>
        <v>81</v>
      </c>
      <c r="B86" s="229" t="s">
        <v>1135</v>
      </c>
      <c r="C86" s="228">
        <v>-1707</v>
      </c>
      <c r="D86" s="228">
        <v>-805</v>
      </c>
      <c r="E86" s="228">
        <v>-4966</v>
      </c>
      <c r="F86" s="228">
        <v>-4149</v>
      </c>
      <c r="G86" s="228">
        <v>-2459</v>
      </c>
      <c r="H86" s="228">
        <v>-4251</v>
      </c>
      <c r="I86" s="228">
        <v>-4171</v>
      </c>
      <c r="J86" s="228">
        <v>-1308</v>
      </c>
      <c r="K86" s="228">
        <v>-7390</v>
      </c>
      <c r="L86" s="228">
        <v>-8507</v>
      </c>
      <c r="M86" s="228">
        <v>-2860</v>
      </c>
      <c r="N86" s="228">
        <v>-895</v>
      </c>
      <c r="O86" s="228">
        <f t="shared" si="4"/>
        <v>-43468</v>
      </c>
    </row>
    <row r="87" spans="1:15" x14ac:dyDescent="0.25">
      <c r="A87" s="103">
        <f t="shared" si="0"/>
        <v>82</v>
      </c>
      <c r="B87" s="229" t="s">
        <v>1136</v>
      </c>
      <c r="C87" s="228">
        <v>0</v>
      </c>
      <c r="D87" s="228">
        <v>8980</v>
      </c>
      <c r="E87" s="228">
        <v>18608</v>
      </c>
      <c r="F87" s="228">
        <v>0</v>
      </c>
      <c r="G87" s="228">
        <v>875</v>
      </c>
      <c r="H87" s="228">
        <v>11294</v>
      </c>
      <c r="I87" s="228">
        <v>0</v>
      </c>
      <c r="J87" s="228">
        <v>823</v>
      </c>
      <c r="K87" s="228">
        <v>411</v>
      </c>
      <c r="L87" s="228">
        <v>124</v>
      </c>
      <c r="M87" s="228">
        <v>0</v>
      </c>
      <c r="N87" s="228">
        <v>0</v>
      </c>
      <c r="O87" s="228">
        <f t="shared" si="4"/>
        <v>41115</v>
      </c>
    </row>
    <row r="88" spans="1:15" x14ac:dyDescent="0.25">
      <c r="A88" s="103">
        <f t="shared" si="0"/>
        <v>83</v>
      </c>
      <c r="B88" s="229" t="s">
        <v>1137</v>
      </c>
      <c r="C88" s="228">
        <v>0</v>
      </c>
      <c r="D88" s="228">
        <v>0</v>
      </c>
      <c r="E88" s="228">
        <v>0</v>
      </c>
      <c r="F88" s="228">
        <v>0</v>
      </c>
      <c r="G88" s="228">
        <v>0</v>
      </c>
      <c r="H88" s="228">
        <v>0</v>
      </c>
      <c r="I88" s="228">
        <v>0</v>
      </c>
      <c r="J88" s="228">
        <v>0</v>
      </c>
      <c r="K88" s="228">
        <v>0</v>
      </c>
      <c r="L88" s="228">
        <v>0</v>
      </c>
      <c r="M88" s="228">
        <v>0</v>
      </c>
      <c r="N88" s="228">
        <v>0</v>
      </c>
      <c r="O88" s="228">
        <f t="shared" si="4"/>
        <v>0</v>
      </c>
    </row>
    <row r="89" spans="1:15" x14ac:dyDescent="0.25">
      <c r="A89" s="103">
        <f t="shared" si="0"/>
        <v>84</v>
      </c>
      <c r="B89" s="229" t="s">
        <v>1087</v>
      </c>
      <c r="C89" s="228">
        <v>29411</v>
      </c>
      <c r="D89" s="228">
        <v>12950</v>
      </c>
      <c r="E89" s="228">
        <v>26975</v>
      </c>
      <c r="F89" s="228">
        <v>42463</v>
      </c>
      <c r="G89" s="228">
        <v>53434</v>
      </c>
      <c r="H89" s="228">
        <v>79497</v>
      </c>
      <c r="I89" s="228">
        <v>89974</v>
      </c>
      <c r="J89" s="228">
        <v>73135</v>
      </c>
      <c r="K89" s="228">
        <v>66380</v>
      </c>
      <c r="L89" s="228">
        <v>49039</v>
      </c>
      <c r="M89" s="228">
        <v>41689</v>
      </c>
      <c r="N89" s="228">
        <v>9470</v>
      </c>
      <c r="O89" s="228">
        <f t="shared" si="4"/>
        <v>574417</v>
      </c>
    </row>
    <row r="90" spans="1:15" x14ac:dyDescent="0.25">
      <c r="A90" s="103">
        <f t="shared" si="0"/>
        <v>85</v>
      </c>
      <c r="B90" s="229" t="s">
        <v>1088</v>
      </c>
      <c r="C90" s="228">
        <v>476960</v>
      </c>
      <c r="D90" s="228">
        <v>199742</v>
      </c>
      <c r="E90" s="228">
        <v>559960</v>
      </c>
      <c r="F90" s="228">
        <v>730603</v>
      </c>
      <c r="G90" s="228">
        <v>905031</v>
      </c>
      <c r="H90" s="228">
        <v>1367479</v>
      </c>
      <c r="I90" s="228">
        <v>1159706</v>
      </c>
      <c r="J90" s="228">
        <v>1418552</v>
      </c>
      <c r="K90" s="228">
        <v>1393917</v>
      </c>
      <c r="L90" s="228">
        <v>808118</v>
      </c>
      <c r="M90" s="228">
        <v>561886</v>
      </c>
      <c r="N90" s="228">
        <v>104874</v>
      </c>
      <c r="O90" s="228">
        <f t="shared" si="4"/>
        <v>9686828</v>
      </c>
    </row>
    <row r="91" spans="1:15" x14ac:dyDescent="0.25">
      <c r="A91" s="103">
        <f t="shared" si="0"/>
        <v>86</v>
      </c>
      <c r="B91" s="231" t="s">
        <v>1133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</row>
    <row r="92" spans="1:15" x14ac:dyDescent="0.25">
      <c r="A92" s="103">
        <f t="shared" si="0"/>
        <v>87</v>
      </c>
      <c r="B92" s="229" t="s">
        <v>858</v>
      </c>
      <c r="C92" s="228">
        <v>5420831</v>
      </c>
      <c r="D92" s="228">
        <v>1731056</v>
      </c>
      <c r="E92" s="228">
        <v>6121677</v>
      </c>
      <c r="F92" s="228">
        <v>7078658</v>
      </c>
      <c r="G92" s="228">
        <v>7395083</v>
      </c>
      <c r="H92" s="228">
        <v>8009800</v>
      </c>
      <c r="I92" s="228">
        <v>8475824</v>
      </c>
      <c r="J92" s="228">
        <v>8562725</v>
      </c>
      <c r="K92" s="228">
        <v>9768892</v>
      </c>
      <c r="L92" s="228">
        <v>7678160</v>
      </c>
      <c r="M92" s="228">
        <v>5333373</v>
      </c>
      <c r="N92" s="228">
        <v>339465</v>
      </c>
      <c r="O92" s="228">
        <f t="shared" si="4"/>
        <v>75915544</v>
      </c>
    </row>
    <row r="93" spans="1:15" x14ac:dyDescent="0.25">
      <c r="A93" s="103">
        <f t="shared" si="0"/>
        <v>88</v>
      </c>
      <c r="B93" s="229" t="s">
        <v>1083</v>
      </c>
      <c r="C93" s="228">
        <v>147899</v>
      </c>
      <c r="D93" s="228">
        <v>45933</v>
      </c>
      <c r="E93" s="228">
        <v>190144</v>
      </c>
      <c r="F93" s="228">
        <v>214679</v>
      </c>
      <c r="G93" s="228">
        <v>262839</v>
      </c>
      <c r="H93" s="228">
        <v>332949</v>
      </c>
      <c r="I93" s="228">
        <v>410470</v>
      </c>
      <c r="J93" s="228">
        <v>426856</v>
      </c>
      <c r="K93" s="228">
        <v>506523</v>
      </c>
      <c r="L93" s="228">
        <v>305572</v>
      </c>
      <c r="M93" s="228">
        <v>216361</v>
      </c>
      <c r="N93" s="228">
        <v>14107</v>
      </c>
      <c r="O93" s="228">
        <f t="shared" si="4"/>
        <v>3074332</v>
      </c>
    </row>
    <row r="94" spans="1:15" x14ac:dyDescent="0.25">
      <c r="A94" s="103">
        <f t="shared" si="0"/>
        <v>89</v>
      </c>
      <c r="B94" s="229" t="s">
        <v>1135</v>
      </c>
      <c r="C94" s="228">
        <v>-4129</v>
      </c>
      <c r="D94" s="228">
        <v>-2085</v>
      </c>
      <c r="E94" s="228">
        <v>-1805</v>
      </c>
      <c r="F94" s="228">
        <v>-3576</v>
      </c>
      <c r="G94" s="228">
        <v>-5840</v>
      </c>
      <c r="H94" s="228">
        <v>-2969</v>
      </c>
      <c r="I94" s="228">
        <v>-3344</v>
      </c>
      <c r="J94" s="228">
        <v>-105</v>
      </c>
      <c r="K94" s="228">
        <v>-11239</v>
      </c>
      <c r="L94" s="228">
        <v>-20733</v>
      </c>
      <c r="M94" s="228">
        <v>-860</v>
      </c>
      <c r="N94" s="228">
        <v>-238</v>
      </c>
      <c r="O94" s="228">
        <f t="shared" si="4"/>
        <v>-56923</v>
      </c>
    </row>
    <row r="95" spans="1:15" x14ac:dyDescent="0.25">
      <c r="A95" s="103">
        <f t="shared" si="0"/>
        <v>90</v>
      </c>
      <c r="B95" s="229" t="s">
        <v>1136</v>
      </c>
      <c r="C95" s="228">
        <v>0</v>
      </c>
      <c r="D95" s="228">
        <v>2148</v>
      </c>
      <c r="E95" s="228">
        <v>6695</v>
      </c>
      <c r="F95" s="228">
        <v>0</v>
      </c>
      <c r="G95" s="228">
        <v>4281</v>
      </c>
      <c r="H95" s="228">
        <v>27164</v>
      </c>
      <c r="I95" s="228">
        <v>25087</v>
      </c>
      <c r="J95" s="228">
        <v>1708</v>
      </c>
      <c r="K95" s="228">
        <v>2172</v>
      </c>
      <c r="L95" s="228">
        <v>356</v>
      </c>
      <c r="M95" s="228">
        <v>836</v>
      </c>
      <c r="N95" s="228">
        <v>0</v>
      </c>
      <c r="O95" s="228">
        <f t="shared" si="4"/>
        <v>70447</v>
      </c>
    </row>
    <row r="96" spans="1:15" x14ac:dyDescent="0.25">
      <c r="A96" s="103">
        <f>A94+1</f>
        <v>90</v>
      </c>
      <c r="B96" s="229" t="s">
        <v>1137</v>
      </c>
      <c r="C96" s="228">
        <v>16262</v>
      </c>
      <c r="D96" s="228">
        <v>5193</v>
      </c>
      <c r="E96" s="228">
        <v>18365</v>
      </c>
      <c r="F96" s="228">
        <v>21236</v>
      </c>
      <c r="G96" s="228">
        <v>22185</v>
      </c>
      <c r="H96" s="228">
        <v>24029</v>
      </c>
      <c r="I96" s="228">
        <v>25427</v>
      </c>
      <c r="J96" s="228">
        <v>25688</v>
      </c>
      <c r="K96" s="228">
        <v>29307</v>
      </c>
      <c r="L96" s="228">
        <v>23034</v>
      </c>
      <c r="M96" s="228">
        <v>16000</v>
      </c>
      <c r="N96" s="228">
        <v>1018</v>
      </c>
      <c r="O96" s="228">
        <f t="shared" si="4"/>
        <v>227744</v>
      </c>
    </row>
    <row r="97" spans="1:15" x14ac:dyDescent="0.25">
      <c r="A97" s="103">
        <f t="shared" si="0"/>
        <v>91</v>
      </c>
      <c r="B97" s="150" t="s">
        <v>1134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228"/>
    </row>
    <row r="98" spans="1:15" x14ac:dyDescent="0.25">
      <c r="A98" s="103">
        <f t="shared" si="0"/>
        <v>92</v>
      </c>
      <c r="B98" s="229" t="s">
        <v>1081</v>
      </c>
      <c r="C98" s="228">
        <f>C82</f>
        <v>29633</v>
      </c>
      <c r="D98" s="228">
        <f>D82</f>
        <v>25000</v>
      </c>
      <c r="E98" s="228">
        <f t="shared" ref="E98:N98" si="5">E82</f>
        <v>25000</v>
      </c>
      <c r="F98" s="228">
        <f t="shared" si="5"/>
        <v>25000</v>
      </c>
      <c r="G98" s="228">
        <f t="shared" si="5"/>
        <v>25000</v>
      </c>
      <c r="H98" s="228">
        <f t="shared" si="5"/>
        <v>29611</v>
      </c>
      <c r="I98" s="228">
        <f t="shared" si="5"/>
        <v>29621</v>
      </c>
      <c r="J98" s="228">
        <f t="shared" si="5"/>
        <v>29701</v>
      </c>
      <c r="K98" s="228">
        <f t="shared" si="5"/>
        <v>29695</v>
      </c>
      <c r="L98" s="228">
        <f t="shared" si="5"/>
        <v>29611</v>
      </c>
      <c r="M98" s="228">
        <f t="shared" si="5"/>
        <v>25000</v>
      </c>
      <c r="N98" s="228">
        <f t="shared" si="5"/>
        <v>25000</v>
      </c>
      <c r="O98" s="228">
        <f t="shared" si="4"/>
        <v>327872</v>
      </c>
    </row>
    <row r="99" spans="1:15" x14ac:dyDescent="0.25">
      <c r="A99" s="103">
        <f t="shared" si="0"/>
        <v>93</v>
      </c>
      <c r="B99" s="229" t="s">
        <v>858</v>
      </c>
      <c r="C99" s="228">
        <f>C83+C92</f>
        <v>10052206</v>
      </c>
      <c r="D99" s="228">
        <f>D83+D92</f>
        <v>3386585</v>
      </c>
      <c r="E99" s="228">
        <f t="shared" ref="E99:N99" si="6">E83+E92</f>
        <v>11864341</v>
      </c>
      <c r="F99" s="228">
        <f t="shared" si="6"/>
        <v>13080010</v>
      </c>
      <c r="G99" s="228">
        <f t="shared" si="6"/>
        <v>13207617</v>
      </c>
      <c r="H99" s="228">
        <f t="shared" si="6"/>
        <v>15665848</v>
      </c>
      <c r="I99" s="228">
        <f t="shared" si="6"/>
        <v>13917772</v>
      </c>
      <c r="J99" s="228">
        <f t="shared" si="6"/>
        <v>16377070</v>
      </c>
      <c r="K99" s="228">
        <f t="shared" si="6"/>
        <v>18130185</v>
      </c>
      <c r="L99" s="228">
        <f t="shared" si="6"/>
        <v>13972164</v>
      </c>
      <c r="M99" s="228">
        <f t="shared" si="6"/>
        <v>9895399</v>
      </c>
      <c r="N99" s="228">
        <f t="shared" si="6"/>
        <v>7127806</v>
      </c>
      <c r="O99" s="228">
        <f t="shared" si="4"/>
        <v>146677003</v>
      </c>
    </row>
    <row r="100" spans="1:15" x14ac:dyDescent="0.25">
      <c r="A100" s="103">
        <f t="shared" si="0"/>
        <v>94</v>
      </c>
      <c r="B100" s="229" t="s">
        <v>1082</v>
      </c>
      <c r="C100" s="228">
        <f>C84</f>
        <v>51858</v>
      </c>
      <c r="D100" s="228">
        <f>D84</f>
        <v>43750</v>
      </c>
      <c r="E100" s="228">
        <f t="shared" ref="E100:N100" si="7">E84</f>
        <v>43750</v>
      </c>
      <c r="F100" s="228">
        <f t="shared" si="7"/>
        <v>43750</v>
      </c>
      <c r="G100" s="228">
        <f t="shared" si="7"/>
        <v>43750</v>
      </c>
      <c r="H100" s="228">
        <f t="shared" si="7"/>
        <v>51819</v>
      </c>
      <c r="I100" s="228">
        <f t="shared" si="7"/>
        <v>51837</v>
      </c>
      <c r="J100" s="228">
        <f t="shared" si="7"/>
        <v>51977</v>
      </c>
      <c r="K100" s="228">
        <f t="shared" si="7"/>
        <v>51966</v>
      </c>
      <c r="L100" s="228">
        <f t="shared" si="7"/>
        <v>51819</v>
      </c>
      <c r="M100" s="228">
        <f t="shared" si="7"/>
        <v>43750</v>
      </c>
      <c r="N100" s="228">
        <f t="shared" si="7"/>
        <v>43750</v>
      </c>
      <c r="O100" s="228">
        <f t="shared" si="4"/>
        <v>573776</v>
      </c>
    </row>
    <row r="101" spans="1:15" x14ac:dyDescent="0.25">
      <c r="A101" s="103">
        <f t="shared" si="0"/>
        <v>95</v>
      </c>
      <c r="B101" s="229" t="s">
        <v>1083</v>
      </c>
      <c r="C101" s="228">
        <f t="shared" ref="C101:D104" si="8">C85+C93</f>
        <v>385265</v>
      </c>
      <c r="D101" s="228">
        <f t="shared" si="8"/>
        <v>129611</v>
      </c>
      <c r="E101" s="228">
        <f t="shared" ref="E101:N101" si="9">E85+E93</f>
        <v>452338</v>
      </c>
      <c r="F101" s="228">
        <f t="shared" si="9"/>
        <v>630879</v>
      </c>
      <c r="G101" s="228">
        <f t="shared" si="9"/>
        <v>788805</v>
      </c>
      <c r="H101" s="228">
        <f t="shared" si="9"/>
        <v>1180896</v>
      </c>
      <c r="I101" s="228">
        <f t="shared" si="9"/>
        <v>974896</v>
      </c>
      <c r="J101" s="228">
        <f t="shared" si="9"/>
        <v>1266634</v>
      </c>
      <c r="K101" s="228">
        <f t="shared" si="9"/>
        <v>1262310</v>
      </c>
      <c r="L101" s="228">
        <f t="shared" si="9"/>
        <v>712986</v>
      </c>
      <c r="M101" s="228">
        <f t="shared" si="9"/>
        <v>463331</v>
      </c>
      <c r="N101" s="228">
        <f t="shared" si="9"/>
        <v>51769</v>
      </c>
      <c r="O101" s="228">
        <f t="shared" si="4"/>
        <v>8299720</v>
      </c>
    </row>
    <row r="102" spans="1:15" x14ac:dyDescent="0.25">
      <c r="A102" s="103">
        <f t="shared" si="0"/>
        <v>96</v>
      </c>
      <c r="B102" s="229" t="s">
        <v>1135</v>
      </c>
      <c r="C102" s="228">
        <f t="shared" si="8"/>
        <v>-5836</v>
      </c>
      <c r="D102" s="228">
        <f t="shared" si="8"/>
        <v>-2890</v>
      </c>
      <c r="E102" s="228">
        <f t="shared" ref="E102:N102" si="10">E86+E94</f>
        <v>-6771</v>
      </c>
      <c r="F102" s="228">
        <f t="shared" si="10"/>
        <v>-7725</v>
      </c>
      <c r="G102" s="228">
        <f t="shared" si="10"/>
        <v>-8299</v>
      </c>
      <c r="H102" s="228">
        <f t="shared" si="10"/>
        <v>-7220</v>
      </c>
      <c r="I102" s="228">
        <f t="shared" si="10"/>
        <v>-7515</v>
      </c>
      <c r="J102" s="228">
        <f t="shared" si="10"/>
        <v>-1413</v>
      </c>
      <c r="K102" s="228">
        <f t="shared" si="10"/>
        <v>-18629</v>
      </c>
      <c r="L102" s="228">
        <f t="shared" si="10"/>
        <v>-29240</v>
      </c>
      <c r="M102" s="228">
        <f t="shared" si="10"/>
        <v>-3720</v>
      </c>
      <c r="N102" s="228">
        <f t="shared" si="10"/>
        <v>-1133</v>
      </c>
      <c r="O102" s="228">
        <f t="shared" si="4"/>
        <v>-100391</v>
      </c>
    </row>
    <row r="103" spans="1:15" x14ac:dyDescent="0.25">
      <c r="A103" s="103">
        <f t="shared" si="0"/>
        <v>97</v>
      </c>
      <c r="B103" s="229" t="s">
        <v>1136</v>
      </c>
      <c r="C103" s="228">
        <f t="shared" si="8"/>
        <v>0</v>
      </c>
      <c r="D103" s="228">
        <f t="shared" si="8"/>
        <v>11128</v>
      </c>
      <c r="E103" s="228">
        <f t="shared" ref="E103:N103" si="11">E87+E95</f>
        <v>25303</v>
      </c>
      <c r="F103" s="228">
        <f t="shared" si="11"/>
        <v>0</v>
      </c>
      <c r="G103" s="228">
        <f t="shared" si="11"/>
        <v>5156</v>
      </c>
      <c r="H103" s="228">
        <f t="shared" si="11"/>
        <v>38458</v>
      </c>
      <c r="I103" s="228">
        <f t="shared" si="11"/>
        <v>25087</v>
      </c>
      <c r="J103" s="228">
        <f t="shared" si="11"/>
        <v>2531</v>
      </c>
      <c r="K103" s="228">
        <f t="shared" si="11"/>
        <v>2583</v>
      </c>
      <c r="L103" s="228">
        <f t="shared" si="11"/>
        <v>480</v>
      </c>
      <c r="M103" s="228">
        <f t="shared" si="11"/>
        <v>836</v>
      </c>
      <c r="N103" s="228">
        <f t="shared" si="11"/>
        <v>0</v>
      </c>
      <c r="O103" s="228">
        <f t="shared" si="4"/>
        <v>111562</v>
      </c>
    </row>
    <row r="104" spans="1:15" x14ac:dyDescent="0.25">
      <c r="A104" s="103">
        <f t="shared" si="0"/>
        <v>98</v>
      </c>
      <c r="B104" s="229" t="s">
        <v>1137</v>
      </c>
      <c r="C104" s="228">
        <f t="shared" si="8"/>
        <v>16262</v>
      </c>
      <c r="D104" s="228">
        <f t="shared" si="8"/>
        <v>5193</v>
      </c>
      <c r="E104" s="228">
        <f t="shared" ref="E104:N104" si="12">E88+E96</f>
        <v>18365</v>
      </c>
      <c r="F104" s="228">
        <f t="shared" si="12"/>
        <v>21236</v>
      </c>
      <c r="G104" s="228">
        <f t="shared" si="12"/>
        <v>22185</v>
      </c>
      <c r="H104" s="228">
        <f t="shared" si="12"/>
        <v>24029</v>
      </c>
      <c r="I104" s="228">
        <f t="shared" si="12"/>
        <v>25427</v>
      </c>
      <c r="J104" s="228">
        <f t="shared" si="12"/>
        <v>25688</v>
      </c>
      <c r="K104" s="228">
        <f t="shared" si="12"/>
        <v>29307</v>
      </c>
      <c r="L104" s="228">
        <f t="shared" si="12"/>
        <v>23034</v>
      </c>
      <c r="M104" s="228">
        <f t="shared" si="12"/>
        <v>16000</v>
      </c>
      <c r="N104" s="228">
        <f t="shared" si="12"/>
        <v>1018</v>
      </c>
      <c r="O104" s="228">
        <f t="shared" si="4"/>
        <v>227744</v>
      </c>
    </row>
    <row r="105" spans="1:15" x14ac:dyDescent="0.25">
      <c r="A105" s="103">
        <f t="shared" si="0"/>
        <v>99</v>
      </c>
      <c r="B105" s="229" t="s">
        <v>1087</v>
      </c>
      <c r="C105" s="228">
        <f>C89</f>
        <v>29411</v>
      </c>
      <c r="D105" s="228">
        <f>D89</f>
        <v>12950</v>
      </c>
      <c r="E105" s="228">
        <f t="shared" ref="E105:N105" si="13">E89</f>
        <v>26975</v>
      </c>
      <c r="F105" s="228">
        <f t="shared" si="13"/>
        <v>42463</v>
      </c>
      <c r="G105" s="228">
        <f t="shared" si="13"/>
        <v>53434</v>
      </c>
      <c r="H105" s="228">
        <f t="shared" si="13"/>
        <v>79497</v>
      </c>
      <c r="I105" s="228">
        <f t="shared" si="13"/>
        <v>89974</v>
      </c>
      <c r="J105" s="228">
        <f t="shared" si="13"/>
        <v>73135</v>
      </c>
      <c r="K105" s="228">
        <f t="shared" si="13"/>
        <v>66380</v>
      </c>
      <c r="L105" s="228">
        <f t="shared" si="13"/>
        <v>49039</v>
      </c>
      <c r="M105" s="228">
        <f t="shared" si="13"/>
        <v>41689</v>
      </c>
      <c r="N105" s="228">
        <f t="shared" si="13"/>
        <v>9470</v>
      </c>
      <c r="O105" s="228">
        <f t="shared" si="4"/>
        <v>574417</v>
      </c>
    </row>
    <row r="106" spans="1:15" x14ac:dyDescent="0.25">
      <c r="A106" s="103">
        <f t="shared" si="0"/>
        <v>100</v>
      </c>
      <c r="B106" s="229" t="s">
        <v>1088</v>
      </c>
      <c r="C106" s="228">
        <f>SUM(C100:C105)</f>
        <v>476960</v>
      </c>
      <c r="D106" s="228">
        <f>SUM(D100:D105)</f>
        <v>199742</v>
      </c>
      <c r="E106" s="228">
        <f t="shared" ref="E106:N106" si="14">SUM(E100:E105)</f>
        <v>559960</v>
      </c>
      <c r="F106" s="228">
        <f t="shared" si="14"/>
        <v>730603</v>
      </c>
      <c r="G106" s="228">
        <f t="shared" si="14"/>
        <v>905031</v>
      </c>
      <c r="H106" s="228">
        <f t="shared" si="14"/>
        <v>1367479</v>
      </c>
      <c r="I106" s="228">
        <f t="shared" si="14"/>
        <v>1159706</v>
      </c>
      <c r="J106" s="228">
        <f t="shared" si="14"/>
        <v>1418552</v>
      </c>
      <c r="K106" s="228">
        <f t="shared" si="14"/>
        <v>1393917</v>
      </c>
      <c r="L106" s="228">
        <f t="shared" si="14"/>
        <v>808118</v>
      </c>
      <c r="M106" s="228">
        <f t="shared" si="14"/>
        <v>561886</v>
      </c>
      <c r="N106" s="228">
        <f t="shared" si="14"/>
        <v>104874</v>
      </c>
      <c r="O106" s="228">
        <f t="shared" si="4"/>
        <v>9686828</v>
      </c>
    </row>
    <row r="107" spans="1:15" x14ac:dyDescent="0.25">
      <c r="A107" s="103">
        <f t="shared" si="0"/>
        <v>101</v>
      </c>
      <c r="B107" s="150" t="s">
        <v>1193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228"/>
    </row>
    <row r="108" spans="1:15" x14ac:dyDescent="0.25">
      <c r="A108" s="103">
        <f t="shared" ref="A108:A136" si="15">A107+1</f>
        <v>102</v>
      </c>
      <c r="B108" s="229" t="s">
        <v>1081</v>
      </c>
      <c r="C108" s="110">
        <f>C53+C98</f>
        <v>207076</v>
      </c>
      <c r="D108" s="110">
        <f t="shared" ref="D108:N108" si="16">D53+D98</f>
        <v>181565</v>
      </c>
      <c r="E108" s="110">
        <f t="shared" si="16"/>
        <v>176911</v>
      </c>
      <c r="F108" s="110">
        <f t="shared" si="16"/>
        <v>152222</v>
      </c>
      <c r="G108" s="110">
        <f t="shared" si="16"/>
        <v>148868</v>
      </c>
      <c r="H108" s="110">
        <f t="shared" si="16"/>
        <v>166502</v>
      </c>
      <c r="I108" s="110">
        <f t="shared" si="16"/>
        <v>163702</v>
      </c>
      <c r="J108" s="110">
        <f t="shared" si="16"/>
        <v>164517</v>
      </c>
      <c r="K108" s="110">
        <f t="shared" si="16"/>
        <v>157557</v>
      </c>
      <c r="L108" s="110">
        <f t="shared" si="16"/>
        <v>160531</v>
      </c>
      <c r="M108" s="110">
        <f t="shared" si="16"/>
        <v>180325</v>
      </c>
      <c r="N108" s="110">
        <f t="shared" si="16"/>
        <v>239120</v>
      </c>
      <c r="O108" s="228">
        <f t="shared" si="4"/>
        <v>2098896</v>
      </c>
    </row>
    <row r="109" spans="1:15" x14ac:dyDescent="0.25">
      <c r="A109" s="103">
        <f t="shared" si="15"/>
        <v>103</v>
      </c>
      <c r="B109" s="229" t="s">
        <v>858</v>
      </c>
      <c r="C109" s="110">
        <f>C54+C99</f>
        <v>105225338</v>
      </c>
      <c r="D109" s="110">
        <f t="shared" ref="D109:N109" si="17">D54+D99</f>
        <v>83135070</v>
      </c>
      <c r="E109" s="110">
        <f t="shared" si="17"/>
        <v>86660455</v>
      </c>
      <c r="F109" s="110">
        <f t="shared" si="17"/>
        <v>76137817</v>
      </c>
      <c r="G109" s="110">
        <f t="shared" si="17"/>
        <v>77091670</v>
      </c>
      <c r="H109" s="110">
        <f t="shared" si="17"/>
        <v>81896495</v>
      </c>
      <c r="I109" s="110">
        <f t="shared" si="17"/>
        <v>86674220</v>
      </c>
      <c r="J109" s="110">
        <f t="shared" si="17"/>
        <v>89752371</v>
      </c>
      <c r="K109" s="110">
        <f t="shared" si="17"/>
        <v>79657184</v>
      </c>
      <c r="L109" s="110">
        <f t="shared" si="17"/>
        <v>80663702</v>
      </c>
      <c r="M109" s="110">
        <f t="shared" si="17"/>
        <v>83188014</v>
      </c>
      <c r="N109" s="110">
        <f t="shared" si="17"/>
        <v>94931832</v>
      </c>
      <c r="O109" s="228">
        <f t="shared" si="4"/>
        <v>1025014168</v>
      </c>
    </row>
    <row r="110" spans="1:15" x14ac:dyDescent="0.25">
      <c r="A110" s="103">
        <f t="shared" si="15"/>
        <v>104</v>
      </c>
      <c r="B110" s="229" t="s">
        <v>1082</v>
      </c>
      <c r="C110" s="110">
        <f>C55+C84</f>
        <v>1220624</v>
      </c>
      <c r="D110" s="110">
        <f t="shared" ref="D110:N110" si="18">D55+D84</f>
        <v>1076389</v>
      </c>
      <c r="E110" s="110">
        <f t="shared" si="18"/>
        <v>1046044</v>
      </c>
      <c r="F110" s="110">
        <f t="shared" si="18"/>
        <v>913563</v>
      </c>
      <c r="G110" s="110">
        <f t="shared" si="18"/>
        <v>892092</v>
      </c>
      <c r="H110" s="110">
        <f t="shared" si="18"/>
        <v>988197</v>
      </c>
      <c r="I110" s="110">
        <f t="shared" si="18"/>
        <v>973960</v>
      </c>
      <c r="J110" s="110">
        <f t="shared" si="18"/>
        <v>976900</v>
      </c>
      <c r="K110" s="110">
        <f t="shared" si="18"/>
        <v>932262</v>
      </c>
      <c r="L110" s="110">
        <f t="shared" si="18"/>
        <v>929489</v>
      </c>
      <c r="M110" s="110">
        <f t="shared" si="18"/>
        <v>1075279</v>
      </c>
      <c r="N110" s="110">
        <f t="shared" si="18"/>
        <v>1458623</v>
      </c>
      <c r="O110" s="228">
        <f t="shared" si="4"/>
        <v>12483422</v>
      </c>
    </row>
    <row r="111" spans="1:15" x14ac:dyDescent="0.25">
      <c r="A111" s="103">
        <f t="shared" si="15"/>
        <v>105</v>
      </c>
      <c r="B111" s="229" t="s">
        <v>1083</v>
      </c>
      <c r="C111" s="110">
        <f>C56+C85</f>
        <v>4334047</v>
      </c>
      <c r="D111" s="110">
        <f t="shared" ref="D111:N111" si="19">D56+D85</f>
        <v>3506279</v>
      </c>
      <c r="E111" s="110">
        <f t="shared" si="19"/>
        <v>3444619</v>
      </c>
      <c r="F111" s="110">
        <f t="shared" si="19"/>
        <v>3100646</v>
      </c>
      <c r="G111" s="110">
        <f t="shared" si="19"/>
        <v>3261946</v>
      </c>
      <c r="H111" s="110">
        <f t="shared" si="19"/>
        <v>3733719</v>
      </c>
      <c r="I111" s="110">
        <f t="shared" si="19"/>
        <v>3735482</v>
      </c>
      <c r="J111" s="110">
        <f t="shared" si="19"/>
        <v>4018418</v>
      </c>
      <c r="K111" s="110">
        <f t="shared" si="19"/>
        <v>3405664</v>
      </c>
      <c r="L111" s="110">
        <f t="shared" si="19"/>
        <v>3184554</v>
      </c>
      <c r="M111" s="110">
        <f t="shared" si="19"/>
        <v>3376558</v>
      </c>
      <c r="N111" s="110">
        <f t="shared" si="19"/>
        <v>3825212</v>
      </c>
      <c r="O111" s="228">
        <f t="shared" si="4"/>
        <v>42927144</v>
      </c>
    </row>
    <row r="112" spans="1:15" x14ac:dyDescent="0.25">
      <c r="A112" s="103">
        <f t="shared" si="15"/>
        <v>106</v>
      </c>
      <c r="B112" s="229" t="s">
        <v>1084</v>
      </c>
      <c r="C112" s="110">
        <f>C57</f>
        <v>2416</v>
      </c>
      <c r="D112" s="110">
        <f t="shared" ref="D112:N112" si="20">D57</f>
        <v>2416</v>
      </c>
      <c r="E112" s="110">
        <f t="shared" si="20"/>
        <v>2416</v>
      </c>
      <c r="F112" s="110">
        <f t="shared" si="20"/>
        <v>2416</v>
      </c>
      <c r="G112" s="110">
        <f t="shared" si="20"/>
        <v>2416</v>
      </c>
      <c r="H112" s="110">
        <f t="shared" si="20"/>
        <v>2416</v>
      </c>
      <c r="I112" s="110">
        <f t="shared" si="20"/>
        <v>2416</v>
      </c>
      <c r="J112" s="110">
        <f t="shared" si="20"/>
        <v>2416</v>
      </c>
      <c r="K112" s="110">
        <f t="shared" si="20"/>
        <v>2416</v>
      </c>
      <c r="L112" s="110">
        <f t="shared" si="20"/>
        <v>2416</v>
      </c>
      <c r="M112" s="110">
        <f t="shared" si="20"/>
        <v>2416</v>
      </c>
      <c r="N112" s="110">
        <f t="shared" si="20"/>
        <v>2416</v>
      </c>
      <c r="O112" s="228">
        <f t="shared" si="4"/>
        <v>28992</v>
      </c>
    </row>
    <row r="113" spans="1:15" x14ac:dyDescent="0.25">
      <c r="A113" s="103">
        <f t="shared" si="15"/>
        <v>107</v>
      </c>
      <c r="B113" s="229" t="s">
        <v>1085</v>
      </c>
      <c r="C113" s="110">
        <f>C58</f>
        <v>60331</v>
      </c>
      <c r="D113" s="110">
        <f t="shared" ref="D113:N113" si="21">D58</f>
        <v>60331</v>
      </c>
      <c r="E113" s="110">
        <f t="shared" si="21"/>
        <v>60331</v>
      </c>
      <c r="F113" s="110">
        <f t="shared" si="21"/>
        <v>60331</v>
      </c>
      <c r="G113" s="110">
        <f t="shared" si="21"/>
        <v>60331</v>
      </c>
      <c r="H113" s="110">
        <f t="shared" si="21"/>
        <v>60331</v>
      </c>
      <c r="I113" s="110">
        <f t="shared" si="21"/>
        <v>60331</v>
      </c>
      <c r="J113" s="110">
        <f t="shared" si="21"/>
        <v>60331</v>
      </c>
      <c r="K113" s="110">
        <f t="shared" si="21"/>
        <v>60331</v>
      </c>
      <c r="L113" s="110">
        <f t="shared" si="21"/>
        <v>60331</v>
      </c>
      <c r="M113" s="110">
        <f t="shared" si="21"/>
        <v>60331</v>
      </c>
      <c r="N113" s="110">
        <f t="shared" si="21"/>
        <v>60331</v>
      </c>
      <c r="O113" s="228">
        <f t="shared" si="4"/>
        <v>723972</v>
      </c>
    </row>
    <row r="114" spans="1:15" x14ac:dyDescent="0.25">
      <c r="A114" s="103">
        <f t="shared" si="15"/>
        <v>108</v>
      </c>
      <c r="B114" s="229" t="s">
        <v>1086</v>
      </c>
      <c r="C114" s="110">
        <f>C59</f>
        <v>742838</v>
      </c>
      <c r="D114" s="110">
        <f t="shared" ref="D114:N114" si="22">D59</f>
        <v>792700</v>
      </c>
      <c r="E114" s="110">
        <f t="shared" si="22"/>
        <v>748710</v>
      </c>
      <c r="F114" s="110">
        <f t="shared" si="22"/>
        <v>468518</v>
      </c>
      <c r="G114" s="110">
        <f t="shared" si="22"/>
        <v>451661</v>
      </c>
      <c r="H114" s="110">
        <f t="shared" si="22"/>
        <v>607998</v>
      </c>
      <c r="I114" s="110">
        <f t="shared" si="22"/>
        <v>1199026</v>
      </c>
      <c r="J114" s="110">
        <f t="shared" si="22"/>
        <v>1090144</v>
      </c>
      <c r="K114" s="110">
        <f t="shared" si="22"/>
        <v>1211465</v>
      </c>
      <c r="L114" s="110">
        <f t="shared" si="22"/>
        <v>1387520</v>
      </c>
      <c r="M114" s="110">
        <f t="shared" si="22"/>
        <v>1114781</v>
      </c>
      <c r="N114" s="110">
        <f t="shared" si="22"/>
        <v>1346912</v>
      </c>
      <c r="O114" s="228">
        <f t="shared" si="4"/>
        <v>11162273</v>
      </c>
    </row>
    <row r="115" spans="1:15" x14ac:dyDescent="0.25">
      <c r="A115" s="103">
        <f t="shared" si="15"/>
        <v>109</v>
      </c>
      <c r="B115" s="229" t="s">
        <v>1087</v>
      </c>
      <c r="C115" s="110">
        <f>C60+C105+C64</f>
        <v>871769</v>
      </c>
      <c r="D115" s="110">
        <f t="shared" ref="D115:N115" si="23">D60+D105+D64</f>
        <v>737188</v>
      </c>
      <c r="E115" s="110">
        <f t="shared" si="23"/>
        <v>550843</v>
      </c>
      <c r="F115" s="110">
        <f t="shared" si="23"/>
        <v>670479</v>
      </c>
      <c r="G115" s="110">
        <f t="shared" si="23"/>
        <v>722395</v>
      </c>
      <c r="H115" s="110">
        <f t="shared" si="23"/>
        <v>904357</v>
      </c>
      <c r="I115" s="110">
        <f t="shared" si="23"/>
        <v>1035265</v>
      </c>
      <c r="J115" s="110">
        <f t="shared" si="23"/>
        <v>832661</v>
      </c>
      <c r="K115" s="110">
        <f t="shared" si="23"/>
        <v>617442</v>
      </c>
      <c r="L115" s="110">
        <f t="shared" si="23"/>
        <v>744051</v>
      </c>
      <c r="M115" s="110">
        <f t="shared" si="23"/>
        <v>847489</v>
      </c>
      <c r="N115" s="110">
        <f t="shared" si="23"/>
        <v>1076325</v>
      </c>
      <c r="O115" s="228">
        <f t="shared" si="4"/>
        <v>9610264</v>
      </c>
    </row>
    <row r="116" spans="1:15" x14ac:dyDescent="0.25">
      <c r="A116" s="103">
        <f t="shared" si="15"/>
        <v>110</v>
      </c>
      <c r="B116" s="229" t="s">
        <v>1090</v>
      </c>
      <c r="C116" s="110">
        <f>C63</f>
        <v>-2172</v>
      </c>
      <c r="D116" s="110">
        <f t="shared" ref="D116:N116" si="24">D63</f>
        <v>-1025</v>
      </c>
      <c r="E116" s="110">
        <f t="shared" si="24"/>
        <v>-2202</v>
      </c>
      <c r="F116" s="110">
        <f t="shared" si="24"/>
        <v>-2208</v>
      </c>
      <c r="G116" s="110">
        <f t="shared" si="24"/>
        <v>-2210</v>
      </c>
      <c r="H116" s="110">
        <f t="shared" si="24"/>
        <v>-200</v>
      </c>
      <c r="I116" s="110">
        <f t="shared" si="24"/>
        <v>-2222</v>
      </c>
      <c r="J116" s="110">
        <f t="shared" si="24"/>
        <v>-215</v>
      </c>
      <c r="K116" s="110">
        <f t="shared" si="24"/>
        <v>0</v>
      </c>
      <c r="L116" s="110">
        <f t="shared" si="24"/>
        <v>-2206</v>
      </c>
      <c r="M116" s="110">
        <f t="shared" si="24"/>
        <v>-2223</v>
      </c>
      <c r="N116" s="110">
        <f t="shared" si="24"/>
        <v>-2228</v>
      </c>
      <c r="O116" s="228">
        <f t="shared" si="4"/>
        <v>-19111</v>
      </c>
    </row>
    <row r="117" spans="1:15" x14ac:dyDescent="0.25">
      <c r="A117" s="103">
        <f t="shared" si="15"/>
        <v>111</v>
      </c>
      <c r="B117" s="229" t="s">
        <v>1141</v>
      </c>
      <c r="C117" s="110">
        <f>C68</f>
        <v>35</v>
      </c>
      <c r="D117" s="110">
        <f t="shared" ref="D117:N117" si="25">D68</f>
        <v>35</v>
      </c>
      <c r="E117" s="110">
        <f t="shared" si="25"/>
        <v>35</v>
      </c>
      <c r="F117" s="110">
        <f t="shared" si="25"/>
        <v>35</v>
      </c>
      <c r="G117" s="110">
        <f t="shared" si="25"/>
        <v>35</v>
      </c>
      <c r="H117" s="110">
        <f t="shared" si="25"/>
        <v>35</v>
      </c>
      <c r="I117" s="110">
        <f t="shared" si="25"/>
        <v>35</v>
      </c>
      <c r="J117" s="110">
        <f t="shared" si="25"/>
        <v>35</v>
      </c>
      <c r="K117" s="110">
        <f t="shared" si="25"/>
        <v>35</v>
      </c>
      <c r="L117" s="110">
        <f t="shared" si="25"/>
        <v>35</v>
      </c>
      <c r="M117" s="110">
        <f t="shared" si="25"/>
        <v>35</v>
      </c>
      <c r="N117" s="110">
        <f t="shared" si="25"/>
        <v>35</v>
      </c>
      <c r="O117" s="228">
        <f t="shared" si="4"/>
        <v>420</v>
      </c>
    </row>
    <row r="118" spans="1:15" x14ac:dyDescent="0.25">
      <c r="A118" s="103">
        <f t="shared" si="15"/>
        <v>112</v>
      </c>
      <c r="B118" s="229" t="s">
        <v>1161</v>
      </c>
      <c r="C118" s="110">
        <f>C69</f>
        <v>-124</v>
      </c>
      <c r="D118" s="110">
        <f t="shared" ref="D118:N118" si="26">D69</f>
        <v>-125</v>
      </c>
      <c r="E118" s="110">
        <f t="shared" si="26"/>
        <v>-172</v>
      </c>
      <c r="F118" s="110">
        <f t="shared" si="26"/>
        <v>-210</v>
      </c>
      <c r="G118" s="110">
        <f t="shared" si="26"/>
        <v>-240</v>
      </c>
      <c r="H118" s="110">
        <f t="shared" si="26"/>
        <v>-353</v>
      </c>
      <c r="I118" s="110">
        <f t="shared" si="26"/>
        <v>-493</v>
      </c>
      <c r="J118" s="110">
        <f t="shared" si="26"/>
        <v>-347</v>
      </c>
      <c r="K118" s="110">
        <f t="shared" si="26"/>
        <v>-464</v>
      </c>
      <c r="L118" s="110">
        <f t="shared" si="26"/>
        <v>-342</v>
      </c>
      <c r="M118" s="110">
        <f t="shared" si="26"/>
        <v>-241</v>
      </c>
      <c r="N118" s="110">
        <f t="shared" si="26"/>
        <v>-164</v>
      </c>
      <c r="O118" s="228">
        <f t="shared" si="4"/>
        <v>-3275</v>
      </c>
    </row>
    <row r="119" spans="1:15" x14ac:dyDescent="0.25">
      <c r="A119" s="103">
        <f t="shared" si="15"/>
        <v>113</v>
      </c>
      <c r="B119" s="229" t="s">
        <v>1135</v>
      </c>
      <c r="C119" s="110">
        <f>C102</f>
        <v>-5836</v>
      </c>
      <c r="D119" s="110">
        <f t="shared" ref="D119:N119" si="27">D102</f>
        <v>-2890</v>
      </c>
      <c r="E119" s="110">
        <f t="shared" si="27"/>
        <v>-6771</v>
      </c>
      <c r="F119" s="110">
        <f t="shared" si="27"/>
        <v>-7725</v>
      </c>
      <c r="G119" s="110">
        <f t="shared" si="27"/>
        <v>-8299</v>
      </c>
      <c r="H119" s="110">
        <f t="shared" si="27"/>
        <v>-7220</v>
      </c>
      <c r="I119" s="110">
        <f t="shared" si="27"/>
        <v>-7515</v>
      </c>
      <c r="J119" s="110">
        <f t="shared" si="27"/>
        <v>-1413</v>
      </c>
      <c r="K119" s="110">
        <f t="shared" si="27"/>
        <v>-18629</v>
      </c>
      <c r="L119" s="110">
        <f t="shared" si="27"/>
        <v>-29240</v>
      </c>
      <c r="M119" s="110">
        <f t="shared" si="27"/>
        <v>-3720</v>
      </c>
      <c r="N119" s="110">
        <f t="shared" si="27"/>
        <v>-1133</v>
      </c>
      <c r="O119" s="228">
        <f t="shared" si="4"/>
        <v>-100391</v>
      </c>
    </row>
    <row r="120" spans="1:15" x14ac:dyDescent="0.25">
      <c r="A120" s="103">
        <f t="shared" si="15"/>
        <v>114</v>
      </c>
      <c r="B120" s="229" t="s">
        <v>1136</v>
      </c>
      <c r="C120" s="110">
        <f t="shared" ref="C120:C121" si="28">C103</f>
        <v>0</v>
      </c>
      <c r="D120" s="110">
        <f t="shared" ref="D120:N120" si="29">D103</f>
        <v>11128</v>
      </c>
      <c r="E120" s="110">
        <f t="shared" si="29"/>
        <v>25303</v>
      </c>
      <c r="F120" s="110">
        <f t="shared" si="29"/>
        <v>0</v>
      </c>
      <c r="G120" s="110">
        <f t="shared" si="29"/>
        <v>5156</v>
      </c>
      <c r="H120" s="110">
        <f t="shared" si="29"/>
        <v>38458</v>
      </c>
      <c r="I120" s="110">
        <f t="shared" si="29"/>
        <v>25087</v>
      </c>
      <c r="J120" s="110">
        <f t="shared" si="29"/>
        <v>2531</v>
      </c>
      <c r="K120" s="110">
        <f t="shared" si="29"/>
        <v>2583</v>
      </c>
      <c r="L120" s="110">
        <f t="shared" si="29"/>
        <v>480</v>
      </c>
      <c r="M120" s="110">
        <f t="shared" si="29"/>
        <v>836</v>
      </c>
      <c r="N120" s="110">
        <f t="shared" si="29"/>
        <v>0</v>
      </c>
      <c r="O120" s="228">
        <f t="shared" si="4"/>
        <v>111562</v>
      </c>
    </row>
    <row r="121" spans="1:15" x14ac:dyDescent="0.25">
      <c r="A121" s="103">
        <f t="shared" si="15"/>
        <v>115</v>
      </c>
      <c r="B121" s="229" t="s">
        <v>1137</v>
      </c>
      <c r="C121" s="110">
        <f t="shared" si="28"/>
        <v>16262</v>
      </c>
      <c r="D121" s="110">
        <f t="shared" ref="D121:N121" si="30">D104</f>
        <v>5193</v>
      </c>
      <c r="E121" s="110">
        <f t="shared" si="30"/>
        <v>18365</v>
      </c>
      <c r="F121" s="110">
        <f t="shared" si="30"/>
        <v>21236</v>
      </c>
      <c r="G121" s="110">
        <f t="shared" si="30"/>
        <v>22185</v>
      </c>
      <c r="H121" s="110">
        <f t="shared" si="30"/>
        <v>24029</v>
      </c>
      <c r="I121" s="110">
        <f t="shared" si="30"/>
        <v>25427</v>
      </c>
      <c r="J121" s="110">
        <f t="shared" si="30"/>
        <v>25688</v>
      </c>
      <c r="K121" s="110">
        <f t="shared" si="30"/>
        <v>29307</v>
      </c>
      <c r="L121" s="110">
        <f t="shared" si="30"/>
        <v>23034</v>
      </c>
      <c r="M121" s="110">
        <f t="shared" si="30"/>
        <v>16000</v>
      </c>
      <c r="N121" s="110">
        <f t="shared" si="30"/>
        <v>1018</v>
      </c>
      <c r="O121" s="228">
        <f t="shared" si="4"/>
        <v>227744</v>
      </c>
    </row>
    <row r="122" spans="1:15" x14ac:dyDescent="0.25">
      <c r="A122" s="103">
        <f t="shared" si="15"/>
        <v>116</v>
      </c>
      <c r="B122" s="229" t="s">
        <v>1088</v>
      </c>
      <c r="C122" s="110">
        <f>C70+C106</f>
        <v>7388089</v>
      </c>
      <c r="D122" s="110">
        <f t="shared" ref="D122:N122" si="31">D70+D106</f>
        <v>6233552</v>
      </c>
      <c r="E122" s="110">
        <f t="shared" si="31"/>
        <v>6077665</v>
      </c>
      <c r="F122" s="110">
        <f t="shared" si="31"/>
        <v>5441760</v>
      </c>
      <c r="G122" s="110">
        <f t="shared" si="31"/>
        <v>5670307</v>
      </c>
      <c r="H122" s="110">
        <f t="shared" si="31"/>
        <v>6684716</v>
      </c>
      <c r="I122" s="110">
        <f t="shared" si="31"/>
        <v>7457269</v>
      </c>
      <c r="J122" s="110">
        <f t="shared" si="31"/>
        <v>7434005</v>
      </c>
      <c r="K122" s="110">
        <f t="shared" si="31"/>
        <v>6748935</v>
      </c>
      <c r="L122" s="110">
        <f t="shared" si="31"/>
        <v>6605694</v>
      </c>
      <c r="M122" s="110">
        <f t="shared" si="31"/>
        <v>6703902</v>
      </c>
      <c r="N122" s="110">
        <f t="shared" si="31"/>
        <v>7781454</v>
      </c>
      <c r="O122" s="228">
        <f t="shared" si="4"/>
        <v>80227348</v>
      </c>
    </row>
    <row r="123" spans="1:15" x14ac:dyDescent="0.25">
      <c r="A123" s="103">
        <f>A119+1</f>
        <v>114</v>
      </c>
      <c r="B123" s="229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</row>
    <row r="124" spans="1:15" x14ac:dyDescent="0.25">
      <c r="A124" s="103">
        <f>A120+1</f>
        <v>115</v>
      </c>
      <c r="B124" s="150" t="s">
        <v>1198</v>
      </c>
      <c r="C124" s="228">
        <v>54690.34</v>
      </c>
      <c r="D124" s="228">
        <v>49643.1463</v>
      </c>
      <c r="E124" s="228">
        <v>58870.798640000001</v>
      </c>
      <c r="F124" s="228">
        <v>59511.54492</v>
      </c>
      <c r="G124" s="228">
        <v>45507.55386</v>
      </c>
      <c r="H124" s="228">
        <v>31935.827819999999</v>
      </c>
      <c r="I124" s="228">
        <v>34805.964720000004</v>
      </c>
      <c r="J124" s="228">
        <v>30068.616770000001</v>
      </c>
      <c r="K124" s="228">
        <v>24332.750090000001</v>
      </c>
      <c r="L124" s="228">
        <v>20776.265459999999</v>
      </c>
      <c r="M124" s="228">
        <v>17453.970290000001</v>
      </c>
      <c r="N124" s="228">
        <v>7745.6970300000003</v>
      </c>
      <c r="O124" s="228">
        <f>SUM(C124:N124)</f>
        <v>435342.47590000002</v>
      </c>
    </row>
    <row r="125" spans="1:15" x14ac:dyDescent="0.25">
      <c r="A125" s="103">
        <f t="shared" ref="A125:A127" si="32">A121+1</f>
        <v>116</v>
      </c>
      <c r="B125" s="150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</row>
    <row r="126" spans="1:15" x14ac:dyDescent="0.25">
      <c r="A126" s="103">
        <f t="shared" si="32"/>
        <v>117</v>
      </c>
      <c r="B126" s="150" t="s">
        <v>856</v>
      </c>
      <c r="C126" s="228">
        <f>C124+C122</f>
        <v>7442779.3399999999</v>
      </c>
      <c r="D126" s="228">
        <f t="shared" ref="D126:O126" si="33">D124+D122</f>
        <v>6283195.1463000001</v>
      </c>
      <c r="E126" s="228">
        <f t="shared" si="33"/>
        <v>6136535.7986399997</v>
      </c>
      <c r="F126" s="228">
        <f t="shared" si="33"/>
        <v>5501271.5449200002</v>
      </c>
      <c r="G126" s="228">
        <f t="shared" si="33"/>
        <v>5715814.5538600003</v>
      </c>
      <c r="H126" s="228">
        <f t="shared" si="33"/>
        <v>6716651.8278200002</v>
      </c>
      <c r="I126" s="228">
        <f t="shared" si="33"/>
        <v>7492074.9647199996</v>
      </c>
      <c r="J126" s="228">
        <f t="shared" si="33"/>
        <v>7464073.6167700002</v>
      </c>
      <c r="K126" s="228">
        <f t="shared" si="33"/>
        <v>6773267.7500900002</v>
      </c>
      <c r="L126" s="228">
        <f t="shared" si="33"/>
        <v>6626470.2654600004</v>
      </c>
      <c r="M126" s="228">
        <f t="shared" si="33"/>
        <v>6721355.9702899996</v>
      </c>
      <c r="N126" s="228">
        <f t="shared" si="33"/>
        <v>7789199.6970300004</v>
      </c>
      <c r="O126" s="228">
        <f t="shared" si="33"/>
        <v>80662690.475899994</v>
      </c>
    </row>
    <row r="127" spans="1:15" x14ac:dyDescent="0.25">
      <c r="A127" s="103">
        <f t="shared" si="32"/>
        <v>115</v>
      </c>
      <c r="B127" s="229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</row>
    <row r="128" spans="1:15" x14ac:dyDescent="0.25">
      <c r="A128" s="103">
        <f t="shared" si="15"/>
        <v>116</v>
      </c>
      <c r="B128" s="102" t="s">
        <v>995</v>
      </c>
      <c r="C128" s="120">
        <f t="shared" ref="C128:N128" si="34">C110+C112+C113</f>
        <v>1283371</v>
      </c>
      <c r="D128" s="120">
        <f t="shared" si="34"/>
        <v>1139136</v>
      </c>
      <c r="E128" s="120">
        <f t="shared" si="34"/>
        <v>1108791</v>
      </c>
      <c r="F128" s="120">
        <f t="shared" si="34"/>
        <v>976310</v>
      </c>
      <c r="G128" s="120">
        <f t="shared" si="34"/>
        <v>954839</v>
      </c>
      <c r="H128" s="120">
        <f t="shared" si="34"/>
        <v>1050944</v>
      </c>
      <c r="I128" s="120">
        <f t="shared" si="34"/>
        <v>1036707</v>
      </c>
      <c r="J128" s="120">
        <f t="shared" si="34"/>
        <v>1039647</v>
      </c>
      <c r="K128" s="120">
        <f t="shared" si="34"/>
        <v>995009</v>
      </c>
      <c r="L128" s="120">
        <f t="shared" si="34"/>
        <v>992236</v>
      </c>
      <c r="M128" s="120">
        <f t="shared" si="34"/>
        <v>1138026</v>
      </c>
      <c r="N128" s="120">
        <f t="shared" si="34"/>
        <v>1521370</v>
      </c>
      <c r="O128" s="228">
        <f t="shared" ref="O128:O130" si="35">SUM(C128:N128)</f>
        <v>13236386</v>
      </c>
    </row>
    <row r="129" spans="1:15" x14ac:dyDescent="0.25">
      <c r="A129" s="103">
        <f t="shared" si="15"/>
        <v>117</v>
      </c>
      <c r="B129" s="102" t="s">
        <v>996</v>
      </c>
      <c r="C129" s="120">
        <f>C111+C114+C121+C120+C119+C124</f>
        <v>5142001.34</v>
      </c>
      <c r="D129" s="120">
        <f t="shared" ref="D129:N129" si="36">D111+D114+D121+D120+D119+D124</f>
        <v>4362053.1463000001</v>
      </c>
      <c r="E129" s="120">
        <f t="shared" si="36"/>
        <v>4289096.7986399997</v>
      </c>
      <c r="F129" s="120">
        <f t="shared" si="36"/>
        <v>3642186.5449199998</v>
      </c>
      <c r="G129" s="120">
        <f t="shared" si="36"/>
        <v>3778156.5538599999</v>
      </c>
      <c r="H129" s="120">
        <f t="shared" si="36"/>
        <v>4428919.8278200002</v>
      </c>
      <c r="I129" s="120">
        <f t="shared" si="36"/>
        <v>5012312.9647199996</v>
      </c>
      <c r="J129" s="120">
        <f t="shared" si="36"/>
        <v>5165436.6167700002</v>
      </c>
      <c r="K129" s="120">
        <f t="shared" si="36"/>
        <v>4654722.7500900002</v>
      </c>
      <c r="L129" s="120">
        <f t="shared" si="36"/>
        <v>4587124.2654600004</v>
      </c>
      <c r="M129" s="120">
        <f t="shared" si="36"/>
        <v>4521908.9702899996</v>
      </c>
      <c r="N129" s="120">
        <f t="shared" si="36"/>
        <v>5179754.6970300004</v>
      </c>
      <c r="O129" s="228">
        <f t="shared" si="35"/>
        <v>54763674.475900002</v>
      </c>
    </row>
    <row r="130" spans="1:15" x14ac:dyDescent="0.25">
      <c r="A130" s="103">
        <f t="shared" si="15"/>
        <v>118</v>
      </c>
      <c r="B130" s="102" t="s">
        <v>997</v>
      </c>
      <c r="C130" s="234">
        <f>C128+C129</f>
        <v>6425372.3399999999</v>
      </c>
      <c r="D130" s="234">
        <f t="shared" ref="D130:N130" si="37">D128+D129</f>
        <v>5501189.1463000001</v>
      </c>
      <c r="E130" s="234">
        <f t="shared" si="37"/>
        <v>5397887.7986399997</v>
      </c>
      <c r="F130" s="234">
        <f t="shared" si="37"/>
        <v>4618496.5449199993</v>
      </c>
      <c r="G130" s="234">
        <f t="shared" si="37"/>
        <v>4732995.5538599994</v>
      </c>
      <c r="H130" s="234">
        <f t="shared" si="37"/>
        <v>5479863.8278200002</v>
      </c>
      <c r="I130" s="234">
        <f t="shared" si="37"/>
        <v>6049019.9647199996</v>
      </c>
      <c r="J130" s="234">
        <f t="shared" si="37"/>
        <v>6205083.6167700002</v>
      </c>
      <c r="K130" s="234">
        <f t="shared" si="37"/>
        <v>5649731.7500900002</v>
      </c>
      <c r="L130" s="234">
        <f t="shared" si="37"/>
        <v>5579360.2654600004</v>
      </c>
      <c r="M130" s="234">
        <f t="shared" si="37"/>
        <v>5659934.9702899996</v>
      </c>
      <c r="N130" s="234">
        <f t="shared" si="37"/>
        <v>6701124.6970300004</v>
      </c>
      <c r="O130" s="228">
        <f t="shared" si="35"/>
        <v>68000060.475899994</v>
      </c>
    </row>
    <row r="131" spans="1:15" x14ac:dyDescent="0.25">
      <c r="A131" s="103">
        <f t="shared" si="15"/>
        <v>119</v>
      </c>
      <c r="B131" s="102" t="s">
        <v>998</v>
      </c>
      <c r="C131" s="121">
        <f>C128/C130</f>
        <v>0.1997348841577016</v>
      </c>
      <c r="D131" s="121">
        <f t="shared" ref="D131:N131" si="38">D128/D130</f>
        <v>0.20707086589926874</v>
      </c>
      <c r="E131" s="121">
        <f t="shared" si="38"/>
        <v>0.20541201324698902</v>
      </c>
      <c r="F131" s="121">
        <f t="shared" si="38"/>
        <v>0.21139130245184831</v>
      </c>
      <c r="G131" s="121">
        <f t="shared" si="38"/>
        <v>0.20174094590502628</v>
      </c>
      <c r="H131" s="121">
        <f t="shared" si="38"/>
        <v>0.1917828677903638</v>
      </c>
      <c r="I131" s="121">
        <f t="shared" si="38"/>
        <v>0.17138429134743113</v>
      </c>
      <c r="J131" s="121">
        <f t="shared" si="38"/>
        <v>0.16754762130686304</v>
      </c>
      <c r="K131" s="121">
        <f t="shared" si="38"/>
        <v>0.17611614922852745</v>
      </c>
      <c r="L131" s="121">
        <f t="shared" si="38"/>
        <v>0.17784046069629333</v>
      </c>
      <c r="M131" s="121">
        <f t="shared" si="38"/>
        <v>0.20106697443940608</v>
      </c>
      <c r="N131" s="121">
        <f t="shared" si="38"/>
        <v>0.22703203846874914</v>
      </c>
      <c r="O131" s="121">
        <f t="shared" ref="O131" si="39">O128/O130</f>
        <v>0.19465256217957524</v>
      </c>
    </row>
    <row r="132" spans="1:15" x14ac:dyDescent="0.25">
      <c r="A132" s="103">
        <f t="shared" si="15"/>
        <v>120</v>
      </c>
      <c r="B132" s="102" t="s">
        <v>999</v>
      </c>
      <c r="C132" s="121">
        <f>C129/C130</f>
        <v>0.80026511584229842</v>
      </c>
      <c r="D132" s="121">
        <f t="shared" ref="D132:N132" si="40">D129/D130</f>
        <v>0.79292913410073129</v>
      </c>
      <c r="E132" s="121">
        <f t="shared" si="40"/>
        <v>0.79458798675301101</v>
      </c>
      <c r="F132" s="121">
        <f t="shared" si="40"/>
        <v>0.78860869754815177</v>
      </c>
      <c r="G132" s="121">
        <f t="shared" si="40"/>
        <v>0.79825905409497377</v>
      </c>
      <c r="H132" s="121">
        <f t="shared" si="40"/>
        <v>0.8082171322096362</v>
      </c>
      <c r="I132" s="121">
        <f t="shared" si="40"/>
        <v>0.82861570865256884</v>
      </c>
      <c r="J132" s="121">
        <f t="shared" si="40"/>
        <v>0.83245237869313693</v>
      </c>
      <c r="K132" s="121">
        <f t="shared" si="40"/>
        <v>0.82388385077147253</v>
      </c>
      <c r="L132" s="121">
        <f t="shared" si="40"/>
        <v>0.82215953930370667</v>
      </c>
      <c r="M132" s="121">
        <f t="shared" si="40"/>
        <v>0.79893302556059387</v>
      </c>
      <c r="N132" s="121">
        <f t="shared" si="40"/>
        <v>0.7729679615312508</v>
      </c>
      <c r="O132" s="121">
        <f t="shared" ref="O132" si="41">O129/O130</f>
        <v>0.80534743782042484</v>
      </c>
    </row>
    <row r="133" spans="1:15" x14ac:dyDescent="0.25">
      <c r="A133" s="103">
        <f t="shared" si="15"/>
        <v>121</v>
      </c>
    </row>
    <row r="134" spans="1:15" x14ac:dyDescent="0.25">
      <c r="A134" s="103">
        <f t="shared" si="15"/>
        <v>122</v>
      </c>
      <c r="B134" s="102" t="s">
        <v>1016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17" t="s">
        <v>399</v>
      </c>
      <c r="O134" s="110">
        <f>O126</f>
        <v>80662690.475899994</v>
      </c>
    </row>
    <row r="135" spans="1:15" x14ac:dyDescent="0.25">
      <c r="A135" s="103">
        <f t="shared" si="15"/>
        <v>123</v>
      </c>
      <c r="N135" s="117" t="s">
        <v>929</v>
      </c>
      <c r="O135" s="110">
        <v>80627507</v>
      </c>
    </row>
    <row r="136" spans="1:15" x14ac:dyDescent="0.25">
      <c r="A136" s="103">
        <f t="shared" si="15"/>
        <v>124</v>
      </c>
      <c r="N136" s="117" t="s">
        <v>1015</v>
      </c>
      <c r="O136" s="235">
        <f>O135-O134</f>
        <v>-35183.475899994373</v>
      </c>
    </row>
    <row r="137" spans="1:15" x14ac:dyDescent="0.25">
      <c r="A137" s="103"/>
      <c r="O137" s="195">
        <f>O136/O135</f>
        <v>-4.3637062845059034E-4</v>
      </c>
    </row>
    <row r="143" spans="1:15" x14ac:dyDescent="0.25">
      <c r="B143" s="102" t="s">
        <v>1147</v>
      </c>
      <c r="C143" s="123">
        <f t="shared" ref="C143:O143" si="42">C70</f>
        <v>6911129</v>
      </c>
      <c r="D143" s="123">
        <f t="shared" si="42"/>
        <v>6033810</v>
      </c>
      <c r="E143" s="123">
        <f t="shared" si="42"/>
        <v>5517705</v>
      </c>
      <c r="F143" s="123">
        <f t="shared" si="42"/>
        <v>4711157</v>
      </c>
      <c r="G143" s="123">
        <f t="shared" si="42"/>
        <v>4765276</v>
      </c>
      <c r="H143" s="123">
        <f t="shared" si="42"/>
        <v>5317237</v>
      </c>
      <c r="I143" s="123">
        <f t="shared" si="42"/>
        <v>6297563</v>
      </c>
      <c r="J143" s="123">
        <f t="shared" si="42"/>
        <v>6015453</v>
      </c>
      <c r="K143" s="123">
        <f t="shared" si="42"/>
        <v>5355018</v>
      </c>
      <c r="L143" s="123">
        <f t="shared" si="42"/>
        <v>5797576</v>
      </c>
      <c r="M143" s="123">
        <f t="shared" si="42"/>
        <v>6142016</v>
      </c>
      <c r="N143" s="123">
        <f t="shared" si="42"/>
        <v>7676580</v>
      </c>
      <c r="O143" s="123">
        <f t="shared" si="42"/>
        <v>70540520</v>
      </c>
    </row>
    <row r="144" spans="1:15" x14ac:dyDescent="0.25">
      <c r="B144" s="102" t="s">
        <v>1151</v>
      </c>
      <c r="C144" s="123">
        <f t="shared" ref="C144:O144" si="43">C49</f>
        <v>484083</v>
      </c>
      <c r="D144" s="123">
        <f t="shared" si="43"/>
        <v>411637</v>
      </c>
      <c r="E144" s="123">
        <f t="shared" si="43"/>
        <v>272465</v>
      </c>
      <c r="F144" s="123">
        <f t="shared" si="43"/>
        <v>142071</v>
      </c>
      <c r="G144" s="123">
        <f t="shared" si="43"/>
        <v>28463</v>
      </c>
      <c r="H144" s="123">
        <f t="shared" si="43"/>
        <v>28449</v>
      </c>
      <c r="I144" s="123">
        <f t="shared" si="43"/>
        <v>27832</v>
      </c>
      <c r="J144" s="123">
        <f t="shared" si="43"/>
        <v>20979</v>
      </c>
      <c r="K144" s="123">
        <f t="shared" si="43"/>
        <v>24675</v>
      </c>
      <c r="L144" s="123">
        <f t="shared" si="43"/>
        <v>250905</v>
      </c>
      <c r="M144" s="123">
        <f t="shared" si="43"/>
        <v>491991</v>
      </c>
      <c r="N144" s="123">
        <f t="shared" si="43"/>
        <v>635835</v>
      </c>
      <c r="O144" s="123">
        <f t="shared" si="43"/>
        <v>2819385</v>
      </c>
    </row>
    <row r="145" spans="2:17" x14ac:dyDescent="0.25">
      <c r="B145" s="102" t="s">
        <v>1150</v>
      </c>
      <c r="C145" s="123">
        <f t="shared" ref="C145:O145" si="44">C15</f>
        <v>201281</v>
      </c>
      <c r="D145" s="123">
        <f t="shared" si="44"/>
        <v>293172</v>
      </c>
      <c r="E145" s="123">
        <f t="shared" si="44"/>
        <v>307994</v>
      </c>
      <c r="F145" s="123">
        <f t="shared" si="44"/>
        <v>384064</v>
      </c>
      <c r="G145" s="123">
        <f t="shared" si="44"/>
        <v>318779</v>
      </c>
      <c r="H145" s="123">
        <f t="shared" si="44"/>
        <v>315214</v>
      </c>
      <c r="I145" s="123">
        <f t="shared" si="44"/>
        <v>486557</v>
      </c>
      <c r="J145" s="123">
        <f t="shared" si="44"/>
        <v>483563</v>
      </c>
      <c r="K145" s="123">
        <f t="shared" si="44"/>
        <v>470843</v>
      </c>
      <c r="L145" s="123">
        <f t="shared" si="44"/>
        <v>484121</v>
      </c>
      <c r="M145" s="123">
        <f t="shared" si="44"/>
        <v>355420</v>
      </c>
      <c r="N145" s="123">
        <f t="shared" si="44"/>
        <v>376009</v>
      </c>
      <c r="O145" s="123">
        <f t="shared" si="44"/>
        <v>4477017</v>
      </c>
    </row>
    <row r="146" spans="2:17" x14ac:dyDescent="0.25">
      <c r="B146" s="102" t="s">
        <v>1149</v>
      </c>
      <c r="C146" s="123">
        <f t="shared" ref="C146:O146" si="45">C25</f>
        <v>321081</v>
      </c>
      <c r="D146" s="123">
        <f t="shared" si="45"/>
        <v>311993</v>
      </c>
      <c r="E146" s="123">
        <f t="shared" si="45"/>
        <v>338401</v>
      </c>
      <c r="F146" s="123">
        <f t="shared" si="45"/>
        <v>324593</v>
      </c>
      <c r="G146" s="123">
        <f t="shared" si="45"/>
        <v>336502</v>
      </c>
      <c r="H146" s="123">
        <f t="shared" si="45"/>
        <v>355982</v>
      </c>
      <c r="I146" s="123">
        <f t="shared" si="45"/>
        <v>351185</v>
      </c>
      <c r="J146" s="123">
        <f t="shared" si="45"/>
        <v>380309</v>
      </c>
      <c r="K146" s="123">
        <f t="shared" si="45"/>
        <v>385682</v>
      </c>
      <c r="L146" s="123">
        <f t="shared" si="45"/>
        <v>385688</v>
      </c>
      <c r="M146" s="123">
        <f t="shared" si="45"/>
        <v>355166</v>
      </c>
      <c r="N146" s="123">
        <f t="shared" si="45"/>
        <v>334928</v>
      </c>
      <c r="O146" s="123">
        <f t="shared" si="45"/>
        <v>4181510</v>
      </c>
    </row>
    <row r="147" spans="2:17" x14ac:dyDescent="0.25">
      <c r="B147" s="102" t="s">
        <v>1148</v>
      </c>
      <c r="C147" s="123">
        <f t="shared" ref="C147:O147" si="46">C35</f>
        <v>1530264</v>
      </c>
      <c r="D147" s="123">
        <f t="shared" si="46"/>
        <v>730588</v>
      </c>
      <c r="E147" s="123">
        <f t="shared" si="46"/>
        <v>1543239</v>
      </c>
      <c r="F147" s="123">
        <f t="shared" si="46"/>
        <v>1314657</v>
      </c>
      <c r="G147" s="123">
        <f t="shared" si="46"/>
        <v>1546536</v>
      </c>
      <c r="H147" s="123">
        <f t="shared" si="46"/>
        <v>1479852</v>
      </c>
      <c r="I147" s="123">
        <f t="shared" si="46"/>
        <v>1757232</v>
      </c>
      <c r="J147" s="123">
        <f t="shared" si="46"/>
        <v>1754548</v>
      </c>
      <c r="K147" s="123">
        <f t="shared" si="46"/>
        <v>1589695</v>
      </c>
      <c r="L147" s="123">
        <f t="shared" si="46"/>
        <v>1774931</v>
      </c>
      <c r="M147" s="123">
        <f t="shared" si="46"/>
        <v>1527294</v>
      </c>
      <c r="N147" s="123">
        <f t="shared" si="46"/>
        <v>1580793</v>
      </c>
      <c r="O147" s="123">
        <f t="shared" si="46"/>
        <v>18129629</v>
      </c>
    </row>
    <row r="148" spans="2:17" x14ac:dyDescent="0.25">
      <c r="B148" s="102" t="s">
        <v>1154</v>
      </c>
      <c r="C148" s="228">
        <f>C143-C144-C145-C146-C147</f>
        <v>4374420</v>
      </c>
      <c r="D148" s="228">
        <f t="shared" ref="D148:O148" si="47">D143-D144-D145-D146-D147</f>
        <v>4286420</v>
      </c>
      <c r="E148" s="228">
        <f t="shared" si="47"/>
        <v>3055606</v>
      </c>
      <c r="F148" s="228">
        <f t="shared" si="47"/>
        <v>2545772</v>
      </c>
      <c r="G148" s="228">
        <f t="shared" si="47"/>
        <v>2534996</v>
      </c>
      <c r="H148" s="228">
        <f t="shared" si="47"/>
        <v>3137740</v>
      </c>
      <c r="I148" s="228">
        <f t="shared" si="47"/>
        <v>3674757</v>
      </c>
      <c r="J148" s="228">
        <f t="shared" si="47"/>
        <v>3376054</v>
      </c>
      <c r="K148" s="228">
        <f t="shared" si="47"/>
        <v>2884123</v>
      </c>
      <c r="L148" s="228">
        <f t="shared" si="47"/>
        <v>2901931</v>
      </c>
      <c r="M148" s="228">
        <f t="shared" si="47"/>
        <v>3412145</v>
      </c>
      <c r="N148" s="228">
        <f t="shared" si="47"/>
        <v>4749015</v>
      </c>
      <c r="O148" s="228">
        <f t="shared" si="47"/>
        <v>40932979</v>
      </c>
    </row>
    <row r="149" spans="2:17" x14ac:dyDescent="0.25"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</row>
    <row r="150" spans="2:17" x14ac:dyDescent="0.25">
      <c r="B150" s="102" t="s">
        <v>1152</v>
      </c>
      <c r="C150" s="228">
        <f t="shared" ref="C150:O150" si="48">C106</f>
        <v>476960</v>
      </c>
      <c r="D150" s="228">
        <f t="shared" si="48"/>
        <v>199742</v>
      </c>
      <c r="E150" s="228">
        <f t="shared" si="48"/>
        <v>559960</v>
      </c>
      <c r="F150" s="228">
        <f t="shared" si="48"/>
        <v>730603</v>
      </c>
      <c r="G150" s="228">
        <f t="shared" si="48"/>
        <v>905031</v>
      </c>
      <c r="H150" s="228">
        <f t="shared" si="48"/>
        <v>1367479</v>
      </c>
      <c r="I150" s="228">
        <f t="shared" si="48"/>
        <v>1159706</v>
      </c>
      <c r="J150" s="228">
        <f t="shared" si="48"/>
        <v>1418552</v>
      </c>
      <c r="K150" s="228">
        <f t="shared" si="48"/>
        <v>1393917</v>
      </c>
      <c r="L150" s="228">
        <f t="shared" si="48"/>
        <v>808118</v>
      </c>
      <c r="M150" s="228">
        <f t="shared" si="48"/>
        <v>561886</v>
      </c>
      <c r="N150" s="228">
        <f t="shared" si="48"/>
        <v>104874</v>
      </c>
      <c r="O150" s="228">
        <f t="shared" si="48"/>
        <v>9686828</v>
      </c>
    </row>
    <row r="151" spans="2:17" x14ac:dyDescent="0.25">
      <c r="B151" s="102" t="s">
        <v>1153</v>
      </c>
      <c r="C151" s="228">
        <f t="shared" ref="C151:O151" si="49">C80</f>
        <v>1336649</v>
      </c>
      <c r="D151" s="228">
        <f t="shared" si="49"/>
        <v>1256914</v>
      </c>
      <c r="E151" s="228">
        <f t="shared" si="49"/>
        <v>1319831</v>
      </c>
      <c r="F151" s="228">
        <f t="shared" si="49"/>
        <v>1035724</v>
      </c>
      <c r="G151" s="228">
        <f t="shared" si="49"/>
        <v>1164280</v>
      </c>
      <c r="H151" s="228">
        <f t="shared" si="49"/>
        <v>1022346</v>
      </c>
      <c r="I151" s="228">
        <f t="shared" si="49"/>
        <v>1255543</v>
      </c>
      <c r="J151" s="228">
        <f t="shared" si="49"/>
        <v>1258181</v>
      </c>
      <c r="K151" s="228">
        <f t="shared" si="49"/>
        <v>1129264</v>
      </c>
      <c r="L151" s="228">
        <f t="shared" si="49"/>
        <v>1397969</v>
      </c>
      <c r="M151" s="228">
        <f t="shared" si="49"/>
        <v>1242118</v>
      </c>
      <c r="N151" s="228">
        <f t="shared" si="49"/>
        <v>1341670</v>
      </c>
      <c r="O151" s="228">
        <f t="shared" si="49"/>
        <v>14760489</v>
      </c>
    </row>
    <row r="152" spans="2:17" x14ac:dyDescent="0.25">
      <c r="C152" s="228"/>
    </row>
    <row r="153" spans="2:17" x14ac:dyDescent="0.25">
      <c r="B153" s="102" t="s">
        <v>856</v>
      </c>
      <c r="C153" s="228"/>
    </row>
    <row r="154" spans="2:17" x14ac:dyDescent="0.25">
      <c r="C154" s="228"/>
      <c r="O154" s="123"/>
    </row>
    <row r="155" spans="2:17" x14ac:dyDescent="0.25">
      <c r="B155" s="102" t="s">
        <v>1162</v>
      </c>
      <c r="C155" s="228">
        <f>C143</f>
        <v>6911129</v>
      </c>
      <c r="D155" s="228">
        <f t="shared" ref="D155:O155" si="50">D143</f>
        <v>6033810</v>
      </c>
      <c r="E155" s="228">
        <f t="shared" si="50"/>
        <v>5517705</v>
      </c>
      <c r="F155" s="228">
        <f t="shared" si="50"/>
        <v>4711157</v>
      </c>
      <c r="G155" s="228">
        <f t="shared" si="50"/>
        <v>4765276</v>
      </c>
      <c r="H155" s="228">
        <f t="shared" si="50"/>
        <v>5317237</v>
      </c>
      <c r="I155" s="228">
        <f t="shared" si="50"/>
        <v>6297563</v>
      </c>
      <c r="J155" s="228">
        <f t="shared" si="50"/>
        <v>6015453</v>
      </c>
      <c r="K155" s="228">
        <f t="shared" si="50"/>
        <v>5355018</v>
      </c>
      <c r="L155" s="228">
        <f t="shared" si="50"/>
        <v>5797576</v>
      </c>
      <c r="M155" s="228">
        <f t="shared" si="50"/>
        <v>6142016</v>
      </c>
      <c r="N155" s="228">
        <f t="shared" si="50"/>
        <v>7676580</v>
      </c>
      <c r="O155" s="228">
        <f t="shared" si="50"/>
        <v>70540520</v>
      </c>
    </row>
    <row r="156" spans="2:17" x14ac:dyDescent="0.25">
      <c r="B156" s="102" t="s">
        <v>1152</v>
      </c>
      <c r="C156" s="228">
        <f>C150</f>
        <v>476960</v>
      </c>
      <c r="D156" s="228">
        <f t="shared" ref="D156:O156" si="51">D150</f>
        <v>199742</v>
      </c>
      <c r="E156" s="228">
        <f t="shared" si="51"/>
        <v>559960</v>
      </c>
      <c r="F156" s="228">
        <f t="shared" si="51"/>
        <v>730603</v>
      </c>
      <c r="G156" s="228">
        <f t="shared" si="51"/>
        <v>905031</v>
      </c>
      <c r="H156" s="228">
        <f t="shared" si="51"/>
        <v>1367479</v>
      </c>
      <c r="I156" s="228">
        <f t="shared" si="51"/>
        <v>1159706</v>
      </c>
      <c r="J156" s="228">
        <f t="shared" si="51"/>
        <v>1418552</v>
      </c>
      <c r="K156" s="228">
        <f t="shared" si="51"/>
        <v>1393917</v>
      </c>
      <c r="L156" s="228">
        <f t="shared" si="51"/>
        <v>808118</v>
      </c>
      <c r="M156" s="228">
        <f t="shared" si="51"/>
        <v>561886</v>
      </c>
      <c r="N156" s="228">
        <f t="shared" si="51"/>
        <v>104874</v>
      </c>
      <c r="O156" s="228">
        <f t="shared" si="51"/>
        <v>9686828</v>
      </c>
    </row>
    <row r="157" spans="2:17" x14ac:dyDescent="0.25">
      <c r="B157" s="102" t="s">
        <v>0</v>
      </c>
      <c r="C157" s="228">
        <f>C156+C155</f>
        <v>7388089</v>
      </c>
      <c r="D157" s="228">
        <f t="shared" ref="D157:O157" si="52">D156+D155</f>
        <v>6233552</v>
      </c>
      <c r="E157" s="228">
        <f t="shared" si="52"/>
        <v>6077665</v>
      </c>
      <c r="F157" s="228">
        <f t="shared" si="52"/>
        <v>5441760</v>
      </c>
      <c r="G157" s="228">
        <f t="shared" si="52"/>
        <v>5670307</v>
      </c>
      <c r="H157" s="228">
        <f t="shared" si="52"/>
        <v>6684716</v>
      </c>
      <c r="I157" s="228">
        <f t="shared" si="52"/>
        <v>7457269</v>
      </c>
      <c r="J157" s="228">
        <f t="shared" si="52"/>
        <v>7434005</v>
      </c>
      <c r="K157" s="228">
        <f t="shared" si="52"/>
        <v>6748935</v>
      </c>
      <c r="L157" s="228">
        <f t="shared" si="52"/>
        <v>6605694</v>
      </c>
      <c r="M157" s="228">
        <f t="shared" si="52"/>
        <v>6703902</v>
      </c>
      <c r="N157" s="228">
        <f t="shared" si="52"/>
        <v>7781454</v>
      </c>
      <c r="O157" s="228">
        <f t="shared" si="52"/>
        <v>80227348</v>
      </c>
      <c r="Q157" s="123">
        <f>O135-O157</f>
        <v>400159</v>
      </c>
    </row>
    <row r="158" spans="2:17" x14ac:dyDescent="0.25">
      <c r="C158" s="228"/>
      <c r="O158" s="228"/>
    </row>
    <row r="159" spans="2:17" x14ac:dyDescent="0.25">
      <c r="B159" s="102" t="s">
        <v>1199</v>
      </c>
      <c r="C159" s="110">
        <f>C114</f>
        <v>742838</v>
      </c>
      <c r="D159" s="110">
        <f t="shared" ref="D159:N159" si="53">D114</f>
        <v>792700</v>
      </c>
      <c r="E159" s="110">
        <f t="shared" si="53"/>
        <v>748710</v>
      </c>
      <c r="F159" s="110">
        <f t="shared" si="53"/>
        <v>468518</v>
      </c>
      <c r="G159" s="110">
        <f t="shared" si="53"/>
        <v>451661</v>
      </c>
      <c r="H159" s="110">
        <f t="shared" si="53"/>
        <v>607998</v>
      </c>
      <c r="I159" s="110">
        <f t="shared" si="53"/>
        <v>1199026</v>
      </c>
      <c r="J159" s="110">
        <f t="shared" si="53"/>
        <v>1090144</v>
      </c>
      <c r="K159" s="110">
        <f t="shared" si="53"/>
        <v>1211465</v>
      </c>
      <c r="L159" s="110">
        <f t="shared" si="53"/>
        <v>1387520</v>
      </c>
      <c r="M159" s="110">
        <f t="shared" si="53"/>
        <v>1114781</v>
      </c>
      <c r="N159" s="110">
        <f t="shared" si="53"/>
        <v>1346912</v>
      </c>
      <c r="O159" s="228">
        <f t="shared" ref="O159" si="54">O158+O157</f>
        <v>80227348</v>
      </c>
    </row>
    <row r="160" spans="2:17" x14ac:dyDescent="0.25">
      <c r="B160" s="102" t="s">
        <v>1200</v>
      </c>
      <c r="C160" s="110">
        <f>C115</f>
        <v>871769</v>
      </c>
      <c r="D160" s="110">
        <f t="shared" ref="D160:N160" si="55">D115</f>
        <v>737188</v>
      </c>
      <c r="E160" s="110">
        <f t="shared" si="55"/>
        <v>550843</v>
      </c>
      <c r="F160" s="110">
        <f t="shared" si="55"/>
        <v>670479</v>
      </c>
      <c r="G160" s="110">
        <f t="shared" si="55"/>
        <v>722395</v>
      </c>
      <c r="H160" s="110">
        <f t="shared" si="55"/>
        <v>904357</v>
      </c>
      <c r="I160" s="110">
        <f t="shared" si="55"/>
        <v>1035265</v>
      </c>
      <c r="J160" s="110">
        <f t="shared" si="55"/>
        <v>832661</v>
      </c>
      <c r="K160" s="110">
        <f t="shared" si="55"/>
        <v>617442</v>
      </c>
      <c r="L160" s="110">
        <f t="shared" si="55"/>
        <v>744051</v>
      </c>
      <c r="M160" s="110">
        <f t="shared" si="55"/>
        <v>847489</v>
      </c>
      <c r="N160" s="110">
        <f t="shared" si="55"/>
        <v>1076325</v>
      </c>
      <c r="O160" s="228">
        <f t="shared" ref="O160" si="56">O159+O158</f>
        <v>80227348</v>
      </c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</sheetData>
  <phoneticPr fontId="14" type="noConversion"/>
  <pageMargins left="0.45" right="0.45" top="1.25" bottom="0.75" header="0.55000000000000004" footer="0.3"/>
  <pageSetup scale="36" orientation="portrait" r:id="rId1"/>
  <headerFooter>
    <oddFooter>&amp;RExhibit JW-7
Page 1 of 3</oddFooter>
  </headerFooter>
  <ignoredErrors>
    <ignoredError sqref="C104 C99:D99 E99:N9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view="pageBreakPreview" zoomScaleNormal="100" zoomScaleSheetLayoutView="100" workbookViewId="0">
      <selection sqref="A1:XFD1048576"/>
    </sheetView>
  </sheetViews>
  <sheetFormatPr defaultColWidth="9.109375" defaultRowHeight="13.2" x14ac:dyDescent="0.25"/>
  <cols>
    <col min="1" max="1" width="5.5546875" style="102" customWidth="1"/>
    <col min="2" max="2" width="35.88671875" style="103" customWidth="1"/>
    <col min="3" max="3" width="10.6640625" style="102" customWidth="1"/>
    <col min="4" max="6" width="13.33203125" style="102" customWidth="1"/>
    <col min="7" max="7" width="12.88671875" style="102" customWidth="1"/>
    <col min="8" max="8" width="12" style="102" bestFit="1" customWidth="1"/>
    <col min="9" max="9" width="9.109375" style="102" customWidth="1"/>
    <col min="10" max="10" width="4" style="102" customWidth="1"/>
    <col min="11" max="11" width="9.109375" style="102" customWidth="1"/>
    <col min="12" max="14" width="9.109375" style="102"/>
    <col min="15" max="15" width="9.109375" style="102" customWidth="1"/>
    <col min="16" max="16384" width="9.109375" style="102"/>
  </cols>
  <sheetData>
    <row r="1" spans="1:8" x14ac:dyDescent="0.25">
      <c r="A1" s="132" t="str">
        <f>'Summary of Returns'!A1</f>
        <v>FLEMING-MASON ELECTRIC COOPERATIVE</v>
      </c>
    </row>
    <row r="2" spans="1:8" x14ac:dyDescent="0.25">
      <c r="A2" s="132" t="s">
        <v>676</v>
      </c>
    </row>
    <row r="4" spans="1:8" ht="62.25" customHeight="1" thickBot="1" x14ac:dyDescent="0.3">
      <c r="A4" s="226" t="s">
        <v>939</v>
      </c>
      <c r="B4" s="236" t="s">
        <v>750</v>
      </c>
      <c r="C4" s="237" t="s">
        <v>865</v>
      </c>
      <c r="D4" s="238" t="s">
        <v>1093</v>
      </c>
      <c r="E4" s="238" t="s">
        <v>1094</v>
      </c>
      <c r="F4" s="238" t="s">
        <v>1095</v>
      </c>
      <c r="G4" s="238" t="s">
        <v>866</v>
      </c>
      <c r="H4" s="125"/>
    </row>
    <row r="5" spans="1:8" x14ac:dyDescent="0.25">
      <c r="A5" s="103"/>
      <c r="B5" s="132"/>
      <c r="C5" s="201"/>
    </row>
    <row r="6" spans="1:8" x14ac:dyDescent="0.25">
      <c r="A6" s="103">
        <v>1</v>
      </c>
      <c r="B6" s="102" t="str">
        <f>'Summary of Returns'!B10</f>
        <v>Residential &amp; Small Power (1)</v>
      </c>
      <c r="C6" s="239" t="str">
        <f>'Summary of Returns'!C10</f>
        <v>RSP</v>
      </c>
      <c r="D6" s="200">
        <f>'Billing Det'!C8</f>
        <v>24042</v>
      </c>
      <c r="E6" s="200">
        <v>244</v>
      </c>
      <c r="F6" s="200">
        <f>E6*D6</f>
        <v>5866248</v>
      </c>
      <c r="G6" s="240">
        <f>F6/F$32</f>
        <v>0.90164964476567322</v>
      </c>
      <c r="H6" s="240"/>
    </row>
    <row r="7" spans="1:8" x14ac:dyDescent="0.25">
      <c r="A7" s="103">
        <v>2</v>
      </c>
      <c r="B7" s="102" t="str">
        <f>'Summary of Returns'!B11</f>
        <v>Residential &amp; Small Power ETS (11)</v>
      </c>
      <c r="C7" s="239" t="str">
        <f>'Summary of Returns'!C11</f>
        <v>RSP-ETS</v>
      </c>
      <c r="D7" s="200">
        <f>'Billing Det'!C9</f>
        <v>51</v>
      </c>
      <c r="E7" s="200">
        <v>244</v>
      </c>
      <c r="F7" s="200">
        <f t="shared" ref="F7:F11" si="0">E7*D7</f>
        <v>12444</v>
      </c>
      <c r="G7" s="240">
        <f t="shared" ref="G7:G11" si="1">F7/F$32</f>
        <v>1.9126583430267587E-3</v>
      </c>
      <c r="H7" s="240"/>
    </row>
    <row r="8" spans="1:8" x14ac:dyDescent="0.25">
      <c r="A8" s="103">
        <v>3</v>
      </c>
      <c r="B8" s="102" t="str">
        <f>'Summary of Returns'!B12</f>
        <v>Prepay (80)</v>
      </c>
      <c r="C8" s="239" t="str">
        <f>'Summary of Returns'!C12</f>
        <v>RSP-PPM</v>
      </c>
      <c r="D8" s="200">
        <f>'Billing Det'!C10</f>
        <v>523</v>
      </c>
      <c r="E8" s="200">
        <v>244</v>
      </c>
      <c r="F8" s="200">
        <f t="shared" si="0"/>
        <v>127612</v>
      </c>
      <c r="G8" s="240">
        <f t="shared" si="1"/>
        <v>1.9614123792215585E-2</v>
      </c>
      <c r="H8" s="240"/>
    </row>
    <row r="9" spans="1:8" x14ac:dyDescent="0.25">
      <c r="A9" s="103">
        <v>4</v>
      </c>
      <c r="B9" s="102" t="str">
        <f>'Summary of Returns'!B13</f>
        <v>Net Metering (100)</v>
      </c>
      <c r="C9" s="239" t="str">
        <f>'Summary of Returns'!C13</f>
        <v>NM</v>
      </c>
      <c r="D9" s="200">
        <f>'Billing Det'!C11</f>
        <v>61</v>
      </c>
      <c r="E9" s="200">
        <v>244</v>
      </c>
      <c r="F9" s="200">
        <f t="shared" si="0"/>
        <v>14884</v>
      </c>
      <c r="G9" s="240">
        <f t="shared" si="1"/>
        <v>2.2876893906790645E-3</v>
      </c>
      <c r="H9" s="240"/>
    </row>
    <row r="10" spans="1:8" x14ac:dyDescent="0.25">
      <c r="A10" s="103">
        <v>5</v>
      </c>
      <c r="B10" s="102" t="str">
        <f>'Summary of Returns'!B14</f>
        <v>Time of Day (110)</v>
      </c>
      <c r="C10" s="239" t="str">
        <f>'Summary of Returns'!C14</f>
        <v>RSP-TOD</v>
      </c>
      <c r="D10" s="200">
        <f>'Billing Det'!C12</f>
        <v>23</v>
      </c>
      <c r="E10" s="200">
        <v>244</v>
      </c>
      <c r="F10" s="200">
        <f t="shared" si="0"/>
        <v>5612</v>
      </c>
      <c r="G10" s="240">
        <f t="shared" si="1"/>
        <v>8.6257140960030302E-4</v>
      </c>
      <c r="H10" s="240"/>
    </row>
    <row r="11" spans="1:8" x14ac:dyDescent="0.25">
      <c r="A11" s="103">
        <v>6</v>
      </c>
      <c r="B11" s="102" t="str">
        <f>'Summary of Returns'!B15</f>
        <v>Inclining Block Rate (8)</v>
      </c>
      <c r="C11" s="239" t="str">
        <f>'Summary of Returns'!C15</f>
        <v>RSP-IB</v>
      </c>
      <c r="D11" s="200">
        <f>'Billing Det'!C13</f>
        <v>312</v>
      </c>
      <c r="E11" s="200">
        <v>244</v>
      </c>
      <c r="F11" s="200">
        <f t="shared" si="0"/>
        <v>76128</v>
      </c>
      <c r="G11" s="240">
        <f t="shared" si="1"/>
        <v>1.1700968686751936E-2</v>
      </c>
      <c r="H11" s="240"/>
    </row>
    <row r="12" spans="1:8" x14ac:dyDescent="0.25">
      <c r="A12" s="103">
        <v>7</v>
      </c>
      <c r="B12" s="102" t="str">
        <f>'Summary of Returns'!B16</f>
        <v>Small General Service (2)</v>
      </c>
      <c r="C12" s="239" t="str">
        <f>'Summary of Returns'!C16</f>
        <v>SGS</v>
      </c>
      <c r="D12" s="200">
        <f>'Billing Det'!C14</f>
        <v>242</v>
      </c>
      <c r="E12" s="200">
        <v>1008</v>
      </c>
      <c r="F12" s="200">
        <f t="shared" ref="F12:F21" si="2">E12*D12</f>
        <v>243936</v>
      </c>
      <c r="G12" s="240">
        <f t="shared" ref="G12:G21" si="3">F12/F$32</f>
        <v>3.7493267885292142E-2</v>
      </c>
      <c r="H12" s="240"/>
    </row>
    <row r="13" spans="1:8" x14ac:dyDescent="0.25">
      <c r="A13" s="103">
        <v>8</v>
      </c>
      <c r="B13" s="102" t="str">
        <f>'Summary of Returns'!B17</f>
        <v>Large General Service (3)</v>
      </c>
      <c r="C13" s="239" t="str">
        <f>'Summary of Returns'!C17</f>
        <v>LGS</v>
      </c>
      <c r="D13" s="200">
        <f>'Billing Det'!C15</f>
        <v>155</v>
      </c>
      <c r="E13" s="200">
        <v>1008</v>
      </c>
      <c r="F13" s="200">
        <f t="shared" si="2"/>
        <v>156240</v>
      </c>
      <c r="G13" s="240">
        <f t="shared" si="3"/>
        <v>2.4014283149670586E-2</v>
      </c>
      <c r="H13" s="240"/>
    </row>
    <row r="14" spans="1:8" x14ac:dyDescent="0.25">
      <c r="A14" s="103">
        <v>9</v>
      </c>
      <c r="B14" s="102" t="str">
        <f>'Summary of Returns'!B18</f>
        <v>All Electric School (4)</v>
      </c>
      <c r="C14" s="239" t="str">
        <f>'Summary of Returns'!C18</f>
        <v>AES</v>
      </c>
      <c r="D14" s="200">
        <f>'Billing Det'!C16</f>
        <v>3</v>
      </c>
      <c r="E14" s="200">
        <v>1008</v>
      </c>
      <c r="F14" s="200">
        <f t="shared" si="2"/>
        <v>3024</v>
      </c>
      <c r="G14" s="240">
        <f t="shared" si="3"/>
        <v>4.6479257709039848E-4</v>
      </c>
      <c r="H14" s="240"/>
    </row>
    <row r="15" spans="1:8" hidden="1" x14ac:dyDescent="0.25">
      <c r="A15" s="103">
        <v>10</v>
      </c>
      <c r="B15" s="102" t="str">
        <f>'Summary of Returns'!B19</f>
        <v>reserved</v>
      </c>
      <c r="C15" s="239" t="str">
        <f>'Summary of Returns'!C19</f>
        <v>---</v>
      </c>
      <c r="D15" s="200">
        <f>'Billing Det'!C17</f>
        <v>0</v>
      </c>
      <c r="E15" s="200">
        <v>1008</v>
      </c>
      <c r="F15" s="200">
        <f t="shared" si="2"/>
        <v>0</v>
      </c>
      <c r="G15" s="240">
        <f t="shared" si="3"/>
        <v>0</v>
      </c>
      <c r="H15" s="240"/>
    </row>
    <row r="16" spans="1:8" x14ac:dyDescent="0.25">
      <c r="A16" s="103">
        <v>11</v>
      </c>
      <c r="B16" s="102" t="str">
        <f>'Summary of Returns'!B20</f>
        <v>Security Lights (20)</v>
      </c>
      <c r="C16" s="239" t="str">
        <f>'Summary of Returns'!C20</f>
        <v>OLS</v>
      </c>
      <c r="D16" s="200">
        <v>0</v>
      </c>
      <c r="E16" s="200">
        <v>0</v>
      </c>
      <c r="F16" s="200">
        <f t="shared" si="2"/>
        <v>0</v>
      </c>
      <c r="G16" s="240">
        <f t="shared" si="3"/>
        <v>0</v>
      </c>
      <c r="H16" s="195"/>
    </row>
    <row r="17" spans="1:8" x14ac:dyDescent="0.25">
      <c r="A17" s="103">
        <v>12</v>
      </c>
      <c r="B17" s="102" t="str">
        <f>'Summary of Returns'!B21</f>
        <v>App Harvest (70)</v>
      </c>
      <c r="C17" s="239" t="str">
        <f>'Summary of Returns'!C21</f>
        <v>Contract</v>
      </c>
      <c r="D17" s="200">
        <v>0</v>
      </c>
      <c r="E17" s="200">
        <v>0</v>
      </c>
      <c r="F17" s="200">
        <f t="shared" si="2"/>
        <v>0</v>
      </c>
      <c r="G17" s="240">
        <f t="shared" si="3"/>
        <v>0</v>
      </c>
      <c r="H17" s="195"/>
    </row>
    <row r="18" spans="1:8" x14ac:dyDescent="0.25">
      <c r="A18" s="103">
        <v>13</v>
      </c>
      <c r="B18" s="102" t="str">
        <f>'Summary of Returns'!B22</f>
        <v>Dravo (14 now 18)</v>
      </c>
      <c r="C18" s="239" t="str">
        <f>'Summary of Returns'!C22</f>
        <v>Contract</v>
      </c>
      <c r="D18" s="200">
        <v>0</v>
      </c>
      <c r="E18" s="200">
        <v>0</v>
      </c>
      <c r="F18" s="200">
        <f t="shared" si="2"/>
        <v>0</v>
      </c>
      <c r="G18" s="240">
        <f t="shared" si="3"/>
        <v>0</v>
      </c>
      <c r="H18" s="195"/>
    </row>
    <row r="19" spans="1:8" x14ac:dyDescent="0.25">
      <c r="A19" s="103">
        <v>14</v>
      </c>
      <c r="B19" s="102" t="str">
        <f>'Summary of Returns'!B23</f>
        <v>Guardian Industries (16)</v>
      </c>
      <c r="C19" s="239" t="str">
        <f>'Summary of Returns'!C23</f>
        <v>Contract</v>
      </c>
      <c r="D19" s="200">
        <v>0</v>
      </c>
      <c r="E19" s="200">
        <v>0</v>
      </c>
      <c r="F19" s="200">
        <f t="shared" si="2"/>
        <v>0</v>
      </c>
      <c r="G19" s="240">
        <f t="shared" si="3"/>
        <v>0</v>
      </c>
      <c r="H19" s="195"/>
    </row>
    <row r="20" spans="1:8" x14ac:dyDescent="0.25">
      <c r="A20" s="103">
        <v>15</v>
      </c>
      <c r="B20" s="102" t="str">
        <f>'Summary of Returns'!B24</f>
        <v>Int'l Paper (12)</v>
      </c>
      <c r="C20" s="239" t="str">
        <f>'Summary of Returns'!C24</f>
        <v>Contract</v>
      </c>
      <c r="D20" s="200">
        <v>0</v>
      </c>
      <c r="E20" s="200">
        <v>0</v>
      </c>
      <c r="F20" s="200">
        <f t="shared" si="2"/>
        <v>0</v>
      </c>
      <c r="G20" s="240">
        <f t="shared" si="3"/>
        <v>0</v>
      </c>
      <c r="H20" s="195"/>
    </row>
    <row r="21" spans="1:8" x14ac:dyDescent="0.25">
      <c r="A21" s="103">
        <v>16</v>
      </c>
      <c r="B21" s="102" t="str">
        <f>'Summary of Returns'!B25</f>
        <v>Tennessee Gas (17)</v>
      </c>
      <c r="C21" s="239" t="str">
        <f>'Summary of Returns'!C25</f>
        <v>Contract</v>
      </c>
      <c r="D21" s="200">
        <v>0</v>
      </c>
      <c r="E21" s="200">
        <v>0</v>
      </c>
      <c r="F21" s="200">
        <f t="shared" si="2"/>
        <v>0</v>
      </c>
      <c r="G21" s="240">
        <f t="shared" si="3"/>
        <v>0</v>
      </c>
      <c r="H21" s="195"/>
    </row>
    <row r="22" spans="1:8" x14ac:dyDescent="0.25">
      <c r="A22" s="103"/>
      <c r="B22" s="102"/>
      <c r="C22" s="239"/>
      <c r="D22" s="200"/>
      <c r="E22" s="200"/>
      <c r="F22" s="200"/>
      <c r="G22" s="240"/>
      <c r="H22" s="195"/>
    </row>
    <row r="23" spans="1:8" hidden="1" x14ac:dyDescent="0.25">
      <c r="A23" s="103"/>
      <c r="B23" s="102"/>
      <c r="C23" s="103"/>
      <c r="D23" s="110"/>
      <c r="E23" s="110"/>
      <c r="F23" s="110"/>
      <c r="G23" s="240"/>
      <c r="H23" s="195"/>
    </row>
    <row r="24" spans="1:8" hidden="1" x14ac:dyDescent="0.25">
      <c r="A24" s="103"/>
      <c r="B24" s="102"/>
      <c r="C24" s="103"/>
      <c r="D24" s="110"/>
      <c r="E24" s="110"/>
      <c r="F24" s="110"/>
      <c r="G24" s="240"/>
      <c r="H24" s="195"/>
    </row>
    <row r="25" spans="1:8" hidden="1" x14ac:dyDescent="0.25">
      <c r="A25" s="103"/>
      <c r="B25" s="102"/>
      <c r="C25" s="103"/>
      <c r="D25" s="110"/>
      <c r="E25" s="110"/>
      <c r="F25" s="110"/>
      <c r="G25" s="240"/>
      <c r="H25" s="195"/>
    </row>
    <row r="26" spans="1:8" hidden="1" x14ac:dyDescent="0.25">
      <c r="A26" s="103"/>
      <c r="B26" s="102"/>
      <c r="C26" s="103"/>
      <c r="D26" s="110"/>
      <c r="E26" s="110"/>
      <c r="F26" s="110"/>
      <c r="G26" s="240"/>
      <c r="H26" s="195"/>
    </row>
    <row r="27" spans="1:8" hidden="1" x14ac:dyDescent="0.25">
      <c r="A27" s="103"/>
      <c r="B27" s="102"/>
      <c r="C27" s="103"/>
      <c r="D27" s="110"/>
      <c r="E27" s="110"/>
      <c r="F27" s="110"/>
      <c r="G27" s="240"/>
      <c r="H27" s="195"/>
    </row>
    <row r="28" spans="1:8" hidden="1" x14ac:dyDescent="0.25">
      <c r="A28" s="103"/>
      <c r="B28" s="102"/>
      <c r="C28" s="103"/>
      <c r="D28" s="110"/>
      <c r="E28" s="110"/>
      <c r="F28" s="110"/>
      <c r="G28" s="240"/>
      <c r="H28" s="195"/>
    </row>
    <row r="29" spans="1:8" hidden="1" x14ac:dyDescent="0.25">
      <c r="A29" s="103"/>
      <c r="B29" s="102"/>
      <c r="C29" s="103"/>
      <c r="D29" s="110"/>
      <c r="E29" s="110"/>
      <c r="F29" s="110"/>
      <c r="G29" s="240"/>
      <c r="H29" s="195"/>
    </row>
    <row r="30" spans="1:8" hidden="1" x14ac:dyDescent="0.25">
      <c r="A30" s="103"/>
      <c r="B30" s="102"/>
      <c r="C30" s="103"/>
      <c r="D30" s="110"/>
      <c r="E30" s="110"/>
      <c r="F30" s="110"/>
      <c r="G30" s="240"/>
      <c r="H30" s="195"/>
    </row>
    <row r="31" spans="1:8" hidden="1" x14ac:dyDescent="0.25">
      <c r="A31" s="103"/>
      <c r="B31" s="102"/>
      <c r="C31" s="103"/>
      <c r="D31" s="110"/>
      <c r="E31" s="110"/>
      <c r="F31" s="110"/>
      <c r="G31" s="240"/>
      <c r="H31" s="195"/>
    </row>
    <row r="32" spans="1:8" ht="13.8" thickBot="1" x14ac:dyDescent="0.3">
      <c r="A32" s="103">
        <f>A21+1</f>
        <v>17</v>
      </c>
      <c r="B32" s="241" t="s">
        <v>0</v>
      </c>
      <c r="C32" s="242"/>
      <c r="D32" s="243">
        <f>SUM(D6:D31)</f>
        <v>25412</v>
      </c>
      <c r="E32" s="243"/>
      <c r="F32" s="243">
        <f t="shared" ref="F32" si="4">SUM(F6:F31)</f>
        <v>6506128</v>
      </c>
      <c r="G32" s="244">
        <f>SUM(G6:G31)</f>
        <v>1</v>
      </c>
      <c r="H32" s="164"/>
    </row>
    <row r="33" spans="1:16" ht="13.8" thickTop="1" x14ac:dyDescent="0.25">
      <c r="A33" s="103"/>
      <c r="B33" s="102"/>
      <c r="C33" s="228"/>
      <c r="D33" s="110"/>
      <c r="E33" s="110"/>
      <c r="F33" s="110"/>
    </row>
    <row r="34" spans="1:16" x14ac:dyDescent="0.25">
      <c r="B34" s="228"/>
      <c r="C34" s="110"/>
    </row>
    <row r="35" spans="1:16" x14ac:dyDescent="0.25">
      <c r="B35" s="228"/>
      <c r="C35" s="110"/>
    </row>
    <row r="36" spans="1:16" x14ac:dyDescent="0.25">
      <c r="B36" s="245"/>
      <c r="C36" s="235"/>
    </row>
    <row r="37" spans="1:16" s="132" customFormat="1" x14ac:dyDescent="0.25">
      <c r="A37" s="102"/>
      <c r="B37" s="245"/>
      <c r="C37" s="235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x14ac:dyDescent="0.25">
      <c r="B38" s="245"/>
      <c r="C38" s="235"/>
    </row>
    <row r="39" spans="1:16" x14ac:dyDescent="0.25">
      <c r="B39" s="228"/>
      <c r="C39" s="110"/>
    </row>
    <row r="40" spans="1:16" x14ac:dyDescent="0.25">
      <c r="B40" s="228"/>
      <c r="C40" s="110"/>
    </row>
    <row r="41" spans="1:16" x14ac:dyDescent="0.25">
      <c r="B41" s="228"/>
      <c r="C41" s="110"/>
    </row>
    <row r="42" spans="1:16" x14ac:dyDescent="0.25">
      <c r="B42" s="228"/>
      <c r="C42" s="110"/>
    </row>
    <row r="43" spans="1:16" x14ac:dyDescent="0.25">
      <c r="B43" s="228"/>
      <c r="C43" s="110"/>
    </row>
    <row r="44" spans="1:16" x14ac:dyDescent="0.25">
      <c r="B44" s="228"/>
      <c r="C44" s="110"/>
    </row>
    <row r="45" spans="1:16" x14ac:dyDescent="0.25">
      <c r="B45" s="228"/>
      <c r="C45" s="110"/>
    </row>
    <row r="46" spans="1:16" x14ac:dyDescent="0.25">
      <c r="B46" s="228"/>
      <c r="C46" s="110"/>
    </row>
    <row r="47" spans="1:16" x14ac:dyDescent="0.25">
      <c r="B47" s="228"/>
      <c r="C47" s="110"/>
    </row>
    <row r="48" spans="1:16" x14ac:dyDescent="0.25">
      <c r="B48" s="228"/>
      <c r="C48" s="110"/>
    </row>
    <row r="49" spans="2:3" x14ac:dyDescent="0.25">
      <c r="B49" s="228"/>
      <c r="C49" s="110"/>
    </row>
    <row r="50" spans="2:3" x14ac:dyDescent="0.25">
      <c r="B50" s="228"/>
      <c r="C50" s="110"/>
    </row>
    <row r="51" spans="2:3" x14ac:dyDescent="0.25">
      <c r="B51" s="228"/>
      <c r="C51" s="110"/>
    </row>
    <row r="52" spans="2:3" x14ac:dyDescent="0.25">
      <c r="B52" s="228"/>
      <c r="C52" s="110"/>
    </row>
    <row r="53" spans="2:3" x14ac:dyDescent="0.25">
      <c r="B53" s="228"/>
      <c r="C53" s="110"/>
    </row>
    <row r="54" spans="2:3" x14ac:dyDescent="0.25">
      <c r="B54" s="228"/>
      <c r="C54" s="110"/>
    </row>
    <row r="55" spans="2:3" x14ac:dyDescent="0.25">
      <c r="B55" s="228"/>
      <c r="C55" s="110"/>
    </row>
    <row r="56" spans="2:3" x14ac:dyDescent="0.25">
      <c r="B56" s="228"/>
      <c r="C56" s="110"/>
    </row>
    <row r="57" spans="2:3" x14ac:dyDescent="0.25">
      <c r="B57" s="228"/>
      <c r="C57" s="110"/>
    </row>
    <row r="58" spans="2:3" x14ac:dyDescent="0.25">
      <c r="B58" s="228"/>
      <c r="C58" s="110"/>
    </row>
    <row r="59" spans="2:3" x14ac:dyDescent="0.25">
      <c r="B59" s="228"/>
      <c r="C59" s="110"/>
    </row>
    <row r="60" spans="2:3" x14ac:dyDescent="0.25">
      <c r="B60" s="228"/>
      <c r="C60" s="110"/>
    </row>
    <row r="61" spans="2:3" x14ac:dyDescent="0.25">
      <c r="B61" s="228"/>
      <c r="C61" s="110"/>
    </row>
    <row r="62" spans="2:3" x14ac:dyDescent="0.25">
      <c r="B62" s="228"/>
      <c r="C62" s="110"/>
    </row>
    <row r="63" spans="2:3" x14ac:dyDescent="0.25">
      <c r="B63" s="228"/>
      <c r="C63" s="110"/>
    </row>
    <row r="64" spans="2:3" x14ac:dyDescent="0.25">
      <c r="B64" s="228"/>
      <c r="C64" s="110"/>
    </row>
    <row r="65" spans="2:3" x14ac:dyDescent="0.25">
      <c r="B65" s="228"/>
      <c r="C65" s="110"/>
    </row>
    <row r="66" spans="2:3" x14ac:dyDescent="0.25">
      <c r="B66" s="228"/>
      <c r="C66" s="110"/>
    </row>
    <row r="67" spans="2:3" x14ac:dyDescent="0.25">
      <c r="B67" s="228"/>
      <c r="C67" s="110"/>
    </row>
    <row r="68" spans="2:3" x14ac:dyDescent="0.25">
      <c r="B68" s="228"/>
      <c r="C68" s="110"/>
    </row>
    <row r="69" spans="2:3" x14ac:dyDescent="0.25">
      <c r="B69" s="228"/>
      <c r="C69" s="110"/>
    </row>
    <row r="70" spans="2:3" x14ac:dyDescent="0.25">
      <c r="B70" s="228"/>
      <c r="C70" s="110"/>
    </row>
    <row r="71" spans="2:3" x14ac:dyDescent="0.25">
      <c r="B71" s="228"/>
      <c r="C71" s="110"/>
    </row>
    <row r="72" spans="2:3" x14ac:dyDescent="0.25">
      <c r="B72" s="228"/>
      <c r="C72" s="110"/>
    </row>
    <row r="73" spans="2:3" x14ac:dyDescent="0.25">
      <c r="B73" s="228"/>
      <c r="C73" s="110"/>
    </row>
    <row r="74" spans="2:3" x14ac:dyDescent="0.25">
      <c r="B74" s="228"/>
      <c r="C74" s="110"/>
    </row>
    <row r="75" spans="2:3" x14ac:dyDescent="0.25">
      <c r="B75" s="228"/>
      <c r="C75" s="110"/>
    </row>
    <row r="76" spans="2:3" x14ac:dyDescent="0.25">
      <c r="B76" s="228"/>
      <c r="C76" s="110"/>
    </row>
    <row r="77" spans="2:3" x14ac:dyDescent="0.25">
      <c r="B77" s="228"/>
      <c r="C77" s="110"/>
    </row>
    <row r="78" spans="2:3" x14ac:dyDescent="0.25">
      <c r="B78" s="228"/>
      <c r="C78" s="110"/>
    </row>
    <row r="79" spans="2:3" x14ac:dyDescent="0.25">
      <c r="B79" s="228"/>
      <c r="C79" s="110"/>
    </row>
    <row r="80" spans="2:3" x14ac:dyDescent="0.25">
      <c r="B80" s="228"/>
      <c r="C80" s="110"/>
    </row>
    <row r="81" spans="2:3" x14ac:dyDescent="0.25">
      <c r="B81" s="228"/>
      <c r="C81" s="110"/>
    </row>
    <row r="82" spans="2:3" x14ac:dyDescent="0.25">
      <c r="B82" s="228"/>
      <c r="C82" s="110"/>
    </row>
    <row r="83" spans="2:3" x14ac:dyDescent="0.25">
      <c r="B83" s="228"/>
      <c r="C83" s="110"/>
    </row>
    <row r="84" spans="2:3" x14ac:dyDescent="0.25">
      <c r="B84" s="228"/>
      <c r="C84" s="110"/>
    </row>
    <row r="85" spans="2:3" x14ac:dyDescent="0.25">
      <c r="B85" s="228"/>
      <c r="C85" s="110"/>
    </row>
    <row r="86" spans="2:3" x14ac:dyDescent="0.25">
      <c r="B86" s="228"/>
      <c r="C86" s="110"/>
    </row>
    <row r="87" spans="2:3" x14ac:dyDescent="0.25">
      <c r="B87" s="246"/>
    </row>
    <row r="88" spans="2:3" x14ac:dyDescent="0.25">
      <c r="B88" s="246"/>
    </row>
    <row r="89" spans="2:3" x14ac:dyDescent="0.25">
      <c r="B89" s="246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72"/>
  <sheetViews>
    <sheetView view="pageBreakPreview" zoomScaleNormal="100" zoomScaleSheetLayoutView="100" workbookViewId="0">
      <selection sqref="A1:XFD1048576"/>
    </sheetView>
  </sheetViews>
  <sheetFormatPr defaultColWidth="9.109375" defaultRowHeight="13.2" x14ac:dyDescent="0.25"/>
  <cols>
    <col min="1" max="1" width="6.6640625" style="102" customWidth="1"/>
    <col min="2" max="2" width="30.88671875" style="103" customWidth="1"/>
    <col min="3" max="3" width="9.88671875" style="117" bestFit="1" customWidth="1"/>
    <col min="4" max="6" width="13.33203125" style="117" customWidth="1"/>
    <col min="7" max="7" width="12.88671875" style="102" customWidth="1"/>
    <col min="8" max="8" width="15.44140625" style="102" customWidth="1"/>
    <col min="9" max="9" width="15" style="102" customWidth="1"/>
    <col min="10" max="16384" width="9.109375" style="102"/>
  </cols>
  <sheetData>
    <row r="1" spans="1:11" x14ac:dyDescent="0.25">
      <c r="A1" s="132" t="str">
        <f>'Summary of Returns'!A1</f>
        <v>FLEMING-MASON ELECTRIC COOPERATIVE</v>
      </c>
    </row>
    <row r="2" spans="1:11" x14ac:dyDescent="0.25">
      <c r="A2" s="132" t="s">
        <v>696</v>
      </c>
    </row>
    <row r="4" spans="1:11" ht="45.75" customHeight="1" thickBot="1" x14ac:dyDescent="0.3">
      <c r="A4" s="226" t="s">
        <v>939</v>
      </c>
      <c r="B4" s="236" t="s">
        <v>750</v>
      </c>
      <c r="C4" s="237" t="s">
        <v>756</v>
      </c>
      <c r="D4" s="238" t="s">
        <v>867</v>
      </c>
      <c r="E4" s="238" t="s">
        <v>1096</v>
      </c>
      <c r="F4" s="238" t="s">
        <v>1097</v>
      </c>
      <c r="G4" s="238" t="s">
        <v>1098</v>
      </c>
    </row>
    <row r="5" spans="1:11" x14ac:dyDescent="0.25">
      <c r="A5" s="103"/>
      <c r="B5" s="132"/>
      <c r="C5" s="201"/>
    </row>
    <row r="6" spans="1:11" x14ac:dyDescent="0.25">
      <c r="A6" s="103">
        <v>1</v>
      </c>
      <c r="B6" s="102" t="str">
        <f>'Summary of Returns'!B10</f>
        <v>Residential &amp; Small Power (1)</v>
      </c>
      <c r="C6" s="239" t="str">
        <f>'Summary of Returns'!C10</f>
        <v>RSP</v>
      </c>
      <c r="D6" s="200">
        <f>'Billing Det'!C8</f>
        <v>24042</v>
      </c>
      <c r="E6" s="200">
        <v>4430</v>
      </c>
      <c r="F6" s="200">
        <f>E6*D6</f>
        <v>106506060</v>
      </c>
      <c r="G6" s="240">
        <f t="shared" ref="G6:G21" si="0">F6/F$33</f>
        <v>0.94157328279314467</v>
      </c>
      <c r="H6" s="247"/>
      <c r="J6" s="223"/>
      <c r="K6" s="164"/>
    </row>
    <row r="7" spans="1:11" x14ac:dyDescent="0.25">
      <c r="A7" s="103">
        <v>2</v>
      </c>
      <c r="B7" s="102" t="str">
        <f>'Summary of Returns'!B11</f>
        <v>Residential &amp; Small Power ETS (11)</v>
      </c>
      <c r="C7" s="239" t="str">
        <f>'Summary of Returns'!C11</f>
        <v>RSP-ETS</v>
      </c>
      <c r="D7" s="200">
        <f>'Billing Det'!C9</f>
        <v>51</v>
      </c>
      <c r="E7" s="200">
        <v>4430</v>
      </c>
      <c r="F7" s="200">
        <f t="shared" ref="F7" si="1">E7*D7</f>
        <v>225930</v>
      </c>
      <c r="G7" s="240">
        <f t="shared" si="0"/>
        <v>1.9973478671678887E-3</v>
      </c>
      <c r="H7" s="247"/>
      <c r="J7" s="223"/>
      <c r="K7" s="164"/>
    </row>
    <row r="8" spans="1:11" x14ac:dyDescent="0.25">
      <c r="A8" s="103">
        <v>3</v>
      </c>
      <c r="B8" s="102" t="str">
        <f>'Summary of Returns'!B12</f>
        <v>Prepay (80)</v>
      </c>
      <c r="C8" s="239" t="str">
        <f>'Summary of Returns'!C12</f>
        <v>RSP-PPM</v>
      </c>
      <c r="D8" s="200">
        <f>'Billing Det'!C10</f>
        <v>523</v>
      </c>
      <c r="E8" s="200">
        <v>4430</v>
      </c>
      <c r="F8" s="200">
        <f t="shared" ref="F8:F21" si="2">E8*D8</f>
        <v>2316890</v>
      </c>
      <c r="G8" s="240">
        <f t="shared" si="0"/>
        <v>2.0482606559388349E-2</v>
      </c>
      <c r="H8" s="247"/>
      <c r="J8" s="223"/>
      <c r="K8" s="164"/>
    </row>
    <row r="9" spans="1:11" x14ac:dyDescent="0.25">
      <c r="A9" s="103">
        <v>4</v>
      </c>
      <c r="B9" s="102" t="str">
        <f>'Summary of Returns'!B13</f>
        <v>Net Metering (100)</v>
      </c>
      <c r="C9" s="239" t="str">
        <f>'Summary of Returns'!C13</f>
        <v>NM</v>
      </c>
      <c r="D9" s="200">
        <f>'Billing Det'!C11</f>
        <v>61</v>
      </c>
      <c r="E9" s="200">
        <v>4430</v>
      </c>
      <c r="F9" s="200">
        <f t="shared" si="2"/>
        <v>270230</v>
      </c>
      <c r="G9" s="240">
        <f t="shared" si="0"/>
        <v>2.388984703867475E-3</v>
      </c>
      <c r="H9" s="247"/>
      <c r="J9" s="223"/>
      <c r="K9" s="164"/>
    </row>
    <row r="10" spans="1:11" x14ac:dyDescent="0.25">
      <c r="A10" s="103">
        <v>5</v>
      </c>
      <c r="B10" s="102" t="str">
        <f>'Summary of Returns'!B14</f>
        <v>Time of Day (110)</v>
      </c>
      <c r="C10" s="239" t="str">
        <f>'Summary of Returns'!C14</f>
        <v>RSP-TOD</v>
      </c>
      <c r="D10" s="200">
        <f>'Billing Det'!C12</f>
        <v>23</v>
      </c>
      <c r="E10" s="200">
        <v>4430</v>
      </c>
      <c r="F10" s="200">
        <f t="shared" si="2"/>
        <v>101890</v>
      </c>
      <c r="G10" s="240">
        <f t="shared" si="0"/>
        <v>9.0076472440904791E-4</v>
      </c>
      <c r="H10" s="247"/>
      <c r="J10" s="223"/>
      <c r="K10" s="164"/>
    </row>
    <row r="11" spans="1:11" x14ac:dyDescent="0.25">
      <c r="A11" s="103">
        <v>6</v>
      </c>
      <c r="B11" s="102" t="str">
        <f>'Summary of Returns'!B15</f>
        <v>Inclining Block Rate (8)</v>
      </c>
      <c r="C11" s="239" t="str">
        <f>'Summary of Returns'!C15</f>
        <v>RSP-IB</v>
      </c>
      <c r="D11" s="200">
        <f>'Billing Det'!C13</f>
        <v>312</v>
      </c>
      <c r="E11" s="200">
        <v>4430</v>
      </c>
      <c r="F11" s="200">
        <f t="shared" si="2"/>
        <v>1382160</v>
      </c>
      <c r="G11" s="240">
        <f t="shared" si="0"/>
        <v>1.2219069305027084E-2</v>
      </c>
      <c r="H11" s="247"/>
      <c r="J11" s="223"/>
      <c r="K11" s="164"/>
    </row>
    <row r="12" spans="1:11" x14ac:dyDescent="0.25">
      <c r="A12" s="103">
        <v>7</v>
      </c>
      <c r="B12" s="102" t="str">
        <f>'Summary of Returns'!B16</f>
        <v>Small General Service (2)</v>
      </c>
      <c r="C12" s="239" t="str">
        <f>'Summary of Returns'!C16</f>
        <v>SGS</v>
      </c>
      <c r="D12" s="200">
        <f>'Billing Det'!C14</f>
        <v>242</v>
      </c>
      <c r="E12" s="200">
        <v>4768</v>
      </c>
      <c r="F12" s="200">
        <f t="shared" si="2"/>
        <v>1153856</v>
      </c>
      <c r="G12" s="240">
        <f t="shared" si="0"/>
        <v>1.0200733946881209E-2</v>
      </c>
      <c r="H12" s="247"/>
      <c r="J12" s="223"/>
      <c r="K12" s="164"/>
    </row>
    <row r="13" spans="1:11" x14ac:dyDescent="0.25">
      <c r="A13" s="103">
        <v>8</v>
      </c>
      <c r="B13" s="102" t="str">
        <f>'Summary of Returns'!B17</f>
        <v>Large General Service (3)</v>
      </c>
      <c r="C13" s="239" t="str">
        <f>'Summary of Returns'!C17</f>
        <v>LGS</v>
      </c>
      <c r="D13" s="200">
        <f>'Billing Det'!C15</f>
        <v>155</v>
      </c>
      <c r="E13" s="200">
        <v>7329</v>
      </c>
      <c r="F13" s="200">
        <f t="shared" si="2"/>
        <v>1135995</v>
      </c>
      <c r="G13" s="240">
        <f t="shared" si="0"/>
        <v>1.0042832693150028E-2</v>
      </c>
      <c r="H13" s="247"/>
      <c r="J13" s="223"/>
      <c r="K13" s="164"/>
    </row>
    <row r="14" spans="1:11" x14ac:dyDescent="0.25">
      <c r="A14" s="103">
        <v>9</v>
      </c>
      <c r="B14" s="102" t="str">
        <f>'Summary of Returns'!B18</f>
        <v>All Electric School (4)</v>
      </c>
      <c r="C14" s="239" t="str">
        <f>'Summary of Returns'!C18</f>
        <v>AES</v>
      </c>
      <c r="D14" s="200">
        <f>'Billing Det'!C16</f>
        <v>3</v>
      </c>
      <c r="E14" s="200">
        <v>7329</v>
      </c>
      <c r="F14" s="200">
        <f t="shared" si="2"/>
        <v>21987</v>
      </c>
      <c r="G14" s="240">
        <f t="shared" si="0"/>
        <v>1.9437740696419409E-4</v>
      </c>
      <c r="H14" s="247"/>
      <c r="J14" s="223"/>
      <c r="K14" s="164"/>
    </row>
    <row r="15" spans="1:11" hidden="1" x14ac:dyDescent="0.25">
      <c r="A15" s="103">
        <v>10</v>
      </c>
      <c r="B15" s="102" t="str">
        <f>'Summary of Returns'!B19</f>
        <v>reserved</v>
      </c>
      <c r="C15" s="239" t="str">
        <f>'Summary of Returns'!C19</f>
        <v>---</v>
      </c>
      <c r="D15" s="200">
        <f>'Billing Det'!C17</f>
        <v>0</v>
      </c>
      <c r="E15" s="200">
        <v>7329</v>
      </c>
      <c r="F15" s="200">
        <f t="shared" si="2"/>
        <v>0</v>
      </c>
      <c r="G15" s="240">
        <f t="shared" si="0"/>
        <v>0</v>
      </c>
      <c r="H15" s="247"/>
      <c r="J15" s="223"/>
      <c r="K15" s="164"/>
    </row>
    <row r="16" spans="1:11" x14ac:dyDescent="0.25">
      <c r="A16" s="103">
        <v>11</v>
      </c>
      <c r="B16" s="102" t="str">
        <f>'Summary of Returns'!B20</f>
        <v>Security Lights (20)</v>
      </c>
      <c r="C16" s="239" t="str">
        <f>'Summary of Returns'!C20</f>
        <v>OLS</v>
      </c>
      <c r="D16" s="200">
        <v>0</v>
      </c>
      <c r="E16" s="200">
        <v>0</v>
      </c>
      <c r="F16" s="200">
        <f t="shared" si="2"/>
        <v>0</v>
      </c>
      <c r="G16" s="240">
        <f t="shared" si="0"/>
        <v>0</v>
      </c>
    </row>
    <row r="17" spans="1:7" x14ac:dyDescent="0.25">
      <c r="A17" s="103">
        <v>12</v>
      </c>
      <c r="B17" s="102" t="str">
        <f>'Summary of Returns'!B21</f>
        <v>App Harvest (70)</v>
      </c>
      <c r="C17" s="239" t="str">
        <f>'Summary of Returns'!C21</f>
        <v>Contract</v>
      </c>
      <c r="D17" s="200">
        <v>0</v>
      </c>
      <c r="E17" s="200">
        <v>0</v>
      </c>
      <c r="F17" s="200">
        <f t="shared" si="2"/>
        <v>0</v>
      </c>
      <c r="G17" s="240">
        <f t="shared" si="0"/>
        <v>0</v>
      </c>
    </row>
    <row r="18" spans="1:7" x14ac:dyDescent="0.25">
      <c r="A18" s="103">
        <v>13</v>
      </c>
      <c r="B18" s="102" t="str">
        <f>'Summary of Returns'!B22</f>
        <v>Dravo (14 now 18)</v>
      </c>
      <c r="C18" s="239" t="str">
        <f>'Summary of Returns'!C22</f>
        <v>Contract</v>
      </c>
      <c r="D18" s="200">
        <v>0</v>
      </c>
      <c r="E18" s="200">
        <v>0</v>
      </c>
      <c r="F18" s="200">
        <f t="shared" si="2"/>
        <v>0</v>
      </c>
      <c r="G18" s="240">
        <f t="shared" si="0"/>
        <v>0</v>
      </c>
    </row>
    <row r="19" spans="1:7" x14ac:dyDescent="0.25">
      <c r="A19" s="103">
        <v>14</v>
      </c>
      <c r="B19" s="102" t="str">
        <f>'Summary of Returns'!B23</f>
        <v>Guardian Industries (16)</v>
      </c>
      <c r="C19" s="239" t="str">
        <f>'Summary of Returns'!C23</f>
        <v>Contract</v>
      </c>
      <c r="D19" s="200">
        <v>0</v>
      </c>
      <c r="E19" s="200">
        <v>0</v>
      </c>
      <c r="F19" s="200">
        <f t="shared" si="2"/>
        <v>0</v>
      </c>
      <c r="G19" s="240">
        <f t="shared" si="0"/>
        <v>0</v>
      </c>
    </row>
    <row r="20" spans="1:7" x14ac:dyDescent="0.25">
      <c r="A20" s="103">
        <v>15</v>
      </c>
      <c r="B20" s="102" t="str">
        <f>'Summary of Returns'!B24</f>
        <v>Int'l Paper (12)</v>
      </c>
      <c r="C20" s="239" t="str">
        <f>'Summary of Returns'!C24</f>
        <v>Contract</v>
      </c>
      <c r="D20" s="200">
        <v>0</v>
      </c>
      <c r="E20" s="200">
        <v>0</v>
      </c>
      <c r="F20" s="200">
        <f t="shared" si="2"/>
        <v>0</v>
      </c>
      <c r="G20" s="240">
        <f t="shared" si="0"/>
        <v>0</v>
      </c>
    </row>
    <row r="21" spans="1:7" x14ac:dyDescent="0.25">
      <c r="A21" s="103">
        <v>16</v>
      </c>
      <c r="B21" s="102" t="str">
        <f>'Summary of Returns'!B25</f>
        <v>Tennessee Gas (17)</v>
      </c>
      <c r="C21" s="239" t="str">
        <f>'Summary of Returns'!C25</f>
        <v>Contract</v>
      </c>
      <c r="D21" s="200">
        <v>0</v>
      </c>
      <c r="E21" s="200">
        <v>0</v>
      </c>
      <c r="F21" s="200">
        <f t="shared" si="2"/>
        <v>0</v>
      </c>
      <c r="G21" s="240">
        <f t="shared" si="0"/>
        <v>0</v>
      </c>
    </row>
    <row r="22" spans="1:7" x14ac:dyDescent="0.25">
      <c r="A22" s="103"/>
      <c r="B22" s="102"/>
      <c r="C22" s="239"/>
      <c r="D22" s="200"/>
      <c r="E22" s="200"/>
      <c r="F22" s="200"/>
      <c r="G22" s="240"/>
    </row>
    <row r="23" spans="1:7" hidden="1" x14ac:dyDescent="0.25">
      <c r="A23" s="103"/>
      <c r="B23" s="102"/>
      <c r="C23" s="239"/>
      <c r="D23" s="200"/>
      <c r="E23" s="200"/>
      <c r="F23" s="200"/>
      <c r="G23" s="240"/>
    </row>
    <row r="24" spans="1:7" hidden="1" x14ac:dyDescent="0.25">
      <c r="A24" s="103"/>
      <c r="B24" s="102"/>
      <c r="C24" s="239"/>
      <c r="D24" s="200"/>
      <c r="E24" s="200"/>
      <c r="F24" s="200"/>
      <c r="G24" s="240"/>
    </row>
    <row r="25" spans="1:7" hidden="1" x14ac:dyDescent="0.25">
      <c r="A25" s="103"/>
      <c r="B25" s="102"/>
      <c r="C25" s="239"/>
      <c r="D25" s="200"/>
      <c r="E25" s="200"/>
      <c r="F25" s="200"/>
      <c r="G25" s="240"/>
    </row>
    <row r="26" spans="1:7" hidden="1" x14ac:dyDescent="0.25">
      <c r="A26" s="103"/>
      <c r="B26" s="102"/>
      <c r="C26" s="103"/>
      <c r="D26" s="200"/>
      <c r="E26" s="200"/>
      <c r="F26" s="110"/>
      <c r="G26" s="240"/>
    </row>
    <row r="27" spans="1:7" hidden="1" x14ac:dyDescent="0.25">
      <c r="A27" s="103"/>
      <c r="B27" s="102"/>
      <c r="C27" s="103"/>
      <c r="D27" s="200"/>
      <c r="E27" s="200"/>
      <c r="F27" s="110"/>
      <c r="G27" s="240"/>
    </row>
    <row r="28" spans="1:7" hidden="1" x14ac:dyDescent="0.25">
      <c r="A28" s="103"/>
      <c r="B28" s="102"/>
      <c r="C28" s="103"/>
      <c r="D28" s="200"/>
      <c r="E28" s="200"/>
      <c r="F28" s="110"/>
      <c r="G28" s="240"/>
    </row>
    <row r="29" spans="1:7" hidden="1" x14ac:dyDescent="0.25">
      <c r="A29" s="103"/>
      <c r="B29" s="102"/>
      <c r="C29" s="103"/>
      <c r="D29" s="200"/>
      <c r="E29" s="200"/>
      <c r="F29" s="110"/>
      <c r="G29" s="240"/>
    </row>
    <row r="30" spans="1:7" hidden="1" x14ac:dyDescent="0.25">
      <c r="A30" s="103"/>
      <c r="B30" s="102"/>
      <c r="C30" s="103"/>
      <c r="D30" s="200"/>
      <c r="E30" s="200"/>
      <c r="F30" s="110"/>
      <c r="G30" s="240"/>
    </row>
    <row r="31" spans="1:7" hidden="1" x14ac:dyDescent="0.25">
      <c r="A31" s="103"/>
      <c r="B31" s="102"/>
      <c r="C31" s="103"/>
      <c r="D31" s="200"/>
      <c r="E31" s="200"/>
      <c r="F31" s="110"/>
      <c r="G31" s="240"/>
    </row>
    <row r="32" spans="1:7" hidden="1" x14ac:dyDescent="0.25">
      <c r="A32" s="103"/>
      <c r="B32" s="102"/>
      <c r="C32" s="103"/>
      <c r="D32" s="200"/>
      <c r="E32" s="200"/>
    </row>
    <row r="33" spans="1:7" ht="13.8" thickBot="1" x14ac:dyDescent="0.3">
      <c r="A33" s="103">
        <f>A21+1</f>
        <v>17</v>
      </c>
      <c r="B33" s="241" t="s">
        <v>0</v>
      </c>
      <c r="C33" s="242"/>
      <c r="D33" s="248">
        <f>SUM(D6:D32)</f>
        <v>25412</v>
      </c>
      <c r="E33" s="249"/>
      <c r="F33" s="243">
        <f>SUM(F6:F32)</f>
        <v>113114998</v>
      </c>
      <c r="G33" s="244">
        <f>SUM(G6:G32)</f>
        <v>0.99999999999999989</v>
      </c>
    </row>
    <row r="34" spans="1:7" ht="13.8" thickTop="1" x14ac:dyDescent="0.25">
      <c r="B34" s="245"/>
      <c r="C34" s="250"/>
    </row>
    <row r="35" spans="1:7" x14ac:dyDescent="0.25">
      <c r="B35" s="245"/>
      <c r="C35" s="250"/>
    </row>
    <row r="36" spans="1:7" x14ac:dyDescent="0.25">
      <c r="B36" s="245"/>
      <c r="C36" s="250"/>
    </row>
    <row r="37" spans="1:7" x14ac:dyDescent="0.25">
      <c r="B37" s="245"/>
      <c r="C37" s="250"/>
    </row>
    <row r="38" spans="1:7" x14ac:dyDescent="0.25">
      <c r="B38" s="245"/>
      <c r="C38" s="250"/>
    </row>
    <row r="39" spans="1:7" x14ac:dyDescent="0.25">
      <c r="B39" s="245"/>
      <c r="C39" s="250"/>
    </row>
    <row r="40" spans="1:7" x14ac:dyDescent="0.25">
      <c r="B40" s="245"/>
      <c r="C40" s="250"/>
    </row>
    <row r="41" spans="1:7" x14ac:dyDescent="0.25">
      <c r="B41" s="245"/>
      <c r="C41" s="250"/>
    </row>
    <row r="42" spans="1:7" x14ac:dyDescent="0.25">
      <c r="B42" s="245"/>
      <c r="C42" s="250"/>
    </row>
    <row r="43" spans="1:7" x14ac:dyDescent="0.25">
      <c r="B43" s="245"/>
      <c r="C43" s="250"/>
    </row>
    <row r="44" spans="1:7" x14ac:dyDescent="0.25">
      <c r="B44" s="245"/>
      <c r="C44" s="250"/>
    </row>
    <row r="45" spans="1:7" x14ac:dyDescent="0.25">
      <c r="B45" s="245"/>
      <c r="C45" s="250"/>
    </row>
    <row r="46" spans="1:7" x14ac:dyDescent="0.25">
      <c r="B46" s="245"/>
      <c r="C46" s="250"/>
    </row>
    <row r="47" spans="1:7" x14ac:dyDescent="0.25">
      <c r="B47" s="245"/>
      <c r="C47" s="250"/>
    </row>
    <row r="48" spans="1:7" x14ac:dyDescent="0.25">
      <c r="B48" s="245"/>
      <c r="C48" s="250"/>
    </row>
    <row r="49" spans="2:3" x14ac:dyDescent="0.25">
      <c r="B49" s="245"/>
      <c r="C49" s="250"/>
    </row>
    <row r="50" spans="2:3" x14ac:dyDescent="0.25">
      <c r="B50" s="245"/>
      <c r="C50" s="250"/>
    </row>
    <row r="51" spans="2:3" x14ac:dyDescent="0.25">
      <c r="B51" s="245"/>
      <c r="C51" s="250"/>
    </row>
    <row r="52" spans="2:3" x14ac:dyDescent="0.25">
      <c r="B52" s="245"/>
      <c r="C52" s="250"/>
    </row>
    <row r="53" spans="2:3" x14ac:dyDescent="0.25">
      <c r="B53" s="245"/>
      <c r="C53" s="250"/>
    </row>
    <row r="54" spans="2:3" x14ac:dyDescent="0.25">
      <c r="B54" s="245"/>
      <c r="C54" s="250"/>
    </row>
    <row r="55" spans="2:3" x14ac:dyDescent="0.25">
      <c r="B55" s="245"/>
      <c r="C55" s="250"/>
    </row>
    <row r="56" spans="2:3" x14ac:dyDescent="0.25">
      <c r="B56" s="245"/>
      <c r="C56" s="250"/>
    </row>
    <row r="57" spans="2:3" x14ac:dyDescent="0.25">
      <c r="B57" s="245"/>
      <c r="C57" s="250"/>
    </row>
    <row r="58" spans="2:3" x14ac:dyDescent="0.25">
      <c r="B58" s="245"/>
      <c r="C58" s="250"/>
    </row>
    <row r="59" spans="2:3" x14ac:dyDescent="0.25">
      <c r="B59" s="245"/>
      <c r="C59" s="250"/>
    </row>
    <row r="60" spans="2:3" x14ac:dyDescent="0.25">
      <c r="B60" s="245"/>
      <c r="C60" s="250"/>
    </row>
    <row r="61" spans="2:3" x14ac:dyDescent="0.25">
      <c r="B61" s="245"/>
      <c r="C61" s="250"/>
    </row>
    <row r="62" spans="2:3" x14ac:dyDescent="0.25">
      <c r="B62" s="245"/>
      <c r="C62" s="250"/>
    </row>
    <row r="63" spans="2:3" x14ac:dyDescent="0.25">
      <c r="B63" s="245"/>
      <c r="C63" s="250"/>
    </row>
    <row r="64" spans="2:3" x14ac:dyDescent="0.25">
      <c r="B64" s="245"/>
      <c r="C64" s="250"/>
    </row>
    <row r="65" spans="2:3" x14ac:dyDescent="0.25">
      <c r="B65" s="245"/>
      <c r="C65" s="250"/>
    </row>
    <row r="66" spans="2:3" x14ac:dyDescent="0.25">
      <c r="B66" s="245"/>
      <c r="C66" s="250"/>
    </row>
    <row r="67" spans="2:3" x14ac:dyDescent="0.25">
      <c r="B67" s="245"/>
      <c r="C67" s="250"/>
    </row>
    <row r="68" spans="2:3" x14ac:dyDescent="0.25">
      <c r="B68" s="245"/>
      <c r="C68" s="250"/>
    </row>
    <row r="69" spans="2:3" x14ac:dyDescent="0.25">
      <c r="B69" s="245"/>
      <c r="C69" s="250"/>
    </row>
    <row r="70" spans="2:3" x14ac:dyDescent="0.25">
      <c r="B70" s="245"/>
      <c r="C70" s="250"/>
    </row>
    <row r="71" spans="2:3" x14ac:dyDescent="0.25">
      <c r="B71" s="245"/>
      <c r="C71" s="250"/>
    </row>
    <row r="72" spans="2:3" x14ac:dyDescent="0.25">
      <c r="B72" s="245"/>
      <c r="C72" s="25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2"/>
  <sheetViews>
    <sheetView workbookViewId="0">
      <selection activeCell="J24" sqref="J24"/>
    </sheetView>
  </sheetViews>
  <sheetFormatPr defaultRowHeight="13.8" x14ac:dyDescent="0.25"/>
  <cols>
    <col min="1" max="1" width="22" bestFit="1" customWidth="1"/>
    <col min="3" max="3" width="7" bestFit="1" customWidth="1"/>
    <col min="4" max="4" width="10.44140625" bestFit="1" customWidth="1"/>
    <col min="5" max="5" width="12" bestFit="1" customWidth="1"/>
    <col min="6" max="6" width="13.6640625" bestFit="1" customWidth="1"/>
    <col min="7" max="7" width="17.5546875" bestFit="1" customWidth="1"/>
    <col min="8" max="8" width="12.88671875" customWidth="1"/>
    <col min="9" max="9" width="14" bestFit="1" customWidth="1"/>
    <col min="10" max="10" width="22.88671875" bestFit="1" customWidth="1"/>
    <col min="11" max="11" width="15.109375" bestFit="1" customWidth="1"/>
    <col min="12" max="12" width="19.33203125" bestFit="1" customWidth="1"/>
    <col min="13" max="13" width="13.6640625" bestFit="1" customWidth="1"/>
    <col min="14" max="14" width="12" bestFit="1" customWidth="1"/>
    <col min="15" max="15" width="13.6640625" bestFit="1" customWidth="1"/>
    <col min="16" max="16" width="14.109375" bestFit="1" customWidth="1"/>
    <col min="17" max="17" width="13.88671875" customWidth="1"/>
    <col min="18" max="18" width="16.33203125" bestFit="1" customWidth="1"/>
    <col min="19" max="19" width="13.6640625" bestFit="1" customWidth="1"/>
    <col min="20" max="20" width="6.6640625" bestFit="1" customWidth="1"/>
  </cols>
  <sheetData>
    <row r="1" spans="1:38" x14ac:dyDescent="0.25">
      <c r="A1" s="1"/>
      <c r="B1" s="1"/>
      <c r="C1" s="1"/>
      <c r="D1" s="1"/>
    </row>
    <row r="2" spans="1:38" ht="55.2" x14ac:dyDescent="0.25">
      <c r="A2" s="2"/>
      <c r="B2" s="2"/>
      <c r="C2" s="5"/>
      <c r="D2" s="6" t="s">
        <v>208</v>
      </c>
      <c r="E2" s="5" t="s">
        <v>0</v>
      </c>
      <c r="F2" s="10" t="s">
        <v>710</v>
      </c>
      <c r="G2" s="10" t="s">
        <v>719</v>
      </c>
      <c r="H2" s="10" t="s">
        <v>723</v>
      </c>
      <c r="I2" s="10" t="s">
        <v>724</v>
      </c>
      <c r="J2" s="10" t="s">
        <v>725</v>
      </c>
      <c r="K2" s="10" t="s">
        <v>726</v>
      </c>
      <c r="L2" s="10" t="s">
        <v>727</v>
      </c>
      <c r="M2" s="10" t="s">
        <v>728</v>
      </c>
      <c r="N2" s="10" t="s">
        <v>715</v>
      </c>
      <c r="O2" s="10" t="s">
        <v>716</v>
      </c>
      <c r="P2" s="10" t="s">
        <v>717</v>
      </c>
      <c r="Q2" s="10" t="s">
        <v>718</v>
      </c>
      <c r="R2" s="10" t="s">
        <v>729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722</v>
      </c>
      <c r="G3" s="9" t="s">
        <v>734</v>
      </c>
      <c r="H3" s="9" t="s">
        <v>733</v>
      </c>
      <c r="I3" s="9" t="s">
        <v>731</v>
      </c>
      <c r="J3" s="9" t="s">
        <v>732</v>
      </c>
      <c r="K3" s="9" t="s">
        <v>711</v>
      </c>
      <c r="L3" s="9" t="s">
        <v>699</v>
      </c>
      <c r="M3" s="9" t="s">
        <v>735</v>
      </c>
      <c r="N3" s="9" t="s">
        <v>736</v>
      </c>
      <c r="O3" s="9" t="s">
        <v>737</v>
      </c>
      <c r="P3" s="9" t="s">
        <v>738</v>
      </c>
      <c r="Q3" s="9" t="s">
        <v>739</v>
      </c>
      <c r="R3" s="9" t="s">
        <v>730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740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741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742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C150"/>
  <sheetViews>
    <sheetView view="pageBreakPreview" topLeftCell="A127" zoomScale="60" zoomScaleNormal="100" workbookViewId="0">
      <selection activeCell="G29" sqref="G29"/>
    </sheetView>
  </sheetViews>
  <sheetFormatPr defaultColWidth="9.109375" defaultRowHeight="13.2" x14ac:dyDescent="0.25"/>
  <cols>
    <col min="1" max="1" width="3.109375" style="102" customWidth="1"/>
    <col min="2" max="2" width="37.33203125" style="102" customWidth="1"/>
    <col min="3" max="3" width="10.44140625" style="102" bestFit="1" customWidth="1"/>
    <col min="4" max="4" width="16.88671875" style="102" bestFit="1" customWidth="1"/>
    <col min="5" max="5" width="12.6640625" style="102" bestFit="1" customWidth="1"/>
    <col min="6" max="6" width="13.33203125" style="102" customWidth="1"/>
    <col min="7" max="7" width="9.21875" style="102" customWidth="1"/>
    <col min="8" max="8" width="14.5546875" style="102" customWidth="1"/>
    <col min="9" max="9" width="18.44140625" style="102" customWidth="1"/>
    <col min="10" max="10" width="13.6640625" style="102" bestFit="1" customWidth="1"/>
    <col min="11" max="11" width="2.33203125" style="102" customWidth="1"/>
    <col min="12" max="12" width="6.33203125" style="103" customWidth="1"/>
    <col min="13" max="13" width="14.109375" style="102" bestFit="1" customWidth="1"/>
    <col min="14" max="14" width="10.21875" style="102" customWidth="1"/>
    <col min="15" max="15" width="10.44140625" style="102" customWidth="1"/>
    <col min="16" max="16384" width="9.109375" style="102"/>
  </cols>
  <sheetData>
    <row r="1" spans="1:11" x14ac:dyDescent="0.25">
      <c r="A1" s="132" t="str">
        <f>'Summary of Returns'!A1</f>
        <v>FLEMING-MASON ELECTRIC COOPERATIVE</v>
      </c>
    </row>
    <row r="2" spans="1:11" x14ac:dyDescent="0.25">
      <c r="A2" s="132" t="s">
        <v>982</v>
      </c>
    </row>
    <row r="4" spans="1:11" x14ac:dyDescent="0.25">
      <c r="A4" s="132" t="s">
        <v>972</v>
      </c>
      <c r="B4" s="251"/>
    </row>
    <row r="5" spans="1:11" x14ac:dyDescent="0.25">
      <c r="F5" s="201" t="s">
        <v>947</v>
      </c>
      <c r="I5" s="201" t="s">
        <v>948</v>
      </c>
    </row>
    <row r="6" spans="1:11" x14ac:dyDescent="0.25">
      <c r="C6" s="252"/>
      <c r="D6" s="201"/>
      <c r="E6" s="253"/>
      <c r="F6" s="201" t="s">
        <v>949</v>
      </c>
      <c r="H6" s="201"/>
      <c r="I6" s="201"/>
      <c r="J6" s="201"/>
      <c r="K6" s="201"/>
    </row>
    <row r="7" spans="1:11" x14ac:dyDescent="0.25">
      <c r="B7" s="254" t="s">
        <v>6</v>
      </c>
      <c r="C7" s="255" t="s">
        <v>950</v>
      </c>
      <c r="D7" s="202" t="s">
        <v>951</v>
      </c>
      <c r="E7" s="256" t="s">
        <v>952</v>
      </c>
      <c r="F7" s="202" t="s">
        <v>953</v>
      </c>
      <c r="H7" s="203" t="s">
        <v>954</v>
      </c>
      <c r="I7" s="203" t="s">
        <v>955</v>
      </c>
      <c r="J7" s="203" t="s">
        <v>956</v>
      </c>
      <c r="K7" s="115"/>
    </row>
    <row r="8" spans="1:11" x14ac:dyDescent="0.25">
      <c r="B8" s="102" t="s">
        <v>1143</v>
      </c>
      <c r="C8" s="121">
        <v>41.74</v>
      </c>
      <c r="D8" s="217">
        <v>2024786.4</v>
      </c>
      <c r="E8" s="110">
        <v>17042382</v>
      </c>
      <c r="F8" s="121">
        <f t="shared" ref="F8" si="0">D8/E8</f>
        <v>0.11880888481434108</v>
      </c>
      <c r="G8" s="123"/>
      <c r="H8" s="121">
        <f t="shared" ref="H8" si="1">F8*E8^0.5</f>
        <v>490.47182811171149</v>
      </c>
      <c r="I8" s="121">
        <f t="shared" ref="I8" si="2">E8^0.5</f>
        <v>4128.2419987205203</v>
      </c>
      <c r="J8" s="121">
        <f t="shared" ref="J8" si="3">C8*E8^0.5</f>
        <v>172312.82102659452</v>
      </c>
      <c r="K8" s="121"/>
    </row>
    <row r="9" spans="1:11" x14ac:dyDescent="0.25">
      <c r="B9" s="102" t="s">
        <v>1167</v>
      </c>
      <c r="C9" s="121">
        <v>66.369</v>
      </c>
      <c r="D9" s="217">
        <v>4769359.5999999996</v>
      </c>
      <c r="E9" s="110">
        <v>9429822</v>
      </c>
      <c r="F9" s="121">
        <f t="shared" ref="F9:F19" si="4">D9/E9</f>
        <v>0.50577408566142601</v>
      </c>
      <c r="G9" s="123"/>
      <c r="H9" s="121">
        <f t="shared" ref="H9:H19" si="5">F9*E9^0.5</f>
        <v>1553.1318330652246</v>
      </c>
      <c r="I9" s="121">
        <f t="shared" ref="I9:I19" si="6">E9^0.5</f>
        <v>3070.8015240324471</v>
      </c>
      <c r="J9" s="121">
        <f t="shared" ref="J9:J19" si="7">C9*E9^0.5</f>
        <v>203806.02634850948</v>
      </c>
      <c r="K9" s="121"/>
    </row>
    <row r="10" spans="1:11" x14ac:dyDescent="0.25">
      <c r="B10" s="102" t="s">
        <v>1168</v>
      </c>
      <c r="C10" s="121">
        <v>105.53100000000001</v>
      </c>
      <c r="D10" s="217">
        <v>1881950.3</v>
      </c>
      <c r="E10" s="110">
        <v>4434900</v>
      </c>
      <c r="F10" s="121">
        <f t="shared" si="4"/>
        <v>0.42435010935985029</v>
      </c>
      <c r="G10" s="123"/>
      <c r="H10" s="121">
        <f t="shared" si="5"/>
        <v>893.64747837992763</v>
      </c>
      <c r="I10" s="121">
        <f t="shared" si="6"/>
        <v>2105.9202264093483</v>
      </c>
      <c r="J10" s="121">
        <f t="shared" si="7"/>
        <v>222239.86741320495</v>
      </c>
      <c r="K10" s="121"/>
    </row>
    <row r="11" spans="1:11" x14ac:dyDescent="0.25">
      <c r="B11" s="102" t="s">
        <v>1169</v>
      </c>
      <c r="C11" s="121">
        <v>133.072</v>
      </c>
      <c r="D11" s="217">
        <v>3914.88</v>
      </c>
      <c r="E11" s="110">
        <v>66480</v>
      </c>
      <c r="F11" s="121">
        <f t="shared" si="4"/>
        <v>5.8888086642599279E-2</v>
      </c>
      <c r="G11" s="123"/>
      <c r="H11" s="121">
        <f t="shared" si="5"/>
        <v>15.183536894787693</v>
      </c>
      <c r="I11" s="121">
        <f t="shared" si="6"/>
        <v>257.83715791173313</v>
      </c>
      <c r="J11" s="121">
        <f t="shared" si="7"/>
        <v>34310.906277630151</v>
      </c>
      <c r="K11" s="121"/>
    </row>
    <row r="12" spans="1:11" x14ac:dyDescent="0.25">
      <c r="B12" s="102" t="s">
        <v>1170</v>
      </c>
      <c r="C12" s="121">
        <v>167.8</v>
      </c>
      <c r="D12" s="217">
        <v>79.78</v>
      </c>
      <c r="E12" s="110">
        <v>2000</v>
      </c>
      <c r="F12" s="121">
        <f t="shared" si="4"/>
        <v>3.9890000000000002E-2</v>
      </c>
      <c r="G12" s="123"/>
      <c r="H12" s="121">
        <f t="shared" si="5"/>
        <v>1.7839350324493324</v>
      </c>
      <c r="I12" s="121">
        <f t="shared" si="6"/>
        <v>44.721359549995796</v>
      </c>
      <c r="J12" s="121">
        <f t="shared" si="7"/>
        <v>7504.2441324892952</v>
      </c>
      <c r="K12" s="121"/>
    </row>
    <row r="13" spans="1:11" x14ac:dyDescent="0.25">
      <c r="B13" s="102" t="s">
        <v>1171</v>
      </c>
      <c r="C13" s="121">
        <v>211.59200000000001</v>
      </c>
      <c r="D13" s="217">
        <v>1101512.25</v>
      </c>
      <c r="E13" s="110">
        <v>1868676</v>
      </c>
      <c r="F13" s="121">
        <f t="shared" si="4"/>
        <v>0.58946133519133337</v>
      </c>
      <c r="G13" s="123"/>
      <c r="H13" s="121">
        <f t="shared" si="5"/>
        <v>805.79084234968184</v>
      </c>
      <c r="I13" s="121">
        <f t="shared" si="6"/>
        <v>1366.9952450539101</v>
      </c>
      <c r="J13" s="121">
        <f t="shared" si="7"/>
        <v>289245.25789144699</v>
      </c>
      <c r="K13" s="121"/>
    </row>
    <row r="14" spans="1:11" x14ac:dyDescent="0.25">
      <c r="B14" s="102" t="s">
        <v>1172</v>
      </c>
      <c r="C14" s="121">
        <v>397.5</v>
      </c>
      <c r="D14" s="217">
        <v>88137.41</v>
      </c>
      <c r="E14" s="110">
        <v>104000</v>
      </c>
      <c r="F14" s="121">
        <f t="shared" si="4"/>
        <v>0.8474750961538462</v>
      </c>
      <c r="G14" s="123"/>
      <c r="H14" s="121">
        <f t="shared" si="5"/>
        <v>273.3025064182562</v>
      </c>
      <c r="I14" s="121">
        <f t="shared" si="6"/>
        <v>322.49030993194197</v>
      </c>
      <c r="J14" s="121">
        <f t="shared" si="7"/>
        <v>128189.89819794692</v>
      </c>
      <c r="K14" s="121"/>
    </row>
    <row r="15" spans="1:11" x14ac:dyDescent="0.25">
      <c r="B15" s="102" t="s">
        <v>1173</v>
      </c>
      <c r="C15" s="121">
        <v>105.53100000000001</v>
      </c>
      <c r="D15" s="217">
        <v>75148.5</v>
      </c>
      <c r="E15" s="110">
        <v>513163</v>
      </c>
      <c r="F15" s="121">
        <f t="shared" si="4"/>
        <v>0.1464417738613267</v>
      </c>
      <c r="G15" s="123"/>
      <c r="H15" s="121">
        <f t="shared" si="5"/>
        <v>104.90414502305381</v>
      </c>
      <c r="I15" s="121">
        <f t="shared" si="6"/>
        <v>716.35396278655423</v>
      </c>
      <c r="J15" s="121">
        <f t="shared" si="7"/>
        <v>75597.550046827862</v>
      </c>
      <c r="K15" s="121"/>
    </row>
    <row r="16" spans="1:11" x14ac:dyDescent="0.25">
      <c r="B16" s="102" t="s">
        <v>1174</v>
      </c>
      <c r="C16" s="121">
        <v>16.509</v>
      </c>
      <c r="D16" s="217">
        <v>135931.04999999999</v>
      </c>
      <c r="E16" s="110">
        <v>3894856</v>
      </c>
      <c r="F16" s="121">
        <f t="shared" si="4"/>
        <v>3.4900147784667775E-2</v>
      </c>
      <c r="G16" s="123"/>
      <c r="H16" s="121">
        <f t="shared" si="5"/>
        <v>68.876801127266816</v>
      </c>
      <c r="I16" s="121">
        <f t="shared" si="6"/>
        <v>1973.5389532512399</v>
      </c>
      <c r="J16" s="121">
        <f t="shared" si="7"/>
        <v>32581.15457922472</v>
      </c>
      <c r="K16" s="121"/>
    </row>
    <row r="17" spans="2:11" x14ac:dyDescent="0.25">
      <c r="B17" s="102" t="s">
        <v>1175</v>
      </c>
      <c r="C17" s="121">
        <v>26.251000000000001</v>
      </c>
      <c r="D17" s="217">
        <v>61666.46</v>
      </c>
      <c r="E17" s="110">
        <v>1221765</v>
      </c>
      <c r="F17" s="121">
        <f t="shared" si="4"/>
        <v>5.047325795058788E-2</v>
      </c>
      <c r="G17" s="123"/>
      <c r="H17" s="121">
        <f t="shared" si="5"/>
        <v>55.78984802344965</v>
      </c>
      <c r="I17" s="121">
        <f t="shared" si="6"/>
        <v>1105.3347909117851</v>
      </c>
      <c r="J17" s="121">
        <f t="shared" si="7"/>
        <v>29016.143596225273</v>
      </c>
      <c r="K17" s="121"/>
    </row>
    <row r="18" spans="2:11" x14ac:dyDescent="0.25">
      <c r="B18" s="102" t="s">
        <v>1176</v>
      </c>
      <c r="C18" s="121">
        <v>26.251000000000001</v>
      </c>
      <c r="D18" s="217">
        <v>2986.14</v>
      </c>
      <c r="E18" s="110">
        <v>104185</v>
      </c>
      <c r="F18" s="121">
        <f t="shared" si="4"/>
        <v>2.8661899505686997E-2</v>
      </c>
      <c r="G18" s="123"/>
      <c r="H18" s="121">
        <f t="shared" si="5"/>
        <v>9.2514023039705808</v>
      </c>
      <c r="I18" s="121">
        <f t="shared" si="6"/>
        <v>322.77701281225092</v>
      </c>
      <c r="J18" s="121">
        <f t="shared" si="7"/>
        <v>8473.2193633343995</v>
      </c>
      <c r="K18" s="121"/>
    </row>
    <row r="19" spans="2:11" x14ac:dyDescent="0.25">
      <c r="B19" s="102" t="s">
        <v>1177</v>
      </c>
      <c r="C19" s="121">
        <v>336.4</v>
      </c>
      <c r="D19" s="217">
        <v>1801865.12</v>
      </c>
      <c r="E19" s="110">
        <v>1477901</v>
      </c>
      <c r="F19" s="121">
        <f t="shared" si="4"/>
        <v>1.2192055624835494</v>
      </c>
      <c r="G19" s="123"/>
      <c r="H19" s="121">
        <f t="shared" si="5"/>
        <v>1482.1754205049713</v>
      </c>
      <c r="I19" s="121">
        <f t="shared" si="6"/>
        <v>1215.6895162828378</v>
      </c>
      <c r="J19" s="121">
        <f t="shared" si="7"/>
        <v>408957.95327754662</v>
      </c>
      <c r="K19" s="121"/>
    </row>
    <row r="20" spans="2:11" x14ac:dyDescent="0.25">
      <c r="B20" s="102" t="s">
        <v>1178</v>
      </c>
      <c r="C20" s="121">
        <v>556</v>
      </c>
      <c r="D20" s="217">
        <v>62771.47</v>
      </c>
      <c r="E20" s="110">
        <v>28710</v>
      </c>
      <c r="F20" s="121">
        <f t="shared" ref="F20" si="8">D20/E20</f>
        <v>2.1863974225008707</v>
      </c>
      <c r="G20" s="123"/>
      <c r="H20" s="121">
        <f t="shared" ref="H20" si="9">F20*E20^0.5</f>
        <v>370.46373670656448</v>
      </c>
      <c r="I20" s="121">
        <f t="shared" ref="I20" si="10">E20^0.5</f>
        <v>169.44025495731526</v>
      </c>
      <c r="J20" s="121">
        <f t="shared" ref="J20" si="11">C20*E20^0.5</f>
        <v>94208.781756267286</v>
      </c>
      <c r="K20" s="121"/>
    </row>
    <row r="21" spans="2:11" x14ac:dyDescent="0.25">
      <c r="B21" s="151" t="s">
        <v>856</v>
      </c>
      <c r="C21" s="179"/>
      <c r="D21" s="257">
        <f>SUM(D8:D20)</f>
        <v>12010109.360000005</v>
      </c>
      <c r="E21" s="135">
        <f>SUM(E8:E20)</f>
        <v>40188840</v>
      </c>
    </row>
    <row r="23" spans="2:11" x14ac:dyDescent="0.25">
      <c r="B23" s="254" t="s">
        <v>957</v>
      </c>
      <c r="H23" s="272" t="s">
        <v>958</v>
      </c>
      <c r="I23" s="272"/>
    </row>
    <row r="25" spans="2:11" x14ac:dyDescent="0.25">
      <c r="B25" s="102" t="s">
        <v>959</v>
      </c>
      <c r="D25" s="163">
        <f>H25</f>
        <v>3.3477692335039349E-3</v>
      </c>
      <c r="H25" s="163">
        <f t="array" ref="H25:I27">LINEST(H8:H20,I8:J20,FALSE,TRUE)</f>
        <v>3.3477692335039349E-3</v>
      </c>
      <c r="I25" s="163">
        <v>5.5809132448767215E-2</v>
      </c>
    </row>
    <row r="26" spans="2:11" x14ac:dyDescent="0.25">
      <c r="B26" s="102" t="s">
        <v>960</v>
      </c>
      <c r="D26" s="163">
        <f>I25</f>
        <v>5.5809132448767215E-2</v>
      </c>
      <c r="H26" s="163">
        <v>5.9906410869940761E-4</v>
      </c>
      <c r="I26" s="163">
        <v>6.0194299265421372E-2</v>
      </c>
    </row>
    <row r="27" spans="2:11" x14ac:dyDescent="0.25">
      <c r="B27" s="102" t="s">
        <v>961</v>
      </c>
      <c r="D27" s="166">
        <f>H27</f>
        <v>0.88271810549170393</v>
      </c>
      <c r="H27" s="163">
        <v>0.88271810549170393</v>
      </c>
      <c r="I27" s="163">
        <v>263.83400796763749</v>
      </c>
    </row>
    <row r="28" spans="2:11" x14ac:dyDescent="0.25">
      <c r="H28" s="163"/>
      <c r="I28" s="163"/>
    </row>
    <row r="29" spans="2:11" x14ac:dyDescent="0.25">
      <c r="B29" s="131" t="s">
        <v>962</v>
      </c>
      <c r="C29" s="138"/>
    </row>
    <row r="30" spans="2:11" x14ac:dyDescent="0.25">
      <c r="C30" s="138"/>
      <c r="H30" s="222"/>
      <c r="I30" s="222"/>
    </row>
    <row r="31" spans="2:11" x14ac:dyDescent="0.25">
      <c r="B31" s="102" t="s">
        <v>963</v>
      </c>
      <c r="C31" s="138"/>
      <c r="D31" s="123">
        <f>E21</f>
        <v>40188840</v>
      </c>
    </row>
    <row r="32" spans="2:11" x14ac:dyDescent="0.25">
      <c r="B32" s="102" t="s">
        <v>964</v>
      </c>
      <c r="C32" s="138"/>
      <c r="D32" s="217">
        <f>D26</f>
        <v>5.5809132448767215E-2</v>
      </c>
      <c r="E32" s="117"/>
      <c r="F32" s="103"/>
    </row>
    <row r="33" spans="1:29" x14ac:dyDescent="0.25">
      <c r="B33" s="102" t="s">
        <v>965</v>
      </c>
      <c r="C33" s="138"/>
      <c r="D33" s="258">
        <f>MIN(F8:F20)</f>
        <v>2.8661899505686997E-2</v>
      </c>
    </row>
    <row r="34" spans="1:29" x14ac:dyDescent="0.25">
      <c r="B34" s="102" t="s">
        <v>966</v>
      </c>
      <c r="C34" s="138"/>
      <c r="D34" s="259" t="s">
        <v>973</v>
      </c>
    </row>
    <row r="35" spans="1:29" x14ac:dyDescent="0.25">
      <c r="B35" s="102" t="s">
        <v>967</v>
      </c>
      <c r="C35" s="138"/>
      <c r="D35" s="119">
        <f>IF(D34="Z",D31*D32,D31*D33)</f>
        <v>2242904.2945223139</v>
      </c>
    </row>
    <row r="36" spans="1:29" x14ac:dyDescent="0.25">
      <c r="B36" s="102" t="s">
        <v>968</v>
      </c>
      <c r="C36" s="138"/>
      <c r="D36" s="119">
        <f>D21</f>
        <v>12010109.360000005</v>
      </c>
    </row>
    <row r="37" spans="1:29" x14ac:dyDescent="0.25">
      <c r="B37" s="102" t="s">
        <v>969</v>
      </c>
      <c r="C37" s="138"/>
      <c r="D37" s="260">
        <f>D35/D36</f>
        <v>0.18675136314681426</v>
      </c>
    </row>
    <row r="38" spans="1:29" x14ac:dyDescent="0.25">
      <c r="B38" s="102" t="s">
        <v>970</v>
      </c>
      <c r="C38" s="138"/>
      <c r="D38" s="261">
        <f>D37</f>
        <v>0.18675136314681426</v>
      </c>
    </row>
    <row r="39" spans="1:29" x14ac:dyDescent="0.25">
      <c r="B39" s="102" t="s">
        <v>971</v>
      </c>
      <c r="C39" s="138"/>
      <c r="D39" s="262">
        <f>1-D38</f>
        <v>0.81324863685318571</v>
      </c>
    </row>
    <row r="41" spans="1:29" x14ac:dyDescent="0.25">
      <c r="C41" s="103"/>
      <c r="F41" s="103"/>
    </row>
    <row r="42" spans="1:29" x14ac:dyDescent="0.25">
      <c r="A42" s="132" t="s">
        <v>974</v>
      </c>
      <c r="B42" s="251"/>
      <c r="O42" s="121"/>
    </row>
    <row r="43" spans="1:29" x14ac:dyDescent="0.25">
      <c r="F43" s="201" t="s">
        <v>947</v>
      </c>
      <c r="I43" s="201" t="s">
        <v>948</v>
      </c>
    </row>
    <row r="44" spans="1:29" x14ac:dyDescent="0.25">
      <c r="C44" s="252"/>
      <c r="D44" s="201"/>
      <c r="E44" s="253"/>
      <c r="F44" s="201" t="s">
        <v>949</v>
      </c>
      <c r="H44" s="201"/>
      <c r="I44" s="201"/>
      <c r="J44" s="201"/>
      <c r="K44" s="201"/>
    </row>
    <row r="45" spans="1:29" x14ac:dyDescent="0.25">
      <c r="B45" s="254" t="s">
        <v>6</v>
      </c>
      <c r="C45" s="255" t="s">
        <v>950</v>
      </c>
      <c r="D45" s="202" t="s">
        <v>951</v>
      </c>
      <c r="E45" s="256" t="s">
        <v>952</v>
      </c>
      <c r="F45" s="202" t="s">
        <v>953</v>
      </c>
      <c r="H45" s="203" t="s">
        <v>954</v>
      </c>
      <c r="I45" s="203" t="s">
        <v>955</v>
      </c>
      <c r="J45" s="203" t="s">
        <v>956</v>
      </c>
      <c r="K45" s="115"/>
    </row>
    <row r="46" spans="1:29" x14ac:dyDescent="0.25">
      <c r="B46" s="102" t="s">
        <v>1179</v>
      </c>
      <c r="C46" s="121">
        <v>66.369</v>
      </c>
      <c r="D46" s="217">
        <v>89731.82</v>
      </c>
      <c r="E46" s="110">
        <v>10190</v>
      </c>
      <c r="F46" s="121">
        <f t="shared" ref="F46" si="12">D46/E46</f>
        <v>8.8058704612365073</v>
      </c>
      <c r="G46" s="123"/>
      <c r="H46" s="121">
        <f t="shared" ref="H46" si="13">F46*E46^0.5</f>
        <v>888.91325964403927</v>
      </c>
      <c r="I46" s="121">
        <f t="shared" ref="I46" si="14">E46^0.5</f>
        <v>100.94552986635911</v>
      </c>
      <c r="J46" s="121">
        <f t="shared" ref="J46" si="15">C46*E46^0.5</f>
        <v>6699.6538717003878</v>
      </c>
      <c r="K46" s="121"/>
      <c r="AA46" s="121"/>
      <c r="AB46" s="217"/>
      <c r="AC46" s="110"/>
    </row>
    <row r="47" spans="1:29" x14ac:dyDescent="0.25">
      <c r="B47" s="102" t="s">
        <v>1180</v>
      </c>
      <c r="C47" s="121">
        <v>250</v>
      </c>
      <c r="D47" s="217">
        <v>66.89</v>
      </c>
      <c r="E47" s="110">
        <v>25</v>
      </c>
      <c r="F47" s="121">
        <f t="shared" ref="F47" si="16">D47/E47</f>
        <v>2.6756000000000002</v>
      </c>
      <c r="G47" s="123"/>
      <c r="H47" s="121">
        <f t="shared" ref="H47" si="17">F47*E47^0.5</f>
        <v>13.378</v>
      </c>
      <c r="I47" s="121">
        <f t="shared" ref="I47" si="18">E47^0.5</f>
        <v>5</v>
      </c>
      <c r="J47" s="121">
        <f t="shared" ref="J47" si="19">C47*E47^0.5</f>
        <v>1250</v>
      </c>
      <c r="K47" s="121"/>
      <c r="AA47" s="121"/>
      <c r="AB47" s="217"/>
      <c r="AC47" s="110"/>
    </row>
    <row r="48" spans="1:29" x14ac:dyDescent="0.25">
      <c r="B48" s="102" t="s">
        <v>1181</v>
      </c>
      <c r="C48" s="121">
        <v>796.428</v>
      </c>
      <c r="D48" s="217">
        <v>3203.62</v>
      </c>
      <c r="E48" s="110">
        <v>1927</v>
      </c>
      <c r="F48" s="121">
        <f t="shared" ref="F48:F50" si="20">D48/E48</f>
        <v>1.6624909185262065</v>
      </c>
      <c r="G48" s="123"/>
      <c r="H48" s="121">
        <f t="shared" ref="H48:H50" si="21">F48*E48^0.5</f>
        <v>72.979374869951613</v>
      </c>
      <c r="I48" s="121">
        <f t="shared" ref="I48:I50" si="22">E48^0.5</f>
        <v>43.89760813529594</v>
      </c>
      <c r="J48" s="121">
        <f t="shared" ref="J48:J50" si="23">C48*E48^0.5</f>
        <v>34961.284251977471</v>
      </c>
      <c r="K48" s="121"/>
      <c r="AA48" s="121"/>
      <c r="AB48" s="217"/>
      <c r="AC48" s="110"/>
    </row>
    <row r="49" spans="2:29" x14ac:dyDescent="0.25">
      <c r="B49" s="102" t="s">
        <v>1182</v>
      </c>
      <c r="C49" s="121">
        <f>105.531</f>
        <v>105.53100000000001</v>
      </c>
      <c r="D49" s="217">
        <v>72124.739999999991</v>
      </c>
      <c r="E49" s="110">
        <v>13817</v>
      </c>
      <c r="F49" s="121">
        <f t="shared" si="20"/>
        <v>5.22</v>
      </c>
      <c r="G49" s="121"/>
      <c r="H49" s="121">
        <f t="shared" si="21"/>
        <v>613.58874077023279</v>
      </c>
      <c r="I49" s="121">
        <f t="shared" si="22"/>
        <v>117.5457357797381</v>
      </c>
      <c r="J49" s="121">
        <f t="shared" si="23"/>
        <v>12404.719042571542</v>
      </c>
      <c r="K49" s="121"/>
      <c r="AA49" s="121"/>
      <c r="AB49" s="217"/>
      <c r="AC49" s="110"/>
    </row>
    <row r="50" spans="2:29" x14ac:dyDescent="0.25">
      <c r="B50" s="102" t="s">
        <v>1183</v>
      </c>
      <c r="C50" s="121">
        <v>500</v>
      </c>
      <c r="D50" s="217">
        <v>810259.9</v>
      </c>
      <c r="E50" s="110">
        <v>35710</v>
      </c>
      <c r="F50" s="121">
        <f t="shared" si="20"/>
        <v>22.69</v>
      </c>
      <c r="G50" s="121"/>
      <c r="H50" s="121">
        <f t="shared" si="21"/>
        <v>4287.7496581540299</v>
      </c>
      <c r="I50" s="121">
        <f t="shared" si="22"/>
        <v>188.9708972302349</v>
      </c>
      <c r="J50" s="121">
        <f t="shared" si="23"/>
        <v>94485.44861511745</v>
      </c>
      <c r="K50" s="121"/>
      <c r="AA50" s="121"/>
      <c r="AB50" s="217"/>
      <c r="AC50" s="110"/>
    </row>
    <row r="51" spans="2:29" x14ac:dyDescent="0.25">
      <c r="B51" s="102" t="s">
        <v>1040</v>
      </c>
      <c r="C51" s="121">
        <v>500</v>
      </c>
      <c r="D51" s="217">
        <v>322810.63</v>
      </c>
      <c r="E51" s="110">
        <v>14227</v>
      </c>
      <c r="F51" s="121">
        <f t="shared" ref="F51" si="24">D51/E51</f>
        <v>22.69</v>
      </c>
      <c r="G51" s="121"/>
      <c r="H51" s="121">
        <f t="shared" ref="H51" si="25">F51*E51^0.5</f>
        <v>2706.3948704318814</v>
      </c>
      <c r="I51" s="121">
        <f t="shared" ref="I51" si="26">E51^0.5</f>
        <v>119.27698856024158</v>
      </c>
      <c r="J51" s="121">
        <f t="shared" ref="J51" si="27">C51*E51^0.5</f>
        <v>59638.494280120787</v>
      </c>
      <c r="K51" s="121"/>
      <c r="AA51" s="121"/>
      <c r="AB51" s="217"/>
      <c r="AC51" s="110"/>
    </row>
    <row r="52" spans="2:29" x14ac:dyDescent="0.25">
      <c r="B52" s="151" t="s">
        <v>856</v>
      </c>
      <c r="C52" s="179"/>
      <c r="D52" s="257">
        <f>SUM(D46:D51)</f>
        <v>1298197.6000000001</v>
      </c>
      <c r="E52" s="135">
        <f>SUM(E46:E51)</f>
        <v>75896</v>
      </c>
      <c r="G52" s="121"/>
    </row>
    <row r="54" spans="2:29" x14ac:dyDescent="0.25">
      <c r="B54" s="254" t="s">
        <v>957</v>
      </c>
      <c r="H54" s="272" t="s">
        <v>958</v>
      </c>
      <c r="I54" s="272"/>
    </row>
    <row r="56" spans="2:29" x14ac:dyDescent="0.25">
      <c r="B56" s="102" t="s">
        <v>959</v>
      </c>
      <c r="D56" s="163">
        <f>H56</f>
        <v>2.9943909451567222E-2</v>
      </c>
      <c r="H56" s="163">
        <f t="array" ref="H56:I58">LINEST(H46:H51,I46:J51,FALSE,TRUE)</f>
        <v>2.9943909451567222E-2</v>
      </c>
      <c r="I56" s="163">
        <v>5.8038314355965737</v>
      </c>
    </row>
    <row r="57" spans="2:29" x14ac:dyDescent="0.25">
      <c r="B57" s="102" t="s">
        <v>960</v>
      </c>
      <c r="D57" s="163">
        <f>I56</f>
        <v>5.8038314355965737</v>
      </c>
      <c r="H57" s="163">
        <v>1.2384323994989892E-2</v>
      </c>
      <c r="I57" s="163">
        <v>5.3012404302065823</v>
      </c>
    </row>
    <row r="58" spans="2:29" x14ac:dyDescent="0.25">
      <c r="B58" s="102" t="s">
        <v>961</v>
      </c>
      <c r="D58" s="166">
        <f>H58</f>
        <v>0.92933483250590421</v>
      </c>
      <c r="E58" s="263"/>
      <c r="H58" s="163">
        <v>0.92933483250590421</v>
      </c>
      <c r="I58" s="163">
        <v>689.12771800728024</v>
      </c>
    </row>
    <row r="59" spans="2:29" x14ac:dyDescent="0.25">
      <c r="H59" s="163"/>
      <c r="I59" s="163"/>
    </row>
    <row r="60" spans="2:29" x14ac:dyDescent="0.25">
      <c r="B60" s="131" t="s">
        <v>962</v>
      </c>
      <c r="C60" s="138"/>
    </row>
    <row r="61" spans="2:29" x14ac:dyDescent="0.25">
      <c r="C61" s="138"/>
    </row>
    <row r="62" spans="2:29" x14ac:dyDescent="0.25">
      <c r="B62" s="102" t="s">
        <v>963</v>
      </c>
      <c r="C62" s="138"/>
      <c r="D62" s="123">
        <f>E52</f>
        <v>75896</v>
      </c>
      <c r="I62" s="222"/>
    </row>
    <row r="63" spans="2:29" x14ac:dyDescent="0.25">
      <c r="B63" s="102" t="s">
        <v>964</v>
      </c>
      <c r="C63" s="138"/>
      <c r="D63" s="217">
        <f>D57</f>
        <v>5.8038314355965737</v>
      </c>
      <c r="E63" s="117"/>
      <c r="F63" s="103"/>
    </row>
    <row r="64" spans="2:29" x14ac:dyDescent="0.25">
      <c r="B64" s="102" t="s">
        <v>965</v>
      </c>
      <c r="C64" s="138"/>
      <c r="D64" s="217">
        <f>MIN(F46:F51)</f>
        <v>1.6624909185262065</v>
      </c>
    </row>
    <row r="65" spans="1:13" x14ac:dyDescent="0.25">
      <c r="B65" s="102" t="s">
        <v>966</v>
      </c>
      <c r="C65" s="138"/>
      <c r="D65" s="259" t="s">
        <v>973</v>
      </c>
    </row>
    <row r="66" spans="1:13" x14ac:dyDescent="0.25">
      <c r="B66" s="102" t="s">
        <v>967</v>
      </c>
      <c r="C66" s="138"/>
      <c r="D66" s="119">
        <f>IF(D65="Z",D62*D63,D62*D64)</f>
        <v>440487.59063603758</v>
      </c>
    </row>
    <row r="67" spans="1:13" x14ac:dyDescent="0.25">
      <c r="B67" s="102" t="s">
        <v>968</v>
      </c>
      <c r="C67" s="138"/>
      <c r="D67" s="119">
        <f>D52</f>
        <v>1298197.6000000001</v>
      </c>
    </row>
    <row r="68" spans="1:13" x14ac:dyDescent="0.25">
      <c r="B68" s="102" t="s">
        <v>969</v>
      </c>
      <c r="C68" s="138"/>
      <c r="D68" s="260">
        <f>D66/D67</f>
        <v>0.33930704434828529</v>
      </c>
    </row>
    <row r="69" spans="1:13" x14ac:dyDescent="0.25">
      <c r="B69" s="102" t="s">
        <v>970</v>
      </c>
      <c r="C69" s="138"/>
      <c r="D69" s="261">
        <f>D68</f>
        <v>0.33930704434828529</v>
      </c>
    </row>
    <row r="70" spans="1:13" x14ac:dyDescent="0.25">
      <c r="B70" s="102" t="s">
        <v>971</v>
      </c>
      <c r="C70" s="138"/>
      <c r="D70" s="262">
        <f>1-D69</f>
        <v>0.66069295565171471</v>
      </c>
    </row>
    <row r="73" spans="1:13" x14ac:dyDescent="0.25">
      <c r="A73" s="132" t="s">
        <v>975</v>
      </c>
      <c r="B73" s="251"/>
    </row>
    <row r="74" spans="1:13" x14ac:dyDescent="0.25">
      <c r="F74" s="201" t="s">
        <v>947</v>
      </c>
      <c r="I74" s="201" t="s">
        <v>948</v>
      </c>
      <c r="L74" s="273" t="s">
        <v>1036</v>
      </c>
      <c r="M74" s="273"/>
    </row>
    <row r="75" spans="1:13" x14ac:dyDescent="0.25">
      <c r="D75" s="201"/>
      <c r="E75" s="253"/>
      <c r="F75" s="201" t="s">
        <v>949</v>
      </c>
      <c r="H75" s="201"/>
      <c r="I75" s="201"/>
      <c r="J75" s="201"/>
      <c r="K75" s="201"/>
    </row>
    <row r="76" spans="1:13" x14ac:dyDescent="0.25">
      <c r="B76" s="254" t="s">
        <v>6</v>
      </c>
      <c r="C76" s="255" t="s">
        <v>950</v>
      </c>
      <c r="D76" s="202" t="s">
        <v>951</v>
      </c>
      <c r="E76" s="256" t="s">
        <v>952</v>
      </c>
      <c r="F76" s="202" t="s">
        <v>953</v>
      </c>
      <c r="H76" s="203" t="s">
        <v>954</v>
      </c>
      <c r="I76" s="203" t="s">
        <v>955</v>
      </c>
      <c r="J76" s="203" t="s">
        <v>956</v>
      </c>
      <c r="K76" s="115"/>
      <c r="L76" s="256" t="s">
        <v>976</v>
      </c>
      <c r="M76" s="264" t="s">
        <v>977</v>
      </c>
    </row>
    <row r="77" spans="1:13" x14ac:dyDescent="0.25">
      <c r="B77" s="102" t="s">
        <v>1041</v>
      </c>
      <c r="C77" s="121">
        <v>1.5</v>
      </c>
      <c r="D77" s="217">
        <v>2127.79</v>
      </c>
      <c r="E77" s="110">
        <v>40</v>
      </c>
      <c r="F77" s="121">
        <f t="shared" ref="F77:F118" si="28">D77/E77</f>
        <v>53.194749999999999</v>
      </c>
      <c r="G77" s="123"/>
      <c r="H77" s="121">
        <f t="shared" ref="H77:H104" si="29">F77*E77^0.5</f>
        <v>336.43313912648381</v>
      </c>
      <c r="I77" s="121">
        <f t="shared" ref="I77:I104" si="30">E77^0.5</f>
        <v>6.324555320336759</v>
      </c>
      <c r="J77" s="121">
        <f t="shared" ref="J77:J104" si="31">C77*E77^0.5</f>
        <v>9.4868329805051381</v>
      </c>
      <c r="K77" s="121"/>
      <c r="L77" s="103">
        <f t="shared" ref="L77" si="32">IF(C77&gt;50,0,1)</f>
        <v>1</v>
      </c>
      <c r="M77" s="123">
        <f t="shared" ref="M77:M104" si="33">L77*E77</f>
        <v>40</v>
      </c>
    </row>
    <row r="78" spans="1:13" x14ac:dyDescent="0.25">
      <c r="B78" s="102" t="s">
        <v>1042</v>
      </c>
      <c r="C78" s="121">
        <v>1.5</v>
      </c>
      <c r="D78" s="217">
        <v>9376.3799999999992</v>
      </c>
      <c r="E78" s="110">
        <v>59</v>
      </c>
      <c r="F78" s="121">
        <f t="shared" ref="F78:F97" si="34">D78/E78</f>
        <v>158.92169491525422</v>
      </c>
      <c r="G78" s="123"/>
      <c r="H78" s="121">
        <f t="shared" ref="H78:H97" si="35">F78*E78^0.5</f>
        <v>1220.7007011423771</v>
      </c>
      <c r="I78" s="121">
        <f t="shared" ref="I78:I97" si="36">E78^0.5</f>
        <v>7.6811457478686078</v>
      </c>
      <c r="J78" s="121">
        <f t="shared" ref="J78:J97" si="37">C78*E78^0.5</f>
        <v>11.521718621802911</v>
      </c>
      <c r="K78" s="121"/>
      <c r="L78" s="103">
        <f t="shared" ref="L78:L118" si="38">IF(C78&gt;50,0,1)</f>
        <v>1</v>
      </c>
      <c r="M78" s="123">
        <f t="shared" ref="M78:M97" si="39">L78*E78</f>
        <v>59</v>
      </c>
    </row>
    <row r="79" spans="1:13" x14ac:dyDescent="0.25">
      <c r="B79" s="102" t="s">
        <v>1043</v>
      </c>
      <c r="C79" s="121">
        <v>10</v>
      </c>
      <c r="D79" s="217">
        <v>128588.7</v>
      </c>
      <c r="E79" s="110">
        <v>312</v>
      </c>
      <c r="F79" s="121">
        <f t="shared" si="34"/>
        <v>412.14326923076925</v>
      </c>
      <c r="G79" s="123"/>
      <c r="H79" s="121">
        <f t="shared" si="35"/>
        <v>7279.90159302546</v>
      </c>
      <c r="I79" s="121">
        <f t="shared" si="36"/>
        <v>17.663521732655695</v>
      </c>
      <c r="J79" s="121">
        <f t="shared" si="37"/>
        <v>176.63521732655695</v>
      </c>
      <c r="K79" s="121"/>
      <c r="L79" s="103">
        <f t="shared" si="38"/>
        <v>1</v>
      </c>
      <c r="M79" s="123">
        <f t="shared" si="39"/>
        <v>312</v>
      </c>
    </row>
    <row r="80" spans="1:13" x14ac:dyDescent="0.25">
      <c r="B80" s="102" t="s">
        <v>1044</v>
      </c>
      <c r="C80" s="121">
        <v>10</v>
      </c>
      <c r="D80" s="217">
        <v>2860299.24</v>
      </c>
      <c r="E80" s="110">
        <v>6873</v>
      </c>
      <c r="F80" s="121">
        <f t="shared" si="34"/>
        <v>416.16459188127459</v>
      </c>
      <c r="G80" s="123"/>
      <c r="H80" s="121">
        <f t="shared" si="35"/>
        <v>34501.525558631751</v>
      </c>
      <c r="I80" s="121">
        <f t="shared" si="36"/>
        <v>82.903558427850371</v>
      </c>
      <c r="J80" s="121">
        <f t="shared" si="37"/>
        <v>829.03558427850373</v>
      </c>
      <c r="K80" s="121"/>
      <c r="L80" s="103">
        <f t="shared" si="38"/>
        <v>1</v>
      </c>
      <c r="M80" s="123">
        <f t="shared" si="39"/>
        <v>6873</v>
      </c>
    </row>
    <row r="81" spans="2:13" x14ac:dyDescent="0.25">
      <c r="B81" s="102" t="s">
        <v>1045</v>
      </c>
      <c r="C81" s="121">
        <v>10</v>
      </c>
      <c r="D81" s="217">
        <v>8327.43</v>
      </c>
      <c r="E81" s="110">
        <v>4</v>
      </c>
      <c r="F81" s="121">
        <f t="shared" si="34"/>
        <v>2081.8575000000001</v>
      </c>
      <c r="G81" s="123"/>
      <c r="H81" s="121">
        <f t="shared" si="35"/>
        <v>4163.7150000000001</v>
      </c>
      <c r="I81" s="121">
        <f t="shared" si="36"/>
        <v>2</v>
      </c>
      <c r="J81" s="121">
        <f t="shared" si="37"/>
        <v>20</v>
      </c>
      <c r="K81" s="121"/>
      <c r="L81" s="103">
        <f t="shared" si="38"/>
        <v>1</v>
      </c>
      <c r="M81" s="123">
        <f t="shared" si="39"/>
        <v>4</v>
      </c>
    </row>
    <row r="82" spans="2:13" x14ac:dyDescent="0.25">
      <c r="B82" s="102" t="s">
        <v>1046</v>
      </c>
      <c r="C82" s="121">
        <v>100</v>
      </c>
      <c r="D82" s="217">
        <v>84377.53</v>
      </c>
      <c r="E82" s="110">
        <v>29</v>
      </c>
      <c r="F82" s="121">
        <f t="shared" ref="F82:F94" si="40">D82/E82</f>
        <v>2909.57</v>
      </c>
      <c r="G82" s="123"/>
      <c r="H82" s="121">
        <f t="shared" ref="H82:H94" si="41">F82*E82^0.5</f>
        <v>15668.51396789434</v>
      </c>
      <c r="I82" s="121">
        <f t="shared" ref="I82:I94" si="42">E82^0.5</f>
        <v>5.3851648071345037</v>
      </c>
      <c r="J82" s="121">
        <f t="shared" ref="J82:J94" si="43">C82*E82^0.5</f>
        <v>538.51648071345039</v>
      </c>
      <c r="K82" s="121"/>
      <c r="L82" s="103">
        <f t="shared" ref="L82:L94" si="44">IF(C82&gt;50,0,1)</f>
        <v>0</v>
      </c>
      <c r="M82" s="123">
        <f t="shared" ref="M82:M94" si="45">L82*E82</f>
        <v>0</v>
      </c>
    </row>
    <row r="83" spans="2:13" x14ac:dyDescent="0.25">
      <c r="B83" s="102" t="s">
        <v>1047</v>
      </c>
      <c r="C83" s="121">
        <v>100</v>
      </c>
      <c r="D83" s="217">
        <v>259527.67999999999</v>
      </c>
      <c r="E83" s="110">
        <v>153</v>
      </c>
      <c r="F83" s="121">
        <f t="shared" si="40"/>
        <v>1696.2593464052288</v>
      </c>
      <c r="G83" s="123"/>
      <c r="H83" s="121">
        <f t="shared" si="41"/>
        <v>20981.569361009802</v>
      </c>
      <c r="I83" s="121">
        <f t="shared" si="42"/>
        <v>12.369316876852981</v>
      </c>
      <c r="J83" s="121">
        <f t="shared" si="43"/>
        <v>1236.9316876852981</v>
      </c>
      <c r="K83" s="121"/>
      <c r="L83" s="103">
        <f t="shared" si="44"/>
        <v>0</v>
      </c>
      <c r="M83" s="123">
        <f t="shared" si="45"/>
        <v>0</v>
      </c>
    </row>
    <row r="84" spans="2:13" x14ac:dyDescent="0.25">
      <c r="B84" s="102" t="s">
        <v>1048</v>
      </c>
      <c r="C84" s="121">
        <v>112.5</v>
      </c>
      <c r="D84" s="217">
        <v>32479</v>
      </c>
      <c r="E84" s="110">
        <v>6</v>
      </c>
      <c r="F84" s="121">
        <f t="shared" si="40"/>
        <v>5413.166666666667</v>
      </c>
      <c r="G84" s="123"/>
      <c r="H84" s="121">
        <f t="shared" si="41"/>
        <v>13259.496225975807</v>
      </c>
      <c r="I84" s="121">
        <f t="shared" si="42"/>
        <v>2.4494897427831779</v>
      </c>
      <c r="J84" s="121">
        <f t="shared" si="43"/>
        <v>275.56759606310749</v>
      </c>
      <c r="K84" s="121"/>
      <c r="L84" s="103">
        <f t="shared" si="44"/>
        <v>0</v>
      </c>
      <c r="M84" s="123">
        <f t="shared" si="45"/>
        <v>0</v>
      </c>
    </row>
    <row r="85" spans="2:13" x14ac:dyDescent="0.25">
      <c r="B85" s="102" t="s">
        <v>1049</v>
      </c>
      <c r="C85" s="121">
        <v>15</v>
      </c>
      <c r="D85" s="217">
        <v>166373.47</v>
      </c>
      <c r="E85" s="110">
        <v>297</v>
      </c>
      <c r="F85" s="121">
        <f t="shared" si="40"/>
        <v>560.18003367003371</v>
      </c>
      <c r="G85" s="123"/>
      <c r="H85" s="121">
        <f t="shared" si="41"/>
        <v>9653.9678902718733</v>
      </c>
      <c r="I85" s="121">
        <f t="shared" si="42"/>
        <v>17.233687939614086</v>
      </c>
      <c r="J85" s="121">
        <f t="shared" si="43"/>
        <v>258.5053190942113</v>
      </c>
      <c r="K85" s="121"/>
      <c r="L85" s="103">
        <f t="shared" si="44"/>
        <v>1</v>
      </c>
      <c r="M85" s="123">
        <f t="shared" si="45"/>
        <v>297</v>
      </c>
    </row>
    <row r="86" spans="2:13" x14ac:dyDescent="0.25">
      <c r="B86" s="102" t="s">
        <v>1050</v>
      </c>
      <c r="C86" s="121">
        <v>15</v>
      </c>
      <c r="D86" s="217">
        <v>5009008.3899999997</v>
      </c>
      <c r="E86" s="110">
        <v>9188</v>
      </c>
      <c r="F86" s="121">
        <f t="shared" si="40"/>
        <v>545.16852307357419</v>
      </c>
      <c r="G86" s="123"/>
      <c r="H86" s="121">
        <f t="shared" si="41"/>
        <v>52256.613993249142</v>
      </c>
      <c r="I86" s="121">
        <f t="shared" si="42"/>
        <v>95.854055730574075</v>
      </c>
      <c r="J86" s="121">
        <f t="shared" si="43"/>
        <v>1437.8108359586111</v>
      </c>
      <c r="K86" s="121"/>
      <c r="L86" s="103">
        <f t="shared" si="44"/>
        <v>1</v>
      </c>
      <c r="M86" s="123">
        <f t="shared" si="45"/>
        <v>9188</v>
      </c>
    </row>
    <row r="87" spans="2:13" x14ac:dyDescent="0.25">
      <c r="B87" s="102" t="s">
        <v>1051</v>
      </c>
      <c r="C87" s="121">
        <v>15</v>
      </c>
      <c r="D87" s="217">
        <v>184810.5</v>
      </c>
      <c r="E87" s="110">
        <v>100</v>
      </c>
      <c r="F87" s="121">
        <f t="shared" si="40"/>
        <v>1848.105</v>
      </c>
      <c r="G87" s="123"/>
      <c r="H87" s="121">
        <f t="shared" si="41"/>
        <v>18481.05</v>
      </c>
      <c r="I87" s="121">
        <f t="shared" si="42"/>
        <v>10</v>
      </c>
      <c r="J87" s="121">
        <f t="shared" si="43"/>
        <v>150</v>
      </c>
      <c r="K87" s="121"/>
      <c r="L87" s="103">
        <f t="shared" si="44"/>
        <v>1</v>
      </c>
      <c r="M87" s="123">
        <f t="shared" si="45"/>
        <v>100</v>
      </c>
    </row>
    <row r="88" spans="2:13" x14ac:dyDescent="0.25">
      <c r="B88" s="102" t="s">
        <v>1052</v>
      </c>
      <c r="C88" s="121">
        <v>150</v>
      </c>
      <c r="D88" s="217">
        <v>97316</v>
      </c>
      <c r="E88" s="110">
        <v>18</v>
      </c>
      <c r="F88" s="121">
        <f t="shared" si="40"/>
        <v>5406.4444444444443</v>
      </c>
      <c r="G88" s="123"/>
      <c r="H88" s="121">
        <f t="shared" si="41"/>
        <v>22937.601172650018</v>
      </c>
      <c r="I88" s="121">
        <f t="shared" si="42"/>
        <v>4.2426406871192848</v>
      </c>
      <c r="J88" s="121">
        <f t="shared" si="43"/>
        <v>636.39610306789268</v>
      </c>
      <c r="K88" s="121"/>
      <c r="L88" s="103">
        <f t="shared" si="44"/>
        <v>0</v>
      </c>
      <c r="M88" s="123">
        <f t="shared" si="45"/>
        <v>0</v>
      </c>
    </row>
    <row r="89" spans="2:13" x14ac:dyDescent="0.25">
      <c r="B89" s="102" t="s">
        <v>1053</v>
      </c>
      <c r="C89" s="121">
        <v>1500</v>
      </c>
      <c r="D89" s="217">
        <v>163611.5</v>
      </c>
      <c r="E89" s="110">
        <v>12</v>
      </c>
      <c r="F89" s="121">
        <f t="shared" si="40"/>
        <v>13634.291666666666</v>
      </c>
      <c r="G89" s="123"/>
      <c r="H89" s="121">
        <f t="shared" si="41"/>
        <v>47230.571783759224</v>
      </c>
      <c r="I89" s="121">
        <f t="shared" si="42"/>
        <v>3.4641016151377544</v>
      </c>
      <c r="J89" s="121">
        <f t="shared" si="43"/>
        <v>5196.152422706632</v>
      </c>
      <c r="K89" s="121"/>
      <c r="L89" s="103">
        <f t="shared" si="44"/>
        <v>0</v>
      </c>
      <c r="M89" s="123">
        <f t="shared" si="45"/>
        <v>0</v>
      </c>
    </row>
    <row r="90" spans="2:13" x14ac:dyDescent="0.25">
      <c r="B90" s="102" t="s">
        <v>1054</v>
      </c>
      <c r="C90" s="121">
        <v>167</v>
      </c>
      <c r="D90" s="217">
        <v>106697</v>
      </c>
      <c r="E90" s="110">
        <v>46</v>
      </c>
      <c r="F90" s="121">
        <f t="shared" si="40"/>
        <v>2319.5</v>
      </c>
      <c r="G90" s="123"/>
      <c r="H90" s="121">
        <f t="shared" si="41"/>
        <v>15731.61439585906</v>
      </c>
      <c r="I90" s="121">
        <f t="shared" si="42"/>
        <v>6.7823299831252681</v>
      </c>
      <c r="J90" s="121">
        <f t="shared" si="43"/>
        <v>1132.6491071819198</v>
      </c>
      <c r="K90" s="121"/>
      <c r="L90" s="103">
        <f t="shared" si="44"/>
        <v>0</v>
      </c>
      <c r="M90" s="123">
        <f t="shared" si="45"/>
        <v>0</v>
      </c>
    </row>
    <row r="91" spans="2:13" x14ac:dyDescent="0.25">
      <c r="B91" s="102" t="s">
        <v>1055</v>
      </c>
      <c r="C91" s="121">
        <v>25</v>
      </c>
      <c r="D91" s="217">
        <v>965661</v>
      </c>
      <c r="E91" s="110">
        <v>714</v>
      </c>
      <c r="F91" s="121">
        <f t="shared" si="40"/>
        <v>1352.4663865546217</v>
      </c>
      <c r="G91" s="123"/>
      <c r="H91" s="121">
        <f t="shared" si="41"/>
        <v>36138.954651549102</v>
      </c>
      <c r="I91" s="121">
        <f t="shared" si="42"/>
        <v>26.720778431774775</v>
      </c>
      <c r="J91" s="121">
        <f t="shared" si="43"/>
        <v>668.01946079436937</v>
      </c>
      <c r="K91" s="121"/>
      <c r="L91" s="103">
        <f t="shared" si="44"/>
        <v>1</v>
      </c>
      <c r="M91" s="123">
        <f t="shared" si="45"/>
        <v>714</v>
      </c>
    </row>
    <row r="92" spans="2:13" x14ac:dyDescent="0.25">
      <c r="B92" s="102" t="s">
        <v>1056</v>
      </c>
      <c r="C92" s="121">
        <v>25</v>
      </c>
      <c r="D92" s="217">
        <v>123444.61</v>
      </c>
      <c r="E92" s="110">
        <v>206</v>
      </c>
      <c r="F92" s="121">
        <f t="shared" si="40"/>
        <v>599.24567961165053</v>
      </c>
      <c r="G92" s="123"/>
      <c r="H92" s="121">
        <f t="shared" si="41"/>
        <v>8600.7935223353179</v>
      </c>
      <c r="I92" s="121">
        <f t="shared" si="42"/>
        <v>14.352700094407323</v>
      </c>
      <c r="J92" s="121">
        <f t="shared" si="43"/>
        <v>358.81750236018308</v>
      </c>
      <c r="K92" s="121"/>
      <c r="L92" s="103">
        <f t="shared" si="44"/>
        <v>1</v>
      </c>
      <c r="M92" s="123">
        <f t="shared" si="45"/>
        <v>206</v>
      </c>
    </row>
    <row r="93" spans="2:13" x14ac:dyDescent="0.25">
      <c r="B93" s="102" t="s">
        <v>1057</v>
      </c>
      <c r="C93" s="121">
        <v>25</v>
      </c>
      <c r="D93" s="217">
        <v>2361076.92</v>
      </c>
      <c r="E93" s="110">
        <v>3237</v>
      </c>
      <c r="F93" s="121">
        <f t="shared" si="40"/>
        <v>729.40281742354034</v>
      </c>
      <c r="G93" s="123"/>
      <c r="H93" s="121">
        <f t="shared" si="41"/>
        <v>41499.110323014094</v>
      </c>
      <c r="I93" s="121">
        <f t="shared" si="42"/>
        <v>56.894639466297704</v>
      </c>
      <c r="J93" s="121">
        <f t="shared" si="43"/>
        <v>1422.3659866574426</v>
      </c>
      <c r="K93" s="121"/>
      <c r="L93" s="103">
        <f t="shared" si="44"/>
        <v>1</v>
      </c>
      <c r="M93" s="123">
        <f t="shared" si="45"/>
        <v>3237</v>
      </c>
    </row>
    <row r="94" spans="2:13" x14ac:dyDescent="0.25">
      <c r="B94" s="102" t="s">
        <v>1058</v>
      </c>
      <c r="C94" s="121">
        <v>3</v>
      </c>
      <c r="D94" s="217">
        <v>2198.0100000000002</v>
      </c>
      <c r="E94" s="110">
        <v>32</v>
      </c>
      <c r="F94" s="121">
        <f t="shared" si="40"/>
        <v>68.687812500000007</v>
      </c>
      <c r="G94" s="123"/>
      <c r="H94" s="121">
        <f t="shared" si="41"/>
        <v>388.55694402896091</v>
      </c>
      <c r="I94" s="121">
        <f t="shared" si="42"/>
        <v>5.6568542494923806</v>
      </c>
      <c r="J94" s="121">
        <f t="shared" si="43"/>
        <v>16.970562748477143</v>
      </c>
      <c r="K94" s="121"/>
      <c r="L94" s="103">
        <f t="shared" si="44"/>
        <v>1</v>
      </c>
      <c r="M94" s="123">
        <f t="shared" si="45"/>
        <v>32</v>
      </c>
    </row>
    <row r="95" spans="2:13" x14ac:dyDescent="0.25">
      <c r="B95" s="102" t="s">
        <v>1059</v>
      </c>
      <c r="C95" s="121">
        <v>3</v>
      </c>
      <c r="D95" s="217">
        <v>29357.74</v>
      </c>
      <c r="E95" s="110">
        <v>271</v>
      </c>
      <c r="F95" s="121">
        <f t="shared" si="34"/>
        <v>108.33114391143911</v>
      </c>
      <c r="G95" s="123"/>
      <c r="H95" s="121">
        <f t="shared" si="35"/>
        <v>1783.3557011585247</v>
      </c>
      <c r="I95" s="121">
        <f t="shared" si="36"/>
        <v>16.46207763315433</v>
      </c>
      <c r="J95" s="121">
        <f t="shared" si="37"/>
        <v>49.386232899462989</v>
      </c>
      <c r="K95" s="121"/>
      <c r="L95" s="103">
        <f t="shared" si="38"/>
        <v>1</v>
      </c>
      <c r="M95" s="123">
        <f t="shared" si="39"/>
        <v>271</v>
      </c>
    </row>
    <row r="96" spans="2:13" x14ac:dyDescent="0.25">
      <c r="B96" s="102" t="s">
        <v>1060</v>
      </c>
      <c r="C96" s="121">
        <v>300</v>
      </c>
      <c r="D96" s="217">
        <v>129324.48</v>
      </c>
      <c r="E96" s="110">
        <v>24</v>
      </c>
      <c r="F96" s="121">
        <f t="shared" si="34"/>
        <v>5388.5199999999995</v>
      </c>
      <c r="G96" s="123"/>
      <c r="H96" s="121">
        <f t="shared" si="35"/>
        <v>26398.248937564018</v>
      </c>
      <c r="I96" s="121">
        <f t="shared" si="36"/>
        <v>4.8989794855663558</v>
      </c>
      <c r="J96" s="121">
        <f t="shared" si="37"/>
        <v>1469.6938456699068</v>
      </c>
      <c r="K96" s="121"/>
      <c r="L96" s="103">
        <f t="shared" si="38"/>
        <v>0</v>
      </c>
      <c r="M96" s="123">
        <f t="shared" si="39"/>
        <v>0</v>
      </c>
    </row>
    <row r="97" spans="2:13" x14ac:dyDescent="0.25">
      <c r="B97" s="102" t="s">
        <v>1061</v>
      </c>
      <c r="C97" s="121">
        <v>333</v>
      </c>
      <c r="D97" s="217">
        <v>30076.21</v>
      </c>
      <c r="E97" s="110">
        <v>10</v>
      </c>
      <c r="F97" s="121">
        <f t="shared" si="34"/>
        <v>3007.6210000000001</v>
      </c>
      <c r="G97" s="123"/>
      <c r="H97" s="121">
        <f t="shared" si="35"/>
        <v>9510.9326985532825</v>
      </c>
      <c r="I97" s="121">
        <f t="shared" si="36"/>
        <v>3.1622776601683795</v>
      </c>
      <c r="J97" s="121">
        <f t="shared" si="37"/>
        <v>1053.0384608360703</v>
      </c>
      <c r="K97" s="121"/>
      <c r="L97" s="103">
        <f t="shared" si="38"/>
        <v>0</v>
      </c>
      <c r="M97" s="123">
        <f t="shared" si="39"/>
        <v>0</v>
      </c>
    </row>
    <row r="98" spans="2:13" x14ac:dyDescent="0.25">
      <c r="B98" s="102" t="s">
        <v>1062</v>
      </c>
      <c r="C98" s="121">
        <v>37.5</v>
      </c>
      <c r="D98" s="217">
        <v>104845.85</v>
      </c>
      <c r="E98" s="110">
        <v>120</v>
      </c>
      <c r="F98" s="121">
        <f t="shared" si="28"/>
        <v>873.71541666666667</v>
      </c>
      <c r="G98" s="123"/>
      <c r="H98" s="121">
        <f t="shared" si="29"/>
        <v>9571.0728509671699</v>
      </c>
      <c r="I98" s="121">
        <f t="shared" si="30"/>
        <v>10.954451150103322</v>
      </c>
      <c r="J98" s="121">
        <f t="shared" si="31"/>
        <v>410.79191812887461</v>
      </c>
      <c r="K98" s="121"/>
      <c r="L98" s="103">
        <f t="shared" si="38"/>
        <v>1</v>
      </c>
      <c r="M98" s="123">
        <f t="shared" si="33"/>
        <v>120</v>
      </c>
    </row>
    <row r="99" spans="2:13" x14ac:dyDescent="0.25">
      <c r="B99" s="102" t="s">
        <v>1063</v>
      </c>
      <c r="C99" s="121">
        <v>37.5</v>
      </c>
      <c r="D99" s="217">
        <v>502319.41</v>
      </c>
      <c r="E99" s="110">
        <v>475</v>
      </c>
      <c r="F99" s="121">
        <f t="shared" ref="F99" si="46">D99/E99</f>
        <v>1057.5145473684211</v>
      </c>
      <c r="G99" s="123"/>
      <c r="H99" s="121">
        <f t="shared" ref="H99" si="47">F99*E99^0.5</f>
        <v>23047.995216515523</v>
      </c>
      <c r="I99" s="121">
        <f t="shared" ref="I99" si="48">E99^0.5</f>
        <v>21.794494717703369</v>
      </c>
      <c r="J99" s="121">
        <f t="shared" ref="J99" si="49">C99*E99^0.5</f>
        <v>817.29355191387629</v>
      </c>
      <c r="K99" s="121"/>
      <c r="L99" s="103">
        <f t="shared" ref="L99" si="50">IF(C99&gt;50,0,1)</f>
        <v>1</v>
      </c>
      <c r="M99" s="123">
        <f t="shared" ref="M99" si="51">L99*E99</f>
        <v>475</v>
      </c>
    </row>
    <row r="100" spans="2:13" x14ac:dyDescent="0.25">
      <c r="B100" s="102" t="s">
        <v>1080</v>
      </c>
      <c r="C100" s="121">
        <v>37.5</v>
      </c>
      <c r="D100" s="217">
        <v>246273.16</v>
      </c>
      <c r="E100" s="110">
        <v>160</v>
      </c>
      <c r="F100" s="121">
        <f t="shared" si="28"/>
        <v>1539.2072499999999</v>
      </c>
      <c r="G100" s="123"/>
      <c r="H100" s="121">
        <f t="shared" si="29"/>
        <v>19469.602804176822</v>
      </c>
      <c r="I100" s="121">
        <f t="shared" si="30"/>
        <v>12.649110640673518</v>
      </c>
      <c r="J100" s="121">
        <f t="shared" si="31"/>
        <v>474.34164902525691</v>
      </c>
      <c r="K100" s="121"/>
      <c r="L100" s="103">
        <f t="shared" si="38"/>
        <v>1</v>
      </c>
      <c r="M100" s="123">
        <f t="shared" si="33"/>
        <v>160</v>
      </c>
    </row>
    <row r="101" spans="2:13" x14ac:dyDescent="0.25">
      <c r="B101" s="102" t="s">
        <v>1064</v>
      </c>
      <c r="C101" s="121">
        <v>5</v>
      </c>
      <c r="D101" s="217">
        <v>23276.62</v>
      </c>
      <c r="E101" s="110">
        <v>120</v>
      </c>
      <c r="F101" s="121">
        <f t="shared" si="28"/>
        <v>193.97183333333334</v>
      </c>
      <c r="G101" s="123"/>
      <c r="H101" s="121">
        <f t="shared" si="29"/>
        <v>2124.8549727459831</v>
      </c>
      <c r="I101" s="121">
        <f t="shared" si="30"/>
        <v>10.954451150103322</v>
      </c>
      <c r="J101" s="121">
        <f t="shared" si="31"/>
        <v>54.772255750516614</v>
      </c>
      <c r="K101" s="121"/>
      <c r="L101" s="103">
        <f t="shared" si="38"/>
        <v>1</v>
      </c>
      <c r="M101" s="123">
        <f t="shared" si="33"/>
        <v>120</v>
      </c>
    </row>
    <row r="102" spans="2:13" x14ac:dyDescent="0.25">
      <c r="B102" s="102" t="s">
        <v>1065</v>
      </c>
      <c r="C102" s="121">
        <v>5</v>
      </c>
      <c r="D102" s="217">
        <v>37021.800000000003</v>
      </c>
      <c r="E102" s="110">
        <v>193</v>
      </c>
      <c r="F102" s="121">
        <f t="shared" si="28"/>
        <v>191.82279792746115</v>
      </c>
      <c r="G102" s="123"/>
      <c r="H102" s="121">
        <f t="shared" si="29"/>
        <v>2664.8874761068018</v>
      </c>
      <c r="I102" s="121">
        <f t="shared" si="30"/>
        <v>13.892443989449804</v>
      </c>
      <c r="J102" s="121">
        <f t="shared" si="31"/>
        <v>69.462219947249025</v>
      </c>
      <c r="K102" s="121"/>
      <c r="L102" s="103">
        <f t="shared" si="38"/>
        <v>1</v>
      </c>
      <c r="M102" s="123">
        <f t="shared" si="33"/>
        <v>193</v>
      </c>
    </row>
    <row r="103" spans="2:13" x14ac:dyDescent="0.25">
      <c r="B103" s="102" t="s">
        <v>1066</v>
      </c>
      <c r="C103" s="121">
        <v>50</v>
      </c>
      <c r="D103" s="217">
        <v>112301.58</v>
      </c>
      <c r="E103" s="110">
        <v>123</v>
      </c>
      <c r="F103" s="121">
        <f t="shared" si="28"/>
        <v>913.02097560975608</v>
      </c>
      <c r="G103" s="123"/>
      <c r="H103" s="121">
        <f t="shared" si="29"/>
        <v>10125.892461117543</v>
      </c>
      <c r="I103" s="121">
        <f t="shared" si="30"/>
        <v>11.090536506409418</v>
      </c>
      <c r="J103" s="121">
        <f t="shared" si="31"/>
        <v>554.52682532047083</v>
      </c>
      <c r="K103" s="121"/>
      <c r="L103" s="103">
        <f t="shared" si="38"/>
        <v>1</v>
      </c>
      <c r="M103" s="123">
        <f t="shared" si="33"/>
        <v>123</v>
      </c>
    </row>
    <row r="104" spans="2:13" x14ac:dyDescent="0.25">
      <c r="B104" s="102" t="s">
        <v>1067</v>
      </c>
      <c r="C104" s="121">
        <v>50</v>
      </c>
      <c r="D104" s="217">
        <v>212895.76</v>
      </c>
      <c r="E104" s="110">
        <v>208</v>
      </c>
      <c r="F104" s="121">
        <f t="shared" si="28"/>
        <v>1023.5373076923078</v>
      </c>
      <c r="G104" s="123"/>
      <c r="H104" s="121">
        <f t="shared" si="29"/>
        <v>14761.664980939911</v>
      </c>
      <c r="I104" s="121">
        <f t="shared" si="30"/>
        <v>14.422205101855956</v>
      </c>
      <c r="J104" s="121">
        <f t="shared" si="31"/>
        <v>721.11025509279784</v>
      </c>
      <c r="K104" s="121"/>
      <c r="L104" s="103">
        <f t="shared" si="38"/>
        <v>1</v>
      </c>
      <c r="M104" s="123">
        <f t="shared" si="33"/>
        <v>208</v>
      </c>
    </row>
    <row r="105" spans="2:13" x14ac:dyDescent="0.25">
      <c r="B105" s="102" t="s">
        <v>1068</v>
      </c>
      <c r="C105" s="121">
        <v>50</v>
      </c>
      <c r="D105" s="217">
        <v>59304.98</v>
      </c>
      <c r="E105" s="110">
        <v>42</v>
      </c>
      <c r="F105" s="121">
        <f t="shared" ref="F105:F117" si="52">D105/E105</f>
        <v>1412.0233333333333</v>
      </c>
      <c r="G105" s="123"/>
      <c r="H105" s="121">
        <f t="shared" ref="H105:H117" si="53">F105*E105^0.5</f>
        <v>9150.9570834348615</v>
      </c>
      <c r="I105" s="121">
        <f t="shared" ref="I105:I117" si="54">E105^0.5</f>
        <v>6.4807406984078604</v>
      </c>
      <c r="J105" s="121">
        <f t="shared" ref="J105:J117" si="55">C105*E105^0.5</f>
        <v>324.03703492039301</v>
      </c>
      <c r="K105" s="121"/>
      <c r="L105" s="103">
        <f t="shared" si="38"/>
        <v>1</v>
      </c>
      <c r="M105" s="123">
        <f t="shared" ref="M105:M117" si="56">L105*E105</f>
        <v>42</v>
      </c>
    </row>
    <row r="106" spans="2:13" x14ac:dyDescent="0.25">
      <c r="B106" s="102" t="s">
        <v>1069</v>
      </c>
      <c r="C106" s="121">
        <v>500</v>
      </c>
      <c r="D106" s="217">
        <v>47088.2</v>
      </c>
      <c r="E106" s="110">
        <v>15</v>
      </c>
      <c r="F106" s="121">
        <f t="shared" ref="F106:F116" si="57">D106/E106</f>
        <v>3139.2133333333331</v>
      </c>
      <c r="G106" s="123"/>
      <c r="H106" s="121">
        <f t="shared" ref="H106:H116" si="58">F106*E106^0.5</f>
        <v>12158.120960192273</v>
      </c>
      <c r="I106" s="121">
        <f t="shared" ref="I106:I116" si="59">E106^0.5</f>
        <v>3.872983346207417</v>
      </c>
      <c r="J106" s="121">
        <f t="shared" ref="J106:J116" si="60">C106*E106^0.5</f>
        <v>1936.4916731037085</v>
      </c>
      <c r="K106" s="121"/>
      <c r="L106" s="103">
        <f t="shared" si="38"/>
        <v>0</v>
      </c>
      <c r="M106" s="123">
        <f t="shared" ref="M106:M116" si="61">L106*E106</f>
        <v>0</v>
      </c>
    </row>
    <row r="107" spans="2:13" x14ac:dyDescent="0.25">
      <c r="B107" s="102" t="s">
        <v>1070</v>
      </c>
      <c r="C107" s="121">
        <v>7.5</v>
      </c>
      <c r="D107" s="217">
        <v>3235.08</v>
      </c>
      <c r="E107" s="110">
        <v>17</v>
      </c>
      <c r="F107" s="121">
        <f t="shared" si="57"/>
        <v>190.29882352941175</v>
      </c>
      <c r="G107" s="123"/>
      <c r="H107" s="121">
        <f t="shared" si="58"/>
        <v>784.62214984254001</v>
      </c>
      <c r="I107" s="121">
        <f t="shared" si="59"/>
        <v>4.1231056256176606</v>
      </c>
      <c r="J107" s="121">
        <f t="shared" si="60"/>
        <v>30.923292192132454</v>
      </c>
      <c r="K107" s="121"/>
      <c r="L107" s="103">
        <f t="shared" si="38"/>
        <v>1</v>
      </c>
      <c r="M107" s="123">
        <f t="shared" si="61"/>
        <v>17</v>
      </c>
    </row>
    <row r="108" spans="2:13" x14ac:dyDescent="0.25">
      <c r="B108" s="102" t="s">
        <v>1071</v>
      </c>
      <c r="C108" s="121">
        <v>75</v>
      </c>
      <c r="D108" s="217">
        <v>160661.9</v>
      </c>
      <c r="E108" s="110">
        <v>100</v>
      </c>
      <c r="F108" s="121">
        <f t="shared" si="57"/>
        <v>1606.6189999999999</v>
      </c>
      <c r="G108" s="123"/>
      <c r="H108" s="121">
        <f t="shared" si="58"/>
        <v>16066.189999999999</v>
      </c>
      <c r="I108" s="121">
        <f t="shared" si="59"/>
        <v>10</v>
      </c>
      <c r="J108" s="121">
        <f t="shared" si="60"/>
        <v>750</v>
      </c>
      <c r="K108" s="121"/>
      <c r="L108" s="103">
        <f t="shared" si="38"/>
        <v>0</v>
      </c>
      <c r="M108" s="123">
        <f t="shared" si="61"/>
        <v>0</v>
      </c>
    </row>
    <row r="109" spans="2:13" x14ac:dyDescent="0.25">
      <c r="B109" s="102" t="s">
        <v>1072</v>
      </c>
      <c r="C109" s="121">
        <v>75</v>
      </c>
      <c r="D109" s="217">
        <v>32493.82</v>
      </c>
      <c r="E109" s="110">
        <v>13</v>
      </c>
      <c r="F109" s="121">
        <f t="shared" si="57"/>
        <v>2499.5246153846156</v>
      </c>
      <c r="G109" s="123"/>
      <c r="H109" s="121">
        <f t="shared" si="58"/>
        <v>9012.1641650536367</v>
      </c>
      <c r="I109" s="121">
        <f t="shared" si="59"/>
        <v>3.6055512754639891</v>
      </c>
      <c r="J109" s="121">
        <f t="shared" si="60"/>
        <v>270.41634565979916</v>
      </c>
      <c r="K109" s="121"/>
      <c r="L109" s="103">
        <f t="shared" si="38"/>
        <v>0</v>
      </c>
      <c r="M109" s="123">
        <f t="shared" si="61"/>
        <v>0</v>
      </c>
    </row>
    <row r="110" spans="2:13" x14ac:dyDescent="0.25">
      <c r="B110" s="102" t="s">
        <v>1073</v>
      </c>
      <c r="C110" s="121">
        <v>75</v>
      </c>
      <c r="D110" s="217">
        <v>159562.06</v>
      </c>
      <c r="E110" s="110">
        <v>46</v>
      </c>
      <c r="F110" s="121">
        <f t="shared" si="57"/>
        <v>3468.7404347826086</v>
      </c>
      <c r="G110" s="123"/>
      <c r="H110" s="121">
        <f t="shared" si="58"/>
        <v>23526.142254505066</v>
      </c>
      <c r="I110" s="121">
        <f t="shared" si="59"/>
        <v>6.7823299831252681</v>
      </c>
      <c r="J110" s="121">
        <f t="shared" si="60"/>
        <v>508.67474873439511</v>
      </c>
      <c r="K110" s="121"/>
      <c r="L110" s="103">
        <f t="shared" ref="L110:L111" si="62">IF(C110&gt;50,0,1)</f>
        <v>0</v>
      </c>
      <c r="M110" s="123">
        <f t="shared" si="61"/>
        <v>0</v>
      </c>
    </row>
    <row r="111" spans="2:13" x14ac:dyDescent="0.25">
      <c r="B111" s="102" t="s">
        <v>1074</v>
      </c>
      <c r="C111" s="121">
        <v>225</v>
      </c>
      <c r="D111" s="217">
        <v>60860</v>
      </c>
      <c r="E111" s="110">
        <v>7</v>
      </c>
      <c r="F111" s="121">
        <f t="shared" si="57"/>
        <v>8694.2857142857138</v>
      </c>
      <c r="G111" s="123"/>
      <c r="H111" s="121">
        <f t="shared" si="58"/>
        <v>23002.917827341567</v>
      </c>
      <c r="I111" s="121">
        <f t="shared" si="59"/>
        <v>2.6457513110645907</v>
      </c>
      <c r="J111" s="121">
        <f t="shared" si="60"/>
        <v>595.29404498953295</v>
      </c>
      <c r="K111" s="121"/>
      <c r="L111" s="103">
        <f t="shared" si="62"/>
        <v>0</v>
      </c>
      <c r="M111" s="123">
        <f t="shared" si="61"/>
        <v>0</v>
      </c>
    </row>
    <row r="112" spans="2:13" x14ac:dyDescent="0.25">
      <c r="B112" s="102" t="s">
        <v>1075</v>
      </c>
      <c r="C112" s="121">
        <v>1000</v>
      </c>
      <c r="D112" s="217">
        <v>31658.639999999999</v>
      </c>
      <c r="E112" s="110">
        <v>2</v>
      </c>
      <c r="F112" s="121">
        <f t="shared" ref="F112:F113" si="63">D112/E112</f>
        <v>15829.32</v>
      </c>
      <c r="G112" s="123"/>
      <c r="H112" s="121">
        <f t="shared" ref="H112:H113" si="64">F112*E112^0.5</f>
        <v>22386.039027143681</v>
      </c>
      <c r="I112" s="121">
        <f t="shared" ref="I112:I113" si="65">E112^0.5</f>
        <v>1.4142135623730951</v>
      </c>
      <c r="J112" s="121">
        <f t="shared" ref="J112:J113" si="66">C112*E112^0.5</f>
        <v>1414.2135623730951</v>
      </c>
      <c r="K112" s="121"/>
      <c r="L112" s="103">
        <f t="shared" si="38"/>
        <v>0</v>
      </c>
      <c r="M112" s="123">
        <f t="shared" ref="M112:M113" si="67">L112*E112</f>
        <v>0</v>
      </c>
    </row>
    <row r="113" spans="2:13" x14ac:dyDescent="0.25">
      <c r="B113" s="102" t="s">
        <v>1076</v>
      </c>
      <c r="C113" s="121">
        <v>750</v>
      </c>
      <c r="D113" s="217">
        <v>139054.73000000001</v>
      </c>
      <c r="E113" s="110">
        <v>13</v>
      </c>
      <c r="F113" s="121">
        <f t="shared" si="63"/>
        <v>10696.517692307692</v>
      </c>
      <c r="G113" s="123"/>
      <c r="H113" s="121">
        <f t="shared" si="64"/>
        <v>38566.843008523123</v>
      </c>
      <c r="I113" s="121">
        <f t="shared" si="65"/>
        <v>3.6055512754639891</v>
      </c>
      <c r="J113" s="121">
        <f t="shared" si="66"/>
        <v>2704.1634565979916</v>
      </c>
      <c r="K113" s="121"/>
      <c r="L113" s="103">
        <f t="shared" ref="L113" si="68">IF(C113&gt;50,0,1)</f>
        <v>0</v>
      </c>
      <c r="M113" s="123">
        <f t="shared" si="67"/>
        <v>0</v>
      </c>
    </row>
    <row r="114" spans="2:13" x14ac:dyDescent="0.25">
      <c r="B114" s="102" t="s">
        <v>1078</v>
      </c>
      <c r="C114" s="121">
        <v>500</v>
      </c>
      <c r="D114" s="217">
        <v>36016</v>
      </c>
      <c r="E114" s="110">
        <v>5</v>
      </c>
      <c r="F114" s="121">
        <f t="shared" si="57"/>
        <v>7203.2</v>
      </c>
      <c r="G114" s="123"/>
      <c r="H114" s="121">
        <f t="shared" si="58"/>
        <v>16106.844855526486</v>
      </c>
      <c r="I114" s="121">
        <f t="shared" si="59"/>
        <v>2.2360679774997898</v>
      </c>
      <c r="J114" s="121">
        <f t="shared" si="60"/>
        <v>1118.0339887498949</v>
      </c>
      <c r="K114" s="121"/>
      <c r="L114" s="103">
        <f t="shared" ref="L114:L116" si="69">IF(C114&gt;50,0,1)</f>
        <v>0</v>
      </c>
      <c r="M114" s="123">
        <f t="shared" si="61"/>
        <v>0</v>
      </c>
    </row>
    <row r="115" spans="2:13" x14ac:dyDescent="0.25">
      <c r="B115" s="102" t="s">
        <v>1077</v>
      </c>
      <c r="C115" s="121">
        <v>1000</v>
      </c>
      <c r="D115" s="217">
        <v>47926.14</v>
      </c>
      <c r="E115" s="110">
        <v>4</v>
      </c>
      <c r="F115" s="121">
        <f t="shared" si="57"/>
        <v>11981.535</v>
      </c>
      <c r="G115" s="123"/>
      <c r="H115" s="121">
        <f t="shared" si="58"/>
        <v>23963.07</v>
      </c>
      <c r="I115" s="121">
        <f t="shared" si="59"/>
        <v>2</v>
      </c>
      <c r="J115" s="121">
        <f t="shared" si="60"/>
        <v>2000</v>
      </c>
      <c r="K115" s="121"/>
      <c r="L115" s="103">
        <f t="shared" si="69"/>
        <v>0</v>
      </c>
      <c r="M115" s="123">
        <f t="shared" si="61"/>
        <v>0</v>
      </c>
    </row>
    <row r="116" spans="2:13" x14ac:dyDescent="0.25">
      <c r="B116" s="102" t="s">
        <v>1079</v>
      </c>
      <c r="C116" s="121">
        <v>1500</v>
      </c>
      <c r="D116" s="217">
        <v>39724.83</v>
      </c>
      <c r="E116" s="110">
        <v>2</v>
      </c>
      <c r="F116" s="121">
        <f t="shared" si="57"/>
        <v>19862.415000000001</v>
      </c>
      <c r="G116" s="123"/>
      <c r="H116" s="121">
        <f t="shared" si="58"/>
        <v>28089.696674482802</v>
      </c>
      <c r="I116" s="121">
        <f t="shared" si="59"/>
        <v>1.4142135623730951</v>
      </c>
      <c r="J116" s="121">
        <f t="shared" si="60"/>
        <v>2121.3203435596429</v>
      </c>
      <c r="K116" s="121"/>
      <c r="L116" s="103">
        <f t="shared" si="69"/>
        <v>0</v>
      </c>
      <c r="M116" s="123">
        <f t="shared" si="61"/>
        <v>0</v>
      </c>
    </row>
    <row r="117" spans="2:13" x14ac:dyDescent="0.25">
      <c r="B117" s="102" t="s">
        <v>1145</v>
      </c>
      <c r="C117" s="121">
        <v>5</v>
      </c>
      <c r="D117" s="217">
        <v>46228</v>
      </c>
      <c r="E117" s="110">
        <v>65</v>
      </c>
      <c r="F117" s="121">
        <f t="shared" si="52"/>
        <v>711.2</v>
      </c>
      <c r="G117" s="123"/>
      <c r="H117" s="121">
        <f t="shared" si="53"/>
        <v>5733.8777105899289</v>
      </c>
      <c r="I117" s="121">
        <f t="shared" si="54"/>
        <v>8.0622577482985491</v>
      </c>
      <c r="J117" s="121">
        <f t="shared" si="55"/>
        <v>40.311288741492746</v>
      </c>
      <c r="K117" s="121"/>
      <c r="L117" s="103">
        <f t="shared" si="38"/>
        <v>1</v>
      </c>
      <c r="M117" s="123">
        <f t="shared" si="56"/>
        <v>65</v>
      </c>
    </row>
    <row r="118" spans="2:13" x14ac:dyDescent="0.25">
      <c r="B118" s="102" t="s">
        <v>1144</v>
      </c>
      <c r="C118" s="121">
        <v>15</v>
      </c>
      <c r="D118" s="217">
        <v>257001.3</v>
      </c>
      <c r="E118" s="110">
        <v>109</v>
      </c>
      <c r="F118" s="121">
        <f t="shared" si="28"/>
        <v>2357.8100917431193</v>
      </c>
      <c r="G118" s="123"/>
      <c r="H118" s="121">
        <f t="shared" ref="H118" si="70">F118*E118^0.5</f>
        <v>24616.26004760067</v>
      </c>
      <c r="I118" s="121">
        <f t="shared" ref="I118" si="71">E118^0.5</f>
        <v>10.440306508910551</v>
      </c>
      <c r="J118" s="121">
        <f t="shared" ref="J118" si="72">C118*E118^0.5</f>
        <v>156.60459763365827</v>
      </c>
      <c r="K118" s="121"/>
      <c r="L118" s="103">
        <f t="shared" si="38"/>
        <v>1</v>
      </c>
      <c r="M118" s="123">
        <f t="shared" ref="M118" si="73">L118*E118</f>
        <v>109</v>
      </c>
    </row>
    <row r="119" spans="2:13" x14ac:dyDescent="0.25">
      <c r="B119" s="151" t="s">
        <v>856</v>
      </c>
      <c r="C119" s="179"/>
      <c r="D119" s="257">
        <f>SUM(D77:D118)</f>
        <v>15113809.440000003</v>
      </c>
      <c r="E119" s="135">
        <f>SUM(E77:E118)</f>
        <v>23470</v>
      </c>
      <c r="M119" s="135">
        <f>SUM(M77:M118)</f>
        <v>22965</v>
      </c>
    </row>
    <row r="121" spans="2:13" x14ac:dyDescent="0.25">
      <c r="B121" s="254" t="s">
        <v>957</v>
      </c>
      <c r="H121" s="272" t="s">
        <v>958</v>
      </c>
      <c r="I121" s="272"/>
    </row>
    <row r="123" spans="2:13" x14ac:dyDescent="0.25">
      <c r="B123" s="102" t="s">
        <v>959</v>
      </c>
      <c r="D123" s="163">
        <f>H123</f>
        <v>11.415049233315969</v>
      </c>
      <c r="H123" s="163">
        <f t="array" ref="H123:I125">LINEST(H77:H118,I77:J118,FALSE,TRUE)</f>
        <v>11.415049233315969</v>
      </c>
      <c r="I123" s="163">
        <v>414.73806748456769</v>
      </c>
    </row>
    <row r="124" spans="2:13" x14ac:dyDescent="0.25">
      <c r="B124" s="102" t="s">
        <v>960</v>
      </c>
      <c r="D124" s="163">
        <f>I123</f>
        <v>414.73806748456769</v>
      </c>
      <c r="H124" s="163">
        <v>1.0356624602362328</v>
      </c>
      <c r="I124" s="163">
        <v>54.678429801944084</v>
      </c>
    </row>
    <row r="125" spans="2:13" x14ac:dyDescent="0.25">
      <c r="B125" s="102" t="s">
        <v>961</v>
      </c>
      <c r="D125" s="166">
        <f>H125</f>
        <v>0.87640900031950819</v>
      </c>
      <c r="H125" s="163">
        <v>0.87640900031950819</v>
      </c>
      <c r="I125" s="163">
        <v>7747.1143197247466</v>
      </c>
    </row>
    <row r="126" spans="2:13" x14ac:dyDescent="0.25">
      <c r="H126" s="163"/>
      <c r="I126" s="163"/>
    </row>
    <row r="127" spans="2:13" x14ac:dyDescent="0.25">
      <c r="B127" s="131" t="s">
        <v>962</v>
      </c>
      <c r="C127" s="138"/>
    </row>
    <row r="128" spans="2:13" x14ac:dyDescent="0.25">
      <c r="C128" s="138"/>
      <c r="F128" s="211"/>
    </row>
    <row r="129" spans="1:13" x14ac:dyDescent="0.25">
      <c r="B129" s="102" t="s">
        <v>963</v>
      </c>
      <c r="C129" s="265"/>
      <c r="D129" s="123">
        <f>IF(D132="M",E119,M119)</f>
        <v>22965</v>
      </c>
      <c r="F129" s="211" t="s">
        <v>978</v>
      </c>
    </row>
    <row r="130" spans="1:13" x14ac:dyDescent="0.25">
      <c r="B130" s="102" t="s">
        <v>964</v>
      </c>
      <c r="C130" s="138"/>
      <c r="D130" s="217">
        <f>D124</f>
        <v>414.73806748456769</v>
      </c>
      <c r="E130" s="117"/>
      <c r="F130" s="211" t="s">
        <v>979</v>
      </c>
    </row>
    <row r="131" spans="1:13" x14ac:dyDescent="0.25">
      <c r="B131" s="102" t="s">
        <v>965</v>
      </c>
      <c r="C131" s="138"/>
      <c r="D131" s="217">
        <f>MIN(F77:F118)</f>
        <v>53.194749999999999</v>
      </c>
      <c r="F131" s="102" t="s">
        <v>1037</v>
      </c>
    </row>
    <row r="132" spans="1:13" x14ac:dyDescent="0.25">
      <c r="B132" s="102" t="s">
        <v>966</v>
      </c>
      <c r="C132" s="138"/>
      <c r="D132" s="259" t="s">
        <v>973</v>
      </c>
    </row>
    <row r="133" spans="1:13" x14ac:dyDescent="0.25">
      <c r="B133" s="102" t="s">
        <v>967</v>
      </c>
      <c r="C133" s="138"/>
      <c r="D133" s="119">
        <f>IF(D132="Z",D129*D130,D129*D131)</f>
        <v>9524459.7197830975</v>
      </c>
    </row>
    <row r="134" spans="1:13" x14ac:dyDescent="0.25">
      <c r="B134" s="102" t="s">
        <v>968</v>
      </c>
      <c r="C134" s="138"/>
      <c r="D134" s="119">
        <f>D119</f>
        <v>15113809.440000003</v>
      </c>
    </row>
    <row r="135" spans="1:13" x14ac:dyDescent="0.25">
      <c r="B135" s="102" t="s">
        <v>969</v>
      </c>
      <c r="C135" s="138"/>
      <c r="D135" s="260">
        <f>D133/D134</f>
        <v>0.63018259940315191</v>
      </c>
    </row>
    <row r="136" spans="1:13" x14ac:dyDescent="0.25">
      <c r="B136" s="102" t="s">
        <v>970</v>
      </c>
      <c r="C136" s="138"/>
      <c r="D136" s="261">
        <f>D135</f>
        <v>0.63018259940315191</v>
      </c>
    </row>
    <row r="137" spans="1:13" x14ac:dyDescent="0.25">
      <c r="B137" s="102" t="s">
        <v>971</v>
      </c>
      <c r="C137" s="138"/>
      <c r="D137" s="262">
        <f>1-D136</f>
        <v>0.36981740059684809</v>
      </c>
    </row>
    <row r="141" spans="1:13" x14ac:dyDescent="0.25">
      <c r="A141" s="132"/>
      <c r="H141" s="103"/>
    </row>
    <row r="142" spans="1:13" x14ac:dyDescent="0.25">
      <c r="A142" s="132"/>
      <c r="B142" s="266" t="s">
        <v>980</v>
      </c>
      <c r="C142" s="226" t="s">
        <v>981</v>
      </c>
      <c r="D142" s="267" t="s">
        <v>10</v>
      </c>
      <c r="E142" s="267" t="s">
        <v>12</v>
      </c>
      <c r="H142" s="226" t="s">
        <v>1017</v>
      </c>
    </row>
    <row r="143" spans="1:13" x14ac:dyDescent="0.25">
      <c r="B143" s="102" t="s">
        <v>201</v>
      </c>
      <c r="C143" s="103">
        <v>365</v>
      </c>
      <c r="D143" s="166">
        <f>D39</f>
        <v>0.81324863685318571</v>
      </c>
      <c r="E143" s="166">
        <f>D38</f>
        <v>0.18675136314681426</v>
      </c>
      <c r="H143" s="268" t="str">
        <f>D34</f>
        <v>Z</v>
      </c>
      <c r="M143" s="121"/>
    </row>
    <row r="144" spans="1:13" x14ac:dyDescent="0.25">
      <c r="B144" s="102" t="s">
        <v>202</v>
      </c>
      <c r="C144" s="103">
        <v>367</v>
      </c>
      <c r="D144" s="166">
        <f>D70</f>
        <v>0.66069295565171471</v>
      </c>
      <c r="E144" s="166">
        <f>D69</f>
        <v>0.33930704434828529</v>
      </c>
      <c r="H144" s="268" t="str">
        <f>D65</f>
        <v>Z</v>
      </c>
      <c r="M144" s="121"/>
    </row>
    <row r="145" spans="2:15" x14ac:dyDescent="0.25">
      <c r="B145" s="102" t="s">
        <v>203</v>
      </c>
      <c r="C145" s="103">
        <v>368</v>
      </c>
      <c r="D145" s="166">
        <f>D137</f>
        <v>0.36981740059684809</v>
      </c>
      <c r="E145" s="166">
        <f>D136</f>
        <v>0.63018259940315191</v>
      </c>
      <c r="H145" s="268" t="str">
        <f>D132</f>
        <v>Z</v>
      </c>
      <c r="M145" s="121"/>
    </row>
    <row r="146" spans="2:15" x14ac:dyDescent="0.25">
      <c r="M146" s="180"/>
      <c r="N146" s="180"/>
      <c r="O146" s="180"/>
    </row>
    <row r="147" spans="2:15" x14ac:dyDescent="0.25">
      <c r="D147" s="166"/>
      <c r="E147" s="166"/>
    </row>
    <row r="148" spans="2:15" x14ac:dyDescent="0.25">
      <c r="D148" s="166"/>
      <c r="E148" s="166"/>
    </row>
    <row r="149" spans="2:15" x14ac:dyDescent="0.25">
      <c r="D149" s="166"/>
      <c r="E149" s="166"/>
    </row>
    <row r="150" spans="2:15" x14ac:dyDescent="0.25">
      <c r="D150" s="166"/>
      <c r="E150" s="166"/>
    </row>
  </sheetData>
  <mergeCells count="4">
    <mergeCell ref="H23:I23"/>
    <mergeCell ref="H54:I54"/>
    <mergeCell ref="L74:M74"/>
    <mergeCell ref="H121:I121"/>
  </mergeCells>
  <pageMargins left="0.7" right="0.7" top="0.75" bottom="0.75" header="0.3" footer="0.3"/>
  <pageSetup scale="72" fitToHeight="3" orientation="landscape" r:id="rId1"/>
  <headerFooter>
    <oddFooter>&amp;RExhibit JW-8
Page &amp;P of &amp;N</oddFooter>
  </headerFooter>
  <rowBreaks count="3" manualBreakCount="3">
    <brk id="40" max="16383" man="1"/>
    <brk id="71" max="16383" man="1"/>
    <brk id="119" max="16383" man="1"/>
  </rowBreaks>
  <ignoredErrors>
    <ignoredError sqref="D124 D26 D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2023-06-09T20:19:48Z</cp:lastPrinted>
  <dcterms:created xsi:type="dcterms:W3CDTF">1999-02-10T22:20:33Z</dcterms:created>
  <dcterms:modified xsi:type="dcterms:W3CDTF">2023-12-22T20:02:20Z</dcterms:modified>
</cp:coreProperties>
</file>