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SC\RATE CASE\First Data Request\"/>
    </mc:Choice>
  </mc:AlternateContent>
  <xr:revisionPtr revIDLastSave="0" documentId="13_ncr:1_{D5E21CFB-AF1E-4586-9F54-EC7D9648593D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Schedule H" sheetId="1" r:id="rId1"/>
  </sheets>
  <definedNames>
    <definedName name="_xlnm.Print_Area" localSheetId="0">'Schedule H'!$A$1:$S$161</definedName>
    <definedName name="_xlnm.Print_Titles" localSheetId="0">'Schedule H'!$1:$4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G30" i="1"/>
  <c r="G31" i="1"/>
  <c r="G32" i="1"/>
  <c r="G33" i="1"/>
  <c r="G34" i="1"/>
  <c r="G35" i="1"/>
  <c r="G36" i="1"/>
  <c r="G37" i="1"/>
  <c r="G38" i="1"/>
  <c r="G39" i="1"/>
  <c r="G40" i="1"/>
  <c r="H68" i="1"/>
  <c r="G68" i="1"/>
  <c r="H69" i="1"/>
  <c r="G69" i="1"/>
  <c r="H70" i="1"/>
  <c r="G70" i="1"/>
  <c r="H71" i="1"/>
  <c r="G71" i="1"/>
  <c r="H72" i="1"/>
  <c r="G72" i="1"/>
  <c r="H73" i="1"/>
  <c r="G73" i="1"/>
  <c r="H74" i="1"/>
  <c r="G74" i="1"/>
  <c r="H75" i="1"/>
  <c r="G75" i="1"/>
  <c r="H76" i="1"/>
  <c r="G76" i="1"/>
  <c r="H78" i="1"/>
  <c r="G78" i="1" s="1"/>
  <c r="H79" i="1"/>
  <c r="H77" i="1"/>
  <c r="G77" i="1"/>
  <c r="G79" i="1"/>
  <c r="G110" i="1"/>
  <c r="H151" i="1"/>
  <c r="G147" i="1"/>
  <c r="G108" i="1"/>
  <c r="G109" i="1"/>
  <c r="G111" i="1"/>
  <c r="G112" i="1"/>
  <c r="G113" i="1"/>
  <c r="G114" i="1"/>
  <c r="G115" i="1"/>
  <c r="G116" i="1"/>
  <c r="G117" i="1"/>
  <c r="G118" i="1"/>
  <c r="G119" i="1"/>
  <c r="G148" i="1"/>
  <c r="G149" i="1"/>
  <c r="G150" i="1"/>
  <c r="G151" i="1"/>
  <c r="G152" i="1"/>
  <c r="G153" i="1"/>
  <c r="G154" i="1"/>
  <c r="G155" i="1"/>
  <c r="G156" i="1"/>
  <c r="G157" i="1"/>
  <c r="G158" i="1"/>
  <c r="H148" i="1" l="1"/>
  <c r="H153" i="1"/>
  <c r="H155" i="1"/>
  <c r="H156" i="1"/>
  <c r="H157" i="1"/>
  <c r="H158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40" i="1" l="1"/>
  <c r="H39" i="1"/>
  <c r="H38" i="1"/>
  <c r="H37" i="1"/>
  <c r="H36" i="1"/>
  <c r="H35" i="1"/>
  <c r="H34" i="1"/>
  <c r="H33" i="1"/>
  <c r="H32" i="1"/>
  <c r="H31" i="1"/>
  <c r="H30" i="1"/>
  <c r="H29" i="1"/>
  <c r="G18" i="1" l="1"/>
  <c r="E72" i="1" l="1"/>
  <c r="G120" i="1" l="1"/>
  <c r="I112" i="1"/>
  <c r="L156" i="1" l="1"/>
  <c r="L155" i="1"/>
  <c r="L153" i="1"/>
  <c r="L152" i="1"/>
  <c r="L151" i="1"/>
  <c r="I149" i="1"/>
  <c r="E149" i="1"/>
  <c r="I148" i="1"/>
  <c r="E148" i="1"/>
  <c r="I147" i="1"/>
  <c r="L147" i="1"/>
  <c r="I133" i="1"/>
  <c r="I132" i="1"/>
  <c r="I131" i="1"/>
  <c r="E133" i="1"/>
  <c r="E132" i="1"/>
  <c r="E131" i="1"/>
  <c r="H159" i="1"/>
  <c r="G159" i="1"/>
  <c r="C159" i="1"/>
  <c r="K158" i="1"/>
  <c r="J158" i="1"/>
  <c r="I158" i="1"/>
  <c r="L158" i="1"/>
  <c r="K157" i="1"/>
  <c r="J157" i="1"/>
  <c r="I157" i="1"/>
  <c r="L157" i="1"/>
  <c r="K156" i="1"/>
  <c r="J156" i="1"/>
  <c r="I156" i="1"/>
  <c r="K155" i="1"/>
  <c r="J155" i="1"/>
  <c r="I155" i="1"/>
  <c r="K154" i="1"/>
  <c r="J154" i="1"/>
  <c r="I154" i="1"/>
  <c r="L154" i="1"/>
  <c r="K153" i="1"/>
  <c r="J153" i="1"/>
  <c r="I153" i="1"/>
  <c r="K152" i="1"/>
  <c r="J152" i="1"/>
  <c r="I152" i="1"/>
  <c r="K151" i="1"/>
  <c r="J151" i="1"/>
  <c r="I151" i="1"/>
  <c r="K150" i="1"/>
  <c r="J150" i="1"/>
  <c r="I150" i="1"/>
  <c r="L150" i="1"/>
  <c r="K149" i="1"/>
  <c r="J149" i="1"/>
  <c r="K148" i="1"/>
  <c r="J148" i="1"/>
  <c r="L148" i="1"/>
  <c r="K147" i="1"/>
  <c r="J147" i="1"/>
  <c r="H143" i="1"/>
  <c r="G143" i="1"/>
  <c r="D143" i="1"/>
  <c r="C143" i="1"/>
  <c r="K142" i="1"/>
  <c r="J142" i="1"/>
  <c r="I142" i="1"/>
  <c r="E142" i="1"/>
  <c r="K141" i="1"/>
  <c r="J141" i="1"/>
  <c r="I141" i="1"/>
  <c r="E141" i="1"/>
  <c r="K140" i="1"/>
  <c r="J140" i="1"/>
  <c r="I140" i="1"/>
  <c r="E140" i="1"/>
  <c r="K139" i="1"/>
  <c r="J139" i="1"/>
  <c r="I139" i="1"/>
  <c r="E139" i="1"/>
  <c r="K138" i="1"/>
  <c r="J138" i="1"/>
  <c r="I138" i="1"/>
  <c r="E138" i="1"/>
  <c r="K137" i="1"/>
  <c r="J137" i="1"/>
  <c r="I137" i="1"/>
  <c r="E137" i="1"/>
  <c r="K136" i="1"/>
  <c r="J136" i="1"/>
  <c r="I136" i="1"/>
  <c r="E136" i="1"/>
  <c r="K135" i="1"/>
  <c r="J135" i="1"/>
  <c r="I135" i="1"/>
  <c r="E135" i="1"/>
  <c r="K134" i="1"/>
  <c r="J134" i="1"/>
  <c r="I134" i="1"/>
  <c r="E134" i="1"/>
  <c r="K133" i="1"/>
  <c r="J133" i="1"/>
  <c r="K132" i="1"/>
  <c r="J132" i="1"/>
  <c r="K131" i="1"/>
  <c r="J131" i="1"/>
  <c r="E117" i="1"/>
  <c r="E92" i="1"/>
  <c r="E93" i="1"/>
  <c r="E94" i="1"/>
  <c r="E95" i="1"/>
  <c r="E96" i="1"/>
  <c r="E97" i="1"/>
  <c r="E98" i="1"/>
  <c r="E99" i="1"/>
  <c r="E100" i="1"/>
  <c r="E101" i="1"/>
  <c r="E102" i="1"/>
  <c r="E91" i="1"/>
  <c r="E119" i="1"/>
  <c r="E118" i="1"/>
  <c r="E116" i="1"/>
  <c r="E115" i="1"/>
  <c r="E114" i="1"/>
  <c r="E113" i="1"/>
  <c r="E112" i="1"/>
  <c r="E111" i="1"/>
  <c r="E110" i="1"/>
  <c r="E109" i="1"/>
  <c r="E108" i="1"/>
  <c r="K159" i="1" l="1"/>
  <c r="E151" i="1"/>
  <c r="M151" i="1" s="1"/>
  <c r="E155" i="1"/>
  <c r="M155" i="1" s="1"/>
  <c r="E147" i="1"/>
  <c r="M147" i="1" s="1"/>
  <c r="L149" i="1"/>
  <c r="I159" i="1"/>
  <c r="M140" i="1"/>
  <c r="M136" i="1"/>
  <c r="M137" i="1"/>
  <c r="M141" i="1"/>
  <c r="M138" i="1"/>
  <c r="M142" i="1"/>
  <c r="M135" i="1"/>
  <c r="M139" i="1"/>
  <c r="M134" i="1"/>
  <c r="M133" i="1"/>
  <c r="K143" i="1"/>
  <c r="I143" i="1"/>
  <c r="M132" i="1"/>
  <c r="E143" i="1"/>
  <c r="D159" i="1"/>
  <c r="L159" i="1" s="1"/>
  <c r="E150" i="1"/>
  <c r="M150" i="1" s="1"/>
  <c r="E154" i="1"/>
  <c r="M154" i="1" s="1"/>
  <c r="E158" i="1"/>
  <c r="M158" i="1" s="1"/>
  <c r="M149" i="1"/>
  <c r="E153" i="1"/>
  <c r="M153" i="1" s="1"/>
  <c r="E157" i="1"/>
  <c r="M157" i="1" s="1"/>
  <c r="M131" i="1"/>
  <c r="E152" i="1"/>
  <c r="M152" i="1" s="1"/>
  <c r="E156" i="1"/>
  <c r="M156" i="1" s="1"/>
  <c r="E159" i="1" l="1"/>
  <c r="M159" i="1" s="1"/>
  <c r="M143" i="1"/>
  <c r="M148" i="1"/>
  <c r="E77" i="1"/>
  <c r="E76" i="1"/>
  <c r="E75" i="1"/>
  <c r="E73" i="1"/>
  <c r="E71" i="1"/>
  <c r="E69" i="1"/>
  <c r="E68" i="1"/>
  <c r="E79" i="1"/>
  <c r="E70" i="1"/>
  <c r="E74" i="1"/>
  <c r="E78" i="1"/>
  <c r="E53" i="1" l="1"/>
  <c r="E54" i="1"/>
  <c r="E55" i="1"/>
  <c r="E56" i="1"/>
  <c r="E57" i="1"/>
  <c r="E58" i="1"/>
  <c r="E59" i="1"/>
  <c r="E60" i="1"/>
  <c r="E61" i="1"/>
  <c r="E62" i="1"/>
  <c r="E63" i="1"/>
  <c r="E52" i="1"/>
  <c r="D41" i="1" l="1"/>
  <c r="K30" i="1" l="1"/>
  <c r="K31" i="1"/>
  <c r="K32" i="1"/>
  <c r="K33" i="1"/>
  <c r="K34" i="1"/>
  <c r="K35" i="1"/>
  <c r="K36" i="1"/>
  <c r="K37" i="1"/>
  <c r="K38" i="1"/>
  <c r="K39" i="1"/>
  <c r="K40" i="1"/>
  <c r="K29" i="1"/>
  <c r="E30" i="1"/>
  <c r="E31" i="1"/>
  <c r="E32" i="1"/>
  <c r="E33" i="1"/>
  <c r="E34" i="1"/>
  <c r="E35" i="1"/>
  <c r="E36" i="1"/>
  <c r="E37" i="1"/>
  <c r="E38" i="1"/>
  <c r="E39" i="1"/>
  <c r="E40" i="1"/>
  <c r="E29" i="1"/>
  <c r="C41" i="1" l="1"/>
  <c r="E13" i="1"/>
  <c r="E14" i="1"/>
  <c r="E15" i="1"/>
  <c r="E16" i="1"/>
  <c r="E17" i="1"/>
  <c r="E18" i="1"/>
  <c r="E19" i="1"/>
  <c r="E20" i="1"/>
  <c r="E21" i="1"/>
  <c r="E22" i="1"/>
  <c r="E23" i="1"/>
  <c r="I119" i="1" l="1"/>
  <c r="I101" i="1"/>
  <c r="I117" i="1"/>
  <c r="I116" i="1"/>
  <c r="I115" i="1"/>
  <c r="I97" i="1"/>
  <c r="I96" i="1"/>
  <c r="I95" i="1"/>
  <c r="I94" i="1"/>
  <c r="I110" i="1"/>
  <c r="I109" i="1"/>
  <c r="I108" i="1"/>
  <c r="I93" i="1"/>
  <c r="I92" i="1"/>
  <c r="I91" i="1"/>
  <c r="I79" i="1"/>
  <c r="I78" i="1"/>
  <c r="I77" i="1"/>
  <c r="I76" i="1"/>
  <c r="I75" i="1"/>
  <c r="I74" i="1"/>
  <c r="I73" i="1"/>
  <c r="I72" i="1"/>
  <c r="I71" i="1"/>
  <c r="I70" i="1"/>
  <c r="I69" i="1"/>
  <c r="I68" i="1"/>
  <c r="G64" i="1"/>
  <c r="I63" i="1"/>
  <c r="I62" i="1"/>
  <c r="I61" i="1"/>
  <c r="I60" i="1"/>
  <c r="I59" i="1"/>
  <c r="I58" i="1"/>
  <c r="I57" i="1"/>
  <c r="I56" i="1"/>
  <c r="I55" i="1"/>
  <c r="I54" i="1"/>
  <c r="I53" i="1"/>
  <c r="I52" i="1"/>
  <c r="I13" i="1"/>
  <c r="I23" i="1"/>
  <c r="I22" i="1"/>
  <c r="I21" i="1"/>
  <c r="I20" i="1"/>
  <c r="I19" i="1"/>
  <c r="I18" i="1"/>
  <c r="I17" i="1"/>
  <c r="I16" i="1"/>
  <c r="I15" i="1"/>
  <c r="I14" i="1"/>
  <c r="I40" i="1"/>
  <c r="I39" i="1"/>
  <c r="I38" i="1"/>
  <c r="I37" i="1"/>
  <c r="I36" i="1"/>
  <c r="I35" i="1"/>
  <c r="I34" i="1"/>
  <c r="I33" i="1"/>
  <c r="I32" i="1"/>
  <c r="I31" i="1"/>
  <c r="I30" i="1"/>
  <c r="I29" i="1"/>
  <c r="I12" i="1"/>
  <c r="E12" i="1"/>
  <c r="I113" i="1" l="1"/>
  <c r="M113" i="1" s="1"/>
  <c r="I100" i="1"/>
  <c r="M100" i="1" s="1"/>
  <c r="I102" i="1"/>
  <c r="M102" i="1" s="1"/>
  <c r="I111" i="1"/>
  <c r="M111" i="1" s="1"/>
  <c r="I98" i="1"/>
  <c r="M98" i="1" s="1"/>
  <c r="I99" i="1"/>
  <c r="M99" i="1" s="1"/>
  <c r="M112" i="1"/>
  <c r="I114" i="1"/>
  <c r="M114" i="1" s="1"/>
  <c r="I118" i="1"/>
  <c r="M118" i="1" s="1"/>
  <c r="C120" i="1"/>
  <c r="D120" i="1"/>
  <c r="E120" i="1"/>
  <c r="H120" i="1"/>
  <c r="M119" i="1"/>
  <c r="L119" i="1"/>
  <c r="K119" i="1"/>
  <c r="J119" i="1"/>
  <c r="L118" i="1"/>
  <c r="J118" i="1"/>
  <c r="M117" i="1"/>
  <c r="L117" i="1"/>
  <c r="K117" i="1"/>
  <c r="J117" i="1"/>
  <c r="M116" i="1"/>
  <c r="L116" i="1"/>
  <c r="K116" i="1"/>
  <c r="J116" i="1"/>
  <c r="M115" i="1"/>
  <c r="L115" i="1"/>
  <c r="K115" i="1"/>
  <c r="J115" i="1"/>
  <c r="L114" i="1"/>
  <c r="J114" i="1"/>
  <c r="L113" i="1"/>
  <c r="K113" i="1"/>
  <c r="J113" i="1"/>
  <c r="L112" i="1"/>
  <c r="J112" i="1"/>
  <c r="L111" i="1"/>
  <c r="J111" i="1"/>
  <c r="M110" i="1"/>
  <c r="L110" i="1"/>
  <c r="K110" i="1"/>
  <c r="J110" i="1"/>
  <c r="M109" i="1"/>
  <c r="L109" i="1"/>
  <c r="K109" i="1"/>
  <c r="J109" i="1"/>
  <c r="M108" i="1"/>
  <c r="L108" i="1"/>
  <c r="K108" i="1"/>
  <c r="J108" i="1"/>
  <c r="H103" i="1"/>
  <c r="G103" i="1"/>
  <c r="E103" i="1"/>
  <c r="D103" i="1"/>
  <c r="C103" i="1"/>
  <c r="K102" i="1"/>
  <c r="J102" i="1"/>
  <c r="M101" i="1"/>
  <c r="K101" i="1"/>
  <c r="J101" i="1"/>
  <c r="K100" i="1"/>
  <c r="J100" i="1"/>
  <c r="K99" i="1"/>
  <c r="J99" i="1"/>
  <c r="K98" i="1"/>
  <c r="J98" i="1"/>
  <c r="M97" i="1"/>
  <c r="K97" i="1"/>
  <c r="J97" i="1"/>
  <c r="M96" i="1"/>
  <c r="K96" i="1"/>
  <c r="J96" i="1"/>
  <c r="M95" i="1"/>
  <c r="K95" i="1"/>
  <c r="J95" i="1"/>
  <c r="M94" i="1"/>
  <c r="K94" i="1"/>
  <c r="J94" i="1"/>
  <c r="M93" i="1"/>
  <c r="K93" i="1"/>
  <c r="J93" i="1"/>
  <c r="M92" i="1"/>
  <c r="K92" i="1"/>
  <c r="J92" i="1"/>
  <c r="M91" i="1"/>
  <c r="K91" i="1"/>
  <c r="J91" i="1"/>
  <c r="J53" i="1"/>
  <c r="K53" i="1"/>
  <c r="M53" i="1"/>
  <c r="J54" i="1"/>
  <c r="K54" i="1"/>
  <c r="M54" i="1"/>
  <c r="J55" i="1"/>
  <c r="K55" i="1"/>
  <c r="M55" i="1"/>
  <c r="J56" i="1"/>
  <c r="K56" i="1"/>
  <c r="M56" i="1"/>
  <c r="J57" i="1"/>
  <c r="K57" i="1"/>
  <c r="M57" i="1"/>
  <c r="J58" i="1"/>
  <c r="K58" i="1"/>
  <c r="M58" i="1"/>
  <c r="J59" i="1"/>
  <c r="K59" i="1"/>
  <c r="M59" i="1"/>
  <c r="J60" i="1"/>
  <c r="K60" i="1"/>
  <c r="M60" i="1"/>
  <c r="J61" i="1"/>
  <c r="K61" i="1"/>
  <c r="M61" i="1"/>
  <c r="J62" i="1"/>
  <c r="K62" i="1"/>
  <c r="M62" i="1"/>
  <c r="J63" i="1"/>
  <c r="K63" i="1"/>
  <c r="M63" i="1"/>
  <c r="J68" i="1"/>
  <c r="K68" i="1"/>
  <c r="L68" i="1"/>
  <c r="M68" i="1"/>
  <c r="J69" i="1"/>
  <c r="K69" i="1"/>
  <c r="L69" i="1"/>
  <c r="M69" i="1"/>
  <c r="J70" i="1"/>
  <c r="K70" i="1"/>
  <c r="L70" i="1"/>
  <c r="M70" i="1"/>
  <c r="J71" i="1"/>
  <c r="K71" i="1"/>
  <c r="L71" i="1"/>
  <c r="M71" i="1"/>
  <c r="J72" i="1"/>
  <c r="K72" i="1"/>
  <c r="L72" i="1"/>
  <c r="M72" i="1"/>
  <c r="J73" i="1"/>
  <c r="K73" i="1"/>
  <c r="L73" i="1"/>
  <c r="M73" i="1"/>
  <c r="J74" i="1"/>
  <c r="K74" i="1"/>
  <c r="L74" i="1"/>
  <c r="M74" i="1"/>
  <c r="J75" i="1"/>
  <c r="K75" i="1"/>
  <c r="L75" i="1"/>
  <c r="M75" i="1"/>
  <c r="J76" i="1"/>
  <c r="K76" i="1"/>
  <c r="L76" i="1"/>
  <c r="M76" i="1"/>
  <c r="J77" i="1"/>
  <c r="K77" i="1"/>
  <c r="L77" i="1"/>
  <c r="M77" i="1"/>
  <c r="J78" i="1"/>
  <c r="K78" i="1"/>
  <c r="L78" i="1"/>
  <c r="M78" i="1"/>
  <c r="J79" i="1"/>
  <c r="K79" i="1"/>
  <c r="L79" i="1"/>
  <c r="M79" i="1"/>
  <c r="K52" i="1"/>
  <c r="M52" i="1"/>
  <c r="J52" i="1"/>
  <c r="J29" i="1"/>
  <c r="J30" i="1"/>
  <c r="J31" i="1"/>
  <c r="J32" i="1"/>
  <c r="J33" i="1"/>
  <c r="J34" i="1"/>
  <c r="J35" i="1"/>
  <c r="J36" i="1"/>
  <c r="J37" i="1"/>
  <c r="J38" i="1"/>
  <c r="J39" i="1"/>
  <c r="J40" i="1"/>
  <c r="J13" i="1"/>
  <c r="J14" i="1"/>
  <c r="J15" i="1"/>
  <c r="J16" i="1"/>
  <c r="J17" i="1"/>
  <c r="J18" i="1"/>
  <c r="J19" i="1"/>
  <c r="J20" i="1"/>
  <c r="J21" i="1"/>
  <c r="J22" i="1"/>
  <c r="J23" i="1"/>
  <c r="J12" i="1"/>
  <c r="D80" i="1"/>
  <c r="E80" i="1"/>
  <c r="C80" i="1"/>
  <c r="D64" i="1"/>
  <c r="E64" i="1"/>
  <c r="C64" i="1"/>
  <c r="D24" i="1"/>
  <c r="E24" i="1"/>
  <c r="C24" i="1"/>
  <c r="K112" i="1" l="1"/>
  <c r="I103" i="1"/>
  <c r="M103" i="1" s="1"/>
  <c r="K114" i="1"/>
  <c r="K111" i="1"/>
  <c r="K120" i="1"/>
  <c r="I120" i="1"/>
  <c r="M120" i="1" s="1"/>
  <c r="K118" i="1"/>
  <c r="K103" i="1"/>
  <c r="L120" i="1"/>
  <c r="E41" i="1"/>
  <c r="H80" i="1"/>
  <c r="L80" i="1" s="1"/>
  <c r="I80" i="1"/>
  <c r="M80" i="1" s="1"/>
  <c r="G80" i="1"/>
  <c r="K80" i="1" s="1"/>
  <c r="H64" i="1"/>
  <c r="I64" i="1"/>
  <c r="M64" i="1" s="1"/>
  <c r="K64" i="1"/>
  <c r="M40" i="1" l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3" i="1"/>
  <c r="K23" i="1"/>
  <c r="M22" i="1"/>
  <c r="K22" i="1"/>
  <c r="M21" i="1"/>
  <c r="K21" i="1"/>
  <c r="M20" i="1"/>
  <c r="K20" i="1"/>
  <c r="M19" i="1"/>
  <c r="K19" i="1"/>
  <c r="M18" i="1"/>
  <c r="K18" i="1"/>
  <c r="M17" i="1"/>
  <c r="K17" i="1"/>
  <c r="M16" i="1"/>
  <c r="K16" i="1"/>
  <c r="M15" i="1"/>
  <c r="K15" i="1"/>
  <c r="M14" i="1"/>
  <c r="K14" i="1"/>
  <c r="M13" i="1"/>
  <c r="K13" i="1"/>
  <c r="M12" i="1"/>
  <c r="K12" i="1"/>
  <c r="H24" i="1" l="1"/>
  <c r="G24" i="1"/>
  <c r="K24" i="1" s="1"/>
  <c r="I41" i="1"/>
  <c r="M41" i="1" s="1"/>
  <c r="I24" i="1"/>
  <c r="M24" i="1" s="1"/>
  <c r="G41" i="1"/>
  <c r="K41" i="1" s="1"/>
  <c r="H41" i="1"/>
  <c r="L41" i="1" s="1"/>
</calcChain>
</file>

<file path=xl/sharedStrings.xml><?xml version="1.0" encoding="utf-8"?>
<sst xmlns="http://schemas.openxmlformats.org/spreadsheetml/2006/main" count="190" uniqueCount="33">
  <si>
    <t>Regular</t>
  </si>
  <si>
    <t>Overtime</t>
  </si>
  <si>
    <t>Total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</si>
  <si>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</si>
  <si>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</si>
  <si>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</si>
  <si>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</si>
  <si>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</si>
  <si>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</si>
  <si>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</si>
  <si>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</si>
  <si>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</si>
  <si>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</si>
  <si>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</si>
  <si>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</si>
  <si>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Number of Employees</t>
  </si>
  <si>
    <t xml:space="preserve">Budgeted  </t>
  </si>
  <si>
    <t>Actual</t>
  </si>
  <si>
    <t>Variance</t>
  </si>
  <si>
    <t>Budgeted (Estimated)</t>
  </si>
  <si>
    <t>Monthly Payroll Variance Analysis</t>
  </si>
  <si>
    <t>Corporate Officers</t>
  </si>
  <si>
    <t>Employees</t>
  </si>
  <si>
    <t>Over/ (- Under)</t>
  </si>
  <si>
    <t>Over/(-Under)</t>
  </si>
  <si>
    <t>Over/ (-Under)</t>
  </si>
  <si>
    <t>Schedule H1</t>
  </si>
  <si>
    <t>Fleming-Mason Energy Cooperative, Inc.</t>
  </si>
  <si>
    <t>Case No. 2023-00223</t>
  </si>
  <si>
    <t>TEST YEAR - 2022</t>
  </si>
  <si>
    <t>The variances over 5% are in reference to timing of pay periods.</t>
  </si>
  <si>
    <t>Overtime hours vary based on weather and storm assistance.</t>
  </si>
  <si>
    <t>Variance is due to increase in linemen pay due to workforce challenges.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</si>
</sst>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color indexed="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3" fillId="0" borderId="0" xfId="1" applyNumberFormat="1" applyFont="1" applyFill="1" applyProtection="1">
      <protection locked="0"/>
    </xf>
    <xf numFmtId="0" fontId="5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164" fontId="5" fillId="0" borderId="0" xfId="1" applyNumberFormat="1" applyFont="1" applyFill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0" borderId="4" xfId="0" applyFont="1" applyBorder="1" applyProtection="1"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4" fillId="0" borderId="7" xfId="0" applyFont="1" applyBorder="1" applyProtection="1"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3" fillId="0" borderId="10" xfId="0" applyFont="1" applyBorder="1" applyProtection="1">
      <protection locked="0"/>
    </xf>
    <xf numFmtId="164" fontId="3" fillId="0" borderId="0" xfId="1" applyNumberFormat="1" applyFont="1" applyFill="1" applyBorder="1" applyProtection="1">
      <protection locked="0"/>
    </xf>
    <xf numFmtId="164" fontId="3" fillId="0" borderId="11" xfId="1" applyNumberFormat="1" applyFont="1" applyFill="1" applyBorder="1" applyProtection="1">
      <protection locked="0"/>
    </xf>
    <xf numFmtId="0" fontId="5" fillId="0" borderId="10" xfId="0" applyFont="1" applyBorder="1" applyProtection="1">
      <protection locked="0"/>
    </xf>
    <xf numFmtId="164" fontId="5" fillId="0" borderId="11" xfId="0" applyNumberFormat="1" applyFont="1" applyBorder="1" applyProtection="1">
      <protection locked="0"/>
    </xf>
    <xf numFmtId="3" fontId="5" fillId="0" borderId="11" xfId="0" applyNumberFormat="1" applyFont="1" applyBorder="1" applyProtection="1">
      <protection locked="0"/>
    </xf>
    <xf numFmtId="9" fontId="5" fillId="0" borderId="10" xfId="2" applyFont="1" applyFill="1" applyBorder="1" applyProtection="1">
      <protection locked="0"/>
    </xf>
    <xf numFmtId="9" fontId="5" fillId="0" borderId="0" xfId="2" applyFont="1" applyFill="1" applyBorder="1" applyProtection="1">
      <protection locked="0"/>
    </xf>
    <xf numFmtId="43" fontId="5" fillId="0" borderId="0" xfId="1" applyFont="1" applyFill="1" applyBorder="1" applyProtection="1">
      <protection locked="0"/>
    </xf>
    <xf numFmtId="9" fontId="5" fillId="0" borderId="11" xfId="2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164" fontId="3" fillId="0" borderId="13" xfId="1" applyNumberFormat="1" applyFont="1" applyFill="1" applyBorder="1" applyProtection="1">
      <protection locked="0"/>
    </xf>
    <xf numFmtId="164" fontId="3" fillId="0" borderId="14" xfId="1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3" fontId="5" fillId="0" borderId="0" xfId="1" applyNumberFormat="1" applyFont="1" applyFill="1" applyBorder="1" applyProtection="1">
      <protection locked="0"/>
    </xf>
    <xf numFmtId="3" fontId="5" fillId="0" borderId="11" xfId="1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5" fillId="0" borderId="4" xfId="0" applyFont="1" applyBorder="1" applyProtection="1">
      <protection locked="0"/>
    </xf>
    <xf numFmtId="164" fontId="5" fillId="0" borderId="5" xfId="0" applyNumberFormat="1" applyFont="1" applyBorder="1" applyProtection="1">
      <protection locked="0"/>
    </xf>
    <xf numFmtId="164" fontId="5" fillId="0" borderId="6" xfId="0" applyNumberFormat="1" applyFont="1" applyBorder="1" applyProtection="1">
      <protection locked="0"/>
    </xf>
    <xf numFmtId="164" fontId="5" fillId="0" borderId="5" xfId="1" applyNumberFormat="1" applyFont="1" applyFill="1" applyBorder="1" applyProtection="1">
      <protection locked="0"/>
    </xf>
    <xf numFmtId="164" fontId="5" fillId="0" borderId="6" xfId="1" applyNumberFormat="1" applyFont="1" applyFill="1" applyBorder="1" applyProtection="1">
      <protection locked="0"/>
    </xf>
    <xf numFmtId="164" fontId="3" fillId="0" borderId="2" xfId="1" applyNumberFormat="1" applyFont="1" applyFill="1" applyBorder="1" applyProtection="1">
      <protection locked="0"/>
    </xf>
    <xf numFmtId="164" fontId="3" fillId="0" borderId="3" xfId="1" applyNumberFormat="1" applyFont="1" applyFill="1" applyBorder="1" applyProtection="1">
      <protection locked="0"/>
    </xf>
    <xf numFmtId="0" fontId="4" fillId="0" borderId="5" xfId="0" applyFont="1" applyBorder="1" applyProtection="1">
      <protection locked="0"/>
    </xf>
    <xf numFmtId="9" fontId="5" fillId="0" borderId="4" xfId="2" applyFont="1" applyFill="1" applyBorder="1" applyProtection="1">
      <protection locked="0"/>
    </xf>
    <xf numFmtId="9" fontId="5" fillId="0" borderId="5" xfId="2" applyFont="1" applyFill="1" applyBorder="1" applyProtection="1">
      <protection locked="0"/>
    </xf>
    <xf numFmtId="9" fontId="5" fillId="0" borderId="6" xfId="2" applyFont="1" applyFill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6" xfId="0" applyFont="1" applyBorder="1" applyProtection="1">
      <protection locked="0"/>
    </xf>
    <xf numFmtId="164" fontId="5" fillId="0" borderId="0" xfId="1" applyNumberFormat="1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3" fontId="5" fillId="0" borderId="0" xfId="0" applyNumberFormat="1" applyFont="1" applyProtection="1">
      <protection locked="0"/>
    </xf>
    <xf numFmtId="0" fontId="5" fillId="0" borderId="15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3" fontId="3" fillId="0" borderId="0" xfId="0" applyNumberFormat="1" applyFont="1" applyProtection="1">
      <protection locked="0"/>
    </xf>
    <xf numFmtId="9" fontId="3" fillId="0" borderId="10" xfId="2" applyFont="1" applyFill="1" applyBorder="1" applyProtection="1">
      <protection locked="0"/>
    </xf>
    <xf numFmtId="9" fontId="3" fillId="0" borderId="0" xfId="2" applyFont="1" applyFill="1" applyBorder="1" applyProtection="1">
      <protection locked="0"/>
    </xf>
    <xf numFmtId="9" fontId="3" fillId="0" borderId="11" xfId="2" applyFont="1" applyFill="1" applyBorder="1" applyProtection="1">
      <protection locked="0"/>
    </xf>
    <xf numFmtId="9" fontId="3" fillId="0" borderId="0" xfId="2" applyFont="1" applyFill="1" applyProtection="1">
      <protection locked="0"/>
    </xf>
    <xf numFmtId="3" fontId="3" fillId="0" borderId="13" xfId="0" applyNumberFormat="1" applyFont="1" applyBorder="1" applyProtection="1">
      <protection locked="0"/>
    </xf>
    <xf numFmtId="9" fontId="3" fillId="0" borderId="12" xfId="2" applyFont="1" applyFill="1" applyBorder="1" applyProtection="1">
      <protection locked="0"/>
    </xf>
    <xf numFmtId="9" fontId="3" fillId="0" borderId="13" xfId="2" applyFont="1" applyFill="1" applyBorder="1" applyProtection="1">
      <protection locked="0"/>
    </xf>
    <xf numFmtId="9" fontId="3" fillId="0" borderId="14" xfId="2" applyFont="1" applyFill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3" fontId="3" fillId="0" borderId="5" xfId="0" applyNumberFormat="1" applyFont="1" applyBorder="1" applyProtection="1">
      <protection locked="0"/>
    </xf>
    <xf numFmtId="3" fontId="3" fillId="0" borderId="6" xfId="0" applyNumberFormat="1" applyFont="1" applyBorder="1" applyProtection="1">
      <protection locked="0"/>
    </xf>
    <xf numFmtId="9" fontId="3" fillId="0" borderId="4" xfId="2" applyFont="1" applyFill="1" applyBorder="1" applyProtection="1">
      <protection locked="0"/>
    </xf>
    <xf numFmtId="9" fontId="3" fillId="0" borderId="5" xfId="2" applyFont="1" applyFill="1" applyBorder="1" applyProtection="1">
      <protection locked="0"/>
    </xf>
    <xf numFmtId="9" fontId="3" fillId="0" borderId="6" xfId="2" applyFont="1" applyFill="1" applyBorder="1" applyProtection="1">
      <protection locked="0"/>
    </xf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3" fontId="3" fillId="0" borderId="2" xfId="1" applyNumberFormat="1" applyFont="1" applyFill="1" applyBorder="1" applyProtection="1">
      <protection locked="0"/>
    </xf>
    <xf numFmtId="3" fontId="3" fillId="0" borderId="3" xfId="1" applyNumberFormat="1" applyFont="1" applyFill="1" applyBorder="1" applyProtection="1">
      <protection locked="0"/>
    </xf>
    <xf numFmtId="9" fontId="3" fillId="0" borderId="1" xfId="2" applyFont="1" applyFill="1" applyBorder="1" applyProtection="1">
      <protection locked="0"/>
    </xf>
    <xf numFmtId="9" fontId="3" fillId="0" borderId="2" xfId="2" applyFont="1" applyFill="1" applyBorder="1" applyProtection="1">
      <protection locked="0"/>
    </xf>
    <xf numFmtId="9" fontId="3" fillId="0" borderId="3" xfId="2" applyFont="1" applyFill="1" applyBorder="1" applyProtection="1">
      <protection locked="0"/>
    </xf>
    <xf numFmtId="164" fontId="3" fillId="0" borderId="0" xfId="1" applyNumberFormat="1" applyFont="1" applyFill="1"/>
    <xf numFmtId="164" fontId="3" fillId="0" borderId="0" xfId="1" applyNumberFormat="1" applyFont="1" applyFill="1" applyBorder="1"/>
    <xf numFmtId="164" fontId="3" fillId="0" borderId="11" xfId="1" applyNumberFormat="1" applyFont="1" applyFill="1" applyBorder="1"/>
    <xf numFmtId="3" fontId="3" fillId="0" borderId="0" xfId="1" applyNumberFormat="1" applyFont="1" applyFill="1" applyBorder="1" applyProtection="1">
      <protection locked="0"/>
    </xf>
    <xf numFmtId="3" fontId="3" fillId="0" borderId="11" xfId="1" applyNumberFormat="1" applyFont="1" applyFill="1" applyBorder="1" applyProtection="1">
      <protection locked="0"/>
    </xf>
    <xf numFmtId="164" fontId="3" fillId="0" borderId="13" xfId="1" applyNumberFormat="1" applyFont="1" applyFill="1" applyBorder="1"/>
    <xf numFmtId="164" fontId="3" fillId="0" borderId="14" xfId="1" applyNumberFormat="1" applyFont="1" applyFill="1" applyBorder="1"/>
    <xf numFmtId="3" fontId="3" fillId="0" borderId="13" xfId="1" applyNumberFormat="1" applyFont="1" applyFill="1" applyBorder="1" applyProtection="1">
      <protection locked="0"/>
    </xf>
    <xf numFmtId="3" fontId="3" fillId="0" borderId="14" xfId="1" applyNumberFormat="1" applyFont="1" applyFill="1" applyBorder="1" applyProtection="1">
      <protection locked="0"/>
    </xf>
    <xf numFmtId="9" fontId="3" fillId="0" borderId="10" xfId="2" quotePrefix="1" applyFont="1" applyFill="1" applyBorder="1" applyProtection="1">
      <protection locked="0"/>
    </xf>
    <xf numFmtId="0" fontId="3" fillId="0" borderId="11" xfId="0" applyFont="1" applyBorder="1" applyProtection="1">
      <protection locked="0"/>
    </xf>
    <xf numFmtId="43" fontId="3" fillId="0" borderId="0" xfId="1" applyFont="1" applyFill="1" applyProtection="1">
      <protection locked="0"/>
    </xf>
    <xf numFmtId="0" fontId="3" fillId="0" borderId="13" xfId="0" applyFont="1" applyBorder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7" fillId="0" borderId="0" xfId="3" applyFont="1" applyAlignment="1">
      <alignment horizontal="left" vertical="center" wrapText="1"/>
    </xf>
    <xf numFmtId="0" fontId="5" fillId="0" borderId="0" xfId="0" applyFont="1" applyAlignment="1" applyProtection="1">
      <alignment horizontal="center" wrapText="1"/>
      <protection locked="0"/>
    </xf>
  </cellXfs>
  <cellStyles count="7">
    <cellStyle name="Comma" xfId="1" builtinId="3"/>
    <cellStyle name="Comma 2" xfId="4" xr:uid="{F3CA8D42-2C1F-49D0-918A-77C9DCE3823D}"/>
    <cellStyle name="Currency 2" xfId="5" xr:uid="{49965683-14E7-48BF-823E-5FAF568EB79A}"/>
    <cellStyle name="Normal" xfId="0" builtinId="0"/>
    <cellStyle name="Normal 2" xfId="3" xr:uid="{B750B6E0-79DB-4B98-9356-22E3297CDD34}"/>
    <cellStyle name="Percent" xfId="2" builtinId="5"/>
    <cellStyle name="Percent 2" xfId="6" xr:uid="{05CF649A-D25E-4F38-8974-17F7D62981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63"/>
  <sheetViews>
    <sheetView tabSelected="1" zoomScaleNormal="100" workbookViewId="0">
      <selection activeCell="N18" sqref="N18"/>
    </sheetView>
  </sheetViews>
  <sheetFormatPr defaultRowHeight="12.45" x14ac:dyDescent="0.3"/>
  <cols>
    <col min="1" max="1" width="26.3046875" style="3" customWidth="1"/>
    <col min="2" max="5" width="11.84375" style="3" customWidth="1"/>
    <col min="6" max="6" width="14" style="3" customWidth="1"/>
    <col min="7" max="9" width="12.84375" style="3" bestFit="1" customWidth="1"/>
    <col min="10" max="10" width="15" style="3" customWidth="1"/>
    <col min="11" max="12" width="12.84375" style="3" customWidth="1"/>
    <col min="13" max="13" width="13.69140625" style="3" customWidth="1"/>
    <col min="14" max="15" width="9.15234375" style="3"/>
    <col min="16" max="16" width="10.3828125" style="3" bestFit="1" customWidth="1"/>
    <col min="17" max="20" width="11.15234375" style="3" customWidth="1"/>
    <col min="21" max="21" width="11.3828125" style="3" customWidth="1"/>
    <col min="22" max="22" width="12.84375" style="3" bestFit="1" customWidth="1"/>
    <col min="23" max="23" width="11.3046875" style="3" bestFit="1" customWidth="1"/>
    <col min="24" max="24" width="12.84375" style="3" bestFit="1" customWidth="1"/>
    <col min="25" max="27" width="12.84375" style="3" customWidth="1"/>
    <col min="28" max="29" width="9.15234375" style="3"/>
    <col min="30" max="30" width="10.3828125" style="3" bestFit="1" customWidth="1"/>
    <col min="31" max="31" width="11.53515625" style="3" customWidth="1"/>
    <col min="32" max="32" width="15" style="3" bestFit="1" customWidth="1"/>
    <col min="33" max="33" width="11.53515625" style="3" customWidth="1"/>
    <col min="34" max="34" width="12.84375" style="3" bestFit="1" customWidth="1"/>
    <col min="35" max="35" width="11" style="3" customWidth="1"/>
    <col min="36" max="36" width="12.84375" style="3" bestFit="1" customWidth="1"/>
    <col min="37" max="37" width="11.3046875" style="3" bestFit="1" customWidth="1"/>
    <col min="38" max="38" width="12.84375" style="3" bestFit="1" customWidth="1"/>
    <col min="39" max="41" width="12.84375" style="3" customWidth="1"/>
    <col min="42" max="43" width="9.15234375" style="3"/>
    <col min="44" max="44" width="10" style="3" bestFit="1" customWidth="1"/>
    <col min="45" max="45" width="11.3828125" style="3" customWidth="1"/>
    <col min="46" max="46" width="15" style="3" bestFit="1" customWidth="1"/>
    <col min="47" max="47" width="11.3828125" style="3" customWidth="1"/>
    <col min="48" max="48" width="12.84375" style="3" bestFit="1" customWidth="1"/>
    <col min="49" max="49" width="11" style="3" customWidth="1"/>
    <col min="50" max="50" width="12.84375" style="3" bestFit="1" customWidth="1"/>
    <col min="51" max="51" width="11.3046875" style="3" bestFit="1" customWidth="1"/>
    <col min="52" max="52" width="12.84375" style="3" bestFit="1" customWidth="1"/>
    <col min="53" max="53" width="11.69140625" style="3" customWidth="1"/>
    <col min="54" max="286" width="9.15234375" style="3"/>
    <col min="287" max="287" width="14" style="3" bestFit="1" customWidth="1"/>
    <col min="288" max="288" width="11.69140625" style="3" bestFit="1" customWidth="1"/>
    <col min="289" max="289" width="10.15234375" style="3" bestFit="1" customWidth="1"/>
    <col min="290" max="290" width="11.69140625" style="3" bestFit="1" customWidth="1"/>
    <col min="291" max="542" width="9.15234375" style="3"/>
    <col min="543" max="543" width="14" style="3" bestFit="1" customWidth="1"/>
    <col min="544" max="544" width="11.69140625" style="3" bestFit="1" customWidth="1"/>
    <col min="545" max="545" width="10.15234375" style="3" bestFit="1" customWidth="1"/>
    <col min="546" max="546" width="11.69140625" style="3" bestFit="1" customWidth="1"/>
    <col min="547" max="798" width="9.15234375" style="3"/>
    <col min="799" max="799" width="14" style="3" bestFit="1" customWidth="1"/>
    <col min="800" max="800" width="11.69140625" style="3" bestFit="1" customWidth="1"/>
    <col min="801" max="801" width="10.15234375" style="3" bestFit="1" customWidth="1"/>
    <col min="802" max="802" width="11.69140625" style="3" bestFit="1" customWidth="1"/>
    <col min="803" max="1054" width="9.15234375" style="3"/>
    <col min="1055" max="1055" width="14" style="3" bestFit="1" customWidth="1"/>
    <col min="1056" max="1056" width="11.69140625" style="3" bestFit="1" customWidth="1"/>
    <col min="1057" max="1057" width="10.15234375" style="3" bestFit="1" customWidth="1"/>
    <col min="1058" max="1058" width="11.69140625" style="3" bestFit="1" customWidth="1"/>
    <col min="1059" max="1310" width="9.15234375" style="3"/>
    <col min="1311" max="1311" width="14" style="3" bestFit="1" customWidth="1"/>
    <col min="1312" max="1312" width="11.69140625" style="3" bestFit="1" customWidth="1"/>
    <col min="1313" max="1313" width="10.15234375" style="3" bestFit="1" customWidth="1"/>
    <col min="1314" max="1314" width="11.69140625" style="3" bestFit="1" customWidth="1"/>
    <col min="1315" max="1566" width="9.15234375" style="3"/>
    <col min="1567" max="1567" width="14" style="3" bestFit="1" customWidth="1"/>
    <col min="1568" max="1568" width="11.69140625" style="3" bestFit="1" customWidth="1"/>
    <col min="1569" max="1569" width="10.15234375" style="3" bestFit="1" customWidth="1"/>
    <col min="1570" max="1570" width="11.69140625" style="3" bestFit="1" customWidth="1"/>
    <col min="1571" max="1822" width="9.15234375" style="3"/>
    <col min="1823" max="1823" width="14" style="3" bestFit="1" customWidth="1"/>
    <col min="1824" max="1824" width="11.69140625" style="3" bestFit="1" customWidth="1"/>
    <col min="1825" max="1825" width="10.15234375" style="3" bestFit="1" customWidth="1"/>
    <col min="1826" max="1826" width="11.69140625" style="3" bestFit="1" customWidth="1"/>
    <col min="1827" max="2078" width="9.15234375" style="3"/>
    <col min="2079" max="2079" width="14" style="3" bestFit="1" customWidth="1"/>
    <col min="2080" max="2080" width="11.69140625" style="3" bestFit="1" customWidth="1"/>
    <col min="2081" max="2081" width="10.15234375" style="3" bestFit="1" customWidth="1"/>
    <col min="2082" max="2082" width="11.69140625" style="3" bestFit="1" customWidth="1"/>
    <col min="2083" max="2334" width="9.15234375" style="3"/>
    <col min="2335" max="2335" width="14" style="3" bestFit="1" customWidth="1"/>
    <col min="2336" max="2336" width="11.69140625" style="3" bestFit="1" customWidth="1"/>
    <col min="2337" max="2337" width="10.15234375" style="3" bestFit="1" customWidth="1"/>
    <col min="2338" max="2338" width="11.69140625" style="3" bestFit="1" customWidth="1"/>
    <col min="2339" max="2590" width="9.15234375" style="3"/>
    <col min="2591" max="2591" width="14" style="3" bestFit="1" customWidth="1"/>
    <col min="2592" max="2592" width="11.69140625" style="3" bestFit="1" customWidth="1"/>
    <col min="2593" max="2593" width="10.15234375" style="3" bestFit="1" customWidth="1"/>
    <col min="2594" max="2594" width="11.69140625" style="3" bestFit="1" customWidth="1"/>
    <col min="2595" max="2846" width="9.15234375" style="3"/>
    <col min="2847" max="2847" width="14" style="3" bestFit="1" customWidth="1"/>
    <col min="2848" max="2848" width="11.69140625" style="3" bestFit="1" customWidth="1"/>
    <col min="2849" max="2849" width="10.15234375" style="3" bestFit="1" customWidth="1"/>
    <col min="2850" max="2850" width="11.69140625" style="3" bestFit="1" customWidth="1"/>
    <col min="2851" max="3102" width="9.15234375" style="3"/>
    <col min="3103" max="3103" width="14" style="3" bestFit="1" customWidth="1"/>
    <col min="3104" max="3104" width="11.69140625" style="3" bestFit="1" customWidth="1"/>
    <col min="3105" max="3105" width="10.15234375" style="3" bestFit="1" customWidth="1"/>
    <col min="3106" max="3106" width="11.69140625" style="3" bestFit="1" customWidth="1"/>
    <col min="3107" max="3358" width="9.15234375" style="3"/>
    <col min="3359" max="3359" width="14" style="3" bestFit="1" customWidth="1"/>
    <col min="3360" max="3360" width="11.69140625" style="3" bestFit="1" customWidth="1"/>
    <col min="3361" max="3361" width="10.15234375" style="3" bestFit="1" customWidth="1"/>
    <col min="3362" max="3362" width="11.69140625" style="3" bestFit="1" customWidth="1"/>
    <col min="3363" max="3614" width="9.15234375" style="3"/>
    <col min="3615" max="3615" width="14" style="3" bestFit="1" customWidth="1"/>
    <col min="3616" max="3616" width="11.69140625" style="3" bestFit="1" customWidth="1"/>
    <col min="3617" max="3617" width="10.15234375" style="3" bestFit="1" customWidth="1"/>
    <col min="3618" max="3618" width="11.69140625" style="3" bestFit="1" customWidth="1"/>
    <col min="3619" max="3870" width="9.15234375" style="3"/>
    <col min="3871" max="3871" width="14" style="3" bestFit="1" customWidth="1"/>
    <col min="3872" max="3872" width="11.69140625" style="3" bestFit="1" customWidth="1"/>
    <col min="3873" max="3873" width="10.15234375" style="3" bestFit="1" customWidth="1"/>
    <col min="3874" max="3874" width="11.69140625" style="3" bestFit="1" customWidth="1"/>
    <col min="3875" max="4126" width="9.15234375" style="3"/>
    <col min="4127" max="4127" width="14" style="3" bestFit="1" customWidth="1"/>
    <col min="4128" max="4128" width="11.69140625" style="3" bestFit="1" customWidth="1"/>
    <col min="4129" max="4129" width="10.15234375" style="3" bestFit="1" customWidth="1"/>
    <col min="4130" max="4130" width="11.69140625" style="3" bestFit="1" customWidth="1"/>
    <col min="4131" max="4382" width="9.15234375" style="3"/>
    <col min="4383" max="4383" width="14" style="3" bestFit="1" customWidth="1"/>
    <col min="4384" max="4384" width="11.69140625" style="3" bestFit="1" customWidth="1"/>
    <col min="4385" max="4385" width="10.15234375" style="3" bestFit="1" customWidth="1"/>
    <col min="4386" max="4386" width="11.69140625" style="3" bestFit="1" customWidth="1"/>
    <col min="4387" max="4638" width="9.15234375" style="3"/>
    <col min="4639" max="4639" width="14" style="3" bestFit="1" customWidth="1"/>
    <col min="4640" max="4640" width="11.69140625" style="3" bestFit="1" customWidth="1"/>
    <col min="4641" max="4641" width="10.15234375" style="3" bestFit="1" customWidth="1"/>
    <col min="4642" max="4642" width="11.69140625" style="3" bestFit="1" customWidth="1"/>
    <col min="4643" max="4894" width="9.15234375" style="3"/>
    <col min="4895" max="4895" width="14" style="3" bestFit="1" customWidth="1"/>
    <col min="4896" max="4896" width="11.69140625" style="3" bestFit="1" customWidth="1"/>
    <col min="4897" max="4897" width="10.15234375" style="3" bestFit="1" customWidth="1"/>
    <col min="4898" max="4898" width="11.69140625" style="3" bestFit="1" customWidth="1"/>
    <col min="4899" max="5150" width="9.15234375" style="3"/>
    <col min="5151" max="5151" width="14" style="3" bestFit="1" customWidth="1"/>
    <col min="5152" max="5152" width="11.69140625" style="3" bestFit="1" customWidth="1"/>
    <col min="5153" max="5153" width="10.15234375" style="3" bestFit="1" customWidth="1"/>
    <col min="5154" max="5154" width="11.69140625" style="3" bestFit="1" customWidth="1"/>
    <col min="5155" max="5406" width="9.15234375" style="3"/>
    <col min="5407" max="5407" width="14" style="3" bestFit="1" customWidth="1"/>
    <col min="5408" max="5408" width="11.69140625" style="3" bestFit="1" customWidth="1"/>
    <col min="5409" max="5409" width="10.15234375" style="3" bestFit="1" customWidth="1"/>
    <col min="5410" max="5410" width="11.69140625" style="3" bestFit="1" customWidth="1"/>
    <col min="5411" max="5662" width="9.15234375" style="3"/>
    <col min="5663" max="5663" width="14" style="3" bestFit="1" customWidth="1"/>
    <col min="5664" max="5664" width="11.69140625" style="3" bestFit="1" customWidth="1"/>
    <col min="5665" max="5665" width="10.15234375" style="3" bestFit="1" customWidth="1"/>
    <col min="5666" max="5666" width="11.69140625" style="3" bestFit="1" customWidth="1"/>
    <col min="5667" max="5918" width="9.15234375" style="3"/>
    <col min="5919" max="5919" width="14" style="3" bestFit="1" customWidth="1"/>
    <col min="5920" max="5920" width="11.69140625" style="3" bestFit="1" customWidth="1"/>
    <col min="5921" max="5921" width="10.15234375" style="3" bestFit="1" customWidth="1"/>
    <col min="5922" max="5922" width="11.69140625" style="3" bestFit="1" customWidth="1"/>
    <col min="5923" max="6174" width="9.15234375" style="3"/>
    <col min="6175" max="6175" width="14" style="3" bestFit="1" customWidth="1"/>
    <col min="6176" max="6176" width="11.69140625" style="3" bestFit="1" customWidth="1"/>
    <col min="6177" max="6177" width="10.15234375" style="3" bestFit="1" customWidth="1"/>
    <col min="6178" max="6178" width="11.69140625" style="3" bestFit="1" customWidth="1"/>
    <col min="6179" max="6430" width="9.15234375" style="3"/>
    <col min="6431" max="6431" width="14" style="3" bestFit="1" customWidth="1"/>
    <col min="6432" max="6432" width="11.69140625" style="3" bestFit="1" customWidth="1"/>
    <col min="6433" max="6433" width="10.15234375" style="3" bestFit="1" customWidth="1"/>
    <col min="6434" max="6434" width="11.69140625" style="3" bestFit="1" customWidth="1"/>
    <col min="6435" max="6686" width="9.15234375" style="3"/>
    <col min="6687" max="6687" width="14" style="3" bestFit="1" customWidth="1"/>
    <col min="6688" max="6688" width="11.69140625" style="3" bestFit="1" customWidth="1"/>
    <col min="6689" max="6689" width="10.15234375" style="3" bestFit="1" customWidth="1"/>
    <col min="6690" max="6690" width="11.69140625" style="3" bestFit="1" customWidth="1"/>
    <col min="6691" max="6942" width="9.15234375" style="3"/>
    <col min="6943" max="6943" width="14" style="3" bestFit="1" customWidth="1"/>
    <col min="6944" max="6944" width="11.69140625" style="3" bestFit="1" customWidth="1"/>
    <col min="6945" max="6945" width="10.15234375" style="3" bestFit="1" customWidth="1"/>
    <col min="6946" max="6946" width="11.69140625" style="3" bestFit="1" customWidth="1"/>
    <col min="6947" max="7198" width="9.15234375" style="3"/>
    <col min="7199" max="7199" width="14" style="3" bestFit="1" customWidth="1"/>
    <col min="7200" max="7200" width="11.69140625" style="3" bestFit="1" customWidth="1"/>
    <col min="7201" max="7201" width="10.15234375" style="3" bestFit="1" customWidth="1"/>
    <col min="7202" max="7202" width="11.69140625" style="3" bestFit="1" customWidth="1"/>
    <col min="7203" max="7454" width="9.15234375" style="3"/>
    <col min="7455" max="7455" width="14" style="3" bestFit="1" customWidth="1"/>
    <col min="7456" max="7456" width="11.69140625" style="3" bestFit="1" customWidth="1"/>
    <col min="7457" max="7457" width="10.15234375" style="3" bestFit="1" customWidth="1"/>
    <col min="7458" max="7458" width="11.69140625" style="3" bestFit="1" customWidth="1"/>
    <col min="7459" max="7710" width="9.15234375" style="3"/>
    <col min="7711" max="7711" width="14" style="3" bestFit="1" customWidth="1"/>
    <col min="7712" max="7712" width="11.69140625" style="3" bestFit="1" customWidth="1"/>
    <col min="7713" max="7713" width="10.15234375" style="3" bestFit="1" customWidth="1"/>
    <col min="7714" max="7714" width="11.69140625" style="3" bestFit="1" customWidth="1"/>
    <col min="7715" max="7966" width="9.15234375" style="3"/>
    <col min="7967" max="7967" width="14" style="3" bestFit="1" customWidth="1"/>
    <col min="7968" max="7968" width="11.69140625" style="3" bestFit="1" customWidth="1"/>
    <col min="7969" max="7969" width="10.15234375" style="3" bestFit="1" customWidth="1"/>
    <col min="7970" max="7970" width="11.69140625" style="3" bestFit="1" customWidth="1"/>
    <col min="7971" max="8222" width="9.15234375" style="3"/>
    <col min="8223" max="8223" width="14" style="3" bestFit="1" customWidth="1"/>
    <col min="8224" max="8224" width="11.69140625" style="3" bestFit="1" customWidth="1"/>
    <col min="8225" max="8225" width="10.15234375" style="3" bestFit="1" customWidth="1"/>
    <col min="8226" max="8226" width="11.69140625" style="3" bestFit="1" customWidth="1"/>
    <col min="8227" max="8478" width="9.15234375" style="3"/>
    <col min="8479" max="8479" width="14" style="3" bestFit="1" customWidth="1"/>
    <col min="8480" max="8480" width="11.69140625" style="3" bestFit="1" customWidth="1"/>
    <col min="8481" max="8481" width="10.15234375" style="3" bestFit="1" customWidth="1"/>
    <col min="8482" max="8482" width="11.69140625" style="3" bestFit="1" customWidth="1"/>
    <col min="8483" max="8734" width="9.15234375" style="3"/>
    <col min="8735" max="8735" width="14" style="3" bestFit="1" customWidth="1"/>
    <col min="8736" max="8736" width="11.69140625" style="3" bestFit="1" customWidth="1"/>
    <col min="8737" max="8737" width="10.15234375" style="3" bestFit="1" customWidth="1"/>
    <col min="8738" max="8738" width="11.69140625" style="3" bestFit="1" customWidth="1"/>
    <col min="8739" max="8990" width="9.15234375" style="3"/>
    <col min="8991" max="8991" width="14" style="3" bestFit="1" customWidth="1"/>
    <col min="8992" max="8992" width="11.69140625" style="3" bestFit="1" customWidth="1"/>
    <col min="8993" max="8993" width="10.15234375" style="3" bestFit="1" customWidth="1"/>
    <col min="8994" max="8994" width="11.69140625" style="3" bestFit="1" customWidth="1"/>
    <col min="8995" max="9246" width="9.15234375" style="3"/>
    <col min="9247" max="9247" width="14" style="3" bestFit="1" customWidth="1"/>
    <col min="9248" max="9248" width="11.69140625" style="3" bestFit="1" customWidth="1"/>
    <col min="9249" max="9249" width="10.15234375" style="3" bestFit="1" customWidth="1"/>
    <col min="9250" max="9250" width="11.69140625" style="3" bestFit="1" customWidth="1"/>
    <col min="9251" max="9502" width="9.15234375" style="3"/>
    <col min="9503" max="9503" width="14" style="3" bestFit="1" customWidth="1"/>
    <col min="9504" max="9504" width="11.69140625" style="3" bestFit="1" customWidth="1"/>
    <col min="9505" max="9505" width="10.15234375" style="3" bestFit="1" customWidth="1"/>
    <col min="9506" max="9506" width="11.69140625" style="3" bestFit="1" customWidth="1"/>
    <col min="9507" max="9758" width="9.15234375" style="3"/>
    <col min="9759" max="9759" width="14" style="3" bestFit="1" customWidth="1"/>
    <col min="9760" max="9760" width="11.69140625" style="3" bestFit="1" customWidth="1"/>
    <col min="9761" max="9761" width="10.15234375" style="3" bestFit="1" customWidth="1"/>
    <col min="9762" max="9762" width="11.69140625" style="3" bestFit="1" customWidth="1"/>
    <col min="9763" max="10014" width="9.15234375" style="3"/>
    <col min="10015" max="10015" width="14" style="3" bestFit="1" customWidth="1"/>
    <col min="10016" max="10016" width="11.69140625" style="3" bestFit="1" customWidth="1"/>
    <col min="10017" max="10017" width="10.15234375" style="3" bestFit="1" customWidth="1"/>
    <col min="10018" max="10018" width="11.69140625" style="3" bestFit="1" customWidth="1"/>
    <col min="10019" max="10270" width="9.15234375" style="3"/>
    <col min="10271" max="10271" width="14" style="3" bestFit="1" customWidth="1"/>
    <col min="10272" max="10272" width="11.69140625" style="3" bestFit="1" customWidth="1"/>
    <col min="10273" max="10273" width="10.15234375" style="3" bestFit="1" customWidth="1"/>
    <col min="10274" max="10274" width="11.69140625" style="3" bestFit="1" customWidth="1"/>
    <col min="10275" max="10526" width="9.15234375" style="3"/>
    <col min="10527" max="10527" width="14" style="3" bestFit="1" customWidth="1"/>
    <col min="10528" max="10528" width="11.69140625" style="3" bestFit="1" customWidth="1"/>
    <col min="10529" max="10529" width="10.15234375" style="3" bestFit="1" customWidth="1"/>
    <col min="10530" max="10530" width="11.69140625" style="3" bestFit="1" customWidth="1"/>
    <col min="10531" max="10782" width="9.15234375" style="3"/>
    <col min="10783" max="10783" width="14" style="3" bestFit="1" customWidth="1"/>
    <col min="10784" max="10784" width="11.69140625" style="3" bestFit="1" customWidth="1"/>
    <col min="10785" max="10785" width="10.15234375" style="3" bestFit="1" customWidth="1"/>
    <col min="10786" max="10786" width="11.69140625" style="3" bestFit="1" customWidth="1"/>
    <col min="10787" max="11038" width="9.15234375" style="3"/>
    <col min="11039" max="11039" width="14" style="3" bestFit="1" customWidth="1"/>
    <col min="11040" max="11040" width="11.69140625" style="3" bestFit="1" customWidth="1"/>
    <col min="11041" max="11041" width="10.15234375" style="3" bestFit="1" customWidth="1"/>
    <col min="11042" max="11042" width="11.69140625" style="3" bestFit="1" customWidth="1"/>
    <col min="11043" max="11294" width="9.15234375" style="3"/>
    <col min="11295" max="11295" width="14" style="3" bestFit="1" customWidth="1"/>
    <col min="11296" max="11296" width="11.69140625" style="3" bestFit="1" customWidth="1"/>
    <col min="11297" max="11297" width="10.15234375" style="3" bestFit="1" customWidth="1"/>
    <col min="11298" max="11298" width="11.69140625" style="3" bestFit="1" customWidth="1"/>
    <col min="11299" max="11550" width="9.15234375" style="3"/>
    <col min="11551" max="11551" width="14" style="3" bestFit="1" customWidth="1"/>
    <col min="11552" max="11552" width="11.69140625" style="3" bestFit="1" customWidth="1"/>
    <col min="11553" max="11553" width="10.15234375" style="3" bestFit="1" customWidth="1"/>
    <col min="11554" max="11554" width="11.69140625" style="3" bestFit="1" customWidth="1"/>
    <col min="11555" max="11806" width="9.15234375" style="3"/>
    <col min="11807" max="11807" width="14" style="3" bestFit="1" customWidth="1"/>
    <col min="11808" max="11808" width="11.69140625" style="3" bestFit="1" customWidth="1"/>
    <col min="11809" max="11809" width="10.15234375" style="3" bestFit="1" customWidth="1"/>
    <col min="11810" max="11810" width="11.69140625" style="3" bestFit="1" customWidth="1"/>
    <col min="11811" max="12062" width="9.15234375" style="3"/>
    <col min="12063" max="12063" width="14" style="3" bestFit="1" customWidth="1"/>
    <col min="12064" max="12064" width="11.69140625" style="3" bestFit="1" customWidth="1"/>
    <col min="12065" max="12065" width="10.15234375" style="3" bestFit="1" customWidth="1"/>
    <col min="12066" max="12066" width="11.69140625" style="3" bestFit="1" customWidth="1"/>
    <col min="12067" max="12318" width="9.15234375" style="3"/>
    <col min="12319" max="12319" width="14" style="3" bestFit="1" customWidth="1"/>
    <col min="12320" max="12320" width="11.69140625" style="3" bestFit="1" customWidth="1"/>
    <col min="12321" max="12321" width="10.15234375" style="3" bestFit="1" customWidth="1"/>
    <col min="12322" max="12322" width="11.69140625" style="3" bestFit="1" customWidth="1"/>
    <col min="12323" max="12574" width="9.15234375" style="3"/>
    <col min="12575" max="12575" width="14" style="3" bestFit="1" customWidth="1"/>
    <col min="12576" max="12576" width="11.69140625" style="3" bestFit="1" customWidth="1"/>
    <col min="12577" max="12577" width="10.15234375" style="3" bestFit="1" customWidth="1"/>
    <col min="12578" max="12578" width="11.69140625" style="3" bestFit="1" customWidth="1"/>
    <col min="12579" max="12830" width="9.15234375" style="3"/>
    <col min="12831" max="12831" width="14" style="3" bestFit="1" customWidth="1"/>
    <col min="12832" max="12832" width="11.69140625" style="3" bestFit="1" customWidth="1"/>
    <col min="12833" max="12833" width="10.15234375" style="3" bestFit="1" customWidth="1"/>
    <col min="12834" max="12834" width="11.69140625" style="3" bestFit="1" customWidth="1"/>
    <col min="12835" max="13086" width="9.15234375" style="3"/>
    <col min="13087" max="13087" width="14" style="3" bestFit="1" customWidth="1"/>
    <col min="13088" max="13088" width="11.69140625" style="3" bestFit="1" customWidth="1"/>
    <col min="13089" max="13089" width="10.15234375" style="3" bestFit="1" customWidth="1"/>
    <col min="13090" max="13090" width="11.69140625" style="3" bestFit="1" customWidth="1"/>
    <col min="13091" max="13342" width="9.15234375" style="3"/>
    <col min="13343" max="13343" width="14" style="3" bestFit="1" customWidth="1"/>
    <col min="13344" max="13344" width="11.69140625" style="3" bestFit="1" customWidth="1"/>
    <col min="13345" max="13345" width="10.15234375" style="3" bestFit="1" customWidth="1"/>
    <col min="13346" max="13346" width="11.69140625" style="3" bestFit="1" customWidth="1"/>
    <col min="13347" max="13598" width="9.15234375" style="3"/>
    <col min="13599" max="13599" width="14" style="3" bestFit="1" customWidth="1"/>
    <col min="13600" max="13600" width="11.69140625" style="3" bestFit="1" customWidth="1"/>
    <col min="13601" max="13601" width="10.15234375" style="3" bestFit="1" customWidth="1"/>
    <col min="13602" max="13602" width="11.69140625" style="3" bestFit="1" customWidth="1"/>
    <col min="13603" max="13854" width="9.15234375" style="3"/>
    <col min="13855" max="13855" width="14" style="3" bestFit="1" customWidth="1"/>
    <col min="13856" max="13856" width="11.69140625" style="3" bestFit="1" customWidth="1"/>
    <col min="13857" max="13857" width="10.15234375" style="3" bestFit="1" customWidth="1"/>
    <col min="13858" max="13858" width="11.69140625" style="3" bestFit="1" customWidth="1"/>
    <col min="13859" max="14110" width="9.15234375" style="3"/>
    <col min="14111" max="14111" width="14" style="3" bestFit="1" customWidth="1"/>
    <col min="14112" max="14112" width="11.69140625" style="3" bestFit="1" customWidth="1"/>
    <col min="14113" max="14113" width="10.15234375" style="3" bestFit="1" customWidth="1"/>
    <col min="14114" max="14114" width="11.69140625" style="3" bestFit="1" customWidth="1"/>
    <col min="14115" max="14366" width="9.15234375" style="3"/>
    <col min="14367" max="14367" width="14" style="3" bestFit="1" customWidth="1"/>
    <col min="14368" max="14368" width="11.69140625" style="3" bestFit="1" customWidth="1"/>
    <col min="14369" max="14369" width="10.15234375" style="3" bestFit="1" customWidth="1"/>
    <col min="14370" max="14370" width="11.69140625" style="3" bestFit="1" customWidth="1"/>
    <col min="14371" max="14622" width="9.15234375" style="3"/>
    <col min="14623" max="14623" width="14" style="3" bestFit="1" customWidth="1"/>
    <col min="14624" max="14624" width="11.69140625" style="3" bestFit="1" customWidth="1"/>
    <col min="14625" max="14625" width="10.15234375" style="3" bestFit="1" customWidth="1"/>
    <col min="14626" max="14626" width="11.69140625" style="3" bestFit="1" customWidth="1"/>
    <col min="14627" max="14878" width="9.15234375" style="3"/>
    <col min="14879" max="14879" width="14" style="3" bestFit="1" customWidth="1"/>
    <col min="14880" max="14880" width="11.69140625" style="3" bestFit="1" customWidth="1"/>
    <col min="14881" max="14881" width="10.15234375" style="3" bestFit="1" customWidth="1"/>
    <col min="14882" max="14882" width="11.69140625" style="3" bestFit="1" customWidth="1"/>
    <col min="14883" max="15134" width="9.15234375" style="3"/>
    <col min="15135" max="15135" width="14" style="3" bestFit="1" customWidth="1"/>
    <col min="15136" max="15136" width="11.69140625" style="3" bestFit="1" customWidth="1"/>
    <col min="15137" max="15137" width="10.15234375" style="3" bestFit="1" customWidth="1"/>
    <col min="15138" max="15138" width="11.69140625" style="3" bestFit="1" customWidth="1"/>
    <col min="15139" max="15390" width="9.15234375" style="3"/>
    <col min="15391" max="15391" width="14" style="3" bestFit="1" customWidth="1"/>
    <col min="15392" max="15392" width="11.69140625" style="3" bestFit="1" customWidth="1"/>
    <col min="15393" max="15393" width="10.15234375" style="3" bestFit="1" customWidth="1"/>
    <col min="15394" max="15394" width="11.69140625" style="3" bestFit="1" customWidth="1"/>
    <col min="15395" max="15646" width="9.15234375" style="3"/>
    <col min="15647" max="15647" width="14" style="3" bestFit="1" customWidth="1"/>
    <col min="15648" max="15648" width="11.69140625" style="3" bestFit="1" customWidth="1"/>
    <col min="15649" max="15649" width="10.15234375" style="3" bestFit="1" customWidth="1"/>
    <col min="15650" max="15650" width="11.69140625" style="3" bestFit="1" customWidth="1"/>
    <col min="15651" max="15902" width="9.15234375" style="3"/>
    <col min="15903" max="15903" width="14" style="3" bestFit="1" customWidth="1"/>
    <col min="15904" max="15904" width="11.69140625" style="3" bestFit="1" customWidth="1"/>
    <col min="15905" max="15905" width="10.15234375" style="3" bestFit="1" customWidth="1"/>
    <col min="15906" max="15906" width="11.69140625" style="3" bestFit="1" customWidth="1"/>
    <col min="15907" max="16158" width="9.15234375" style="3"/>
    <col min="16159" max="16159" width="14" style="3" bestFit="1" customWidth="1"/>
    <col min="16160" max="16160" width="11.69140625" style="3" bestFit="1" customWidth="1"/>
    <col min="16161" max="16161" width="10.15234375" style="3" bestFit="1" customWidth="1"/>
    <col min="16162" max="16162" width="11.69140625" style="3" bestFit="1" customWidth="1"/>
    <col min="16163" max="16384" width="9.15234375" style="3"/>
  </cols>
  <sheetData>
    <row r="1" spans="1:42" x14ac:dyDescent="0.3">
      <c r="A1" s="105" t="s">
        <v>27</v>
      </c>
      <c r="B1" s="105"/>
      <c r="C1" s="105"/>
      <c r="D1" s="105"/>
      <c r="E1" s="105"/>
      <c r="F1" s="105"/>
      <c r="G1" s="105"/>
      <c r="H1" s="105"/>
      <c r="I1" s="105"/>
      <c r="J1" s="99" t="s">
        <v>26</v>
      </c>
      <c r="K1" s="99"/>
      <c r="L1" s="99"/>
      <c r="M1" s="99"/>
    </row>
    <row r="2" spans="1:42" x14ac:dyDescent="0.3">
      <c r="A2" s="5" t="s">
        <v>28</v>
      </c>
    </row>
    <row r="3" spans="1:42" x14ac:dyDescent="0.3">
      <c r="A3" s="5" t="s">
        <v>20</v>
      </c>
    </row>
    <row r="4" spans="1:42" x14ac:dyDescent="0.3">
      <c r="A4" s="5"/>
    </row>
    <row r="5" spans="1:42" x14ac:dyDescent="0.3">
      <c r="A5" s="5"/>
    </row>
    <row r="6" spans="1:42" ht="12.9" thickBot="1" x14ac:dyDescent="0.35"/>
    <row r="7" spans="1:42" x14ac:dyDescent="0.3">
      <c r="A7" s="95" t="s">
        <v>29</v>
      </c>
      <c r="B7" s="55"/>
      <c r="C7" s="55"/>
      <c r="D7" s="55"/>
      <c r="E7" s="55"/>
      <c r="F7" s="56"/>
      <c r="G7" s="56"/>
      <c r="H7" s="56"/>
      <c r="I7" s="56"/>
      <c r="J7" s="56"/>
      <c r="K7" s="56"/>
      <c r="L7" s="56"/>
      <c r="M7" s="57"/>
      <c r="AD7" s="5"/>
      <c r="AE7" s="5"/>
      <c r="AF7" s="5"/>
      <c r="AG7" s="5"/>
      <c r="AH7" s="5"/>
    </row>
    <row r="8" spans="1:42" ht="18.75" customHeight="1" thickBot="1" x14ac:dyDescent="0.35">
      <c r="A8" s="9"/>
      <c r="B8" s="97" t="s">
        <v>16</v>
      </c>
      <c r="C8" s="97"/>
      <c r="D8" s="97"/>
      <c r="E8" s="97"/>
      <c r="F8" s="97" t="s">
        <v>17</v>
      </c>
      <c r="G8" s="97"/>
      <c r="H8" s="97"/>
      <c r="I8" s="97"/>
      <c r="J8" s="97" t="s">
        <v>18</v>
      </c>
      <c r="K8" s="97"/>
      <c r="L8" s="97"/>
      <c r="M8" s="98"/>
      <c r="AD8" s="2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</row>
    <row r="9" spans="1:42" ht="18.75" customHeight="1" thickBot="1" x14ac:dyDescent="0.35">
      <c r="A9" s="11"/>
      <c r="B9" s="10"/>
      <c r="C9" s="12"/>
      <c r="D9" s="12"/>
      <c r="E9" s="13"/>
      <c r="F9" s="10"/>
      <c r="G9" s="12"/>
      <c r="H9" s="12"/>
      <c r="I9" s="13"/>
      <c r="J9" s="100" t="s">
        <v>23</v>
      </c>
      <c r="K9" s="101"/>
      <c r="L9" s="101"/>
      <c r="M9" s="102"/>
      <c r="AD9" s="2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49.5" customHeight="1" x14ac:dyDescent="0.3">
      <c r="A10" s="2" t="s">
        <v>21</v>
      </c>
      <c r="B10" s="14" t="s">
        <v>15</v>
      </c>
      <c r="C10" s="1" t="s">
        <v>0</v>
      </c>
      <c r="D10" s="1" t="s">
        <v>1</v>
      </c>
      <c r="E10" s="15" t="s">
        <v>2</v>
      </c>
      <c r="F10" s="14" t="s">
        <v>15</v>
      </c>
      <c r="G10" s="1" t="s">
        <v>0</v>
      </c>
      <c r="H10" s="1" t="s">
        <v>1</v>
      </c>
      <c r="I10" s="15" t="s">
        <v>2</v>
      </c>
      <c r="J10" s="14" t="s">
        <v>15</v>
      </c>
      <c r="K10" s="1" t="s">
        <v>0</v>
      </c>
      <c r="L10" s="1" t="s">
        <v>1</v>
      </c>
      <c r="M10" s="15" t="s">
        <v>2</v>
      </c>
      <c r="AD10" s="2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2.75" customHeight="1" x14ac:dyDescent="0.3">
      <c r="A11" s="2"/>
      <c r="B11" s="14"/>
      <c r="C11" s="1"/>
      <c r="D11" s="1"/>
      <c r="E11" s="15"/>
      <c r="F11" s="14"/>
      <c r="G11" s="1"/>
      <c r="H11" s="1"/>
      <c r="I11" s="15"/>
      <c r="J11" s="14"/>
      <c r="K11" s="1"/>
      <c r="L11" s="1"/>
      <c r="M11" s="15"/>
      <c r="AD11" s="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x14ac:dyDescent="0.3">
      <c r="A12" s="3" t="s">
        <v>14</v>
      </c>
      <c r="B12" s="16">
        <v>1</v>
      </c>
      <c r="C12" s="17">
        <v>16666</v>
      </c>
      <c r="D12" s="17">
        <v>0</v>
      </c>
      <c r="E12" s="18">
        <f>C12+D12</f>
        <v>16666</v>
      </c>
      <c r="F12" s="16">
        <v>1</v>
      </c>
      <c r="G12" s="58">
        <v>16635</v>
      </c>
      <c r="H12" s="17">
        <v>0</v>
      </c>
      <c r="I12" s="18">
        <f>G12+H12</f>
        <v>16635</v>
      </c>
      <c r="J12" s="59">
        <f t="shared" ref="J12:J23" si="0">(F12-B12)/B12</f>
        <v>0</v>
      </c>
      <c r="K12" s="60">
        <f t="shared" ref="K12:K23" si="1">(G12-C12)/C12</f>
        <v>-1.860074402976119E-3</v>
      </c>
      <c r="L12" s="60">
        <v>0</v>
      </c>
      <c r="M12" s="61">
        <f t="shared" ref="M12:M23" si="2">(I12-E12)/E12</f>
        <v>-1.860074402976119E-3</v>
      </c>
      <c r="AF12" s="4"/>
      <c r="AG12" s="4"/>
      <c r="AH12" s="4"/>
      <c r="AJ12" s="4"/>
      <c r="AK12" s="4"/>
      <c r="AL12" s="4"/>
      <c r="AM12" s="62"/>
      <c r="AN12" s="62"/>
      <c r="AO12" s="62"/>
      <c r="AP12" s="62"/>
    </row>
    <row r="13" spans="1:42" x14ac:dyDescent="0.3">
      <c r="A13" s="3" t="s">
        <v>3</v>
      </c>
      <c r="B13" s="16">
        <v>1</v>
      </c>
      <c r="C13" s="17">
        <v>16666</v>
      </c>
      <c r="D13" s="17">
        <v>0</v>
      </c>
      <c r="E13" s="18">
        <f t="shared" ref="E13:E23" si="3">C13+D13</f>
        <v>16666</v>
      </c>
      <c r="F13" s="16">
        <v>1</v>
      </c>
      <c r="G13" s="58">
        <v>15385</v>
      </c>
      <c r="H13" s="17">
        <v>0</v>
      </c>
      <c r="I13" s="18">
        <f>G13+H13</f>
        <v>15385</v>
      </c>
      <c r="J13" s="59">
        <f t="shared" si="0"/>
        <v>0</v>
      </c>
      <c r="K13" s="60">
        <f t="shared" si="1"/>
        <v>-7.6863074522980926E-2</v>
      </c>
      <c r="L13" s="60">
        <v>0</v>
      </c>
      <c r="M13" s="61">
        <f t="shared" si="2"/>
        <v>-7.6863074522980926E-2</v>
      </c>
      <c r="AF13" s="4"/>
      <c r="AG13" s="4"/>
      <c r="AH13" s="4"/>
      <c r="AJ13" s="4"/>
      <c r="AK13" s="4"/>
      <c r="AL13" s="4"/>
      <c r="AM13" s="62"/>
      <c r="AN13" s="62"/>
      <c r="AO13" s="62"/>
      <c r="AP13" s="62"/>
    </row>
    <row r="14" spans="1:42" x14ac:dyDescent="0.3">
      <c r="A14" s="3" t="s">
        <v>4</v>
      </c>
      <c r="B14" s="16">
        <v>1</v>
      </c>
      <c r="C14" s="17">
        <v>16666</v>
      </c>
      <c r="D14" s="17">
        <v>0</v>
      </c>
      <c r="E14" s="18">
        <f t="shared" si="3"/>
        <v>16666</v>
      </c>
      <c r="F14" s="16">
        <v>1</v>
      </c>
      <c r="G14" s="58">
        <v>17981</v>
      </c>
      <c r="H14" s="17">
        <v>0</v>
      </c>
      <c r="I14" s="18">
        <f t="shared" ref="I14:I23" si="4">G14+H14</f>
        <v>17981</v>
      </c>
      <c r="J14" s="59">
        <f t="shared" si="0"/>
        <v>0</v>
      </c>
      <c r="K14" s="60">
        <f t="shared" si="1"/>
        <v>7.8903156126245044E-2</v>
      </c>
      <c r="L14" s="60">
        <v>0</v>
      </c>
      <c r="M14" s="61">
        <f t="shared" si="2"/>
        <v>7.8903156126245044E-2</v>
      </c>
      <c r="AF14" s="4"/>
      <c r="AG14" s="4"/>
      <c r="AH14" s="4"/>
      <c r="AJ14" s="4"/>
      <c r="AK14" s="4"/>
      <c r="AL14" s="4"/>
      <c r="AM14" s="62"/>
      <c r="AN14" s="62"/>
      <c r="AO14" s="62"/>
      <c r="AP14" s="62"/>
    </row>
    <row r="15" spans="1:42" x14ac:dyDescent="0.3">
      <c r="A15" s="3" t="s">
        <v>5</v>
      </c>
      <c r="B15" s="16">
        <v>1</v>
      </c>
      <c r="C15" s="17">
        <v>16666</v>
      </c>
      <c r="D15" s="17">
        <v>0</v>
      </c>
      <c r="E15" s="18">
        <f t="shared" si="3"/>
        <v>16666</v>
      </c>
      <c r="F15" s="16">
        <v>1</v>
      </c>
      <c r="G15" s="58">
        <v>15385</v>
      </c>
      <c r="H15" s="17">
        <v>0</v>
      </c>
      <c r="I15" s="18">
        <f t="shared" si="4"/>
        <v>15385</v>
      </c>
      <c r="J15" s="59">
        <f t="shared" si="0"/>
        <v>0</v>
      </c>
      <c r="K15" s="60">
        <f t="shared" si="1"/>
        <v>-7.6863074522980926E-2</v>
      </c>
      <c r="L15" s="60">
        <v>0</v>
      </c>
      <c r="M15" s="61">
        <f t="shared" si="2"/>
        <v>-7.6863074522980926E-2</v>
      </c>
      <c r="AF15" s="4"/>
      <c r="AG15" s="4"/>
      <c r="AH15" s="4"/>
      <c r="AJ15" s="4"/>
      <c r="AK15" s="4"/>
      <c r="AL15" s="4"/>
      <c r="AM15" s="62"/>
      <c r="AN15" s="62"/>
      <c r="AO15" s="62"/>
      <c r="AP15" s="62"/>
    </row>
    <row r="16" spans="1:42" x14ac:dyDescent="0.3">
      <c r="A16" s="3" t="s">
        <v>6</v>
      </c>
      <c r="B16" s="16">
        <v>1</v>
      </c>
      <c r="C16" s="17">
        <v>16666</v>
      </c>
      <c r="D16" s="17">
        <v>0</v>
      </c>
      <c r="E16" s="18">
        <f t="shared" si="3"/>
        <v>16666</v>
      </c>
      <c r="F16" s="16">
        <v>1</v>
      </c>
      <c r="G16" s="58">
        <v>17115</v>
      </c>
      <c r="H16" s="17">
        <v>0</v>
      </c>
      <c r="I16" s="18">
        <f t="shared" si="4"/>
        <v>17115</v>
      </c>
      <c r="J16" s="59">
        <f t="shared" si="0"/>
        <v>0</v>
      </c>
      <c r="K16" s="60">
        <f t="shared" si="1"/>
        <v>2.6941077643105726E-2</v>
      </c>
      <c r="L16" s="60">
        <v>0</v>
      </c>
      <c r="M16" s="61">
        <f t="shared" si="2"/>
        <v>2.6941077643105726E-2</v>
      </c>
      <c r="AF16" s="4"/>
      <c r="AG16" s="4"/>
      <c r="AH16" s="4"/>
      <c r="AJ16" s="4"/>
      <c r="AK16" s="4"/>
      <c r="AL16" s="4"/>
      <c r="AM16" s="62"/>
      <c r="AN16" s="62"/>
      <c r="AO16" s="62"/>
      <c r="AP16" s="62"/>
    </row>
    <row r="17" spans="1:42" x14ac:dyDescent="0.3">
      <c r="A17" s="3" t="s">
        <v>7</v>
      </c>
      <c r="B17" s="16">
        <v>1</v>
      </c>
      <c r="C17" s="17">
        <v>16666</v>
      </c>
      <c r="D17" s="17">
        <v>0</v>
      </c>
      <c r="E17" s="18">
        <f t="shared" si="3"/>
        <v>16666</v>
      </c>
      <c r="F17" s="16">
        <v>1</v>
      </c>
      <c r="G17" s="58">
        <v>17115</v>
      </c>
      <c r="H17" s="17">
        <v>0</v>
      </c>
      <c r="I17" s="18">
        <f t="shared" si="4"/>
        <v>17115</v>
      </c>
      <c r="J17" s="59">
        <f t="shared" si="0"/>
        <v>0</v>
      </c>
      <c r="K17" s="60">
        <f t="shared" si="1"/>
        <v>2.6941077643105726E-2</v>
      </c>
      <c r="L17" s="60">
        <v>0</v>
      </c>
      <c r="M17" s="61">
        <f t="shared" si="2"/>
        <v>2.6941077643105726E-2</v>
      </c>
      <c r="AF17" s="4"/>
      <c r="AG17" s="4"/>
      <c r="AH17" s="4"/>
      <c r="AJ17" s="4"/>
      <c r="AK17" s="4"/>
      <c r="AL17" s="4"/>
      <c r="AM17" s="62"/>
      <c r="AN17" s="62"/>
      <c r="AO17" s="62"/>
      <c r="AP17" s="62"/>
    </row>
    <row r="18" spans="1:42" x14ac:dyDescent="0.3">
      <c r="A18" s="3" t="s">
        <v>8</v>
      </c>
      <c r="B18" s="16">
        <v>2</v>
      </c>
      <c r="C18" s="17">
        <v>16666</v>
      </c>
      <c r="D18" s="17">
        <v>0</v>
      </c>
      <c r="E18" s="18">
        <f t="shared" si="3"/>
        <v>16666</v>
      </c>
      <c r="F18" s="16">
        <v>1</v>
      </c>
      <c r="G18" s="58">
        <f>4231+11885</f>
        <v>16116</v>
      </c>
      <c r="H18" s="17">
        <v>0</v>
      </c>
      <c r="I18" s="18">
        <f t="shared" si="4"/>
        <v>16116</v>
      </c>
      <c r="J18" s="59">
        <f t="shared" si="0"/>
        <v>-0.5</v>
      </c>
      <c r="K18" s="60">
        <f t="shared" si="1"/>
        <v>-3.3001320052802111E-2</v>
      </c>
      <c r="L18" s="60">
        <v>0</v>
      </c>
      <c r="M18" s="61">
        <f t="shared" si="2"/>
        <v>-3.3001320052802111E-2</v>
      </c>
      <c r="AF18" s="4"/>
      <c r="AG18" s="4"/>
      <c r="AH18" s="4"/>
      <c r="AJ18" s="4"/>
      <c r="AK18" s="4"/>
      <c r="AL18" s="4"/>
      <c r="AM18" s="62"/>
      <c r="AN18" s="62"/>
      <c r="AO18" s="62"/>
      <c r="AP18" s="62"/>
    </row>
    <row r="19" spans="1:42" x14ac:dyDescent="0.3">
      <c r="A19" s="3" t="s">
        <v>9</v>
      </c>
      <c r="B19" s="16">
        <v>1</v>
      </c>
      <c r="C19" s="17">
        <v>16666</v>
      </c>
      <c r="D19" s="17">
        <v>0</v>
      </c>
      <c r="E19" s="18">
        <f t="shared" si="3"/>
        <v>16666</v>
      </c>
      <c r="F19" s="16">
        <v>1</v>
      </c>
      <c r="G19" s="58">
        <v>13935</v>
      </c>
      <c r="H19" s="17">
        <v>0</v>
      </c>
      <c r="I19" s="18">
        <f t="shared" si="4"/>
        <v>13935</v>
      </c>
      <c r="J19" s="59">
        <f t="shared" si="0"/>
        <v>0</v>
      </c>
      <c r="K19" s="60">
        <f t="shared" si="1"/>
        <v>-0.1638665546621865</v>
      </c>
      <c r="L19" s="60">
        <v>0</v>
      </c>
      <c r="M19" s="61">
        <f t="shared" si="2"/>
        <v>-0.1638665546621865</v>
      </c>
      <c r="AF19" s="4"/>
      <c r="AG19" s="4"/>
      <c r="AH19" s="4"/>
      <c r="AJ19" s="4"/>
      <c r="AK19" s="4"/>
      <c r="AL19" s="4"/>
      <c r="AM19" s="62"/>
      <c r="AN19" s="62"/>
      <c r="AO19" s="62"/>
      <c r="AP19" s="62"/>
    </row>
    <row r="20" spans="1:42" x14ac:dyDescent="0.3">
      <c r="A20" s="3" t="s">
        <v>10</v>
      </c>
      <c r="B20" s="16">
        <v>1</v>
      </c>
      <c r="C20" s="17">
        <v>16666</v>
      </c>
      <c r="D20" s="17">
        <v>0</v>
      </c>
      <c r="E20" s="18">
        <f t="shared" si="3"/>
        <v>16666</v>
      </c>
      <c r="F20" s="16">
        <v>1</v>
      </c>
      <c r="G20" s="58">
        <v>12594</v>
      </c>
      <c r="H20" s="17">
        <v>0</v>
      </c>
      <c r="I20" s="18">
        <f t="shared" si="4"/>
        <v>12594</v>
      </c>
      <c r="J20" s="59">
        <f t="shared" si="0"/>
        <v>0</v>
      </c>
      <c r="K20" s="60">
        <f t="shared" si="1"/>
        <v>-0.24432977319092763</v>
      </c>
      <c r="L20" s="60">
        <v>0</v>
      </c>
      <c r="M20" s="61">
        <f t="shared" si="2"/>
        <v>-0.24432977319092763</v>
      </c>
      <c r="AF20" s="4"/>
      <c r="AG20" s="4"/>
      <c r="AH20" s="4"/>
      <c r="AJ20" s="4"/>
      <c r="AK20" s="4"/>
      <c r="AL20" s="4"/>
      <c r="AM20" s="62"/>
      <c r="AN20" s="62"/>
      <c r="AO20" s="62"/>
      <c r="AP20" s="62"/>
    </row>
    <row r="21" spans="1:42" x14ac:dyDescent="0.3">
      <c r="A21" s="3" t="s">
        <v>11</v>
      </c>
      <c r="B21" s="16">
        <v>1</v>
      </c>
      <c r="C21" s="17">
        <v>16666</v>
      </c>
      <c r="D21" s="17">
        <v>0</v>
      </c>
      <c r="E21" s="18">
        <f t="shared" si="3"/>
        <v>16666</v>
      </c>
      <c r="F21" s="16">
        <v>1</v>
      </c>
      <c r="G21" s="58">
        <v>12594</v>
      </c>
      <c r="H21" s="17">
        <v>0</v>
      </c>
      <c r="I21" s="18">
        <f t="shared" si="4"/>
        <v>12594</v>
      </c>
      <c r="J21" s="59">
        <f t="shared" si="0"/>
        <v>0</v>
      </c>
      <c r="K21" s="60">
        <f t="shared" si="1"/>
        <v>-0.24432977319092763</v>
      </c>
      <c r="L21" s="60">
        <v>0</v>
      </c>
      <c r="M21" s="61">
        <f t="shared" si="2"/>
        <v>-0.24432977319092763</v>
      </c>
      <c r="AF21" s="4"/>
      <c r="AG21" s="4"/>
      <c r="AH21" s="4"/>
      <c r="AJ21" s="4"/>
      <c r="AK21" s="4"/>
      <c r="AL21" s="4"/>
      <c r="AM21" s="62"/>
      <c r="AN21" s="62"/>
      <c r="AO21" s="62"/>
      <c r="AP21" s="62"/>
    </row>
    <row r="22" spans="1:42" x14ac:dyDescent="0.3">
      <c r="A22" s="3" t="s">
        <v>12</v>
      </c>
      <c r="B22" s="16">
        <v>1</v>
      </c>
      <c r="C22" s="17">
        <v>16666</v>
      </c>
      <c r="D22" s="17">
        <v>0</v>
      </c>
      <c r="E22" s="18">
        <f t="shared" si="3"/>
        <v>16666</v>
      </c>
      <c r="F22" s="16">
        <v>1</v>
      </c>
      <c r="G22" s="58">
        <v>13345</v>
      </c>
      <c r="H22" s="17">
        <v>0</v>
      </c>
      <c r="I22" s="18">
        <f t="shared" si="4"/>
        <v>13345</v>
      </c>
      <c r="J22" s="59">
        <f t="shared" si="0"/>
        <v>0</v>
      </c>
      <c r="K22" s="60">
        <f t="shared" si="1"/>
        <v>-0.19926797071882876</v>
      </c>
      <c r="L22" s="60">
        <v>0</v>
      </c>
      <c r="M22" s="61">
        <f t="shared" si="2"/>
        <v>-0.19926797071882876</v>
      </c>
      <c r="AF22" s="4"/>
      <c r="AG22" s="4"/>
      <c r="AH22" s="4"/>
      <c r="AJ22" s="4"/>
      <c r="AK22" s="4"/>
      <c r="AL22" s="4"/>
      <c r="AM22" s="62"/>
      <c r="AN22" s="62"/>
      <c r="AO22" s="62"/>
      <c r="AP22" s="62"/>
    </row>
    <row r="23" spans="1:42" x14ac:dyDescent="0.3">
      <c r="A23" s="3" t="s">
        <v>13</v>
      </c>
      <c r="B23" s="16">
        <v>1</v>
      </c>
      <c r="C23" s="27">
        <v>16674</v>
      </c>
      <c r="D23" s="27">
        <v>0</v>
      </c>
      <c r="E23" s="28">
        <f t="shared" si="3"/>
        <v>16674</v>
      </c>
      <c r="F23" s="16">
        <v>1</v>
      </c>
      <c r="G23" s="63">
        <v>13718</v>
      </c>
      <c r="H23" s="27">
        <v>0</v>
      </c>
      <c r="I23" s="28">
        <f t="shared" si="4"/>
        <v>13718</v>
      </c>
      <c r="J23" s="64">
        <f t="shared" si="0"/>
        <v>0</v>
      </c>
      <c r="K23" s="65">
        <f t="shared" si="1"/>
        <v>-0.17728199592179442</v>
      </c>
      <c r="L23" s="65">
        <v>0</v>
      </c>
      <c r="M23" s="66">
        <f t="shared" si="2"/>
        <v>-0.17728199592179442</v>
      </c>
      <c r="AF23" s="4"/>
      <c r="AG23" s="4"/>
      <c r="AH23" s="4"/>
      <c r="AJ23" s="4"/>
      <c r="AK23" s="4"/>
      <c r="AL23" s="4"/>
      <c r="AM23" s="62"/>
      <c r="AN23" s="62"/>
      <c r="AO23" s="62"/>
      <c r="AP23" s="62"/>
    </row>
    <row r="24" spans="1:42" x14ac:dyDescent="0.3">
      <c r="A24" s="5" t="s">
        <v>2</v>
      </c>
      <c r="B24" s="19"/>
      <c r="C24" s="6">
        <f>SUM(C12:C23)</f>
        <v>200000</v>
      </c>
      <c r="D24" s="6">
        <f>SUM(D12:D23)</f>
        <v>0</v>
      </c>
      <c r="E24" s="20">
        <f>SUM(E12:E23)</f>
        <v>200000</v>
      </c>
      <c r="F24" s="19"/>
      <c r="G24" s="53">
        <f>SUM(G12:G23)</f>
        <v>181918</v>
      </c>
      <c r="H24" s="24">
        <f>SUM(H12:H23)</f>
        <v>0</v>
      </c>
      <c r="I24" s="21">
        <f>SUM(I12:I23)</f>
        <v>181918</v>
      </c>
      <c r="J24" s="22"/>
      <c r="K24" s="23">
        <f>(G24-C24)/C24</f>
        <v>-9.0410000000000004E-2</v>
      </c>
      <c r="L24" s="23">
        <v>0</v>
      </c>
      <c r="M24" s="25">
        <f>(I24-E24)/E24</f>
        <v>-9.0410000000000004E-2</v>
      </c>
      <c r="AD24" s="5"/>
      <c r="AE24" s="5"/>
      <c r="AF24" s="7"/>
      <c r="AG24" s="7"/>
      <c r="AH24" s="7"/>
      <c r="AI24" s="5"/>
      <c r="AJ24" s="7"/>
      <c r="AK24" s="7"/>
      <c r="AL24" s="7"/>
      <c r="AM24" s="62"/>
      <c r="AN24" s="62"/>
      <c r="AO24" s="62"/>
      <c r="AP24" s="62"/>
    </row>
    <row r="25" spans="1:42" ht="12.9" thickBot="1" x14ac:dyDescent="0.35">
      <c r="B25" s="67"/>
      <c r="C25" s="68"/>
      <c r="D25" s="68"/>
      <c r="E25" s="69"/>
      <c r="F25" s="67"/>
      <c r="G25" s="70"/>
      <c r="H25" s="70"/>
      <c r="I25" s="71"/>
      <c r="J25" s="72"/>
      <c r="K25" s="73"/>
      <c r="L25" s="73"/>
      <c r="M25" s="74"/>
      <c r="AJ25" s="4"/>
      <c r="AK25" s="4"/>
      <c r="AL25" s="4"/>
      <c r="AM25" s="62"/>
      <c r="AN25" s="62"/>
      <c r="AO25" s="62"/>
      <c r="AP25" s="62"/>
    </row>
    <row r="26" spans="1:42" x14ac:dyDescent="0.3">
      <c r="G26" s="58"/>
      <c r="H26" s="58"/>
      <c r="I26" s="58"/>
      <c r="J26" s="59"/>
      <c r="K26" s="60"/>
      <c r="L26" s="60"/>
      <c r="M26" s="60"/>
      <c r="AJ26" s="4"/>
      <c r="AK26" s="4"/>
      <c r="AL26" s="4"/>
      <c r="AM26" s="62"/>
      <c r="AN26" s="62"/>
      <c r="AO26" s="62"/>
      <c r="AP26" s="62"/>
    </row>
    <row r="27" spans="1:42" x14ac:dyDescent="0.3">
      <c r="A27" s="2" t="s">
        <v>22</v>
      </c>
      <c r="B27" s="2"/>
      <c r="C27" s="2"/>
      <c r="D27" s="2"/>
      <c r="E27" s="2"/>
      <c r="F27" s="2"/>
      <c r="G27" s="58"/>
      <c r="H27" s="58"/>
      <c r="I27" s="58"/>
      <c r="J27" s="16"/>
      <c r="K27" s="62"/>
      <c r="L27" s="62"/>
      <c r="M27" s="62"/>
      <c r="AD27" s="2"/>
      <c r="AE27" s="2"/>
      <c r="AF27" s="2"/>
      <c r="AG27" s="2"/>
      <c r="AH27" s="2"/>
      <c r="AI27" s="2"/>
      <c r="AJ27" s="4"/>
      <c r="AK27" s="4"/>
      <c r="AL27" s="4"/>
      <c r="AM27" s="62"/>
      <c r="AN27" s="62"/>
      <c r="AO27" s="62"/>
      <c r="AP27" s="62"/>
    </row>
    <row r="28" spans="1:42" ht="12.9" thickBot="1" x14ac:dyDescent="0.35">
      <c r="A28" s="2"/>
      <c r="B28" s="2"/>
      <c r="C28" s="2"/>
      <c r="D28" s="2"/>
      <c r="E28" s="2"/>
      <c r="F28" s="2"/>
      <c r="G28" s="58"/>
      <c r="H28" s="58"/>
      <c r="I28" s="58"/>
      <c r="J28" s="67"/>
      <c r="K28" s="62"/>
      <c r="L28" s="62"/>
      <c r="M28" s="62"/>
      <c r="AD28" s="2"/>
      <c r="AE28" s="2"/>
      <c r="AF28" s="2"/>
      <c r="AG28" s="2"/>
      <c r="AH28" s="2"/>
      <c r="AI28" s="2"/>
      <c r="AJ28" s="4"/>
      <c r="AK28" s="4"/>
      <c r="AL28" s="4"/>
      <c r="AM28" s="62"/>
      <c r="AN28" s="62"/>
      <c r="AO28" s="62"/>
      <c r="AP28" s="62"/>
    </row>
    <row r="29" spans="1:42" x14ac:dyDescent="0.3">
      <c r="A29" s="3" t="s">
        <v>14</v>
      </c>
      <c r="B29" s="29">
        <v>51</v>
      </c>
      <c r="C29" s="75">
        <v>295479</v>
      </c>
      <c r="D29" s="40">
        <v>30006</v>
      </c>
      <c r="E29" s="76">
        <f>C29+D29</f>
        <v>325485</v>
      </c>
      <c r="F29" s="29">
        <v>50</v>
      </c>
      <c r="G29" s="77">
        <f>405635-67970-G12-H29</f>
        <v>288178</v>
      </c>
      <c r="H29" s="77">
        <f>21749+11103</f>
        <v>32852</v>
      </c>
      <c r="I29" s="78">
        <f>G29+H29</f>
        <v>321030</v>
      </c>
      <c r="J29" s="79">
        <f t="shared" ref="J29:J40" si="5">(F29-B29)/B29</f>
        <v>-1.9607843137254902E-2</v>
      </c>
      <c r="K29" s="80">
        <f>(G29-C29)/C29</f>
        <v>-2.4709031775523811E-2</v>
      </c>
      <c r="L29" s="80">
        <f t="shared" ref="L29:L40" si="6">(H29-C29)/C29</f>
        <v>-0.88881781784830738</v>
      </c>
      <c r="M29" s="81">
        <f t="shared" ref="M29:M40" si="7">(I29-E29)/E29</f>
        <v>-1.3687266694317711E-2</v>
      </c>
      <c r="AF29" s="82"/>
      <c r="AG29" s="82"/>
      <c r="AH29" s="82"/>
      <c r="AJ29" s="4"/>
      <c r="AK29" s="4"/>
      <c r="AL29" s="4"/>
      <c r="AM29" s="62"/>
      <c r="AN29" s="62"/>
      <c r="AO29" s="62"/>
      <c r="AP29" s="62"/>
    </row>
    <row r="30" spans="1:42" x14ac:dyDescent="0.3">
      <c r="A30" s="3" t="s">
        <v>3</v>
      </c>
      <c r="B30" s="16">
        <v>51</v>
      </c>
      <c r="C30" s="83">
        <v>295479</v>
      </c>
      <c r="D30" s="17">
        <v>30006</v>
      </c>
      <c r="E30" s="84">
        <f t="shared" ref="E30:E40" si="8">C30+D30</f>
        <v>325485</v>
      </c>
      <c r="F30" s="16">
        <v>50</v>
      </c>
      <c r="G30" s="85">
        <f>319669-G13-H30</f>
        <v>273655</v>
      </c>
      <c r="H30" s="85">
        <f>24805+5824</f>
        <v>30629</v>
      </c>
      <c r="I30" s="86">
        <f t="shared" ref="I30:I40" si="9">G30+H30</f>
        <v>304284</v>
      </c>
      <c r="J30" s="59">
        <f t="shared" si="5"/>
        <v>-1.9607843137254902E-2</v>
      </c>
      <c r="K30" s="60">
        <f t="shared" ref="K30:K40" si="10">(G30-C30)/C30</f>
        <v>-7.3859732840574122E-2</v>
      </c>
      <c r="L30" s="60">
        <f t="shared" si="6"/>
        <v>-0.89634119514415578</v>
      </c>
      <c r="M30" s="61">
        <f t="shared" si="7"/>
        <v>-6.5136642241577947E-2</v>
      </c>
      <c r="AF30" s="82"/>
      <c r="AG30" s="82"/>
      <c r="AH30" s="82"/>
      <c r="AJ30" s="4"/>
      <c r="AK30" s="4"/>
      <c r="AL30" s="4"/>
      <c r="AM30" s="62"/>
      <c r="AN30" s="62"/>
      <c r="AO30" s="62"/>
      <c r="AP30" s="62"/>
    </row>
    <row r="31" spans="1:42" x14ac:dyDescent="0.3">
      <c r="A31" s="3" t="s">
        <v>4</v>
      </c>
      <c r="B31" s="16">
        <v>51</v>
      </c>
      <c r="C31" s="83">
        <v>295479</v>
      </c>
      <c r="D31" s="17">
        <v>30006</v>
      </c>
      <c r="E31" s="84">
        <f t="shared" si="8"/>
        <v>325485</v>
      </c>
      <c r="F31" s="16">
        <v>50</v>
      </c>
      <c r="G31" s="85">
        <f>370686-3525-G14-H31</f>
        <v>320609</v>
      </c>
      <c r="H31" s="85">
        <f>23542+5029</f>
        <v>28571</v>
      </c>
      <c r="I31" s="86">
        <f t="shared" si="9"/>
        <v>349180</v>
      </c>
      <c r="J31" s="59">
        <f t="shared" si="5"/>
        <v>-1.9607843137254902E-2</v>
      </c>
      <c r="K31" s="60">
        <f t="shared" si="10"/>
        <v>8.5048345229271793E-2</v>
      </c>
      <c r="L31" s="60">
        <f t="shared" si="6"/>
        <v>-0.90330615712114903</v>
      </c>
      <c r="M31" s="61">
        <f t="shared" si="7"/>
        <v>7.2799053719833473E-2</v>
      </c>
      <c r="AF31" s="82"/>
      <c r="AG31" s="82"/>
      <c r="AH31" s="82"/>
      <c r="AJ31" s="4"/>
      <c r="AK31" s="4"/>
      <c r="AL31" s="4"/>
      <c r="AM31" s="62"/>
      <c r="AN31" s="62"/>
      <c r="AO31" s="62"/>
      <c r="AP31" s="62"/>
    </row>
    <row r="32" spans="1:42" x14ac:dyDescent="0.3">
      <c r="A32" s="3" t="s">
        <v>5</v>
      </c>
      <c r="B32" s="16">
        <v>51</v>
      </c>
      <c r="C32" s="83">
        <v>295479</v>
      </c>
      <c r="D32" s="17">
        <v>30006</v>
      </c>
      <c r="E32" s="84">
        <f t="shared" si="8"/>
        <v>325485</v>
      </c>
      <c r="F32" s="16">
        <v>50</v>
      </c>
      <c r="G32" s="85">
        <f>320770-G15-H32</f>
        <v>282858</v>
      </c>
      <c r="H32" s="85">
        <f>20014+2513</f>
        <v>22527</v>
      </c>
      <c r="I32" s="86">
        <f t="shared" si="9"/>
        <v>305385</v>
      </c>
      <c r="J32" s="59">
        <f t="shared" si="5"/>
        <v>-1.9607843137254902E-2</v>
      </c>
      <c r="K32" s="60">
        <f t="shared" si="10"/>
        <v>-4.2713695389520065E-2</v>
      </c>
      <c r="L32" s="60">
        <f t="shared" si="6"/>
        <v>-0.92376107946757635</v>
      </c>
      <c r="M32" s="61">
        <f t="shared" si="7"/>
        <v>-6.175399788008664E-2</v>
      </c>
      <c r="AF32" s="82"/>
      <c r="AG32" s="82"/>
      <c r="AH32" s="82"/>
      <c r="AJ32" s="4"/>
      <c r="AK32" s="4"/>
      <c r="AL32" s="4"/>
      <c r="AM32" s="62"/>
      <c r="AN32" s="62"/>
      <c r="AO32" s="62"/>
      <c r="AP32" s="62"/>
    </row>
    <row r="33" spans="1:48" x14ac:dyDescent="0.3">
      <c r="A33" s="3" t="s">
        <v>6</v>
      </c>
      <c r="B33" s="16">
        <v>51</v>
      </c>
      <c r="C33" s="83">
        <v>295479</v>
      </c>
      <c r="D33" s="17">
        <v>30006</v>
      </c>
      <c r="E33" s="84">
        <f t="shared" si="8"/>
        <v>325485</v>
      </c>
      <c r="F33" s="16">
        <v>50</v>
      </c>
      <c r="G33" s="85">
        <f>353902-G16-H33</f>
        <v>303873</v>
      </c>
      <c r="H33" s="85">
        <f>24046+8868</f>
        <v>32914</v>
      </c>
      <c r="I33" s="86">
        <f t="shared" si="9"/>
        <v>336787</v>
      </c>
      <c r="J33" s="59">
        <f t="shared" si="5"/>
        <v>-1.9607843137254902E-2</v>
      </c>
      <c r="K33" s="60">
        <f t="shared" si="10"/>
        <v>2.8408110221030937E-2</v>
      </c>
      <c r="L33" s="60">
        <f t="shared" si="6"/>
        <v>-0.88860798906182847</v>
      </c>
      <c r="M33" s="61">
        <f t="shared" si="7"/>
        <v>3.4723566370186032E-2</v>
      </c>
      <c r="AF33" s="82"/>
      <c r="AG33" s="82"/>
      <c r="AH33" s="82"/>
      <c r="AJ33" s="4"/>
      <c r="AK33" s="4"/>
      <c r="AL33" s="4"/>
      <c r="AM33" s="62"/>
      <c r="AN33" s="62"/>
      <c r="AO33" s="62"/>
      <c r="AP33" s="62"/>
    </row>
    <row r="34" spans="1:48" x14ac:dyDescent="0.3">
      <c r="A34" s="3" t="s">
        <v>7</v>
      </c>
      <c r="B34" s="16">
        <v>51</v>
      </c>
      <c r="C34" s="83">
        <v>295479</v>
      </c>
      <c r="D34" s="17">
        <v>30006</v>
      </c>
      <c r="E34" s="84">
        <f t="shared" si="8"/>
        <v>325485</v>
      </c>
      <c r="F34" s="16">
        <v>49</v>
      </c>
      <c r="G34" s="85">
        <f>406278-3450-G17-H34</f>
        <v>301603</v>
      </c>
      <c r="H34" s="85">
        <f>69401+6621+8088</f>
        <v>84110</v>
      </c>
      <c r="I34" s="86">
        <f t="shared" si="9"/>
        <v>385713</v>
      </c>
      <c r="J34" s="59">
        <f t="shared" si="5"/>
        <v>-3.9215686274509803E-2</v>
      </c>
      <c r="K34" s="60">
        <f t="shared" si="10"/>
        <v>2.072566916769043E-2</v>
      </c>
      <c r="L34" s="60">
        <f t="shared" si="6"/>
        <v>-0.71534356079450656</v>
      </c>
      <c r="M34" s="61">
        <f t="shared" si="7"/>
        <v>0.18504078528964468</v>
      </c>
      <c r="AF34" s="82"/>
      <c r="AG34" s="82"/>
      <c r="AH34" s="82"/>
      <c r="AJ34" s="4"/>
      <c r="AK34" s="4"/>
      <c r="AL34" s="4"/>
      <c r="AM34" s="62"/>
      <c r="AN34" s="62"/>
      <c r="AO34" s="62"/>
      <c r="AP34" s="62"/>
    </row>
    <row r="35" spans="1:48" x14ac:dyDescent="0.3">
      <c r="A35" s="3" t="s">
        <v>8</v>
      </c>
      <c r="B35" s="16">
        <v>51</v>
      </c>
      <c r="C35" s="83">
        <v>295479</v>
      </c>
      <c r="D35" s="17">
        <v>30006</v>
      </c>
      <c r="E35" s="84">
        <f t="shared" si="8"/>
        <v>325485</v>
      </c>
      <c r="F35" s="16">
        <v>50</v>
      </c>
      <c r="G35" s="85">
        <f>323054-50-G18-H35</f>
        <v>275852</v>
      </c>
      <c r="H35" s="85">
        <f>21731+9305</f>
        <v>31036</v>
      </c>
      <c r="I35" s="86">
        <f t="shared" si="9"/>
        <v>306888</v>
      </c>
      <c r="J35" s="59">
        <f t="shared" si="5"/>
        <v>-1.9607843137254902E-2</v>
      </c>
      <c r="K35" s="60">
        <f t="shared" si="10"/>
        <v>-6.6424348261636193E-2</v>
      </c>
      <c r="L35" s="60">
        <f t="shared" si="6"/>
        <v>-0.89496377069097977</v>
      </c>
      <c r="M35" s="61">
        <f t="shared" si="7"/>
        <v>-5.7136273560993593E-2</v>
      </c>
      <c r="AF35" s="82"/>
      <c r="AG35" s="82"/>
      <c r="AH35" s="82"/>
      <c r="AJ35" s="4"/>
      <c r="AK35" s="4"/>
      <c r="AL35" s="4"/>
      <c r="AM35" s="62"/>
      <c r="AN35" s="62"/>
      <c r="AO35" s="62"/>
      <c r="AP35" s="62"/>
    </row>
    <row r="36" spans="1:48" x14ac:dyDescent="0.3">
      <c r="A36" s="3" t="s">
        <v>9</v>
      </c>
      <c r="B36" s="16">
        <v>51</v>
      </c>
      <c r="C36" s="83">
        <v>295479</v>
      </c>
      <c r="D36" s="17">
        <v>30006</v>
      </c>
      <c r="E36" s="84">
        <f t="shared" si="8"/>
        <v>325485</v>
      </c>
      <c r="F36" s="16">
        <v>49</v>
      </c>
      <c r="G36" s="85">
        <f>357169-G19-H36</f>
        <v>310439</v>
      </c>
      <c r="H36" s="85">
        <f>27410+5385</f>
        <v>32795</v>
      </c>
      <c r="I36" s="86">
        <f t="shared" si="9"/>
        <v>343234</v>
      </c>
      <c r="J36" s="59">
        <f t="shared" si="5"/>
        <v>-3.9215686274509803E-2</v>
      </c>
      <c r="K36" s="60">
        <f t="shared" si="10"/>
        <v>5.06296555762E-2</v>
      </c>
      <c r="L36" s="60">
        <f t="shared" si="6"/>
        <v>-0.88901072495845723</v>
      </c>
      <c r="M36" s="61">
        <f t="shared" si="7"/>
        <v>5.4530930764858598E-2</v>
      </c>
      <c r="AF36" s="82"/>
      <c r="AG36" s="82"/>
      <c r="AH36" s="82"/>
      <c r="AJ36" s="4"/>
      <c r="AK36" s="4"/>
      <c r="AL36" s="4"/>
      <c r="AM36" s="62"/>
      <c r="AN36" s="62"/>
      <c r="AO36" s="62"/>
      <c r="AP36" s="62"/>
    </row>
    <row r="37" spans="1:48" x14ac:dyDescent="0.3">
      <c r="A37" s="3" t="s">
        <v>10</v>
      </c>
      <c r="B37" s="16">
        <v>51</v>
      </c>
      <c r="C37" s="83">
        <v>295479</v>
      </c>
      <c r="D37" s="17">
        <v>30006</v>
      </c>
      <c r="E37" s="84">
        <f t="shared" si="8"/>
        <v>325485</v>
      </c>
      <c r="F37" s="16">
        <v>48</v>
      </c>
      <c r="G37" s="85">
        <f>333344-3475-G20-H37</f>
        <v>288172</v>
      </c>
      <c r="H37" s="85">
        <f>19032+10071</f>
        <v>29103</v>
      </c>
      <c r="I37" s="86">
        <f t="shared" si="9"/>
        <v>317275</v>
      </c>
      <c r="J37" s="59">
        <f t="shared" si="5"/>
        <v>-5.8823529411764705E-2</v>
      </c>
      <c r="K37" s="60">
        <f t="shared" si="10"/>
        <v>-2.4729337787118544E-2</v>
      </c>
      <c r="L37" s="60">
        <f t="shared" si="6"/>
        <v>-0.9015056907597494</v>
      </c>
      <c r="M37" s="61">
        <f t="shared" si="7"/>
        <v>-2.5223896646542853E-2</v>
      </c>
      <c r="AF37" s="82"/>
      <c r="AG37" s="82"/>
      <c r="AH37" s="82"/>
      <c r="AJ37" s="4"/>
      <c r="AK37" s="4"/>
      <c r="AL37" s="4"/>
      <c r="AM37" s="62"/>
      <c r="AN37" s="62"/>
      <c r="AO37" s="62"/>
      <c r="AP37" s="62"/>
    </row>
    <row r="38" spans="1:48" x14ac:dyDescent="0.3">
      <c r="A38" s="3" t="s">
        <v>11</v>
      </c>
      <c r="B38" s="16">
        <v>51</v>
      </c>
      <c r="C38" s="83">
        <v>295479</v>
      </c>
      <c r="D38" s="17">
        <v>30006</v>
      </c>
      <c r="E38" s="84">
        <f t="shared" si="8"/>
        <v>325485</v>
      </c>
      <c r="F38" s="16">
        <v>48</v>
      </c>
      <c r="G38" s="85">
        <f>318433-G21-H38</f>
        <v>281868</v>
      </c>
      <c r="H38" s="85">
        <f>19745+4226</f>
        <v>23971</v>
      </c>
      <c r="I38" s="86">
        <f t="shared" si="9"/>
        <v>305839</v>
      </c>
      <c r="J38" s="59">
        <f t="shared" si="5"/>
        <v>-5.8823529411764705E-2</v>
      </c>
      <c r="K38" s="60">
        <f t="shared" si="10"/>
        <v>-4.6064187302650952E-2</v>
      </c>
      <c r="L38" s="60">
        <f t="shared" si="6"/>
        <v>-0.9188740993437774</v>
      </c>
      <c r="M38" s="61">
        <f t="shared" si="7"/>
        <v>-6.0359156335929462E-2</v>
      </c>
      <c r="AF38" s="82"/>
      <c r="AG38" s="82"/>
      <c r="AH38" s="82"/>
      <c r="AJ38" s="4"/>
      <c r="AK38" s="4"/>
      <c r="AL38" s="4"/>
      <c r="AM38" s="62"/>
      <c r="AN38" s="62"/>
      <c r="AO38" s="62"/>
      <c r="AP38" s="62"/>
    </row>
    <row r="39" spans="1:48" x14ac:dyDescent="0.3">
      <c r="A39" s="3" t="s">
        <v>12</v>
      </c>
      <c r="B39" s="16">
        <v>51</v>
      </c>
      <c r="C39" s="83">
        <v>295479</v>
      </c>
      <c r="D39" s="17">
        <v>30006</v>
      </c>
      <c r="E39" s="84">
        <f t="shared" si="8"/>
        <v>325485</v>
      </c>
      <c r="F39" s="16">
        <v>48</v>
      </c>
      <c r="G39" s="85">
        <f>340103-1138-G22-H39</f>
        <v>302607</v>
      </c>
      <c r="H39" s="85">
        <f>14595+8418</f>
        <v>23013</v>
      </c>
      <c r="I39" s="86">
        <f t="shared" si="9"/>
        <v>325620</v>
      </c>
      <c r="J39" s="59">
        <f t="shared" si="5"/>
        <v>-5.8823529411764705E-2</v>
      </c>
      <c r="K39" s="60">
        <f t="shared" si="10"/>
        <v>2.4123541774542352E-2</v>
      </c>
      <c r="L39" s="60">
        <f t="shared" si="6"/>
        <v>-0.92211629252840299</v>
      </c>
      <c r="M39" s="61">
        <f t="shared" si="7"/>
        <v>4.1476565740356696E-4</v>
      </c>
      <c r="AF39" s="82"/>
      <c r="AG39" s="82"/>
      <c r="AH39" s="82"/>
      <c r="AJ39" s="4"/>
      <c r="AK39" s="4"/>
      <c r="AL39" s="4"/>
      <c r="AM39" s="62"/>
      <c r="AN39" s="62"/>
      <c r="AO39" s="62"/>
      <c r="AP39" s="62"/>
    </row>
    <row r="40" spans="1:48" x14ac:dyDescent="0.3">
      <c r="A40" s="3" t="s">
        <v>13</v>
      </c>
      <c r="B40" s="16">
        <v>51</v>
      </c>
      <c r="C40" s="87">
        <v>295481</v>
      </c>
      <c r="D40" s="27">
        <v>30009</v>
      </c>
      <c r="E40" s="88">
        <f t="shared" si="8"/>
        <v>325490</v>
      </c>
      <c r="F40" s="26">
        <v>48</v>
      </c>
      <c r="G40" s="89">
        <f>383265-35898-G23-H40</f>
        <v>292161</v>
      </c>
      <c r="H40" s="89">
        <f>26867+14621</f>
        <v>41488</v>
      </c>
      <c r="I40" s="90">
        <f t="shared" si="9"/>
        <v>333649</v>
      </c>
      <c r="J40" s="64">
        <f t="shared" si="5"/>
        <v>-5.8823529411764705E-2</v>
      </c>
      <c r="K40" s="65">
        <f t="shared" si="10"/>
        <v>-1.1235917030198219E-2</v>
      </c>
      <c r="L40" s="65">
        <f t="shared" si="6"/>
        <v>-0.85959164887082418</v>
      </c>
      <c r="M40" s="66">
        <f t="shared" si="7"/>
        <v>2.5066822329411043E-2</v>
      </c>
      <c r="AF40" s="82"/>
      <c r="AG40" s="82"/>
      <c r="AH40" s="82"/>
      <c r="AJ40" s="4"/>
      <c r="AK40" s="4"/>
      <c r="AL40" s="4"/>
      <c r="AM40" s="62"/>
      <c r="AN40" s="62"/>
      <c r="AO40" s="62"/>
      <c r="AP40" s="62"/>
    </row>
    <row r="41" spans="1:48" x14ac:dyDescent="0.3">
      <c r="A41" s="5" t="s">
        <v>2</v>
      </c>
      <c r="B41" s="19"/>
      <c r="C41" s="6">
        <f>SUM(C29:C40)</f>
        <v>3545750</v>
      </c>
      <c r="D41" s="6">
        <f>SUM(D29:D40)</f>
        <v>360075</v>
      </c>
      <c r="E41" s="20">
        <f>SUM(E29:E40)</f>
        <v>3905825</v>
      </c>
      <c r="F41" s="19"/>
      <c r="G41" s="30">
        <f>SUM(G29:G40)</f>
        <v>3521875</v>
      </c>
      <c r="H41" s="30">
        <f>SUM(H29:H40)</f>
        <v>413009</v>
      </c>
      <c r="I41" s="31">
        <f>SUM(I29:I40)</f>
        <v>3934884</v>
      </c>
      <c r="J41" s="59"/>
      <c r="K41" s="23">
        <f>(G41-C41)/C41</f>
        <v>-6.7334132412042585E-3</v>
      </c>
      <c r="L41" s="23">
        <f>(H41-D41)/D41</f>
        <v>0.14700826216760396</v>
      </c>
      <c r="M41" s="25">
        <f>(I41-E41)/E41</f>
        <v>7.4399134625847295E-3</v>
      </c>
      <c r="AD41" s="5"/>
      <c r="AE41" s="5"/>
      <c r="AF41" s="6"/>
      <c r="AG41" s="6"/>
      <c r="AH41" s="6"/>
      <c r="AI41" s="5"/>
      <c r="AJ41" s="7"/>
      <c r="AK41" s="7"/>
      <c r="AL41" s="7"/>
      <c r="AM41" s="62"/>
      <c r="AN41" s="62"/>
      <c r="AO41" s="62"/>
      <c r="AP41" s="62"/>
    </row>
    <row r="42" spans="1:48" x14ac:dyDescent="0.3">
      <c r="A42" s="5"/>
      <c r="B42" s="19"/>
      <c r="C42" s="6"/>
      <c r="D42" s="6"/>
      <c r="E42" s="20"/>
      <c r="J42" s="91" t="s">
        <v>30</v>
      </c>
      <c r="K42" s="23"/>
      <c r="L42" s="23"/>
      <c r="M42" s="25"/>
      <c r="AD42" s="5"/>
      <c r="AE42" s="5"/>
      <c r="AF42" s="6"/>
      <c r="AG42" s="6"/>
      <c r="AH42" s="6"/>
      <c r="AI42" s="5"/>
      <c r="AJ42" s="7"/>
      <c r="AK42" s="7"/>
      <c r="AL42" s="7"/>
      <c r="AM42" s="62"/>
      <c r="AN42" s="62"/>
      <c r="AO42" s="62"/>
      <c r="AP42" s="62"/>
    </row>
    <row r="43" spans="1:48" x14ac:dyDescent="0.3">
      <c r="A43" s="5"/>
      <c r="B43" s="19"/>
      <c r="C43" s="6"/>
      <c r="D43" s="6"/>
      <c r="E43" s="20"/>
      <c r="J43" s="91" t="s">
        <v>31</v>
      </c>
      <c r="K43" s="23"/>
      <c r="L43" s="23"/>
      <c r="M43" s="25"/>
      <c r="AD43" s="5"/>
      <c r="AE43" s="5"/>
      <c r="AF43" s="6"/>
      <c r="AG43" s="6"/>
      <c r="AH43" s="6"/>
      <c r="AI43" s="5"/>
      <c r="AJ43" s="7"/>
      <c r="AK43" s="7"/>
      <c r="AL43" s="7"/>
      <c r="AM43" s="62"/>
      <c r="AN43" s="62"/>
      <c r="AO43" s="62"/>
      <c r="AP43" s="62"/>
    </row>
    <row r="44" spans="1:48" x14ac:dyDescent="0.3">
      <c r="A44" s="5"/>
      <c r="B44" s="19"/>
      <c r="C44" s="6"/>
      <c r="D44" s="6"/>
      <c r="E44" s="20"/>
      <c r="F44" s="51"/>
      <c r="G44" s="30"/>
      <c r="H44" s="30"/>
      <c r="I44" s="31"/>
      <c r="J44" s="16"/>
      <c r="M44" s="92"/>
      <c r="AD44" s="5"/>
      <c r="AE44" s="5"/>
      <c r="AF44" s="6"/>
      <c r="AG44" s="6"/>
      <c r="AH44" s="6"/>
      <c r="AI44" s="5"/>
      <c r="AJ44" s="7"/>
      <c r="AK44" s="7"/>
      <c r="AL44" s="7"/>
      <c r="AM44" s="62"/>
      <c r="AN44" s="62"/>
      <c r="AO44" s="62"/>
      <c r="AP44" s="62"/>
    </row>
    <row r="45" spans="1:48" ht="12.9" thickBot="1" x14ac:dyDescent="0.35">
      <c r="B45" s="67"/>
      <c r="C45" s="68"/>
      <c r="D45" s="68"/>
      <c r="E45" s="69"/>
      <c r="F45" s="67"/>
      <c r="G45" s="68"/>
      <c r="H45" s="68"/>
      <c r="I45" s="69"/>
      <c r="J45" s="67"/>
      <c r="K45" s="68"/>
      <c r="L45" s="68"/>
      <c r="M45" s="69"/>
      <c r="V45" s="93"/>
      <c r="W45" s="93"/>
      <c r="X45" s="93"/>
      <c r="Y45" s="93"/>
      <c r="Z45" s="93"/>
      <c r="AA45" s="93"/>
      <c r="AT45" s="4"/>
      <c r="AU45" s="4"/>
      <c r="AV45" s="4"/>
    </row>
    <row r="46" spans="1:48" x14ac:dyDescent="0.3">
      <c r="M46" s="92"/>
      <c r="V46" s="93"/>
      <c r="W46" s="93"/>
      <c r="X46" s="93"/>
      <c r="Y46" s="93"/>
      <c r="Z46" s="93"/>
      <c r="AA46" s="93"/>
      <c r="AT46" s="4"/>
      <c r="AU46" s="4"/>
      <c r="AV46" s="4"/>
    </row>
    <row r="47" spans="1:48" ht="12.9" thickBot="1" x14ac:dyDescent="0.35">
      <c r="M47" s="92"/>
      <c r="V47" s="93"/>
      <c r="W47" s="93"/>
      <c r="X47" s="93"/>
      <c r="Y47" s="93"/>
      <c r="Z47" s="93"/>
      <c r="AA47" s="93"/>
      <c r="AT47" s="4"/>
      <c r="AU47" s="4"/>
      <c r="AV47" s="4"/>
    </row>
    <row r="48" spans="1:48" x14ac:dyDescent="0.3">
      <c r="A48" s="95">
        <v>2021</v>
      </c>
      <c r="B48" s="55"/>
      <c r="C48" s="55"/>
      <c r="D48" s="55"/>
      <c r="E48" s="55"/>
      <c r="F48" s="56"/>
      <c r="G48" s="56"/>
      <c r="H48" s="56"/>
      <c r="I48" s="56"/>
      <c r="J48" s="103" t="s">
        <v>18</v>
      </c>
      <c r="K48" s="103"/>
      <c r="L48" s="103"/>
      <c r="M48" s="104"/>
    </row>
    <row r="49" spans="1:13" ht="18.75" customHeight="1" thickBot="1" x14ac:dyDescent="0.35">
      <c r="A49" s="9"/>
      <c r="B49" s="97" t="s">
        <v>19</v>
      </c>
      <c r="C49" s="97"/>
      <c r="D49" s="97"/>
      <c r="E49" s="97"/>
      <c r="F49" s="97" t="s">
        <v>17</v>
      </c>
      <c r="G49" s="97"/>
      <c r="H49" s="97"/>
      <c r="I49" s="97"/>
      <c r="J49" s="97" t="s">
        <v>25</v>
      </c>
      <c r="K49" s="97"/>
      <c r="L49" s="97"/>
      <c r="M49" s="98"/>
    </row>
    <row r="50" spans="1:13" ht="48" customHeight="1" x14ac:dyDescent="0.3">
      <c r="A50" s="2" t="s">
        <v>21</v>
      </c>
      <c r="B50" s="32" t="s">
        <v>15</v>
      </c>
      <c r="C50" s="33" t="s">
        <v>0</v>
      </c>
      <c r="D50" s="33" t="s">
        <v>1</v>
      </c>
      <c r="E50" s="34" t="s">
        <v>2</v>
      </c>
      <c r="F50" s="32" t="s">
        <v>15</v>
      </c>
      <c r="G50" s="33" t="s">
        <v>0</v>
      </c>
      <c r="H50" s="33" t="s">
        <v>1</v>
      </c>
      <c r="I50" s="34" t="s">
        <v>2</v>
      </c>
      <c r="J50" s="32" t="s">
        <v>15</v>
      </c>
      <c r="K50" s="33" t="s">
        <v>0</v>
      </c>
      <c r="L50" s="33" t="s">
        <v>1</v>
      </c>
      <c r="M50" s="34" t="s">
        <v>2</v>
      </c>
    </row>
    <row r="51" spans="1:13" ht="12.75" customHeight="1" x14ac:dyDescent="0.3">
      <c r="A51" s="2"/>
      <c r="B51" s="14"/>
      <c r="C51" s="1"/>
      <c r="D51" s="1"/>
      <c r="E51" s="15"/>
      <c r="F51" s="14"/>
      <c r="G51" s="1"/>
      <c r="H51" s="1"/>
      <c r="I51" s="15"/>
      <c r="J51" s="14"/>
      <c r="K51" s="1"/>
      <c r="L51" s="1"/>
      <c r="M51" s="15"/>
    </row>
    <row r="52" spans="1:13" x14ac:dyDescent="0.3">
      <c r="A52" s="3" t="s">
        <v>14</v>
      </c>
      <c r="B52" s="16">
        <v>1</v>
      </c>
      <c r="C52" s="83">
        <v>14494</v>
      </c>
      <c r="D52" s="17">
        <v>0</v>
      </c>
      <c r="E52" s="84">
        <f>SUM(C52:D52)</f>
        <v>14494</v>
      </c>
      <c r="F52" s="16">
        <v>1</v>
      </c>
      <c r="G52" s="17">
        <v>13379</v>
      </c>
      <c r="H52" s="17">
        <v>0</v>
      </c>
      <c r="I52" s="18">
        <f>G52+H52</f>
        <v>13379</v>
      </c>
      <c r="J52" s="59">
        <f t="shared" ref="J52:J63" si="11">(F52-B52)/B52</f>
        <v>0</v>
      </c>
      <c r="K52" s="60">
        <f t="shared" ref="K52:K63" si="12">(G52-C52)/C52</f>
        <v>-7.6928384158962332E-2</v>
      </c>
      <c r="L52" s="60">
        <v>0</v>
      </c>
      <c r="M52" s="61">
        <f t="shared" ref="M52:M63" si="13">(I52-E52)/E52</f>
        <v>-7.6928384158962332E-2</v>
      </c>
    </row>
    <row r="53" spans="1:13" x14ac:dyDescent="0.3">
      <c r="A53" s="3" t="s">
        <v>3</v>
      </c>
      <c r="B53" s="16">
        <v>1</v>
      </c>
      <c r="C53" s="83">
        <v>14494</v>
      </c>
      <c r="D53" s="17">
        <v>0</v>
      </c>
      <c r="E53" s="84">
        <f t="shared" ref="E53:E63" si="14">SUM(C53:D53)</f>
        <v>14494</v>
      </c>
      <c r="F53" s="16">
        <v>1</v>
      </c>
      <c r="G53" s="17">
        <v>13379</v>
      </c>
      <c r="H53" s="17">
        <v>0</v>
      </c>
      <c r="I53" s="18">
        <f t="shared" ref="I53:I63" si="15">G53+H53</f>
        <v>13379</v>
      </c>
      <c r="J53" s="59">
        <f t="shared" si="11"/>
        <v>0</v>
      </c>
      <c r="K53" s="60">
        <f t="shared" si="12"/>
        <v>-7.6928384158962332E-2</v>
      </c>
      <c r="L53" s="60">
        <v>0</v>
      </c>
      <c r="M53" s="61">
        <f t="shared" si="13"/>
        <v>-7.6928384158962332E-2</v>
      </c>
    </row>
    <row r="54" spans="1:13" x14ac:dyDescent="0.3">
      <c r="A54" s="3" t="s">
        <v>4</v>
      </c>
      <c r="B54" s="16">
        <v>1</v>
      </c>
      <c r="C54" s="83">
        <v>14494</v>
      </c>
      <c r="D54" s="17">
        <v>0</v>
      </c>
      <c r="E54" s="84">
        <f t="shared" si="14"/>
        <v>14494</v>
      </c>
      <c r="F54" s="16">
        <v>1</v>
      </c>
      <c r="G54" s="17">
        <v>15787</v>
      </c>
      <c r="H54" s="17">
        <v>0</v>
      </c>
      <c r="I54" s="18">
        <f t="shared" si="15"/>
        <v>15787</v>
      </c>
      <c r="J54" s="59">
        <f t="shared" si="11"/>
        <v>0</v>
      </c>
      <c r="K54" s="60">
        <f t="shared" si="12"/>
        <v>8.9209327997792187E-2</v>
      </c>
      <c r="L54" s="60">
        <v>0</v>
      </c>
      <c r="M54" s="61">
        <f t="shared" si="13"/>
        <v>8.9209327997792187E-2</v>
      </c>
    </row>
    <row r="55" spans="1:13" x14ac:dyDescent="0.3">
      <c r="A55" s="3" t="s">
        <v>5</v>
      </c>
      <c r="B55" s="16">
        <v>1</v>
      </c>
      <c r="C55" s="83">
        <v>14494</v>
      </c>
      <c r="D55" s="17">
        <v>0</v>
      </c>
      <c r="E55" s="84">
        <f t="shared" si="14"/>
        <v>14494</v>
      </c>
      <c r="F55" s="16">
        <v>1</v>
      </c>
      <c r="G55" s="17">
        <v>14800</v>
      </c>
      <c r="H55" s="17">
        <v>0</v>
      </c>
      <c r="I55" s="18">
        <f t="shared" si="15"/>
        <v>14800</v>
      </c>
      <c r="J55" s="59">
        <f t="shared" si="11"/>
        <v>0</v>
      </c>
      <c r="K55" s="60">
        <f t="shared" si="12"/>
        <v>2.1112184352145714E-2</v>
      </c>
      <c r="L55" s="60">
        <v>0</v>
      </c>
      <c r="M55" s="61">
        <f t="shared" si="13"/>
        <v>2.1112184352145714E-2</v>
      </c>
    </row>
    <row r="56" spans="1:13" x14ac:dyDescent="0.3">
      <c r="A56" s="3" t="s">
        <v>6</v>
      </c>
      <c r="B56" s="16">
        <v>1</v>
      </c>
      <c r="C56" s="83">
        <v>14494</v>
      </c>
      <c r="D56" s="17">
        <v>0</v>
      </c>
      <c r="E56" s="84">
        <f t="shared" si="14"/>
        <v>14494</v>
      </c>
      <c r="F56" s="16">
        <v>1</v>
      </c>
      <c r="G56" s="17">
        <v>13379</v>
      </c>
      <c r="H56" s="17">
        <v>0</v>
      </c>
      <c r="I56" s="18">
        <f t="shared" si="15"/>
        <v>13379</v>
      </c>
      <c r="J56" s="59">
        <f t="shared" si="11"/>
        <v>0</v>
      </c>
      <c r="K56" s="60">
        <f t="shared" si="12"/>
        <v>-7.6928384158962332E-2</v>
      </c>
      <c r="L56" s="60">
        <v>0</v>
      </c>
      <c r="M56" s="61">
        <f t="shared" si="13"/>
        <v>-7.6928384158962332E-2</v>
      </c>
    </row>
    <row r="57" spans="1:13" x14ac:dyDescent="0.3">
      <c r="A57" s="3" t="s">
        <v>7</v>
      </c>
      <c r="B57" s="16">
        <v>1</v>
      </c>
      <c r="C57" s="83">
        <v>14494</v>
      </c>
      <c r="D57" s="17">
        <v>0</v>
      </c>
      <c r="E57" s="84">
        <f t="shared" si="14"/>
        <v>14494</v>
      </c>
      <c r="F57" s="16">
        <v>1</v>
      </c>
      <c r="G57" s="17">
        <v>15787</v>
      </c>
      <c r="H57" s="17">
        <v>0</v>
      </c>
      <c r="I57" s="18">
        <f t="shared" si="15"/>
        <v>15787</v>
      </c>
      <c r="J57" s="59">
        <f t="shared" si="11"/>
        <v>0</v>
      </c>
      <c r="K57" s="60">
        <f t="shared" si="12"/>
        <v>8.9209327997792187E-2</v>
      </c>
      <c r="L57" s="60">
        <v>0</v>
      </c>
      <c r="M57" s="61">
        <f t="shared" si="13"/>
        <v>8.9209327997792187E-2</v>
      </c>
    </row>
    <row r="58" spans="1:13" x14ac:dyDescent="0.3">
      <c r="A58" s="3" t="s">
        <v>8</v>
      </c>
      <c r="B58" s="16">
        <v>1</v>
      </c>
      <c r="C58" s="83">
        <v>14494</v>
      </c>
      <c r="D58" s="17">
        <v>0</v>
      </c>
      <c r="E58" s="84">
        <f t="shared" si="14"/>
        <v>14494</v>
      </c>
      <c r="F58" s="16">
        <v>1</v>
      </c>
      <c r="G58" s="17">
        <v>14131.38</v>
      </c>
      <c r="H58" s="17">
        <v>0</v>
      </c>
      <c r="I58" s="18">
        <f t="shared" si="15"/>
        <v>14131.38</v>
      </c>
      <c r="J58" s="59">
        <f t="shared" si="11"/>
        <v>0</v>
      </c>
      <c r="K58" s="60">
        <f t="shared" si="12"/>
        <v>-2.5018628397957831E-2</v>
      </c>
      <c r="L58" s="60">
        <v>0</v>
      </c>
      <c r="M58" s="61">
        <f t="shared" si="13"/>
        <v>-2.5018628397957831E-2</v>
      </c>
    </row>
    <row r="59" spans="1:13" x14ac:dyDescent="0.3">
      <c r="A59" s="3" t="s">
        <v>9</v>
      </c>
      <c r="B59" s="16">
        <v>1</v>
      </c>
      <c r="C59" s="83">
        <v>14494</v>
      </c>
      <c r="D59" s="17">
        <v>0</v>
      </c>
      <c r="E59" s="84">
        <f t="shared" si="14"/>
        <v>14494</v>
      </c>
      <c r="F59" s="16">
        <v>1</v>
      </c>
      <c r="G59" s="17">
        <v>14884</v>
      </c>
      <c r="H59" s="17">
        <v>0</v>
      </c>
      <c r="I59" s="18">
        <f t="shared" si="15"/>
        <v>14884</v>
      </c>
      <c r="J59" s="59">
        <f t="shared" si="11"/>
        <v>0</v>
      </c>
      <c r="K59" s="60">
        <f t="shared" si="12"/>
        <v>2.6907685939009246E-2</v>
      </c>
      <c r="L59" s="60">
        <v>0</v>
      </c>
      <c r="M59" s="61">
        <f t="shared" si="13"/>
        <v>2.6907685939009246E-2</v>
      </c>
    </row>
    <row r="60" spans="1:13" x14ac:dyDescent="0.3">
      <c r="A60" s="3" t="s">
        <v>10</v>
      </c>
      <c r="B60" s="16">
        <v>1</v>
      </c>
      <c r="C60" s="83">
        <v>14494</v>
      </c>
      <c r="D60" s="17">
        <v>0</v>
      </c>
      <c r="E60" s="84">
        <f t="shared" si="14"/>
        <v>14494</v>
      </c>
      <c r="F60" s="16">
        <v>1</v>
      </c>
      <c r="G60" s="17">
        <v>15034</v>
      </c>
      <c r="H60" s="17">
        <v>0</v>
      </c>
      <c r="I60" s="18">
        <f t="shared" si="15"/>
        <v>15034</v>
      </c>
      <c r="J60" s="59">
        <f t="shared" si="11"/>
        <v>0</v>
      </c>
      <c r="K60" s="60">
        <f t="shared" si="12"/>
        <v>3.7256795915551262E-2</v>
      </c>
      <c r="L60" s="60">
        <v>0</v>
      </c>
      <c r="M60" s="61">
        <f t="shared" si="13"/>
        <v>3.7256795915551262E-2</v>
      </c>
    </row>
    <row r="61" spans="1:13" x14ac:dyDescent="0.3">
      <c r="A61" s="3" t="s">
        <v>11</v>
      </c>
      <c r="B61" s="16">
        <v>1</v>
      </c>
      <c r="C61" s="83">
        <v>14494</v>
      </c>
      <c r="D61" s="17">
        <v>0</v>
      </c>
      <c r="E61" s="84">
        <f t="shared" si="14"/>
        <v>14494</v>
      </c>
      <c r="F61" s="16">
        <v>1</v>
      </c>
      <c r="G61" s="17">
        <v>14047.8</v>
      </c>
      <c r="H61" s="17">
        <v>0</v>
      </c>
      <c r="I61" s="18">
        <f t="shared" si="15"/>
        <v>14047.8</v>
      </c>
      <c r="J61" s="59">
        <f t="shared" si="11"/>
        <v>0</v>
      </c>
      <c r="K61" s="60">
        <f t="shared" si="12"/>
        <v>-3.0785152476887036E-2</v>
      </c>
      <c r="L61" s="60">
        <v>0</v>
      </c>
      <c r="M61" s="61">
        <f t="shared" si="13"/>
        <v>-3.0785152476887036E-2</v>
      </c>
    </row>
    <row r="62" spans="1:13" x14ac:dyDescent="0.3">
      <c r="A62" s="3" t="s">
        <v>12</v>
      </c>
      <c r="B62" s="16">
        <v>1</v>
      </c>
      <c r="C62" s="83">
        <v>14494</v>
      </c>
      <c r="D62" s="17">
        <v>0</v>
      </c>
      <c r="E62" s="84">
        <f t="shared" si="14"/>
        <v>14494</v>
      </c>
      <c r="F62" s="16">
        <v>1</v>
      </c>
      <c r="G62" s="17">
        <v>15160</v>
      </c>
      <c r="H62" s="17">
        <v>0</v>
      </c>
      <c r="I62" s="18">
        <f t="shared" si="15"/>
        <v>15160</v>
      </c>
      <c r="J62" s="59">
        <f t="shared" si="11"/>
        <v>0</v>
      </c>
      <c r="K62" s="60">
        <f t="shared" si="12"/>
        <v>4.5950048295846556E-2</v>
      </c>
      <c r="L62" s="60">
        <v>0</v>
      </c>
      <c r="M62" s="61">
        <f t="shared" si="13"/>
        <v>4.5950048295846556E-2</v>
      </c>
    </row>
    <row r="63" spans="1:13" x14ac:dyDescent="0.3">
      <c r="A63" s="3" t="s">
        <v>13</v>
      </c>
      <c r="B63" s="16">
        <v>1</v>
      </c>
      <c r="C63" s="87">
        <v>14496</v>
      </c>
      <c r="D63" s="27">
        <v>0</v>
      </c>
      <c r="E63" s="88">
        <f t="shared" si="14"/>
        <v>14496</v>
      </c>
      <c r="F63" s="26">
        <v>1</v>
      </c>
      <c r="G63" s="27">
        <v>17115</v>
      </c>
      <c r="H63" s="27">
        <v>0</v>
      </c>
      <c r="I63" s="28">
        <f t="shared" si="15"/>
        <v>17115</v>
      </c>
      <c r="J63" s="64">
        <f t="shared" si="11"/>
        <v>0</v>
      </c>
      <c r="K63" s="65">
        <f t="shared" si="12"/>
        <v>0.1806705298013245</v>
      </c>
      <c r="L63" s="65">
        <v>0</v>
      </c>
      <c r="M63" s="66">
        <f t="shared" si="13"/>
        <v>0.1806705298013245</v>
      </c>
    </row>
    <row r="64" spans="1:13" ht="12.9" thickBot="1" x14ac:dyDescent="0.35">
      <c r="A64" s="5" t="s">
        <v>2</v>
      </c>
      <c r="B64" s="35"/>
      <c r="C64" s="36">
        <f>SUM(C52:C63)</f>
        <v>173930</v>
      </c>
      <c r="D64" s="36">
        <f>SUM(D52:D63)</f>
        <v>0</v>
      </c>
      <c r="E64" s="37">
        <f>SUM(E52:E63)</f>
        <v>173930</v>
      </c>
      <c r="F64" s="35"/>
      <c r="G64" s="38">
        <f>SUM(G52:G63)</f>
        <v>176883.18</v>
      </c>
      <c r="H64" s="38">
        <f>SUM(H52:H63)</f>
        <v>0</v>
      </c>
      <c r="I64" s="39">
        <f>SUM(I52:I63)</f>
        <v>176883.18</v>
      </c>
      <c r="J64" s="43"/>
      <c r="K64" s="44">
        <f>(G64-C64)/C64</f>
        <v>1.697912953487031E-2</v>
      </c>
      <c r="L64" s="44">
        <v>0</v>
      </c>
      <c r="M64" s="45">
        <f>(I64-E64)/E64</f>
        <v>1.697912953487031E-2</v>
      </c>
    </row>
    <row r="65" spans="1:13" x14ac:dyDescent="0.3">
      <c r="A65" s="5"/>
      <c r="B65" s="5"/>
      <c r="C65" s="6"/>
      <c r="D65" s="6"/>
      <c r="E65" s="6"/>
      <c r="F65" s="50"/>
      <c r="G65" s="49"/>
      <c r="H65" s="49"/>
      <c r="I65" s="49"/>
      <c r="J65" s="59"/>
      <c r="K65" s="23"/>
      <c r="L65" s="23"/>
      <c r="M65" s="25"/>
    </row>
    <row r="66" spans="1:13" x14ac:dyDescent="0.3">
      <c r="A66" s="2" t="s">
        <v>22</v>
      </c>
      <c r="B66" s="2"/>
      <c r="C66" s="2"/>
      <c r="D66" s="2"/>
      <c r="E66" s="2"/>
      <c r="F66" s="51"/>
      <c r="G66" s="4"/>
      <c r="H66" s="4"/>
      <c r="I66" s="4"/>
      <c r="J66" s="16"/>
      <c r="K66" s="23"/>
      <c r="L66" s="23"/>
      <c r="M66" s="25"/>
    </row>
    <row r="67" spans="1:13" ht="12.9" thickBot="1" x14ac:dyDescent="0.35">
      <c r="A67" s="2"/>
      <c r="B67" s="2"/>
      <c r="C67" s="42"/>
      <c r="D67" s="2"/>
      <c r="E67" s="2"/>
      <c r="F67" s="9"/>
      <c r="G67" s="4"/>
      <c r="H67" s="4"/>
      <c r="I67" s="4"/>
      <c r="J67" s="67"/>
      <c r="K67" s="68"/>
      <c r="L67" s="68"/>
      <c r="M67" s="69"/>
    </row>
    <row r="68" spans="1:13" x14ac:dyDescent="0.3">
      <c r="A68" s="3" t="s">
        <v>14</v>
      </c>
      <c r="B68" s="29">
        <v>52</v>
      </c>
      <c r="C68" s="17">
        <v>300951</v>
      </c>
      <c r="D68" s="40">
        <v>34242</v>
      </c>
      <c r="E68" s="41">
        <f>SUM(C68:D68)</f>
        <v>335193</v>
      </c>
      <c r="F68" s="29">
        <v>51</v>
      </c>
      <c r="G68" s="40">
        <f>309500-G52-H68</f>
        <v>278592</v>
      </c>
      <c r="H68" s="40">
        <f>12488+5041</f>
        <v>17529</v>
      </c>
      <c r="I68" s="41">
        <f>G68+H68</f>
        <v>296121</v>
      </c>
      <c r="J68" s="79">
        <f t="shared" ref="J68:J79" si="16">(F68-B68)/B68</f>
        <v>-1.9230769230769232E-2</v>
      </c>
      <c r="K68" s="80">
        <f t="shared" ref="K68:K79" si="17">(G68-C68)/C68</f>
        <v>-7.4294486477865171E-2</v>
      </c>
      <c r="L68" s="80">
        <f t="shared" ref="L68:L79" si="18">(H68-D68)/D68</f>
        <v>-0.4880848081303662</v>
      </c>
      <c r="M68" s="81">
        <f t="shared" ref="M68:M79" si="19">(I68-E68)/E68</f>
        <v>-0.11656568007088454</v>
      </c>
    </row>
    <row r="69" spans="1:13" x14ac:dyDescent="0.3">
      <c r="A69" s="3" t="s">
        <v>3</v>
      </c>
      <c r="B69" s="16">
        <v>52</v>
      </c>
      <c r="C69" s="17">
        <v>300951</v>
      </c>
      <c r="D69" s="17">
        <v>34242</v>
      </c>
      <c r="E69" s="18">
        <f>SUM(C69:D69)</f>
        <v>335193</v>
      </c>
      <c r="F69" s="16">
        <v>50</v>
      </c>
      <c r="G69" s="17">
        <f>451760-G53-H69</f>
        <v>268879</v>
      </c>
      <c r="H69" s="17">
        <f>138489+31013</f>
        <v>169502</v>
      </c>
      <c r="I69" s="18">
        <f t="shared" ref="I69:I79" si="20">G69+H69</f>
        <v>438381</v>
      </c>
      <c r="J69" s="59">
        <f t="shared" si="16"/>
        <v>-3.8461538461538464E-2</v>
      </c>
      <c r="K69" s="60">
        <f t="shared" si="17"/>
        <v>-0.1065688434329841</v>
      </c>
      <c r="L69" s="60">
        <f t="shared" si="18"/>
        <v>3.9501197359967293</v>
      </c>
      <c r="M69" s="61">
        <f t="shared" si="19"/>
        <v>0.30784652424125802</v>
      </c>
    </row>
    <row r="70" spans="1:13" x14ac:dyDescent="0.3">
      <c r="A70" s="3" t="s">
        <v>4</v>
      </c>
      <c r="B70" s="16">
        <v>52</v>
      </c>
      <c r="C70" s="17">
        <v>300951</v>
      </c>
      <c r="D70" s="17">
        <v>34242</v>
      </c>
      <c r="E70" s="18">
        <f t="shared" ref="E70:E78" si="21">SUM(C70:D70)</f>
        <v>335193</v>
      </c>
      <c r="F70" s="16">
        <v>51</v>
      </c>
      <c r="G70" s="17">
        <f>360690-7425-G54-H70</f>
        <v>313040</v>
      </c>
      <c r="H70" s="17">
        <f>21275+3163</f>
        <v>24438</v>
      </c>
      <c r="I70" s="18">
        <f t="shared" si="20"/>
        <v>337478</v>
      </c>
      <c r="J70" s="59">
        <f t="shared" si="16"/>
        <v>-1.9230769230769232E-2</v>
      </c>
      <c r="K70" s="60">
        <f t="shared" si="17"/>
        <v>4.0169329890912472E-2</v>
      </c>
      <c r="L70" s="60">
        <f t="shared" si="18"/>
        <v>-0.28631505169090593</v>
      </c>
      <c r="M70" s="61">
        <f t="shared" si="19"/>
        <v>6.816968134776084E-3</v>
      </c>
    </row>
    <row r="71" spans="1:13" x14ac:dyDescent="0.3">
      <c r="A71" s="3" t="s">
        <v>5</v>
      </c>
      <c r="B71" s="16">
        <v>52</v>
      </c>
      <c r="C71" s="17">
        <v>300951</v>
      </c>
      <c r="D71" s="17">
        <v>34242</v>
      </c>
      <c r="E71" s="18">
        <f t="shared" si="21"/>
        <v>335193</v>
      </c>
      <c r="F71" s="16">
        <v>51</v>
      </c>
      <c r="G71" s="17">
        <f>322501-G55-H71</f>
        <v>287645</v>
      </c>
      <c r="H71" s="17">
        <f>15748+4308</f>
        <v>20056</v>
      </c>
      <c r="I71" s="18">
        <f t="shared" si="20"/>
        <v>307701</v>
      </c>
      <c r="J71" s="59">
        <f t="shared" si="16"/>
        <v>-1.9230769230769232E-2</v>
      </c>
      <c r="K71" s="60">
        <f t="shared" si="17"/>
        <v>-4.4213177560466652E-2</v>
      </c>
      <c r="L71" s="60">
        <f t="shared" si="18"/>
        <v>-0.41428654868290404</v>
      </c>
      <c r="M71" s="61">
        <f t="shared" si="19"/>
        <v>-8.2018419239065249E-2</v>
      </c>
    </row>
    <row r="72" spans="1:13" x14ac:dyDescent="0.3">
      <c r="A72" s="3" t="s">
        <v>6</v>
      </c>
      <c r="B72" s="16">
        <v>52</v>
      </c>
      <c r="C72" s="17">
        <v>300951</v>
      </c>
      <c r="D72" s="17">
        <v>34242</v>
      </c>
      <c r="E72" s="18">
        <f>SUM(C72:D72)</f>
        <v>335193</v>
      </c>
      <c r="F72" s="16">
        <v>51</v>
      </c>
      <c r="G72" s="17">
        <f>324522-G56-H72</f>
        <v>280206</v>
      </c>
      <c r="H72" s="17">
        <f>22492+8445</f>
        <v>30937</v>
      </c>
      <c r="I72" s="18">
        <f t="shared" si="20"/>
        <v>311143</v>
      </c>
      <c r="J72" s="59">
        <f t="shared" si="16"/>
        <v>-1.9230769230769232E-2</v>
      </c>
      <c r="K72" s="60">
        <f t="shared" si="17"/>
        <v>-6.8931487185621573E-2</v>
      </c>
      <c r="L72" s="60">
        <f t="shared" si="18"/>
        <v>-9.65188949243619E-2</v>
      </c>
      <c r="M72" s="61">
        <f t="shared" si="19"/>
        <v>-7.1749708376964913E-2</v>
      </c>
    </row>
    <row r="73" spans="1:13" x14ac:dyDescent="0.3">
      <c r="A73" s="3" t="s">
        <v>7</v>
      </c>
      <c r="B73" s="16">
        <v>52</v>
      </c>
      <c r="C73" s="17">
        <v>300951</v>
      </c>
      <c r="D73" s="17">
        <v>34242</v>
      </c>
      <c r="E73" s="18">
        <f t="shared" si="21"/>
        <v>335193</v>
      </c>
      <c r="F73" s="16">
        <v>52</v>
      </c>
      <c r="G73" s="17">
        <f>360265-3400-G57-H73</f>
        <v>296158</v>
      </c>
      <c r="H73" s="17">
        <f>39192+5728</f>
        <v>44920</v>
      </c>
      <c r="I73" s="18">
        <f t="shared" si="20"/>
        <v>341078</v>
      </c>
      <c r="J73" s="59">
        <f t="shared" si="16"/>
        <v>0</v>
      </c>
      <c r="K73" s="60">
        <f t="shared" si="17"/>
        <v>-1.5926180673930309E-2</v>
      </c>
      <c r="L73" s="60">
        <f t="shared" si="18"/>
        <v>0.31183926172536652</v>
      </c>
      <c r="M73" s="61">
        <f t="shared" si="19"/>
        <v>1.7557049222388297E-2</v>
      </c>
    </row>
    <row r="74" spans="1:13" x14ac:dyDescent="0.3">
      <c r="A74" s="3" t="s">
        <v>8</v>
      </c>
      <c r="B74" s="16">
        <v>52</v>
      </c>
      <c r="C74" s="17">
        <v>300951</v>
      </c>
      <c r="D74" s="17">
        <v>34242</v>
      </c>
      <c r="E74" s="18">
        <f t="shared" si="21"/>
        <v>335193</v>
      </c>
      <c r="F74" s="16">
        <v>52</v>
      </c>
      <c r="G74" s="17">
        <f>347188-G58-H74</f>
        <v>290586.62</v>
      </c>
      <c r="H74" s="17">
        <f>37534+4936</f>
        <v>42470</v>
      </c>
      <c r="I74" s="18">
        <f t="shared" si="20"/>
        <v>333056.62</v>
      </c>
      <c r="J74" s="59">
        <f t="shared" si="16"/>
        <v>0</v>
      </c>
      <c r="K74" s="60">
        <f t="shared" si="17"/>
        <v>-3.4438762456346729E-2</v>
      </c>
      <c r="L74" s="60">
        <f t="shared" si="18"/>
        <v>0.24028970270428129</v>
      </c>
      <c r="M74" s="61">
        <f t="shared" si="19"/>
        <v>-6.3735817872091743E-3</v>
      </c>
    </row>
    <row r="75" spans="1:13" x14ac:dyDescent="0.3">
      <c r="A75" s="3" t="s">
        <v>9</v>
      </c>
      <c r="B75" s="16">
        <v>52</v>
      </c>
      <c r="C75" s="17">
        <v>300951</v>
      </c>
      <c r="D75" s="17">
        <v>34242</v>
      </c>
      <c r="E75" s="18">
        <f t="shared" si="21"/>
        <v>335193</v>
      </c>
      <c r="F75" s="16">
        <v>51</v>
      </c>
      <c r="G75" s="17">
        <f>331790-G59-H75</f>
        <v>292801</v>
      </c>
      <c r="H75" s="17">
        <f>18675+5430</f>
        <v>24105</v>
      </c>
      <c r="I75" s="18">
        <f t="shared" si="20"/>
        <v>316906</v>
      </c>
      <c r="J75" s="59">
        <f t="shared" si="16"/>
        <v>-1.9230769230769232E-2</v>
      </c>
      <c r="K75" s="60">
        <f t="shared" si="17"/>
        <v>-2.7080820465790113E-2</v>
      </c>
      <c r="L75" s="60">
        <f t="shared" si="18"/>
        <v>-0.29603995093744523</v>
      </c>
      <c r="M75" s="61">
        <f t="shared" si="19"/>
        <v>-5.4556628569212368E-2</v>
      </c>
    </row>
    <row r="76" spans="1:13" x14ac:dyDescent="0.3">
      <c r="A76" s="3" t="s">
        <v>10</v>
      </c>
      <c r="B76" s="16">
        <v>52</v>
      </c>
      <c r="C76" s="17">
        <v>300951</v>
      </c>
      <c r="D76" s="17">
        <v>34242</v>
      </c>
      <c r="E76" s="18">
        <f t="shared" si="21"/>
        <v>335193</v>
      </c>
      <c r="F76" s="16">
        <v>49</v>
      </c>
      <c r="G76" s="17">
        <f>378285.66-3525-G60-H76</f>
        <v>291391.65999999997</v>
      </c>
      <c r="H76" s="17">
        <f>19653+48682</f>
        <v>68335</v>
      </c>
      <c r="I76" s="18">
        <f t="shared" si="20"/>
        <v>359726.66</v>
      </c>
      <c r="J76" s="59">
        <f t="shared" si="16"/>
        <v>-5.7692307692307696E-2</v>
      </c>
      <c r="K76" s="60">
        <f t="shared" si="17"/>
        <v>-3.1763775498337025E-2</v>
      </c>
      <c r="L76" s="60">
        <f t="shared" si="18"/>
        <v>0.9956486186554524</v>
      </c>
      <c r="M76" s="61">
        <f t="shared" si="19"/>
        <v>7.3192638271085533E-2</v>
      </c>
    </row>
    <row r="77" spans="1:13" x14ac:dyDescent="0.3">
      <c r="A77" s="3" t="s">
        <v>11</v>
      </c>
      <c r="B77" s="16">
        <v>52</v>
      </c>
      <c r="C77" s="17">
        <v>300951</v>
      </c>
      <c r="D77" s="17">
        <v>34242</v>
      </c>
      <c r="E77" s="18">
        <f t="shared" si="21"/>
        <v>335193</v>
      </c>
      <c r="F77" s="16">
        <v>49</v>
      </c>
      <c r="G77" s="17">
        <f>305084-G61-H77</f>
        <v>266152.2</v>
      </c>
      <c r="H77" s="17">
        <f>18881+6003</f>
        <v>24884</v>
      </c>
      <c r="I77" s="18">
        <f t="shared" si="20"/>
        <v>291036.2</v>
      </c>
      <c r="J77" s="59">
        <f t="shared" si="16"/>
        <v>-5.7692307692307696E-2</v>
      </c>
      <c r="K77" s="60">
        <f t="shared" si="17"/>
        <v>-0.11562945462882658</v>
      </c>
      <c r="L77" s="60">
        <f t="shared" si="18"/>
        <v>-0.27329011155890426</v>
      </c>
      <c r="M77" s="61">
        <f t="shared" si="19"/>
        <v>-0.13173544793596523</v>
      </c>
    </row>
    <row r="78" spans="1:13" x14ac:dyDescent="0.3">
      <c r="A78" s="3" t="s">
        <v>12</v>
      </c>
      <c r="B78" s="16">
        <v>52</v>
      </c>
      <c r="C78" s="17">
        <v>300951</v>
      </c>
      <c r="D78" s="17">
        <v>34242</v>
      </c>
      <c r="E78" s="18">
        <f t="shared" si="21"/>
        <v>335193</v>
      </c>
      <c r="F78" s="16">
        <v>47</v>
      </c>
      <c r="G78" s="17">
        <f>326369.62-1000-G62-H78</f>
        <v>290671.62</v>
      </c>
      <c r="H78" s="17">
        <f>14816+4722</f>
        <v>19538</v>
      </c>
      <c r="I78" s="18">
        <f t="shared" si="20"/>
        <v>310209.62</v>
      </c>
      <c r="J78" s="59">
        <f t="shared" si="16"/>
        <v>-9.6153846153846159E-2</v>
      </c>
      <c r="K78" s="60">
        <f t="shared" si="17"/>
        <v>-3.4156324451488793E-2</v>
      </c>
      <c r="L78" s="60">
        <f t="shared" si="18"/>
        <v>-0.42941416973307633</v>
      </c>
      <c r="M78" s="61">
        <f t="shared" si="19"/>
        <v>-7.4534313067397009E-2</v>
      </c>
    </row>
    <row r="79" spans="1:13" x14ac:dyDescent="0.3">
      <c r="A79" s="3" t="s">
        <v>13</v>
      </c>
      <c r="B79" s="26">
        <v>52</v>
      </c>
      <c r="C79" s="27">
        <v>300949</v>
      </c>
      <c r="D79" s="27">
        <v>34238</v>
      </c>
      <c r="E79" s="28">
        <f>SUM(C79:D79)</f>
        <v>335187</v>
      </c>
      <c r="F79" s="26">
        <v>49</v>
      </c>
      <c r="G79" s="27">
        <f>416517.45-37413.7-G63-H79</f>
        <v>312918.75</v>
      </c>
      <c r="H79" s="27">
        <f>35619+13451</f>
        <v>49070</v>
      </c>
      <c r="I79" s="28">
        <f t="shared" si="20"/>
        <v>361988.75</v>
      </c>
      <c r="J79" s="64">
        <f t="shared" si="16"/>
        <v>-5.7692307692307696E-2</v>
      </c>
      <c r="K79" s="65">
        <f t="shared" si="17"/>
        <v>3.9773350301878389E-2</v>
      </c>
      <c r="L79" s="65">
        <f t="shared" si="18"/>
        <v>0.43320287399964952</v>
      </c>
      <c r="M79" s="66">
        <f t="shared" si="19"/>
        <v>7.9960589163660875E-2</v>
      </c>
    </row>
    <row r="80" spans="1:13" ht="12.9" thickBot="1" x14ac:dyDescent="0.35">
      <c r="A80" s="5" t="s">
        <v>2</v>
      </c>
      <c r="B80" s="35"/>
      <c r="C80" s="38">
        <f>SUM(C68:C79)</f>
        <v>3611410</v>
      </c>
      <c r="D80" s="38">
        <f>SUM(D68:D79)</f>
        <v>410900</v>
      </c>
      <c r="E80" s="39">
        <f>SUM(E68:E79)</f>
        <v>4022310</v>
      </c>
      <c r="F80" s="35"/>
      <c r="G80" s="38">
        <f>SUM(G68:G79)</f>
        <v>3469041.8500000006</v>
      </c>
      <c r="H80" s="38">
        <f>SUM(H68:H79)</f>
        <v>535784</v>
      </c>
      <c r="I80" s="39">
        <f>SUM(I68:I79)</f>
        <v>4004825.8500000006</v>
      </c>
      <c r="J80" s="43"/>
      <c r="K80" s="44">
        <f>(G80-C80)/C80</f>
        <v>-3.9421763244826658E-2</v>
      </c>
      <c r="L80" s="44">
        <f>(H80-D80)/D80</f>
        <v>0.30392796300803115</v>
      </c>
      <c r="M80" s="45">
        <f>(I80-E80)/E80</f>
        <v>-4.3467932605889253E-3</v>
      </c>
    </row>
    <row r="81" spans="1:13" x14ac:dyDescent="0.3">
      <c r="B81" s="16"/>
      <c r="E81" s="92"/>
      <c r="F81" s="16"/>
      <c r="J81" s="91" t="s">
        <v>30</v>
      </c>
      <c r="K81" s="23"/>
      <c r="L81" s="23"/>
      <c r="M81" s="25"/>
    </row>
    <row r="82" spans="1:13" x14ac:dyDescent="0.3">
      <c r="B82" s="16"/>
      <c r="E82" s="92"/>
      <c r="F82" s="16"/>
      <c r="J82" s="91" t="s">
        <v>31</v>
      </c>
      <c r="K82" s="23"/>
      <c r="L82" s="23"/>
      <c r="M82" s="25"/>
    </row>
    <row r="83" spans="1:13" x14ac:dyDescent="0.3">
      <c r="B83" s="16"/>
      <c r="E83" s="92"/>
      <c r="F83" s="16"/>
      <c r="J83" s="16"/>
      <c r="K83" s="23"/>
      <c r="L83" s="23"/>
      <c r="M83" s="25"/>
    </row>
    <row r="84" spans="1:13" ht="12.9" thickBot="1" x14ac:dyDescent="0.35">
      <c r="B84" s="67"/>
      <c r="C84" s="68"/>
      <c r="D84" s="68"/>
      <c r="E84" s="69"/>
      <c r="F84" s="67"/>
      <c r="G84" s="68"/>
      <c r="H84" s="68"/>
      <c r="I84" s="68"/>
      <c r="J84" s="67"/>
      <c r="K84" s="68"/>
      <c r="L84" s="68"/>
      <c r="M84" s="69"/>
    </row>
    <row r="85" spans="1:13" x14ac:dyDescent="0.3">
      <c r="M85" s="92"/>
    </row>
    <row r="86" spans="1:13" ht="12.9" thickBot="1" x14ac:dyDescent="0.35">
      <c r="M86" s="92"/>
    </row>
    <row r="87" spans="1:13" x14ac:dyDescent="0.3">
      <c r="A87" s="95">
        <v>2020</v>
      </c>
      <c r="B87" s="55"/>
      <c r="C87" s="55"/>
      <c r="D87" s="55"/>
      <c r="E87" s="55"/>
      <c r="F87" s="56"/>
      <c r="G87" s="56"/>
      <c r="H87" s="56"/>
      <c r="I87" s="56"/>
      <c r="J87" s="103" t="s">
        <v>18</v>
      </c>
      <c r="K87" s="103"/>
      <c r="L87" s="103"/>
      <c r="M87" s="104"/>
    </row>
    <row r="88" spans="1:13" ht="18.75" customHeight="1" thickBot="1" x14ac:dyDescent="0.35">
      <c r="A88" s="9"/>
      <c r="B88" s="97" t="s">
        <v>19</v>
      </c>
      <c r="C88" s="97"/>
      <c r="D88" s="97"/>
      <c r="E88" s="97"/>
      <c r="F88" s="97" t="s">
        <v>17</v>
      </c>
      <c r="G88" s="97"/>
      <c r="H88" s="97"/>
      <c r="I88" s="97"/>
      <c r="J88" s="97" t="s">
        <v>24</v>
      </c>
      <c r="K88" s="97"/>
      <c r="L88" s="97"/>
      <c r="M88" s="98"/>
    </row>
    <row r="89" spans="1:13" ht="48.75" customHeight="1" x14ac:dyDescent="0.3">
      <c r="A89" s="2" t="s">
        <v>21</v>
      </c>
      <c r="B89" s="32" t="s">
        <v>15</v>
      </c>
      <c r="C89" s="33" t="s">
        <v>0</v>
      </c>
      <c r="D89" s="33" t="s">
        <v>1</v>
      </c>
      <c r="E89" s="34" t="s">
        <v>2</v>
      </c>
      <c r="F89" s="32" t="s">
        <v>15</v>
      </c>
      <c r="G89" s="33" t="s">
        <v>0</v>
      </c>
      <c r="H89" s="33" t="s">
        <v>1</v>
      </c>
      <c r="I89" s="34" t="s">
        <v>2</v>
      </c>
      <c r="J89" s="32" t="s">
        <v>15</v>
      </c>
      <c r="K89" s="33" t="s">
        <v>0</v>
      </c>
      <c r="L89" s="33" t="s">
        <v>1</v>
      </c>
      <c r="M89" s="34" t="s">
        <v>2</v>
      </c>
    </row>
    <row r="90" spans="1:13" ht="12.75" customHeight="1" x14ac:dyDescent="0.3">
      <c r="A90" s="2"/>
      <c r="B90" s="14"/>
      <c r="C90" s="1"/>
      <c r="D90" s="1"/>
      <c r="E90" s="15"/>
      <c r="F90" s="14"/>
      <c r="G90" s="1"/>
      <c r="H90" s="1"/>
      <c r="I90" s="15"/>
      <c r="J90" s="14"/>
      <c r="K90" s="1"/>
      <c r="L90" s="1"/>
      <c r="M90" s="15"/>
    </row>
    <row r="91" spans="1:13" x14ac:dyDescent="0.3">
      <c r="A91" s="3" t="s">
        <v>14</v>
      </c>
      <c r="B91" s="16">
        <v>1</v>
      </c>
      <c r="C91" s="17">
        <v>14350</v>
      </c>
      <c r="D91" s="17">
        <v>0</v>
      </c>
      <c r="E91" s="18">
        <f>SUM(C91:D91)</f>
        <v>14350</v>
      </c>
      <c r="F91" s="16">
        <v>1</v>
      </c>
      <c r="G91" s="17">
        <v>14736</v>
      </c>
      <c r="H91" s="17">
        <v>0</v>
      </c>
      <c r="I91" s="18">
        <f>G91+H91</f>
        <v>14736</v>
      </c>
      <c r="J91" s="59">
        <f t="shared" ref="J91:J102" si="22">(F91-B91)/B91</f>
        <v>0</v>
      </c>
      <c r="K91" s="60">
        <f t="shared" ref="K91:K102" si="23">(G91-C91)/C91</f>
        <v>2.6898954703832752E-2</v>
      </c>
      <c r="L91" s="60">
        <v>0</v>
      </c>
      <c r="M91" s="61">
        <f t="shared" ref="M91:M102" si="24">(I91-E91)/E91</f>
        <v>2.6898954703832752E-2</v>
      </c>
    </row>
    <row r="92" spans="1:13" x14ac:dyDescent="0.3">
      <c r="A92" s="3" t="s">
        <v>3</v>
      </c>
      <c r="B92" s="16">
        <v>1</v>
      </c>
      <c r="C92" s="17">
        <v>14350</v>
      </c>
      <c r="D92" s="17">
        <v>0</v>
      </c>
      <c r="E92" s="18">
        <f t="shared" ref="E92:E102" si="25">SUM(C92:D92)</f>
        <v>14350</v>
      </c>
      <c r="F92" s="16">
        <v>1</v>
      </c>
      <c r="G92" s="17">
        <v>13246</v>
      </c>
      <c r="H92" s="17">
        <v>0</v>
      </c>
      <c r="I92" s="18">
        <f t="shared" ref="I92:I102" si="26">G92+H92</f>
        <v>13246</v>
      </c>
      <c r="J92" s="59">
        <f t="shared" si="22"/>
        <v>0</v>
      </c>
      <c r="K92" s="60">
        <f t="shared" si="23"/>
        <v>-7.6933797909407672E-2</v>
      </c>
      <c r="L92" s="60">
        <v>0</v>
      </c>
      <c r="M92" s="61">
        <f t="shared" si="24"/>
        <v>-7.6933797909407672E-2</v>
      </c>
    </row>
    <row r="93" spans="1:13" x14ac:dyDescent="0.3">
      <c r="A93" s="3" t="s">
        <v>4</v>
      </c>
      <c r="B93" s="16">
        <v>1</v>
      </c>
      <c r="C93" s="17">
        <v>14350</v>
      </c>
      <c r="D93" s="17">
        <v>0</v>
      </c>
      <c r="E93" s="18">
        <f t="shared" si="25"/>
        <v>14350</v>
      </c>
      <c r="F93" s="16">
        <v>1</v>
      </c>
      <c r="G93" s="17">
        <v>14886</v>
      </c>
      <c r="H93" s="17">
        <v>0</v>
      </c>
      <c r="I93" s="18">
        <f t="shared" si="26"/>
        <v>14886</v>
      </c>
      <c r="J93" s="59">
        <f t="shared" si="22"/>
        <v>0</v>
      </c>
      <c r="K93" s="60">
        <f t="shared" si="23"/>
        <v>3.7351916376306624E-2</v>
      </c>
      <c r="L93" s="60">
        <v>0</v>
      </c>
      <c r="M93" s="61">
        <f t="shared" si="24"/>
        <v>3.7351916376306624E-2</v>
      </c>
    </row>
    <row r="94" spans="1:13" x14ac:dyDescent="0.3">
      <c r="A94" s="3" t="s">
        <v>5</v>
      </c>
      <c r="B94" s="16">
        <v>1</v>
      </c>
      <c r="C94" s="17">
        <v>14350</v>
      </c>
      <c r="D94" s="17">
        <v>0</v>
      </c>
      <c r="E94" s="18">
        <f t="shared" si="25"/>
        <v>14350</v>
      </c>
      <c r="F94" s="16">
        <v>1</v>
      </c>
      <c r="G94" s="17">
        <v>14736</v>
      </c>
      <c r="H94" s="17">
        <v>0</v>
      </c>
      <c r="I94" s="18">
        <f t="shared" si="26"/>
        <v>14736</v>
      </c>
      <c r="J94" s="59">
        <f t="shared" si="22"/>
        <v>0</v>
      </c>
      <c r="K94" s="60">
        <f t="shared" si="23"/>
        <v>2.6898954703832752E-2</v>
      </c>
      <c r="L94" s="60">
        <v>0</v>
      </c>
      <c r="M94" s="61">
        <f t="shared" si="24"/>
        <v>2.6898954703832752E-2</v>
      </c>
    </row>
    <row r="95" spans="1:13" x14ac:dyDescent="0.3">
      <c r="A95" s="3" t="s">
        <v>6</v>
      </c>
      <c r="B95" s="16">
        <v>1</v>
      </c>
      <c r="C95" s="17">
        <v>14350</v>
      </c>
      <c r="D95" s="17">
        <v>0</v>
      </c>
      <c r="E95" s="18">
        <f t="shared" si="25"/>
        <v>14350</v>
      </c>
      <c r="F95" s="16">
        <v>1</v>
      </c>
      <c r="G95" s="17">
        <v>13908</v>
      </c>
      <c r="H95" s="17">
        <v>0</v>
      </c>
      <c r="I95" s="18">
        <f t="shared" si="26"/>
        <v>13908</v>
      </c>
      <c r="J95" s="59">
        <f t="shared" si="22"/>
        <v>0</v>
      </c>
      <c r="K95" s="60">
        <f t="shared" si="23"/>
        <v>-3.0801393728222996E-2</v>
      </c>
      <c r="L95" s="60">
        <v>0</v>
      </c>
      <c r="M95" s="61">
        <f t="shared" si="24"/>
        <v>-3.0801393728222996E-2</v>
      </c>
    </row>
    <row r="96" spans="1:13" x14ac:dyDescent="0.3">
      <c r="A96" s="3" t="s">
        <v>7</v>
      </c>
      <c r="B96" s="16">
        <v>1</v>
      </c>
      <c r="C96" s="17">
        <v>14350</v>
      </c>
      <c r="D96" s="17">
        <v>0</v>
      </c>
      <c r="E96" s="18">
        <f t="shared" si="25"/>
        <v>14350</v>
      </c>
      <c r="F96" s="16">
        <v>1</v>
      </c>
      <c r="G96" s="17">
        <v>14736</v>
      </c>
      <c r="H96" s="17">
        <v>0</v>
      </c>
      <c r="I96" s="18">
        <f t="shared" si="26"/>
        <v>14736</v>
      </c>
      <c r="J96" s="59">
        <f t="shared" si="22"/>
        <v>0</v>
      </c>
      <c r="K96" s="60">
        <f t="shared" si="23"/>
        <v>2.6898954703832752E-2</v>
      </c>
      <c r="L96" s="60">
        <v>0</v>
      </c>
      <c r="M96" s="61">
        <f t="shared" si="24"/>
        <v>2.6898954703832752E-2</v>
      </c>
    </row>
    <row r="97" spans="1:13" x14ac:dyDescent="0.3">
      <c r="A97" s="3" t="s">
        <v>8</v>
      </c>
      <c r="B97" s="16">
        <v>1</v>
      </c>
      <c r="C97" s="17">
        <v>14350</v>
      </c>
      <c r="D97" s="17">
        <v>0</v>
      </c>
      <c r="E97" s="18">
        <f t="shared" si="25"/>
        <v>14350</v>
      </c>
      <c r="F97" s="16">
        <v>1</v>
      </c>
      <c r="G97" s="17">
        <v>14736</v>
      </c>
      <c r="H97" s="17">
        <v>0</v>
      </c>
      <c r="I97" s="18">
        <f t="shared" si="26"/>
        <v>14736</v>
      </c>
      <c r="J97" s="59">
        <f t="shared" si="22"/>
        <v>0</v>
      </c>
      <c r="K97" s="60">
        <f t="shared" si="23"/>
        <v>2.6898954703832752E-2</v>
      </c>
      <c r="L97" s="60">
        <v>0</v>
      </c>
      <c r="M97" s="61">
        <f t="shared" si="24"/>
        <v>2.6898954703832752E-2</v>
      </c>
    </row>
    <row r="98" spans="1:13" x14ac:dyDescent="0.3">
      <c r="A98" s="3" t="s">
        <v>9</v>
      </c>
      <c r="B98" s="16">
        <v>1</v>
      </c>
      <c r="C98" s="17">
        <v>14350</v>
      </c>
      <c r="D98" s="17">
        <v>0</v>
      </c>
      <c r="E98" s="18">
        <f t="shared" si="25"/>
        <v>14350</v>
      </c>
      <c r="F98" s="16">
        <v>1</v>
      </c>
      <c r="G98" s="17">
        <v>13991</v>
      </c>
      <c r="H98" s="17">
        <v>0</v>
      </c>
      <c r="I98" s="18">
        <f t="shared" si="26"/>
        <v>13991</v>
      </c>
      <c r="J98" s="59">
        <f t="shared" si="22"/>
        <v>0</v>
      </c>
      <c r="K98" s="60">
        <f t="shared" si="23"/>
        <v>-2.5017421602787457E-2</v>
      </c>
      <c r="L98" s="60">
        <v>0</v>
      </c>
      <c r="M98" s="61">
        <f t="shared" si="24"/>
        <v>-2.5017421602787457E-2</v>
      </c>
    </row>
    <row r="99" spans="1:13" x14ac:dyDescent="0.3">
      <c r="A99" s="3" t="s">
        <v>10</v>
      </c>
      <c r="B99" s="16">
        <v>1</v>
      </c>
      <c r="C99" s="17">
        <v>14350</v>
      </c>
      <c r="D99" s="17">
        <v>0</v>
      </c>
      <c r="E99" s="18">
        <f t="shared" si="25"/>
        <v>14350</v>
      </c>
      <c r="F99" s="16">
        <v>1</v>
      </c>
      <c r="G99" s="17">
        <v>14736</v>
      </c>
      <c r="H99" s="17">
        <v>0</v>
      </c>
      <c r="I99" s="18">
        <f t="shared" si="26"/>
        <v>14736</v>
      </c>
      <c r="J99" s="59">
        <f t="shared" si="22"/>
        <v>0</v>
      </c>
      <c r="K99" s="60">
        <f t="shared" si="23"/>
        <v>2.6898954703832752E-2</v>
      </c>
      <c r="L99" s="60">
        <v>0</v>
      </c>
      <c r="M99" s="61">
        <f t="shared" si="24"/>
        <v>2.6898954703832752E-2</v>
      </c>
    </row>
    <row r="100" spans="1:13" x14ac:dyDescent="0.3">
      <c r="A100" s="3" t="s">
        <v>11</v>
      </c>
      <c r="B100" s="16">
        <v>1</v>
      </c>
      <c r="C100" s="17">
        <v>14350</v>
      </c>
      <c r="D100" s="17">
        <v>0</v>
      </c>
      <c r="E100" s="18">
        <f t="shared" si="25"/>
        <v>14350</v>
      </c>
      <c r="F100" s="16">
        <v>1</v>
      </c>
      <c r="G100" s="17">
        <v>14654</v>
      </c>
      <c r="H100" s="17">
        <v>0</v>
      </c>
      <c r="I100" s="18">
        <f t="shared" si="26"/>
        <v>14654</v>
      </c>
      <c r="J100" s="59">
        <f t="shared" si="22"/>
        <v>0</v>
      </c>
      <c r="K100" s="60">
        <f t="shared" si="23"/>
        <v>2.1184668989547038E-2</v>
      </c>
      <c r="L100" s="60">
        <v>0</v>
      </c>
      <c r="M100" s="61">
        <f t="shared" si="24"/>
        <v>2.1184668989547038E-2</v>
      </c>
    </row>
    <row r="101" spans="1:13" x14ac:dyDescent="0.3">
      <c r="A101" s="3" t="s">
        <v>12</v>
      </c>
      <c r="B101" s="16">
        <v>1</v>
      </c>
      <c r="C101" s="17">
        <v>14350</v>
      </c>
      <c r="D101" s="17">
        <v>0</v>
      </c>
      <c r="E101" s="18">
        <f t="shared" si="25"/>
        <v>14350</v>
      </c>
      <c r="F101" s="16">
        <v>1</v>
      </c>
      <c r="G101" s="17">
        <v>14002</v>
      </c>
      <c r="H101" s="17">
        <v>0</v>
      </c>
      <c r="I101" s="18">
        <f t="shared" si="26"/>
        <v>14002</v>
      </c>
      <c r="J101" s="59">
        <f t="shared" si="22"/>
        <v>0</v>
      </c>
      <c r="K101" s="60">
        <f t="shared" si="23"/>
        <v>-2.4250871080139375E-2</v>
      </c>
      <c r="L101" s="60">
        <v>0</v>
      </c>
      <c r="M101" s="61">
        <f t="shared" si="24"/>
        <v>-2.4250871080139375E-2</v>
      </c>
    </row>
    <row r="102" spans="1:13" x14ac:dyDescent="0.3">
      <c r="A102" s="3" t="s">
        <v>13</v>
      </c>
      <c r="B102" s="16">
        <v>1</v>
      </c>
      <c r="C102" s="17">
        <v>14350</v>
      </c>
      <c r="D102" s="27">
        <v>0</v>
      </c>
      <c r="E102" s="28">
        <f t="shared" si="25"/>
        <v>14350</v>
      </c>
      <c r="F102" s="16">
        <v>1</v>
      </c>
      <c r="G102" s="27">
        <v>15637</v>
      </c>
      <c r="H102" s="27">
        <v>0</v>
      </c>
      <c r="I102" s="28">
        <f t="shared" si="26"/>
        <v>15637</v>
      </c>
      <c r="J102" s="64">
        <f t="shared" si="22"/>
        <v>0</v>
      </c>
      <c r="K102" s="65">
        <f t="shared" si="23"/>
        <v>8.9686411149825784E-2</v>
      </c>
      <c r="L102" s="65">
        <v>0</v>
      </c>
      <c r="M102" s="66">
        <f t="shared" si="24"/>
        <v>8.9686411149825784E-2</v>
      </c>
    </row>
    <row r="103" spans="1:13" ht="12.9" thickBot="1" x14ac:dyDescent="0.35">
      <c r="A103" s="5" t="s">
        <v>2</v>
      </c>
      <c r="B103" s="35"/>
      <c r="C103" s="38">
        <f>SUM(C91:C102)</f>
        <v>172200</v>
      </c>
      <c r="D103" s="38">
        <f>SUM(D91:D102)</f>
        <v>0</v>
      </c>
      <c r="E103" s="39">
        <f>SUM(E91:E102)</f>
        <v>172200</v>
      </c>
      <c r="F103" s="35"/>
      <c r="G103" s="38">
        <f>SUM(G91:G102)</f>
        <v>174004</v>
      </c>
      <c r="H103" s="38">
        <f>SUM(H91:H102)</f>
        <v>0</v>
      </c>
      <c r="I103" s="39">
        <f>SUM(I91:I102)</f>
        <v>174004</v>
      </c>
      <c r="J103" s="72"/>
      <c r="K103" s="73">
        <f>(G103-C103)/C103</f>
        <v>1.0476190476190476E-2</v>
      </c>
      <c r="L103" s="44">
        <v>0</v>
      </c>
      <c r="M103" s="74">
        <f>(I103-E103)/E103</f>
        <v>1.0476190476190476E-2</v>
      </c>
    </row>
    <row r="104" spans="1:13" x14ac:dyDescent="0.3">
      <c r="B104" s="29"/>
      <c r="F104" s="29"/>
      <c r="I104" s="57"/>
      <c r="J104" s="59"/>
      <c r="K104" s="23"/>
      <c r="L104" s="23"/>
      <c r="M104" s="25"/>
    </row>
    <row r="105" spans="1:13" x14ac:dyDescent="0.3">
      <c r="B105" s="16"/>
      <c r="F105" s="16"/>
      <c r="I105" s="92"/>
      <c r="J105" s="16"/>
      <c r="K105" s="23"/>
      <c r="L105" s="23"/>
      <c r="M105" s="25"/>
    </row>
    <row r="106" spans="1:13" x14ac:dyDescent="0.3">
      <c r="A106" s="2" t="s">
        <v>22</v>
      </c>
      <c r="B106" s="46"/>
      <c r="C106" s="2"/>
      <c r="D106" s="2"/>
      <c r="E106" s="47"/>
      <c r="F106" s="2"/>
      <c r="G106" s="4"/>
      <c r="H106" s="4"/>
      <c r="I106" s="4"/>
      <c r="J106" s="16"/>
      <c r="M106" s="92"/>
    </row>
    <row r="107" spans="1:13" ht="12.9" thickBot="1" x14ac:dyDescent="0.35">
      <c r="A107" s="2"/>
      <c r="B107" s="9"/>
      <c r="C107" s="2"/>
      <c r="D107" s="2"/>
      <c r="E107" s="48"/>
      <c r="F107" s="2"/>
      <c r="G107" s="4"/>
      <c r="H107" s="4"/>
      <c r="I107" s="4"/>
      <c r="J107" s="67"/>
      <c r="K107" s="68"/>
      <c r="L107" s="68"/>
      <c r="M107" s="69"/>
    </row>
    <row r="108" spans="1:13" x14ac:dyDescent="0.3">
      <c r="A108" s="3" t="s">
        <v>14</v>
      </c>
      <c r="B108" s="29">
        <v>53</v>
      </c>
      <c r="C108" s="75">
        <v>304476</v>
      </c>
      <c r="D108" s="75">
        <v>37324</v>
      </c>
      <c r="E108" s="76">
        <f>SUM(C108:D108)</f>
        <v>341800</v>
      </c>
      <c r="F108" s="56">
        <v>51</v>
      </c>
      <c r="G108" s="40">
        <f>357993-G91-H108</f>
        <v>301028</v>
      </c>
      <c r="H108" s="40">
        <f>30488+11741</f>
        <v>42229</v>
      </c>
      <c r="I108" s="41">
        <f>G108+H108</f>
        <v>343257</v>
      </c>
      <c r="J108" s="79">
        <f t="shared" ref="J108:J119" si="27">(F108-B108)/B108</f>
        <v>-3.7735849056603772E-2</v>
      </c>
      <c r="K108" s="80">
        <f t="shared" ref="K108:K119" si="28">(G108-C108)/C108</f>
        <v>-1.1324373678056728E-2</v>
      </c>
      <c r="L108" s="80">
        <f t="shared" ref="L108:L119" si="29">(H108-D108)/D108</f>
        <v>0.13141678276712035</v>
      </c>
      <c r="M108" s="81">
        <f t="shared" ref="M108:M119" si="30">(I108-E108)/E108</f>
        <v>4.2627267407840839E-3</v>
      </c>
    </row>
    <row r="109" spans="1:13" x14ac:dyDescent="0.3">
      <c r="A109" s="3" t="s">
        <v>3</v>
      </c>
      <c r="B109" s="16">
        <v>53</v>
      </c>
      <c r="C109" s="83">
        <v>304476</v>
      </c>
      <c r="D109" s="83">
        <v>37324</v>
      </c>
      <c r="E109" s="84">
        <f t="shared" ref="E109:E119" si="31">SUM(C109:D109)</f>
        <v>341800</v>
      </c>
      <c r="F109" s="3">
        <v>50</v>
      </c>
      <c r="G109" s="17">
        <f>294609-G92-H109</f>
        <v>268181</v>
      </c>
      <c r="H109" s="17">
        <f>11999+1183</f>
        <v>13182</v>
      </c>
      <c r="I109" s="18">
        <f t="shared" ref="I109:I119" si="32">G109+H109</f>
        <v>281363</v>
      </c>
      <c r="J109" s="59">
        <f t="shared" si="27"/>
        <v>-5.6603773584905662E-2</v>
      </c>
      <c r="K109" s="60">
        <f t="shared" si="28"/>
        <v>-0.11920479775089006</v>
      </c>
      <c r="L109" s="60">
        <f t="shared" si="29"/>
        <v>-0.64682241989068701</v>
      </c>
      <c r="M109" s="61">
        <f t="shared" si="30"/>
        <v>-0.17681977764774723</v>
      </c>
    </row>
    <row r="110" spans="1:13" x14ac:dyDescent="0.3">
      <c r="A110" s="3" t="s">
        <v>4</v>
      </c>
      <c r="B110" s="16">
        <v>53</v>
      </c>
      <c r="C110" s="83">
        <v>304476</v>
      </c>
      <c r="D110" s="83">
        <v>37324</v>
      </c>
      <c r="E110" s="84">
        <f t="shared" si="31"/>
        <v>341800</v>
      </c>
      <c r="F110" s="3">
        <v>51</v>
      </c>
      <c r="G110" s="17">
        <f>341324-3450-G93-H110</f>
        <v>301340</v>
      </c>
      <c r="H110" s="17">
        <f>18096+3552</f>
        <v>21648</v>
      </c>
      <c r="I110" s="18">
        <f t="shared" si="32"/>
        <v>322988</v>
      </c>
      <c r="J110" s="59">
        <f t="shared" si="27"/>
        <v>-3.7735849056603772E-2</v>
      </c>
      <c r="K110" s="60">
        <f t="shared" si="28"/>
        <v>-1.029966237076157E-2</v>
      </c>
      <c r="L110" s="60">
        <f t="shared" si="29"/>
        <v>-0.41999785660700889</v>
      </c>
      <c r="M110" s="61">
        <f t="shared" si="30"/>
        <v>-5.5038033937975427E-2</v>
      </c>
    </row>
    <row r="111" spans="1:13" x14ac:dyDescent="0.3">
      <c r="A111" s="3" t="s">
        <v>5</v>
      </c>
      <c r="B111" s="16">
        <v>53</v>
      </c>
      <c r="C111" s="83">
        <v>304476</v>
      </c>
      <c r="D111" s="83">
        <v>37324</v>
      </c>
      <c r="E111" s="84">
        <f t="shared" si="31"/>
        <v>341800</v>
      </c>
      <c r="F111" s="3">
        <v>51</v>
      </c>
      <c r="G111" s="17">
        <f>362256-G94-H111</f>
        <v>302340</v>
      </c>
      <c r="H111" s="17">
        <f>40842+4338</f>
        <v>45180</v>
      </c>
      <c r="I111" s="18">
        <f t="shared" si="32"/>
        <v>347520</v>
      </c>
      <c r="J111" s="59">
        <f t="shared" si="27"/>
        <v>-3.7735849056603772E-2</v>
      </c>
      <c r="K111" s="60">
        <f t="shared" si="28"/>
        <v>-7.0153312576360701E-3</v>
      </c>
      <c r="L111" s="60">
        <f t="shared" si="29"/>
        <v>0.21048119172650306</v>
      </c>
      <c r="M111" s="61">
        <f t="shared" si="30"/>
        <v>1.6734932709186658E-2</v>
      </c>
    </row>
    <row r="112" spans="1:13" x14ac:dyDescent="0.3">
      <c r="A112" s="3" t="s">
        <v>6</v>
      </c>
      <c r="B112" s="16">
        <v>53</v>
      </c>
      <c r="C112" s="83">
        <v>304476</v>
      </c>
      <c r="D112" s="83">
        <v>37324</v>
      </c>
      <c r="E112" s="84">
        <f t="shared" si="31"/>
        <v>341800</v>
      </c>
      <c r="F112" s="3">
        <v>51</v>
      </c>
      <c r="G112" s="17">
        <f>321564-G95-H112</f>
        <v>279395</v>
      </c>
      <c r="H112" s="17">
        <f>19675+8586</f>
        <v>28261</v>
      </c>
      <c r="I112" s="18">
        <f>G112+H112</f>
        <v>307656</v>
      </c>
      <c r="J112" s="59">
        <f t="shared" si="27"/>
        <v>-3.7735849056603772E-2</v>
      </c>
      <c r="K112" s="60">
        <f t="shared" si="28"/>
        <v>-8.2374308648300684E-2</v>
      </c>
      <c r="L112" s="60">
        <f t="shared" si="29"/>
        <v>-0.24281963347979851</v>
      </c>
      <c r="M112" s="61">
        <f t="shared" si="30"/>
        <v>-9.9894675248683437E-2</v>
      </c>
    </row>
    <row r="113" spans="1:13" x14ac:dyDescent="0.3">
      <c r="A113" s="3" t="s">
        <v>7</v>
      </c>
      <c r="B113" s="16">
        <v>53</v>
      </c>
      <c r="C113" s="83">
        <v>304476</v>
      </c>
      <c r="D113" s="83">
        <v>37324</v>
      </c>
      <c r="E113" s="84">
        <f t="shared" si="31"/>
        <v>341800</v>
      </c>
      <c r="F113" s="3">
        <v>52</v>
      </c>
      <c r="G113" s="17">
        <f>362728-3600-G96-H113</f>
        <v>305735</v>
      </c>
      <c r="H113" s="17">
        <f>31033+7624</f>
        <v>38657</v>
      </c>
      <c r="I113" s="18">
        <f t="shared" si="32"/>
        <v>344392</v>
      </c>
      <c r="J113" s="59">
        <f t="shared" si="27"/>
        <v>-1.8867924528301886E-2</v>
      </c>
      <c r="K113" s="60">
        <f t="shared" si="28"/>
        <v>4.1349728714250057E-3</v>
      </c>
      <c r="L113" s="60">
        <f t="shared" si="29"/>
        <v>3.5714285714285712E-2</v>
      </c>
      <c r="M113" s="61">
        <f t="shared" si="30"/>
        <v>7.5833820947922761E-3</v>
      </c>
    </row>
    <row r="114" spans="1:13" x14ac:dyDescent="0.3">
      <c r="A114" s="3" t="s">
        <v>8</v>
      </c>
      <c r="B114" s="16">
        <v>53</v>
      </c>
      <c r="C114" s="83">
        <v>304476</v>
      </c>
      <c r="D114" s="83">
        <v>37324</v>
      </c>
      <c r="E114" s="84">
        <f t="shared" si="31"/>
        <v>341800</v>
      </c>
      <c r="F114" s="3">
        <v>52</v>
      </c>
      <c r="G114" s="17">
        <f>359392-G97-H114</f>
        <v>309924</v>
      </c>
      <c r="H114" s="17">
        <f>29761+4971</f>
        <v>34732</v>
      </c>
      <c r="I114" s="18">
        <f t="shared" si="32"/>
        <v>344656</v>
      </c>
      <c r="J114" s="59">
        <f t="shared" si="27"/>
        <v>-1.8867924528301886E-2</v>
      </c>
      <c r="K114" s="60">
        <f t="shared" si="28"/>
        <v>1.7893035904307728E-2</v>
      </c>
      <c r="L114" s="60">
        <f t="shared" si="29"/>
        <v>-6.9445932911799374E-2</v>
      </c>
      <c r="M114" s="61">
        <f t="shared" si="30"/>
        <v>8.3557636044470449E-3</v>
      </c>
    </row>
    <row r="115" spans="1:13" x14ac:dyDescent="0.3">
      <c r="A115" s="3" t="s">
        <v>9</v>
      </c>
      <c r="B115" s="16">
        <v>53</v>
      </c>
      <c r="C115" s="83">
        <v>304476</v>
      </c>
      <c r="D115" s="83">
        <v>37324</v>
      </c>
      <c r="E115" s="84">
        <f t="shared" si="31"/>
        <v>341800</v>
      </c>
      <c r="F115" s="3">
        <v>51</v>
      </c>
      <c r="G115" s="17">
        <f>337039-G98-H115</f>
        <v>289210</v>
      </c>
      <c r="H115" s="17">
        <f>24710+9128</f>
        <v>33838</v>
      </c>
      <c r="I115" s="18">
        <f t="shared" si="32"/>
        <v>323048</v>
      </c>
      <c r="J115" s="59">
        <f t="shared" si="27"/>
        <v>-3.7735849056603772E-2</v>
      </c>
      <c r="K115" s="60">
        <f t="shared" si="28"/>
        <v>-5.0138598772973893E-2</v>
      </c>
      <c r="L115" s="60">
        <f t="shared" si="29"/>
        <v>-9.3398349587396845E-2</v>
      </c>
      <c r="M115" s="61">
        <f t="shared" si="30"/>
        <v>-5.486249268578116E-2</v>
      </c>
    </row>
    <row r="116" spans="1:13" x14ac:dyDescent="0.3">
      <c r="A116" s="3" t="s">
        <v>10</v>
      </c>
      <c r="B116" s="16">
        <v>53</v>
      </c>
      <c r="C116" s="83">
        <v>304476</v>
      </c>
      <c r="D116" s="83">
        <v>37324</v>
      </c>
      <c r="E116" s="84">
        <f t="shared" si="31"/>
        <v>341800</v>
      </c>
      <c r="F116" s="3">
        <v>49</v>
      </c>
      <c r="G116" s="17">
        <f>376810-3525-G99-H116</f>
        <v>331224</v>
      </c>
      <c r="H116" s="17">
        <f>20195+7130</f>
        <v>27325</v>
      </c>
      <c r="I116" s="18">
        <f t="shared" si="32"/>
        <v>358549</v>
      </c>
      <c r="J116" s="59">
        <f t="shared" si="27"/>
        <v>-7.5471698113207544E-2</v>
      </c>
      <c r="K116" s="60">
        <f t="shared" si="28"/>
        <v>8.7849288613880902E-2</v>
      </c>
      <c r="L116" s="60">
        <f t="shared" si="29"/>
        <v>-0.26789733147572609</v>
      </c>
      <c r="M116" s="61">
        <f t="shared" si="30"/>
        <v>4.9002340550029257E-2</v>
      </c>
    </row>
    <row r="117" spans="1:13" x14ac:dyDescent="0.3">
      <c r="A117" s="3" t="s">
        <v>11</v>
      </c>
      <c r="B117" s="16">
        <v>53</v>
      </c>
      <c r="C117" s="83">
        <v>304476</v>
      </c>
      <c r="D117" s="83">
        <v>37324</v>
      </c>
      <c r="E117" s="84">
        <f t="shared" si="31"/>
        <v>341800</v>
      </c>
      <c r="F117" s="3">
        <v>49</v>
      </c>
      <c r="G117" s="17">
        <f>310558-G100-H117</f>
        <v>280051</v>
      </c>
      <c r="H117" s="17">
        <f>13881+1972</f>
        <v>15853</v>
      </c>
      <c r="I117" s="18">
        <f t="shared" si="32"/>
        <v>295904</v>
      </c>
      <c r="J117" s="59">
        <f t="shared" si="27"/>
        <v>-7.5471698113207544E-2</v>
      </c>
      <c r="K117" s="60">
        <f t="shared" si="28"/>
        <v>-8.0219787438090356E-2</v>
      </c>
      <c r="L117" s="60">
        <f t="shared" si="29"/>
        <v>-0.57525988640017145</v>
      </c>
      <c r="M117" s="61">
        <f t="shared" si="30"/>
        <v>-0.13427735517846695</v>
      </c>
    </row>
    <row r="118" spans="1:13" x14ac:dyDescent="0.3">
      <c r="A118" s="3" t="s">
        <v>12</v>
      </c>
      <c r="B118" s="16">
        <v>53</v>
      </c>
      <c r="C118" s="83">
        <v>304476</v>
      </c>
      <c r="D118" s="83">
        <v>37324</v>
      </c>
      <c r="E118" s="84">
        <f t="shared" si="31"/>
        <v>341800</v>
      </c>
      <c r="F118" s="3">
        <v>47</v>
      </c>
      <c r="G118" s="17">
        <f>323500.41-7700-G101-H118</f>
        <v>273593.40999999997</v>
      </c>
      <c r="H118" s="17">
        <f>15240+12965</f>
        <v>28205</v>
      </c>
      <c r="I118" s="18">
        <f t="shared" si="32"/>
        <v>301798.40999999997</v>
      </c>
      <c r="J118" s="59">
        <f t="shared" si="27"/>
        <v>-0.11320754716981132</v>
      </c>
      <c r="K118" s="60">
        <f t="shared" si="28"/>
        <v>-0.10142865119089854</v>
      </c>
      <c r="L118" s="60">
        <f t="shared" si="29"/>
        <v>-0.24432000857357197</v>
      </c>
      <c r="M118" s="61">
        <f t="shared" si="30"/>
        <v>-0.117032153306027</v>
      </c>
    </row>
    <row r="119" spans="1:13" x14ac:dyDescent="0.3">
      <c r="A119" s="3" t="s">
        <v>13</v>
      </c>
      <c r="B119" s="16">
        <v>53</v>
      </c>
      <c r="C119" s="87">
        <v>307883</v>
      </c>
      <c r="D119" s="87">
        <v>37323</v>
      </c>
      <c r="E119" s="88">
        <f t="shared" si="31"/>
        <v>345206</v>
      </c>
      <c r="F119" s="94">
        <v>49</v>
      </c>
      <c r="G119" s="27">
        <f>464658.81-106730.06-G102-H119</f>
        <v>316687.75</v>
      </c>
      <c r="H119" s="27">
        <f>14649+10955</f>
        <v>25604</v>
      </c>
      <c r="I119" s="28">
        <f t="shared" si="32"/>
        <v>342291.75</v>
      </c>
      <c r="J119" s="64">
        <f t="shared" si="27"/>
        <v>-7.5471698113207544E-2</v>
      </c>
      <c r="K119" s="65">
        <f t="shared" si="28"/>
        <v>2.8597714066707157E-2</v>
      </c>
      <c r="L119" s="65">
        <f t="shared" si="29"/>
        <v>-0.31398869329903811</v>
      </c>
      <c r="M119" s="66">
        <f t="shared" si="30"/>
        <v>-8.442060682606908E-3</v>
      </c>
    </row>
    <row r="120" spans="1:13" ht="12.9" thickBot="1" x14ac:dyDescent="0.35">
      <c r="A120" s="5" t="s">
        <v>2</v>
      </c>
      <c r="B120" s="35"/>
      <c r="C120" s="36">
        <f>SUM(C108:C119)</f>
        <v>3657119</v>
      </c>
      <c r="D120" s="36">
        <f t="shared" ref="D120" si="33">SUM(D108:D119)</f>
        <v>447887</v>
      </c>
      <c r="E120" s="37">
        <f t="shared" ref="E120" si="34">SUM(E108:E119)</f>
        <v>4105006</v>
      </c>
      <c r="F120" s="54"/>
      <c r="G120" s="38">
        <f>SUM(G108:G119)</f>
        <v>3558709.16</v>
      </c>
      <c r="H120" s="38">
        <f t="shared" ref="H120" si="35">SUM(H108:H119)</f>
        <v>354714</v>
      </c>
      <c r="I120" s="39">
        <f t="shared" ref="I120" si="36">SUM(I108:I119)</f>
        <v>3913423.16</v>
      </c>
      <c r="J120" s="43"/>
      <c r="K120" s="44">
        <f>(G120-C120)/C120</f>
        <v>-2.6909116164937442E-2</v>
      </c>
      <c r="L120" s="44">
        <f>(H120-D120)/D120</f>
        <v>-0.20802791775604115</v>
      </c>
      <c r="M120" s="45">
        <f>(I120-E120)/E120</f>
        <v>-4.6670538362185064E-2</v>
      </c>
    </row>
    <row r="121" spans="1:13" x14ac:dyDescent="0.3">
      <c r="B121" s="16"/>
      <c r="E121" s="92"/>
      <c r="F121" s="16"/>
      <c r="J121" s="91" t="s">
        <v>30</v>
      </c>
      <c r="K121" s="23"/>
      <c r="L121" s="23"/>
      <c r="M121" s="25"/>
    </row>
    <row r="122" spans="1:13" x14ac:dyDescent="0.3">
      <c r="B122" s="16"/>
      <c r="E122" s="92"/>
      <c r="F122" s="16"/>
      <c r="J122" s="91" t="s">
        <v>31</v>
      </c>
      <c r="K122" s="23"/>
      <c r="L122" s="23"/>
      <c r="M122" s="25"/>
    </row>
    <row r="123" spans="1:13" x14ac:dyDescent="0.3">
      <c r="B123" s="16"/>
      <c r="E123" s="92"/>
      <c r="F123" s="16"/>
      <c r="J123" s="16"/>
      <c r="K123" s="23"/>
      <c r="L123" s="23"/>
      <c r="M123" s="25"/>
    </row>
    <row r="124" spans="1:13" ht="12.9" thickBot="1" x14ac:dyDescent="0.35">
      <c r="B124" s="67"/>
      <c r="C124" s="68"/>
      <c r="D124" s="68"/>
      <c r="E124" s="69"/>
      <c r="F124" s="67"/>
      <c r="G124" s="68"/>
      <c r="H124" s="68"/>
      <c r="I124" s="68"/>
      <c r="J124" s="67"/>
      <c r="K124" s="68"/>
      <c r="L124" s="68"/>
      <c r="M124" s="69"/>
    </row>
    <row r="125" spans="1:13" x14ac:dyDescent="0.3">
      <c r="M125" s="92"/>
    </row>
    <row r="126" spans="1:13" ht="12.9" thickBot="1" x14ac:dyDescent="0.35">
      <c r="M126" s="92"/>
    </row>
    <row r="127" spans="1:13" x14ac:dyDescent="0.3">
      <c r="A127" s="96">
        <v>2019</v>
      </c>
      <c r="B127" s="55"/>
      <c r="C127" s="55"/>
      <c r="D127" s="55"/>
      <c r="E127" s="55"/>
      <c r="F127" s="56"/>
      <c r="G127" s="56"/>
      <c r="H127" s="56"/>
      <c r="I127" s="56"/>
      <c r="J127" s="103" t="s">
        <v>18</v>
      </c>
      <c r="K127" s="103"/>
      <c r="L127" s="103"/>
      <c r="M127" s="104"/>
    </row>
    <row r="128" spans="1:13" ht="18.75" customHeight="1" thickBot="1" x14ac:dyDescent="0.35">
      <c r="A128" s="52"/>
      <c r="B128" s="97" t="s">
        <v>19</v>
      </c>
      <c r="C128" s="97"/>
      <c r="D128" s="97"/>
      <c r="E128" s="97"/>
      <c r="F128" s="97" t="s">
        <v>17</v>
      </c>
      <c r="G128" s="97"/>
      <c r="H128" s="97"/>
      <c r="I128" s="97"/>
      <c r="J128" s="97" t="s">
        <v>25</v>
      </c>
      <c r="K128" s="97"/>
      <c r="L128" s="97"/>
      <c r="M128" s="98"/>
    </row>
    <row r="129" spans="1:13" ht="48.75" customHeight="1" x14ac:dyDescent="0.3">
      <c r="A129" s="2" t="s">
        <v>21</v>
      </c>
      <c r="B129" s="32" t="s">
        <v>15</v>
      </c>
      <c r="C129" s="33" t="s">
        <v>0</v>
      </c>
      <c r="D129" s="33" t="s">
        <v>1</v>
      </c>
      <c r="E129" s="34" t="s">
        <v>2</v>
      </c>
      <c r="F129" s="32" t="s">
        <v>15</v>
      </c>
      <c r="G129" s="33" t="s">
        <v>0</v>
      </c>
      <c r="H129" s="33" t="s">
        <v>1</v>
      </c>
      <c r="I129" s="34" t="s">
        <v>2</v>
      </c>
      <c r="J129" s="32" t="s">
        <v>15</v>
      </c>
      <c r="K129" s="33" t="s">
        <v>0</v>
      </c>
      <c r="L129" s="33" t="s">
        <v>1</v>
      </c>
      <c r="M129" s="34" t="s">
        <v>2</v>
      </c>
    </row>
    <row r="130" spans="1:13" x14ac:dyDescent="0.3">
      <c r="A130" s="2"/>
      <c r="B130" s="14"/>
      <c r="C130" s="1"/>
      <c r="D130" s="1"/>
      <c r="E130" s="15"/>
      <c r="F130" s="14"/>
      <c r="G130" s="1"/>
      <c r="H130" s="1"/>
      <c r="I130" s="15"/>
      <c r="J130" s="14"/>
      <c r="K130" s="1"/>
      <c r="L130" s="1"/>
      <c r="M130" s="15"/>
    </row>
    <row r="131" spans="1:13" x14ac:dyDescent="0.3">
      <c r="A131" s="3" t="s">
        <v>14</v>
      </c>
      <c r="B131" s="16">
        <v>1</v>
      </c>
      <c r="C131" s="17">
        <v>14000</v>
      </c>
      <c r="D131" s="17">
        <v>0</v>
      </c>
      <c r="E131" s="18">
        <f>C131+D131</f>
        <v>14000</v>
      </c>
      <c r="F131" s="16">
        <v>1</v>
      </c>
      <c r="G131" s="17">
        <v>15103</v>
      </c>
      <c r="H131" s="17">
        <v>0</v>
      </c>
      <c r="I131" s="18">
        <f>G131+H131</f>
        <v>15103</v>
      </c>
      <c r="J131" s="59">
        <f t="shared" ref="J131:J142" si="37">(F131-B131)/B131</f>
        <v>0</v>
      </c>
      <c r="K131" s="60">
        <f t="shared" ref="K131:K142" si="38">(G131-C131)/C131</f>
        <v>7.8785714285714292E-2</v>
      </c>
      <c r="L131" s="60">
        <v>0</v>
      </c>
      <c r="M131" s="61">
        <f t="shared" ref="M131:M142" si="39">(I131-E131)/E131</f>
        <v>7.8785714285714292E-2</v>
      </c>
    </row>
    <row r="132" spans="1:13" x14ac:dyDescent="0.3">
      <c r="A132" s="3" t="s">
        <v>3</v>
      </c>
      <c r="B132" s="16">
        <v>1</v>
      </c>
      <c r="C132" s="17">
        <v>14000</v>
      </c>
      <c r="D132" s="17">
        <v>0</v>
      </c>
      <c r="E132" s="18">
        <f t="shared" ref="E132:E133" si="40">C132+D132</f>
        <v>14000</v>
      </c>
      <c r="F132" s="16">
        <v>1</v>
      </c>
      <c r="G132" s="17">
        <v>12923</v>
      </c>
      <c r="H132" s="17">
        <v>0</v>
      </c>
      <c r="I132" s="18">
        <f>G132+H132</f>
        <v>12923</v>
      </c>
      <c r="J132" s="59">
        <f t="shared" si="37"/>
        <v>0</v>
      </c>
      <c r="K132" s="60">
        <f t="shared" si="38"/>
        <v>-7.6928571428571429E-2</v>
      </c>
      <c r="L132" s="60">
        <v>0</v>
      </c>
      <c r="M132" s="61">
        <f t="shared" si="39"/>
        <v>-7.6928571428571429E-2</v>
      </c>
    </row>
    <row r="133" spans="1:13" x14ac:dyDescent="0.3">
      <c r="A133" s="3" t="s">
        <v>4</v>
      </c>
      <c r="B133" s="16">
        <v>1</v>
      </c>
      <c r="C133" s="17">
        <v>14000</v>
      </c>
      <c r="D133" s="17">
        <v>0</v>
      </c>
      <c r="E133" s="18">
        <f t="shared" si="40"/>
        <v>14000</v>
      </c>
      <c r="F133" s="16">
        <v>1</v>
      </c>
      <c r="G133" s="17">
        <v>12923</v>
      </c>
      <c r="H133" s="17">
        <v>0</v>
      </c>
      <c r="I133" s="18">
        <f t="shared" ref="I133" si="41">G133+H133</f>
        <v>12923</v>
      </c>
      <c r="J133" s="59">
        <f t="shared" si="37"/>
        <v>0</v>
      </c>
      <c r="K133" s="60">
        <f t="shared" si="38"/>
        <v>-7.6928571428571429E-2</v>
      </c>
      <c r="L133" s="60">
        <v>0</v>
      </c>
      <c r="M133" s="61">
        <f t="shared" si="39"/>
        <v>-7.6928571428571429E-2</v>
      </c>
    </row>
    <row r="134" spans="1:13" x14ac:dyDescent="0.3">
      <c r="A134" s="3" t="s">
        <v>5</v>
      </c>
      <c r="B134" s="16">
        <v>1</v>
      </c>
      <c r="C134" s="17">
        <v>14000</v>
      </c>
      <c r="D134" s="17">
        <v>0</v>
      </c>
      <c r="E134" s="84">
        <f t="shared" ref="E134:E142" si="42">SUM(C134:D134)</f>
        <v>14000</v>
      </c>
      <c r="F134" s="16">
        <v>1</v>
      </c>
      <c r="G134" s="17">
        <v>14377</v>
      </c>
      <c r="H134" s="17">
        <v>0</v>
      </c>
      <c r="I134" s="18">
        <f t="shared" ref="I134:I142" si="43">G134+H134</f>
        <v>14377</v>
      </c>
      <c r="J134" s="59">
        <f t="shared" si="37"/>
        <v>0</v>
      </c>
      <c r="K134" s="60">
        <f t="shared" si="38"/>
        <v>2.692857142857143E-2</v>
      </c>
      <c r="L134" s="60">
        <v>0</v>
      </c>
      <c r="M134" s="61">
        <f t="shared" si="39"/>
        <v>2.692857142857143E-2</v>
      </c>
    </row>
    <row r="135" spans="1:13" x14ac:dyDescent="0.3">
      <c r="A135" s="3" t="s">
        <v>6</v>
      </c>
      <c r="B135" s="16">
        <v>1</v>
      </c>
      <c r="C135" s="17">
        <v>14000</v>
      </c>
      <c r="D135" s="17">
        <v>0</v>
      </c>
      <c r="E135" s="84">
        <f t="shared" si="42"/>
        <v>14000</v>
      </c>
      <c r="F135" s="16">
        <v>1</v>
      </c>
      <c r="G135" s="17">
        <v>15023</v>
      </c>
      <c r="H135" s="17">
        <v>0</v>
      </c>
      <c r="I135" s="18">
        <f t="shared" si="43"/>
        <v>15023</v>
      </c>
      <c r="J135" s="59">
        <f t="shared" si="37"/>
        <v>0</v>
      </c>
      <c r="K135" s="60">
        <f t="shared" si="38"/>
        <v>7.3071428571428565E-2</v>
      </c>
      <c r="L135" s="60">
        <v>0</v>
      </c>
      <c r="M135" s="61">
        <f t="shared" si="39"/>
        <v>7.3071428571428565E-2</v>
      </c>
    </row>
    <row r="136" spans="1:13" x14ac:dyDescent="0.3">
      <c r="A136" s="3" t="s">
        <v>7</v>
      </c>
      <c r="B136" s="16">
        <v>1</v>
      </c>
      <c r="C136" s="17">
        <v>14000</v>
      </c>
      <c r="D136" s="17">
        <v>0</v>
      </c>
      <c r="E136" s="84">
        <f t="shared" si="42"/>
        <v>14000</v>
      </c>
      <c r="F136" s="16">
        <v>1</v>
      </c>
      <c r="G136" s="17">
        <v>12923</v>
      </c>
      <c r="H136" s="17">
        <v>0</v>
      </c>
      <c r="I136" s="18">
        <f t="shared" si="43"/>
        <v>12923</v>
      </c>
      <c r="J136" s="59">
        <f t="shared" si="37"/>
        <v>0</v>
      </c>
      <c r="K136" s="60">
        <f t="shared" si="38"/>
        <v>-7.6928571428571429E-2</v>
      </c>
      <c r="L136" s="60">
        <v>0</v>
      </c>
      <c r="M136" s="61">
        <f t="shared" si="39"/>
        <v>-7.6928571428571429E-2</v>
      </c>
    </row>
    <row r="137" spans="1:13" x14ac:dyDescent="0.3">
      <c r="A137" s="3" t="s">
        <v>8</v>
      </c>
      <c r="B137" s="16">
        <v>1</v>
      </c>
      <c r="C137" s="17">
        <v>14000</v>
      </c>
      <c r="D137" s="17">
        <v>0</v>
      </c>
      <c r="E137" s="84">
        <f t="shared" si="42"/>
        <v>14000</v>
      </c>
      <c r="F137" s="16">
        <v>1</v>
      </c>
      <c r="G137" s="17">
        <v>15104</v>
      </c>
      <c r="H137" s="17">
        <v>0</v>
      </c>
      <c r="I137" s="18">
        <f t="shared" si="43"/>
        <v>15104</v>
      </c>
      <c r="J137" s="59">
        <f t="shared" si="37"/>
        <v>0</v>
      </c>
      <c r="K137" s="60">
        <f t="shared" si="38"/>
        <v>7.8857142857142862E-2</v>
      </c>
      <c r="L137" s="60">
        <v>0</v>
      </c>
      <c r="M137" s="61">
        <f t="shared" si="39"/>
        <v>7.8857142857142862E-2</v>
      </c>
    </row>
    <row r="138" spans="1:13" x14ac:dyDescent="0.3">
      <c r="A138" s="3" t="s">
        <v>9</v>
      </c>
      <c r="B138" s="16">
        <v>1</v>
      </c>
      <c r="C138" s="17">
        <v>14000</v>
      </c>
      <c r="D138" s="17">
        <v>0</v>
      </c>
      <c r="E138" s="84">
        <f t="shared" si="42"/>
        <v>14000</v>
      </c>
      <c r="F138" s="16">
        <v>1</v>
      </c>
      <c r="G138" s="17">
        <v>13650</v>
      </c>
      <c r="H138" s="17">
        <v>0</v>
      </c>
      <c r="I138" s="18">
        <f t="shared" si="43"/>
        <v>13650</v>
      </c>
      <c r="J138" s="59">
        <f t="shared" si="37"/>
        <v>0</v>
      </c>
      <c r="K138" s="60">
        <f t="shared" si="38"/>
        <v>-2.5000000000000001E-2</v>
      </c>
      <c r="L138" s="60">
        <v>0</v>
      </c>
      <c r="M138" s="61">
        <f t="shared" si="39"/>
        <v>-2.5000000000000001E-2</v>
      </c>
    </row>
    <row r="139" spans="1:13" x14ac:dyDescent="0.3">
      <c r="A139" s="3" t="s">
        <v>10</v>
      </c>
      <c r="B139" s="16">
        <v>1</v>
      </c>
      <c r="C139" s="17">
        <v>14000</v>
      </c>
      <c r="D139" s="17">
        <v>0</v>
      </c>
      <c r="E139" s="84">
        <f t="shared" si="42"/>
        <v>14000</v>
      </c>
      <c r="F139" s="16">
        <v>1</v>
      </c>
      <c r="G139" s="17">
        <v>13650</v>
      </c>
      <c r="H139" s="17">
        <v>0</v>
      </c>
      <c r="I139" s="18">
        <f t="shared" si="43"/>
        <v>13650</v>
      </c>
      <c r="J139" s="59">
        <f t="shared" si="37"/>
        <v>0</v>
      </c>
      <c r="K139" s="60">
        <f t="shared" si="38"/>
        <v>-2.5000000000000001E-2</v>
      </c>
      <c r="L139" s="60">
        <v>0</v>
      </c>
      <c r="M139" s="61">
        <f t="shared" si="39"/>
        <v>-2.5000000000000001E-2</v>
      </c>
    </row>
    <row r="140" spans="1:13" x14ac:dyDescent="0.3">
      <c r="A140" s="3" t="s">
        <v>11</v>
      </c>
      <c r="B140" s="16">
        <v>1</v>
      </c>
      <c r="C140" s="17">
        <v>14000</v>
      </c>
      <c r="D140" s="17">
        <v>0</v>
      </c>
      <c r="E140" s="84">
        <f t="shared" si="42"/>
        <v>14000</v>
      </c>
      <c r="F140" s="16">
        <v>1</v>
      </c>
      <c r="G140" s="17">
        <v>15104</v>
      </c>
      <c r="H140" s="17">
        <v>0</v>
      </c>
      <c r="I140" s="18">
        <f t="shared" si="43"/>
        <v>15104</v>
      </c>
      <c r="J140" s="59">
        <f t="shared" si="37"/>
        <v>0</v>
      </c>
      <c r="K140" s="60">
        <f t="shared" si="38"/>
        <v>7.8857142857142862E-2</v>
      </c>
      <c r="L140" s="60">
        <v>0</v>
      </c>
      <c r="M140" s="61">
        <f t="shared" si="39"/>
        <v>7.8857142857142862E-2</v>
      </c>
    </row>
    <row r="141" spans="1:13" x14ac:dyDescent="0.3">
      <c r="A141" s="3" t="s">
        <v>12</v>
      </c>
      <c r="B141" s="16">
        <v>1</v>
      </c>
      <c r="C141" s="17">
        <v>14000</v>
      </c>
      <c r="D141" s="17">
        <v>0</v>
      </c>
      <c r="E141" s="84">
        <f t="shared" si="42"/>
        <v>14000</v>
      </c>
      <c r="F141" s="16">
        <v>1</v>
      </c>
      <c r="G141" s="17">
        <v>13577</v>
      </c>
      <c r="H141" s="17">
        <v>0</v>
      </c>
      <c r="I141" s="18">
        <f t="shared" si="43"/>
        <v>13577</v>
      </c>
      <c r="J141" s="59">
        <f t="shared" si="37"/>
        <v>0</v>
      </c>
      <c r="K141" s="60">
        <f t="shared" si="38"/>
        <v>-3.0214285714285714E-2</v>
      </c>
      <c r="L141" s="60">
        <v>0</v>
      </c>
      <c r="M141" s="61">
        <f t="shared" si="39"/>
        <v>-3.0214285714285714E-2</v>
      </c>
    </row>
    <row r="142" spans="1:13" x14ac:dyDescent="0.3">
      <c r="A142" s="3" t="s">
        <v>13</v>
      </c>
      <c r="B142" s="16">
        <v>1</v>
      </c>
      <c r="C142" s="17">
        <v>14000</v>
      </c>
      <c r="D142" s="27">
        <v>0</v>
      </c>
      <c r="E142" s="88">
        <f t="shared" si="42"/>
        <v>14000</v>
      </c>
      <c r="F142" s="16">
        <v>1</v>
      </c>
      <c r="G142" s="27">
        <v>14736</v>
      </c>
      <c r="H142" s="27">
        <v>0</v>
      </c>
      <c r="I142" s="28">
        <f t="shared" si="43"/>
        <v>14736</v>
      </c>
      <c r="J142" s="64">
        <f t="shared" si="37"/>
        <v>0</v>
      </c>
      <c r="K142" s="65">
        <f t="shared" si="38"/>
        <v>5.2571428571428575E-2</v>
      </c>
      <c r="L142" s="65">
        <v>0</v>
      </c>
      <c r="M142" s="66">
        <f t="shared" si="39"/>
        <v>5.2571428571428575E-2</v>
      </c>
    </row>
    <row r="143" spans="1:13" ht="12.9" thickBot="1" x14ac:dyDescent="0.35">
      <c r="A143" s="5" t="s">
        <v>2</v>
      </c>
      <c r="B143" s="35"/>
      <c r="C143" s="36">
        <f>SUM(C131:C142)</f>
        <v>168000</v>
      </c>
      <c r="D143" s="36">
        <f>SUM(D131:D142)</f>
        <v>0</v>
      </c>
      <c r="E143" s="37">
        <f>SUM(E131:E142)</f>
        <v>168000</v>
      </c>
      <c r="F143" s="35"/>
      <c r="G143" s="38">
        <f>SUM(G131:G142)</f>
        <v>169093</v>
      </c>
      <c r="H143" s="38">
        <f>SUM(H131:H142)</f>
        <v>0</v>
      </c>
      <c r="I143" s="39">
        <f>SUM(I131:I142)</f>
        <v>169093</v>
      </c>
      <c r="J143" s="43"/>
      <c r="K143" s="44">
        <f>(G143-C143)/C143</f>
        <v>6.5059523809523814E-3</v>
      </c>
      <c r="L143" s="44">
        <v>0</v>
      </c>
      <c r="M143" s="45">
        <f>(I143-E143)/E143</f>
        <v>6.5059523809523814E-3</v>
      </c>
    </row>
    <row r="144" spans="1:13" x14ac:dyDescent="0.3">
      <c r="F144" s="16"/>
      <c r="G144" s="4"/>
      <c r="H144" s="4"/>
      <c r="I144" s="4"/>
      <c r="J144" s="59"/>
      <c r="K144" s="23"/>
      <c r="L144" s="23"/>
      <c r="M144" s="25"/>
    </row>
    <row r="145" spans="1:14" x14ac:dyDescent="0.3">
      <c r="A145" s="2" t="s">
        <v>22</v>
      </c>
      <c r="B145" s="2"/>
      <c r="C145" s="2"/>
      <c r="D145" s="2"/>
      <c r="E145" s="2"/>
      <c r="F145" s="51"/>
      <c r="G145" s="4"/>
      <c r="H145" s="4"/>
      <c r="I145" s="4"/>
      <c r="J145" s="59"/>
      <c r="K145" s="23"/>
      <c r="L145" s="23"/>
      <c r="M145" s="25"/>
    </row>
    <row r="146" spans="1:14" ht="12.9" thickBot="1" x14ac:dyDescent="0.35">
      <c r="A146" s="2"/>
      <c r="B146" s="2"/>
      <c r="C146" s="42"/>
      <c r="D146" s="2"/>
      <c r="E146" s="2"/>
      <c r="F146" s="9"/>
      <c r="G146" s="4"/>
      <c r="H146" s="4"/>
      <c r="I146" s="4"/>
      <c r="J146" s="67"/>
      <c r="K146" s="68"/>
      <c r="L146" s="68"/>
      <c r="M146" s="69"/>
    </row>
    <row r="147" spans="1:14" x14ac:dyDescent="0.3">
      <c r="A147" s="3" t="s">
        <v>14</v>
      </c>
      <c r="B147" s="29">
        <v>50</v>
      </c>
      <c r="C147" s="75">
        <v>259346</v>
      </c>
      <c r="D147" s="40">
        <v>30183</v>
      </c>
      <c r="E147" s="76">
        <f>C147+D147</f>
        <v>289529</v>
      </c>
      <c r="F147" s="29">
        <v>50</v>
      </c>
      <c r="G147" s="40">
        <f>328933-75-G131-23874</f>
        <v>289881</v>
      </c>
      <c r="H147" s="40">
        <v>23874</v>
      </c>
      <c r="I147" s="41">
        <f>G147+H147</f>
        <v>313755</v>
      </c>
      <c r="J147" s="79">
        <f t="shared" ref="J147:J158" si="44">(F147-B147)/B147</f>
        <v>0</v>
      </c>
      <c r="K147" s="80">
        <f t="shared" ref="K147:K158" si="45">(G147-C147)/C147</f>
        <v>0.1177384652163519</v>
      </c>
      <c r="L147" s="80">
        <f t="shared" ref="L147:L158" si="46">(H147-D147)/D147</f>
        <v>-0.20902494781830833</v>
      </c>
      <c r="M147" s="81">
        <f t="shared" ref="M147:M158" si="47">(I147-E147)/E147</f>
        <v>8.3673828873791573E-2</v>
      </c>
    </row>
    <row r="148" spans="1:14" x14ac:dyDescent="0.3">
      <c r="A148" s="3" t="s">
        <v>3</v>
      </c>
      <c r="B148" s="16">
        <v>50</v>
      </c>
      <c r="C148" s="83">
        <v>259346</v>
      </c>
      <c r="D148" s="17">
        <v>30183</v>
      </c>
      <c r="E148" s="84">
        <f t="shared" ref="E148:E149" si="48">C148+D148</f>
        <v>289529</v>
      </c>
      <c r="F148" s="16">
        <v>51</v>
      </c>
      <c r="G148" s="17">
        <f>271509-G132-4064-21175</f>
        <v>233347</v>
      </c>
      <c r="H148" s="17">
        <f>21175+4064</f>
        <v>25239</v>
      </c>
      <c r="I148" s="18">
        <f t="shared" ref="I148:I149" si="49">G148+H148</f>
        <v>258586</v>
      </c>
      <c r="J148" s="59">
        <f t="shared" si="44"/>
        <v>0.02</v>
      </c>
      <c r="K148" s="60">
        <f t="shared" si="45"/>
        <v>-0.10024831692025325</v>
      </c>
      <c r="L148" s="60">
        <f t="shared" si="46"/>
        <v>-0.16380081502832719</v>
      </c>
      <c r="M148" s="61">
        <f t="shared" si="47"/>
        <v>-0.10687357743093093</v>
      </c>
    </row>
    <row r="149" spans="1:14" x14ac:dyDescent="0.3">
      <c r="A149" s="3" t="s">
        <v>4</v>
      </c>
      <c r="B149" s="16">
        <v>50</v>
      </c>
      <c r="C149" s="83">
        <v>259346</v>
      </c>
      <c r="D149" s="17">
        <v>30183</v>
      </c>
      <c r="E149" s="84">
        <f t="shared" si="48"/>
        <v>289529</v>
      </c>
      <c r="F149" s="16">
        <v>49</v>
      </c>
      <c r="G149" s="17">
        <f>292313-G133-3050-27529</f>
        <v>248811</v>
      </c>
      <c r="H149" s="17">
        <v>27529</v>
      </c>
      <c r="I149" s="18">
        <f t="shared" si="49"/>
        <v>276340</v>
      </c>
      <c r="J149" s="59">
        <f t="shared" si="44"/>
        <v>-0.02</v>
      </c>
      <c r="K149" s="60">
        <f t="shared" si="45"/>
        <v>-4.0621409237080963E-2</v>
      </c>
      <c r="L149" s="60">
        <f t="shared" si="46"/>
        <v>-8.7930291886161083E-2</v>
      </c>
      <c r="M149" s="61">
        <f t="shared" si="47"/>
        <v>-4.5553295179412083E-2</v>
      </c>
    </row>
    <row r="150" spans="1:14" x14ac:dyDescent="0.3">
      <c r="A150" s="3" t="s">
        <v>5</v>
      </c>
      <c r="B150" s="16">
        <v>50</v>
      </c>
      <c r="C150" s="83">
        <v>259346</v>
      </c>
      <c r="D150" s="17">
        <v>30183</v>
      </c>
      <c r="E150" s="18">
        <f t="shared" ref="E150:E157" si="50">SUM(C150:D150)</f>
        <v>289529</v>
      </c>
      <c r="F150" s="16">
        <v>50</v>
      </c>
      <c r="G150" s="17">
        <f>320371-G134-28447</f>
        <v>277547</v>
      </c>
      <c r="H150" s="17">
        <v>28447</v>
      </c>
      <c r="I150" s="18">
        <f t="shared" ref="I150:I158" si="51">G150+H150</f>
        <v>305994</v>
      </c>
      <c r="J150" s="59">
        <f t="shared" si="44"/>
        <v>0</v>
      </c>
      <c r="K150" s="60">
        <f t="shared" si="45"/>
        <v>7.0180376793935517E-2</v>
      </c>
      <c r="L150" s="60">
        <f t="shared" si="46"/>
        <v>-5.7515820163668289E-2</v>
      </c>
      <c r="M150" s="61">
        <f t="shared" si="47"/>
        <v>5.6868223908485852E-2</v>
      </c>
    </row>
    <row r="151" spans="1:14" x14ac:dyDescent="0.3">
      <c r="A151" s="3" t="s">
        <v>6</v>
      </c>
      <c r="B151" s="16">
        <v>50</v>
      </c>
      <c r="C151" s="83">
        <v>259346</v>
      </c>
      <c r="D151" s="17">
        <v>30183</v>
      </c>
      <c r="E151" s="18">
        <f t="shared" si="50"/>
        <v>289529</v>
      </c>
      <c r="F151" s="16">
        <v>50</v>
      </c>
      <c r="G151" s="17">
        <f>328410-G135-1885-27218</f>
        <v>284284</v>
      </c>
      <c r="H151" s="17">
        <f>27218+1885</f>
        <v>29103</v>
      </c>
      <c r="I151" s="18">
        <f t="shared" si="51"/>
        <v>313387</v>
      </c>
      <c r="J151" s="59">
        <f t="shared" si="44"/>
        <v>0</v>
      </c>
      <c r="K151" s="60">
        <f t="shared" si="45"/>
        <v>9.6157257100552923E-2</v>
      </c>
      <c r="L151" s="60">
        <f t="shared" si="46"/>
        <v>-3.5781731438226813E-2</v>
      </c>
      <c r="M151" s="61">
        <f t="shared" si="47"/>
        <v>8.2402799028767418E-2</v>
      </c>
    </row>
    <row r="152" spans="1:14" x14ac:dyDescent="0.3">
      <c r="A152" s="3" t="s">
        <v>7</v>
      </c>
      <c r="B152" s="16">
        <v>50</v>
      </c>
      <c r="C152" s="83">
        <v>259346</v>
      </c>
      <c r="D152" s="17">
        <v>30183</v>
      </c>
      <c r="E152" s="18">
        <f t="shared" si="50"/>
        <v>289529</v>
      </c>
      <c r="F152" s="16">
        <v>51</v>
      </c>
      <c r="G152" s="17">
        <f>316105-3300-G136-47187</f>
        <v>252695</v>
      </c>
      <c r="H152" s="17">
        <v>47187</v>
      </c>
      <c r="I152" s="18">
        <f t="shared" si="51"/>
        <v>299882</v>
      </c>
      <c r="J152" s="59">
        <f t="shared" si="44"/>
        <v>0.02</v>
      </c>
      <c r="K152" s="60">
        <f t="shared" si="45"/>
        <v>-2.5645276965906551E-2</v>
      </c>
      <c r="L152" s="60">
        <f t="shared" si="46"/>
        <v>0.56336348275519332</v>
      </c>
      <c r="M152" s="61">
        <f t="shared" si="47"/>
        <v>3.5758076047649801E-2</v>
      </c>
    </row>
    <row r="153" spans="1:14" x14ac:dyDescent="0.3">
      <c r="A153" s="3" t="s">
        <v>8</v>
      </c>
      <c r="B153" s="16">
        <v>50</v>
      </c>
      <c r="C153" s="83">
        <v>259346</v>
      </c>
      <c r="D153" s="17">
        <v>30183</v>
      </c>
      <c r="E153" s="18">
        <f t="shared" si="50"/>
        <v>289529</v>
      </c>
      <c r="F153" s="16">
        <v>51</v>
      </c>
      <c r="G153" s="17">
        <f>349847-G137-1163-37820</f>
        <v>295760</v>
      </c>
      <c r="H153" s="17">
        <f>37820+1163</f>
        <v>38983</v>
      </c>
      <c r="I153" s="18">
        <f t="shared" si="51"/>
        <v>334743</v>
      </c>
      <c r="J153" s="59">
        <f t="shared" si="44"/>
        <v>0.02</v>
      </c>
      <c r="K153" s="60">
        <f t="shared" si="45"/>
        <v>0.14040702382145859</v>
      </c>
      <c r="L153" s="60">
        <f t="shared" si="46"/>
        <v>0.29155484875592219</v>
      </c>
      <c r="M153" s="61">
        <f t="shared" si="47"/>
        <v>0.1561639766655499</v>
      </c>
    </row>
    <row r="154" spans="1:14" x14ac:dyDescent="0.3">
      <c r="A154" s="3" t="s">
        <v>9</v>
      </c>
      <c r="B154" s="16">
        <v>50</v>
      </c>
      <c r="C154" s="83">
        <v>259346</v>
      </c>
      <c r="D154" s="17">
        <v>30183</v>
      </c>
      <c r="E154" s="18">
        <f t="shared" si="50"/>
        <v>289529</v>
      </c>
      <c r="F154" s="16">
        <v>51</v>
      </c>
      <c r="G154" s="17">
        <f>319091-G138-32886</f>
        <v>272555</v>
      </c>
      <c r="H154" s="17">
        <v>32886</v>
      </c>
      <c r="I154" s="18">
        <f t="shared" si="51"/>
        <v>305441</v>
      </c>
      <c r="J154" s="59">
        <f t="shared" si="44"/>
        <v>0.02</v>
      </c>
      <c r="K154" s="60">
        <f t="shared" si="45"/>
        <v>5.0931959621509489E-2</v>
      </c>
      <c r="L154" s="60">
        <f t="shared" si="46"/>
        <v>8.9553722294006557E-2</v>
      </c>
      <c r="M154" s="61">
        <f t="shared" si="47"/>
        <v>5.4958225255501175E-2</v>
      </c>
    </row>
    <row r="155" spans="1:14" x14ac:dyDescent="0.3">
      <c r="A155" s="3" t="s">
        <v>10</v>
      </c>
      <c r="B155" s="16">
        <v>50</v>
      </c>
      <c r="C155" s="83">
        <v>259346</v>
      </c>
      <c r="D155" s="17">
        <v>30183</v>
      </c>
      <c r="E155" s="18">
        <f t="shared" si="50"/>
        <v>289529</v>
      </c>
      <c r="F155" s="16">
        <v>50</v>
      </c>
      <c r="G155" s="17">
        <f>308154-3250-G139-7902-24115</f>
        <v>259237</v>
      </c>
      <c r="H155" s="17">
        <f>24115+7902</f>
        <v>32017</v>
      </c>
      <c r="I155" s="18">
        <f t="shared" si="51"/>
        <v>291254</v>
      </c>
      <c r="J155" s="59">
        <f t="shared" si="44"/>
        <v>0</v>
      </c>
      <c r="K155" s="60">
        <f t="shared" si="45"/>
        <v>-4.2028795508702659E-4</v>
      </c>
      <c r="L155" s="60">
        <f t="shared" si="46"/>
        <v>6.0762680979359239E-2</v>
      </c>
      <c r="M155" s="61">
        <f t="shared" si="47"/>
        <v>5.9579523985507496E-3</v>
      </c>
    </row>
    <row r="156" spans="1:14" x14ac:dyDescent="0.3">
      <c r="A156" s="3" t="s">
        <v>11</v>
      </c>
      <c r="B156" s="16">
        <v>50</v>
      </c>
      <c r="C156" s="83">
        <v>259346</v>
      </c>
      <c r="D156" s="17">
        <v>30183</v>
      </c>
      <c r="E156" s="18">
        <f t="shared" si="50"/>
        <v>289529</v>
      </c>
      <c r="F156" s="16">
        <v>49</v>
      </c>
      <c r="G156" s="17">
        <f>338677-G140-11784-16490</f>
        <v>295299</v>
      </c>
      <c r="H156" s="17">
        <f>16490+11784</f>
        <v>28274</v>
      </c>
      <c r="I156" s="18">
        <f t="shared" si="51"/>
        <v>323573</v>
      </c>
      <c r="J156" s="59">
        <f t="shared" si="44"/>
        <v>-0.02</v>
      </c>
      <c r="K156" s="60">
        <f t="shared" si="45"/>
        <v>0.1386294756811364</v>
      </c>
      <c r="L156" s="60">
        <f t="shared" si="46"/>
        <v>-6.3247523440347217E-2</v>
      </c>
      <c r="M156" s="61">
        <f t="shared" si="47"/>
        <v>0.11758407620652854</v>
      </c>
    </row>
    <row r="157" spans="1:14" x14ac:dyDescent="0.3">
      <c r="A157" s="3" t="s">
        <v>12</v>
      </c>
      <c r="B157" s="16">
        <v>50</v>
      </c>
      <c r="C157" s="83">
        <v>259346</v>
      </c>
      <c r="D157" s="17">
        <v>30183</v>
      </c>
      <c r="E157" s="18">
        <f t="shared" si="50"/>
        <v>289529</v>
      </c>
      <c r="F157" s="16">
        <v>50</v>
      </c>
      <c r="G157" s="17">
        <f>303248-4510-G141-4534-14116</f>
        <v>266511</v>
      </c>
      <c r="H157" s="17">
        <f>14116+4534</f>
        <v>18650</v>
      </c>
      <c r="I157" s="18">
        <f t="shared" si="51"/>
        <v>285161</v>
      </c>
      <c r="J157" s="59">
        <f t="shared" si="44"/>
        <v>0</v>
      </c>
      <c r="K157" s="60">
        <f t="shared" si="45"/>
        <v>2.7627185304573813E-2</v>
      </c>
      <c r="L157" s="60">
        <f t="shared" si="46"/>
        <v>-0.38210250803432394</v>
      </c>
      <c r="M157" s="61">
        <f t="shared" si="47"/>
        <v>-1.5086571638765029E-2</v>
      </c>
    </row>
    <row r="158" spans="1:14" x14ac:dyDescent="0.3">
      <c r="A158" s="3" t="s">
        <v>13</v>
      </c>
      <c r="B158" s="16">
        <v>50</v>
      </c>
      <c r="C158" s="27">
        <v>259344</v>
      </c>
      <c r="D158" s="27">
        <v>30187</v>
      </c>
      <c r="E158" s="28">
        <f>SUM(C158:D158)</f>
        <v>289531</v>
      </c>
      <c r="F158" s="26">
        <v>50</v>
      </c>
      <c r="G158" s="27">
        <f>359769-30288-2968-14630-G142</f>
        <v>297147</v>
      </c>
      <c r="H158" s="27">
        <f>14630+2968</f>
        <v>17598</v>
      </c>
      <c r="I158" s="28">
        <f t="shared" si="51"/>
        <v>314745</v>
      </c>
      <c r="J158" s="64">
        <f t="shared" si="44"/>
        <v>0</v>
      </c>
      <c r="K158" s="65">
        <f t="shared" si="45"/>
        <v>0.14576392744771424</v>
      </c>
      <c r="L158" s="65">
        <f t="shared" si="46"/>
        <v>-0.41703382250637694</v>
      </c>
      <c r="M158" s="66">
        <f t="shared" si="47"/>
        <v>8.708566612901554E-2</v>
      </c>
    </row>
    <row r="159" spans="1:14" ht="12.9" thickBot="1" x14ac:dyDescent="0.35">
      <c r="A159" s="5" t="s">
        <v>2</v>
      </c>
      <c r="B159" s="35"/>
      <c r="C159" s="38">
        <f>SUM(C147:C158)</f>
        <v>3112150</v>
      </c>
      <c r="D159" s="38">
        <f>SUM(D147:D158)</f>
        <v>362200</v>
      </c>
      <c r="E159" s="39">
        <f>SUM(E147:E158)</f>
        <v>3474350</v>
      </c>
      <c r="F159" s="35"/>
      <c r="G159" s="38">
        <f>SUM(G147:G158)</f>
        <v>3273074</v>
      </c>
      <c r="H159" s="38">
        <f>SUM(H147:H158)</f>
        <v>349787</v>
      </c>
      <c r="I159" s="39">
        <f>SUM(I147:I158)</f>
        <v>3622861</v>
      </c>
      <c r="J159" s="43"/>
      <c r="K159" s="44">
        <f>(G159-C159)/C159</f>
        <v>5.1708304548302622E-2</v>
      </c>
      <c r="L159" s="44">
        <f>(H159-D159)/D159</f>
        <v>-3.4271120927664274E-2</v>
      </c>
      <c r="M159" s="45">
        <f>(I159-E159)/E159</f>
        <v>4.274497388000633E-2</v>
      </c>
      <c r="N159" s="3" t="s">
        <v>32</v>
      </c>
    </row>
    <row r="160" spans="1:14" x14ac:dyDescent="0.3">
      <c r="B160" s="16"/>
      <c r="E160" s="92"/>
      <c r="F160" s="16"/>
      <c r="J160" s="91" t="s">
        <v>30</v>
      </c>
      <c r="K160" s="23"/>
      <c r="L160" s="23"/>
      <c r="M160" s="25"/>
    </row>
    <row r="161" spans="2:13" x14ac:dyDescent="0.3">
      <c r="B161" s="16"/>
      <c r="E161" s="92"/>
      <c r="F161" s="16"/>
      <c r="J161" s="91" t="s">
        <v>31</v>
      </c>
      <c r="K161" s="23"/>
      <c r="L161" s="23"/>
      <c r="M161" s="25"/>
    </row>
    <row r="162" spans="2:13" x14ac:dyDescent="0.3">
      <c r="B162" s="16"/>
      <c r="E162" s="92"/>
      <c r="F162" s="16"/>
      <c r="J162" s="16"/>
      <c r="M162" s="92"/>
    </row>
    <row r="163" spans="2:13" ht="12.9" thickBot="1" x14ac:dyDescent="0.35">
      <c r="B163" s="67"/>
      <c r="C163" s="68"/>
      <c r="D163" s="68"/>
      <c r="E163" s="69"/>
      <c r="F163" s="67"/>
      <c r="G163" s="68"/>
      <c r="H163" s="68"/>
      <c r="I163" s="68"/>
      <c r="J163" s="67"/>
      <c r="K163" s="68"/>
      <c r="L163" s="68"/>
      <c r="M163" s="69"/>
    </row>
  </sheetData>
  <mergeCells count="21">
    <mergeCell ref="AM8:AP8"/>
    <mergeCell ref="B8:E8"/>
    <mergeCell ref="F8:I8"/>
    <mergeCell ref="B49:E49"/>
    <mergeCell ref="F49:I49"/>
    <mergeCell ref="AE8:AH8"/>
    <mergeCell ref="AI8:AL8"/>
    <mergeCell ref="J48:M48"/>
    <mergeCell ref="B128:E128"/>
    <mergeCell ref="F128:I128"/>
    <mergeCell ref="J8:M8"/>
    <mergeCell ref="J49:M49"/>
    <mergeCell ref="J1:M1"/>
    <mergeCell ref="J128:M128"/>
    <mergeCell ref="B88:E88"/>
    <mergeCell ref="F88:I88"/>
    <mergeCell ref="J88:M88"/>
    <mergeCell ref="J9:M9"/>
    <mergeCell ref="J87:M87"/>
    <mergeCell ref="J127:M127"/>
    <mergeCell ref="A1:I1"/>
  </mergeCells>
  <pageMargins left="0.7" right="0.7" top="0.75" bottom="0.75" header="0.3" footer="0.3"/>
  <pageSetup paperSize="5" scale="67" fitToHeight="0" orientation="landscape" r:id="rId1"/>
  <headerFooter>
    <oddHeader>&amp;RExhibit 16
Page &amp;P of 4
Schedule H1
Witness: Fritz</oddHeader>
  </headerFooter>
  <rowBreaks count="3" manualBreakCount="3">
    <brk id="47" max="18" man="1"/>
    <brk id="86" max="16383" man="1"/>
    <brk id="126" max="18" man="1"/>
  </rowBreaks>
  <colBreaks count="1" manualBreakCount="1">
    <brk id="14" max="1048575" man="1"/>
  </colBreaks>
  <ignoredErrors>
    <ignoredError sqref="G27:I27 C24:E24 E41 AF45:AH45 K24 K41:M41 C64:E64 C80:E80 C103:I103 C120:E120 G41:I41 J52:K63 J68:M79 J103:K103 J108:M119 H64:K64 G80:M80 H120:M120 J12:K23 M12:M24 J29:J40 L29:M40 G24:I25 J91:K101 M91:M101 J102:K102 M102 M103 M52:M63 M6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 H</vt:lpstr>
      <vt:lpstr>'Schedule H'!Print_Area</vt:lpstr>
      <vt:lpstr>'Schedule 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Blackwell</dc:creator>
  <cp:lastModifiedBy>Lauren Fritz</cp:lastModifiedBy>
  <cp:lastPrinted>2023-08-30T17:13:40Z</cp:lastPrinted>
  <dcterms:created xsi:type="dcterms:W3CDTF">2021-10-23T11:36:25Z</dcterms:created>
  <dcterms:modified xsi:type="dcterms:W3CDTF">2023-08-30T18:41:03Z</dcterms:modified>
</cp:coreProperties>
</file>