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2ac385686f0d07d2/Documents/CATALYST Consulting/Clients/Shelby Enegy/2022 Rate Filing 2023-00213/COS ^0 Rates/"/>
    </mc:Choice>
  </mc:AlternateContent>
  <xr:revisionPtr revIDLastSave="212" documentId="8_{96ECB25F-3A10-47A9-8406-25581F0CCD96}" xr6:coauthVersionLast="47" xr6:coauthVersionMax="47" xr10:uidLastSave="{B50906D0-4B80-416E-8D87-F9DD539F710C}"/>
  <bookViews>
    <workbookView xWindow="-108" yWindow="-108" windowWidth="23256" windowHeight="12456" tabRatio="741" xr2:uid="{00000000-000D-0000-FFFF-FFFF00000000}"/>
  </bookViews>
  <sheets>
    <sheet name="Summary of Returns" sheetId="4" r:id="rId1"/>
    <sheet name="Summary of Rates" sheetId="17" r:id="rId2"/>
    <sheet name="Func &amp; Classif" sheetId="1" r:id="rId3"/>
    <sheet name="Alloc &amp; Returns" sheetId="2" r:id="rId4"/>
    <sheet name="Billing Det" sheetId="15" r:id="rId5"/>
    <sheet name="Purchased Power" sheetId="16" r:id="rId6"/>
    <sheet name="Meters" sheetId="8" r:id="rId7"/>
    <sheet name="Services" sheetId="9" r:id="rId8"/>
    <sheet name="Line Loss Calculation" sheetId="10" state="hidden" r:id="rId9"/>
    <sheet name="ZeroInt" sheetId="18" r:id="rId10"/>
  </sheets>
  <definedNames>
    <definedName name="_xlnm.Print_Area" localSheetId="3">'Alloc &amp; Returns'!$A$1:$M$643</definedName>
    <definedName name="_xlnm.Print_Area" localSheetId="4">'Billing Det'!$A$1:$T$201</definedName>
    <definedName name="_xlnm.Print_Area" localSheetId="2">'Func &amp; Classif'!$A$1:$AA$486</definedName>
    <definedName name="_xlnm.Print_Area" localSheetId="6">Meters!$A$1:$G$32</definedName>
    <definedName name="_xlnm.Print_Area" localSheetId="5">'Purchased Power'!$A$1:$O$45</definedName>
    <definedName name="_xlnm.Print_Area" localSheetId="7">Services!$A$1:$G$33</definedName>
    <definedName name="_xlnm.Print_Area" localSheetId="1">'Summary of Rates'!$A$1:$F$13</definedName>
    <definedName name="_xlnm.Print_Area" localSheetId="0">'Summary of Returns'!$A$1:$I$48</definedName>
    <definedName name="_xlnm.Print_Area" localSheetId="9">ZeroInt!$A$1:$M$109</definedName>
    <definedName name="_xlnm.Print_Titles" localSheetId="3">'Alloc &amp; Returns'!$A:$D,'Alloc &amp; Returns'!$1:$3</definedName>
    <definedName name="_xlnm.Print_Titles" localSheetId="4">'Billing Det'!$A:$B,'Billing Det'!$33:$37</definedName>
    <definedName name="_xlnm.Print_Titles" localSheetId="2">'Func &amp; Classif'!$A:$E,'Func &amp; Classif'!$1:$3</definedName>
    <definedName name="_xlnm.Print_Titles" localSheetId="9">ZeroInt!$1:$3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348" i="2" l="1"/>
  <c r="W10" i="4"/>
  <c r="V10" i="4"/>
  <c r="AP348" i="2" l="1"/>
  <c r="G348" i="2"/>
  <c r="H348" i="2"/>
  <c r="I348" i="2"/>
  <c r="J348" i="2"/>
  <c r="K348" i="2"/>
  <c r="L348" i="2"/>
  <c r="M348" i="2"/>
  <c r="O2" i="4"/>
  <c r="F348" i="2" l="1"/>
  <c r="AR348" i="2"/>
  <c r="M26" i="4"/>
  <c r="L26" i="4"/>
  <c r="T18" i="4"/>
  <c r="T19" i="4"/>
  <c r="T20" i="4"/>
  <c r="T21" i="4"/>
  <c r="T22" i="4"/>
  <c r="T23" i="4"/>
  <c r="T24" i="4"/>
  <c r="T25" i="4"/>
  <c r="S25" i="4"/>
  <c r="S24" i="4"/>
  <c r="S23" i="4"/>
  <c r="S22" i="4"/>
  <c r="S21" i="4"/>
  <c r="S20" i="4"/>
  <c r="S19" i="4"/>
  <c r="S18" i="4"/>
  <c r="R18" i="4"/>
  <c r="R19" i="4"/>
  <c r="R20" i="4"/>
  <c r="R21" i="4"/>
  <c r="R22" i="4"/>
  <c r="R23" i="4"/>
  <c r="R24" i="4"/>
  <c r="R25" i="4"/>
  <c r="P18" i="4"/>
  <c r="P19" i="4"/>
  <c r="P20" i="4"/>
  <c r="P21" i="4"/>
  <c r="P22" i="4"/>
  <c r="P23" i="4"/>
  <c r="P24" i="4"/>
  <c r="P25" i="4"/>
  <c r="O25" i="4"/>
  <c r="O24" i="4"/>
  <c r="O23" i="4"/>
  <c r="O22" i="4"/>
  <c r="O21" i="4"/>
  <c r="O20" i="4"/>
  <c r="O19" i="4"/>
  <c r="O18" i="4"/>
  <c r="N119" i="16" l="1"/>
  <c r="M119" i="16"/>
  <c r="L119" i="16"/>
  <c r="K119" i="16"/>
  <c r="J119" i="16"/>
  <c r="I119" i="16"/>
  <c r="H119" i="16"/>
  <c r="G119" i="16"/>
  <c r="F119" i="16"/>
  <c r="E119" i="16"/>
  <c r="D119" i="16"/>
  <c r="C119" i="16"/>
  <c r="N103" i="16"/>
  <c r="M103" i="16"/>
  <c r="L103" i="16"/>
  <c r="K103" i="16"/>
  <c r="J103" i="16"/>
  <c r="I103" i="16"/>
  <c r="H103" i="16"/>
  <c r="G103" i="16"/>
  <c r="F103" i="16"/>
  <c r="E103" i="16"/>
  <c r="D103" i="16"/>
  <c r="C103" i="16"/>
  <c r="N87" i="16"/>
  <c r="M87" i="16"/>
  <c r="L87" i="16"/>
  <c r="K87" i="16"/>
  <c r="J87" i="16"/>
  <c r="I87" i="16"/>
  <c r="H87" i="16"/>
  <c r="G87" i="16"/>
  <c r="F87" i="16"/>
  <c r="E87" i="16"/>
  <c r="D87" i="16"/>
  <c r="C87" i="16"/>
  <c r="N71" i="16"/>
  <c r="M71" i="16"/>
  <c r="L71" i="16"/>
  <c r="K71" i="16"/>
  <c r="J71" i="16"/>
  <c r="I71" i="16"/>
  <c r="H71" i="16"/>
  <c r="G71" i="16"/>
  <c r="F71" i="16"/>
  <c r="E71" i="16"/>
  <c r="D71" i="16"/>
  <c r="C71" i="16"/>
  <c r="AP356" i="2"/>
  <c r="E348" i="2" s="1"/>
  <c r="AK358" i="2"/>
  <c r="D57" i="15"/>
  <c r="E57" i="15"/>
  <c r="F57" i="15"/>
  <c r="G57" i="15"/>
  <c r="H57" i="15"/>
  <c r="I57" i="15"/>
  <c r="J57" i="15"/>
  <c r="K57" i="15"/>
  <c r="L57" i="15"/>
  <c r="M57" i="15"/>
  <c r="N57" i="15"/>
  <c r="M446" i="2"/>
  <c r="K446" i="2"/>
  <c r="J446" i="2"/>
  <c r="I446" i="2"/>
  <c r="H446" i="2"/>
  <c r="AK342" i="2"/>
  <c r="I342" i="2" s="1"/>
  <c r="S506" i="2"/>
  <c r="T506" i="2"/>
  <c r="U506" i="2"/>
  <c r="V506" i="2"/>
  <c r="W506" i="2"/>
  <c r="X506" i="2"/>
  <c r="Y506" i="2"/>
  <c r="Z506" i="2"/>
  <c r="AA506" i="2"/>
  <c r="AB506" i="2"/>
  <c r="AC506" i="2"/>
  <c r="AD506" i="2"/>
  <c r="AE506" i="2"/>
  <c r="AF506" i="2"/>
  <c r="E371" i="2"/>
  <c r="K342" i="2" l="1"/>
  <c r="M342" i="2"/>
  <c r="G342" i="2"/>
  <c r="H342" i="2"/>
  <c r="J342" i="2"/>
  <c r="L342" i="2"/>
  <c r="E342" i="2"/>
  <c r="F342" i="2"/>
  <c r="AG342" i="2" s="1"/>
  <c r="AH342" i="2" s="1"/>
  <c r="AK360" i="2" l="1"/>
  <c r="AK361" i="2"/>
  <c r="AK362" i="2"/>
  <c r="AK363" i="2"/>
  <c r="AK364" i="2"/>
  <c r="AK365" i="2"/>
  <c r="AK366" i="2"/>
  <c r="AK367" i="2"/>
  <c r="AK368" i="2"/>
  <c r="AK369" i="2"/>
  <c r="AK370" i="2"/>
  <c r="AK371" i="2"/>
  <c r="AK372" i="2"/>
  <c r="AK373" i="2"/>
  <c r="AK359" i="2"/>
  <c r="N514" i="17"/>
  <c r="O514" i="17"/>
  <c r="P514" i="17"/>
  <c r="Q514" i="17"/>
  <c r="R514" i="17"/>
  <c r="S514" i="17"/>
  <c r="T514" i="17"/>
  <c r="U514" i="17"/>
  <c r="V514" i="17"/>
  <c r="W514" i="17"/>
  <c r="X514" i="17"/>
  <c r="Y514" i="17"/>
  <c r="Z514" i="17"/>
  <c r="AA514" i="17"/>
  <c r="AB514" i="17"/>
  <c r="AC514" i="17"/>
  <c r="AD514" i="17"/>
  <c r="AE514" i="17"/>
  <c r="AF514" i="17"/>
  <c r="N515" i="17"/>
  <c r="O515" i="17"/>
  <c r="P515" i="17"/>
  <c r="Q515" i="17"/>
  <c r="R515" i="17"/>
  <c r="S515" i="17"/>
  <c r="T515" i="17"/>
  <c r="U515" i="17"/>
  <c r="V515" i="17"/>
  <c r="W515" i="17"/>
  <c r="X515" i="17"/>
  <c r="Y515" i="17"/>
  <c r="Z515" i="17"/>
  <c r="AA515" i="17"/>
  <c r="AB515" i="17"/>
  <c r="AC515" i="17"/>
  <c r="AD515" i="17"/>
  <c r="AE515" i="17"/>
  <c r="AF515" i="17"/>
  <c r="N514" i="1"/>
  <c r="Q514" i="1"/>
  <c r="T514" i="1"/>
  <c r="V514" i="1"/>
  <c r="X514" i="1"/>
  <c r="Z514" i="1"/>
  <c r="AD514" i="1"/>
  <c r="AE514" i="1"/>
  <c r="AF514" i="1"/>
  <c r="N515" i="1"/>
  <c r="Q515" i="1"/>
  <c r="T515" i="1"/>
  <c r="V515" i="1"/>
  <c r="X515" i="1"/>
  <c r="Z515" i="1"/>
  <c r="AD515" i="1"/>
  <c r="AE515" i="1"/>
  <c r="AF515" i="1"/>
  <c r="F511" i="17"/>
  <c r="G511" i="17"/>
  <c r="H511" i="17"/>
  <c r="I511" i="17"/>
  <c r="J511" i="17"/>
  <c r="K511" i="17"/>
  <c r="L511" i="17"/>
  <c r="M511" i="17"/>
  <c r="F514" i="17"/>
  <c r="G514" i="17"/>
  <c r="H514" i="17"/>
  <c r="I514" i="17"/>
  <c r="J514" i="17"/>
  <c r="K514" i="17"/>
  <c r="L514" i="17"/>
  <c r="M514" i="17"/>
  <c r="F515" i="17"/>
  <c r="G515" i="17"/>
  <c r="H515" i="17"/>
  <c r="I515" i="17"/>
  <c r="J515" i="17"/>
  <c r="K515" i="17"/>
  <c r="L515" i="17"/>
  <c r="M515" i="17"/>
  <c r="F511" i="1"/>
  <c r="G511" i="1"/>
  <c r="H511" i="1"/>
  <c r="I511" i="1"/>
  <c r="J511" i="1"/>
  <c r="K511" i="1"/>
  <c r="L511" i="1"/>
  <c r="M511" i="1"/>
  <c r="F514" i="1"/>
  <c r="G514" i="1"/>
  <c r="J514" i="1"/>
  <c r="L514" i="1"/>
  <c r="F515" i="1"/>
  <c r="G515" i="1"/>
  <c r="J515" i="1"/>
  <c r="L515" i="1"/>
  <c r="E514" i="17"/>
  <c r="E514" i="1"/>
  <c r="E515" i="17"/>
  <c r="E515" i="1"/>
  <c r="E511" i="17"/>
  <c r="E511" i="1"/>
  <c r="C2" i="15"/>
  <c r="J366" i="2" l="1"/>
  <c r="G366" i="2"/>
  <c r="I366" i="2"/>
  <c r="F366" i="2"/>
  <c r="H366" i="2"/>
  <c r="E358" i="2" l="1"/>
  <c r="E341" i="2"/>
  <c r="AK344" i="2"/>
  <c r="AK345" i="2" s="1"/>
  <c r="AK346" i="2" s="1"/>
  <c r="AK343" i="2" s="1"/>
  <c r="E359" i="2"/>
  <c r="AK347" i="2" l="1"/>
  <c r="G343" i="2"/>
  <c r="F343" i="2"/>
  <c r="E343" i="2"/>
  <c r="J343" i="2"/>
  <c r="H343" i="2"/>
  <c r="I343" i="2"/>
  <c r="E365" i="2"/>
  <c r="E360" i="2" l="1"/>
  <c r="A32" i="16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D72" i="15"/>
  <c r="E72" i="15"/>
  <c r="F72" i="15"/>
  <c r="G72" i="15"/>
  <c r="H72" i="15"/>
  <c r="I72" i="15"/>
  <c r="J72" i="15"/>
  <c r="K72" i="15"/>
  <c r="L72" i="15"/>
  <c r="M72" i="15"/>
  <c r="N72" i="15"/>
  <c r="C72" i="15"/>
  <c r="C73" i="15" s="1"/>
  <c r="N76" i="15"/>
  <c r="M76" i="15"/>
  <c r="L76" i="15"/>
  <c r="K76" i="15"/>
  <c r="J76" i="15"/>
  <c r="I76" i="15"/>
  <c r="H76" i="15"/>
  <c r="G76" i="15"/>
  <c r="F76" i="15"/>
  <c r="E76" i="15"/>
  <c r="D76" i="15"/>
  <c r="D74" i="15"/>
  <c r="E74" i="15" s="1"/>
  <c r="F74" i="15" s="1"/>
  <c r="N73" i="15"/>
  <c r="M73" i="15"/>
  <c r="L73" i="15"/>
  <c r="K73" i="15"/>
  <c r="J73" i="15"/>
  <c r="I73" i="15"/>
  <c r="H73" i="15"/>
  <c r="G73" i="15"/>
  <c r="F73" i="15"/>
  <c r="E73" i="15"/>
  <c r="D73" i="15"/>
  <c r="N71" i="15"/>
  <c r="M71" i="15"/>
  <c r="L71" i="15"/>
  <c r="K71" i="15"/>
  <c r="J71" i="15"/>
  <c r="I71" i="15"/>
  <c r="H71" i="15"/>
  <c r="G71" i="15"/>
  <c r="F71" i="15"/>
  <c r="E71" i="15"/>
  <c r="D71" i="15"/>
  <c r="C71" i="15"/>
  <c r="C76" i="15" s="1"/>
  <c r="E361" i="2" l="1"/>
  <c r="D75" i="15"/>
  <c r="E75" i="15"/>
  <c r="G74" i="15"/>
  <c r="H74" i="15" s="1"/>
  <c r="I74" i="15" s="1"/>
  <c r="F75" i="15"/>
  <c r="C75" i="15"/>
  <c r="E362" i="2" l="1"/>
  <c r="I75" i="15"/>
  <c r="J74" i="15"/>
  <c r="H75" i="15"/>
  <c r="G75" i="15"/>
  <c r="E363" i="2" l="1"/>
  <c r="K74" i="15"/>
  <c r="J75" i="15"/>
  <c r="E364" i="2" l="1"/>
  <c r="L74" i="15"/>
  <c r="K75" i="15"/>
  <c r="E366" i="2" l="1"/>
  <c r="M74" i="15"/>
  <c r="L75" i="15"/>
  <c r="E367" i="2" l="1"/>
  <c r="N74" i="15"/>
  <c r="N75" i="15" s="1"/>
  <c r="M75" i="15"/>
  <c r="E368" i="2" l="1"/>
  <c r="I600" i="2"/>
  <c r="E369" i="2" l="1"/>
  <c r="N111" i="15"/>
  <c r="M111" i="15"/>
  <c r="L111" i="15"/>
  <c r="K111" i="15"/>
  <c r="J111" i="15"/>
  <c r="I111" i="15"/>
  <c r="H111" i="15"/>
  <c r="G111" i="15"/>
  <c r="F111" i="15"/>
  <c r="E111" i="15"/>
  <c r="D111" i="15"/>
  <c r="C111" i="15"/>
  <c r="N101" i="15"/>
  <c r="M101" i="15"/>
  <c r="L101" i="15"/>
  <c r="K101" i="15"/>
  <c r="J101" i="15"/>
  <c r="I101" i="15"/>
  <c r="H101" i="15"/>
  <c r="G101" i="15"/>
  <c r="F101" i="15"/>
  <c r="E101" i="15"/>
  <c r="D101" i="15"/>
  <c r="C101" i="15"/>
  <c r="N91" i="15"/>
  <c r="M91" i="15"/>
  <c r="L91" i="15"/>
  <c r="K91" i="15"/>
  <c r="J91" i="15"/>
  <c r="I91" i="15"/>
  <c r="H91" i="15"/>
  <c r="G91" i="15"/>
  <c r="F91" i="15"/>
  <c r="E91" i="15"/>
  <c r="D91" i="15"/>
  <c r="C91" i="15"/>
  <c r="N81" i="15"/>
  <c r="M81" i="15"/>
  <c r="L81" i="15"/>
  <c r="K81" i="15"/>
  <c r="J81" i="15"/>
  <c r="I81" i="15"/>
  <c r="H81" i="15"/>
  <c r="G81" i="15"/>
  <c r="F81" i="15"/>
  <c r="E81" i="15"/>
  <c r="D81" i="15"/>
  <c r="C81" i="15"/>
  <c r="N61" i="15"/>
  <c r="M61" i="15"/>
  <c r="L61" i="15"/>
  <c r="K61" i="15"/>
  <c r="J61" i="15"/>
  <c r="I61" i="15"/>
  <c r="H61" i="15"/>
  <c r="G61" i="15"/>
  <c r="F61" i="15"/>
  <c r="E61" i="15"/>
  <c r="D61" i="15"/>
  <c r="C61" i="15"/>
  <c r="D41" i="15"/>
  <c r="E41" i="15"/>
  <c r="F41" i="15"/>
  <c r="G41" i="15"/>
  <c r="H41" i="15"/>
  <c r="I41" i="15"/>
  <c r="J41" i="15"/>
  <c r="K41" i="15"/>
  <c r="L41" i="15"/>
  <c r="M41" i="15"/>
  <c r="N41" i="15"/>
  <c r="C41" i="15"/>
  <c r="M34" i="15"/>
  <c r="K34" i="15"/>
  <c r="H34" i="15"/>
  <c r="F34" i="15"/>
  <c r="D34" i="15"/>
  <c r="E34" i="15"/>
  <c r="G34" i="15"/>
  <c r="I34" i="15"/>
  <c r="J34" i="15"/>
  <c r="L34" i="15"/>
  <c r="N34" i="15"/>
  <c r="C34" i="15"/>
  <c r="E370" i="2" l="1"/>
  <c r="D64" i="15"/>
  <c r="E64" i="15"/>
  <c r="F64" i="15"/>
  <c r="G64" i="15"/>
  <c r="H64" i="15"/>
  <c r="I64" i="15"/>
  <c r="J64" i="15"/>
  <c r="K64" i="15"/>
  <c r="L64" i="15"/>
  <c r="M64" i="15"/>
  <c r="N64" i="15"/>
  <c r="C64" i="15"/>
  <c r="D62" i="15"/>
  <c r="E62" i="15"/>
  <c r="F62" i="15"/>
  <c r="G62" i="15"/>
  <c r="H62" i="15"/>
  <c r="I62" i="15"/>
  <c r="J62" i="15"/>
  <c r="K62" i="15"/>
  <c r="L62" i="15"/>
  <c r="M62" i="15"/>
  <c r="N62" i="15"/>
  <c r="C62" i="15"/>
  <c r="E12" i="9" l="1"/>
  <c r="F82" i="15"/>
  <c r="J82" i="15"/>
  <c r="K82" i="15"/>
  <c r="L82" i="15"/>
  <c r="N82" i="15"/>
  <c r="D83" i="15"/>
  <c r="E83" i="15"/>
  <c r="F83" i="15"/>
  <c r="G83" i="15"/>
  <c r="H83" i="15"/>
  <c r="I83" i="15"/>
  <c r="J83" i="15"/>
  <c r="K83" i="15"/>
  <c r="L83" i="15"/>
  <c r="M83" i="15"/>
  <c r="N83" i="15"/>
  <c r="D84" i="15"/>
  <c r="D85" i="15" s="1"/>
  <c r="C86" i="15"/>
  <c r="C82" i="15" s="1"/>
  <c r="C83" i="15" s="1"/>
  <c r="C85" i="15" s="1"/>
  <c r="D86" i="15"/>
  <c r="D82" i="15" s="1"/>
  <c r="E86" i="15"/>
  <c r="E82" i="15" s="1"/>
  <c r="F86" i="15"/>
  <c r="G86" i="15"/>
  <c r="G82" i="15" s="1"/>
  <c r="H86" i="15"/>
  <c r="H82" i="15" s="1"/>
  <c r="I86" i="15"/>
  <c r="I82" i="15" s="1"/>
  <c r="J86" i="15"/>
  <c r="K86" i="15"/>
  <c r="L86" i="15"/>
  <c r="M86" i="15"/>
  <c r="M82" i="15" s="1"/>
  <c r="N86" i="15"/>
  <c r="E84" i="15" l="1"/>
  <c r="E85" i="15" s="1"/>
  <c r="F84" i="15" l="1"/>
  <c r="G84" i="15" s="1"/>
  <c r="H84" i="15" s="1"/>
  <c r="I84" i="15" s="1"/>
  <c r="J84" i="15" s="1"/>
  <c r="K84" i="15" s="1"/>
  <c r="C9" i="17"/>
  <c r="C10" i="17"/>
  <c r="C11" i="17"/>
  <c r="C12" i="17"/>
  <c r="C13" i="17"/>
  <c r="I85" i="15" l="1"/>
  <c r="H85" i="15"/>
  <c r="K85" i="15"/>
  <c r="L84" i="15"/>
  <c r="G85" i="15"/>
  <c r="F85" i="15"/>
  <c r="J85" i="15"/>
  <c r="D52" i="15"/>
  <c r="E52" i="15" s="1"/>
  <c r="F52" i="15" s="1"/>
  <c r="G52" i="15" s="1"/>
  <c r="H52" i="15" s="1"/>
  <c r="I52" i="15" s="1"/>
  <c r="J52" i="15" s="1"/>
  <c r="K52" i="15" s="1"/>
  <c r="L52" i="15" s="1"/>
  <c r="M52" i="15" s="1"/>
  <c r="N52" i="15" s="1"/>
  <c r="L85" i="15" l="1"/>
  <c r="M84" i="15"/>
  <c r="M85" i="15" l="1"/>
  <c r="N84" i="15"/>
  <c r="N85" i="15" s="1"/>
  <c r="C66" i="15"/>
  <c r="C56" i="15"/>
  <c r="D199" i="15"/>
  <c r="E199" i="15"/>
  <c r="F199" i="15"/>
  <c r="G199" i="15"/>
  <c r="H199" i="15"/>
  <c r="I199" i="15"/>
  <c r="J199" i="15"/>
  <c r="K199" i="15"/>
  <c r="L199" i="15"/>
  <c r="M199" i="15"/>
  <c r="N199" i="15"/>
  <c r="C199" i="15"/>
  <c r="D21" i="16"/>
  <c r="E21" i="16"/>
  <c r="E13" i="16" s="1"/>
  <c r="F21" i="16"/>
  <c r="F13" i="16" s="1"/>
  <c r="G21" i="16"/>
  <c r="G13" i="16" s="1"/>
  <c r="H21" i="16"/>
  <c r="H13" i="16" s="1"/>
  <c r="I21" i="16"/>
  <c r="I13" i="16" s="1"/>
  <c r="J21" i="16"/>
  <c r="J13" i="16" s="1"/>
  <c r="K21" i="16"/>
  <c r="K13" i="16" s="1"/>
  <c r="L21" i="16"/>
  <c r="M21" i="16"/>
  <c r="M13" i="16" s="1"/>
  <c r="N21" i="16"/>
  <c r="N13" i="16" s="1"/>
  <c r="D20" i="16"/>
  <c r="D12" i="16" s="1"/>
  <c r="E20" i="16"/>
  <c r="E12" i="16" s="1"/>
  <c r="F20" i="16"/>
  <c r="F12" i="16" s="1"/>
  <c r="G20" i="16"/>
  <c r="G12" i="16" s="1"/>
  <c r="H20" i="16"/>
  <c r="H12" i="16" s="1"/>
  <c r="I20" i="16"/>
  <c r="I12" i="16" s="1"/>
  <c r="J20" i="16"/>
  <c r="J12" i="16" s="1"/>
  <c r="K20" i="16"/>
  <c r="K12" i="16" s="1"/>
  <c r="L20" i="16"/>
  <c r="L12" i="16" s="1"/>
  <c r="M20" i="16"/>
  <c r="M12" i="16" s="1"/>
  <c r="N20" i="16"/>
  <c r="N12" i="16" s="1"/>
  <c r="D19" i="16"/>
  <c r="D9" i="16" s="1"/>
  <c r="E19" i="16"/>
  <c r="E9" i="16" s="1"/>
  <c r="F19" i="16"/>
  <c r="G19" i="16"/>
  <c r="G9" i="16" s="1"/>
  <c r="H19" i="16"/>
  <c r="H9" i="16" s="1"/>
  <c r="I19" i="16"/>
  <c r="I9" i="16" s="1"/>
  <c r="J19" i="16"/>
  <c r="K19" i="16"/>
  <c r="K9" i="16" s="1"/>
  <c r="L19" i="16"/>
  <c r="L9" i="16" s="1"/>
  <c r="M19" i="16"/>
  <c r="M9" i="16" s="1"/>
  <c r="N19" i="16"/>
  <c r="D18" i="16"/>
  <c r="D8" i="16" s="1"/>
  <c r="E18" i="16"/>
  <c r="F18" i="16"/>
  <c r="F8" i="16" s="1"/>
  <c r="G18" i="16"/>
  <c r="H18" i="16"/>
  <c r="I18" i="16"/>
  <c r="J18" i="16"/>
  <c r="J8" i="16" s="1"/>
  <c r="K18" i="16"/>
  <c r="L18" i="16"/>
  <c r="L8" i="16" s="1"/>
  <c r="M18" i="16"/>
  <c r="N18" i="16"/>
  <c r="N8" i="16" s="1"/>
  <c r="C20" i="16"/>
  <c r="C12" i="16" s="1"/>
  <c r="C21" i="16"/>
  <c r="C13" i="16" s="1"/>
  <c r="C19" i="16"/>
  <c r="C9" i="16" s="1"/>
  <c r="C18" i="16"/>
  <c r="C8" i="16" s="1"/>
  <c r="D6" i="16"/>
  <c r="E6" i="16"/>
  <c r="F6" i="16"/>
  <c r="G6" i="16"/>
  <c r="H6" i="16"/>
  <c r="I6" i="16"/>
  <c r="J6" i="16"/>
  <c r="K6" i="16"/>
  <c r="L6" i="16"/>
  <c r="M6" i="16"/>
  <c r="N6" i="16"/>
  <c r="D7" i="16"/>
  <c r="E7" i="16"/>
  <c r="F7" i="16"/>
  <c r="G7" i="16"/>
  <c r="H7" i="16"/>
  <c r="I7" i="16"/>
  <c r="J7" i="16"/>
  <c r="K7" i="16"/>
  <c r="L7" i="16"/>
  <c r="M7" i="16"/>
  <c r="N7" i="16"/>
  <c r="D10" i="16"/>
  <c r="E10" i="16"/>
  <c r="F10" i="16"/>
  <c r="G10" i="16"/>
  <c r="H10" i="16"/>
  <c r="I10" i="16"/>
  <c r="J10" i="16"/>
  <c r="K10" i="16"/>
  <c r="L10" i="16"/>
  <c r="M10" i="16"/>
  <c r="N10" i="16"/>
  <c r="D11" i="16"/>
  <c r="E11" i="16"/>
  <c r="F11" i="16"/>
  <c r="G11" i="16"/>
  <c r="H11" i="16"/>
  <c r="I11" i="16"/>
  <c r="J11" i="16"/>
  <c r="K11" i="16"/>
  <c r="L11" i="16"/>
  <c r="M11" i="16"/>
  <c r="N11" i="16"/>
  <c r="C11" i="16"/>
  <c r="C10" i="16"/>
  <c r="C7" i="16"/>
  <c r="C6" i="16"/>
  <c r="O36" i="16"/>
  <c r="D41" i="16"/>
  <c r="E41" i="16"/>
  <c r="F41" i="16"/>
  <c r="G41" i="16"/>
  <c r="H41" i="16"/>
  <c r="I41" i="16"/>
  <c r="J41" i="16"/>
  <c r="K41" i="16"/>
  <c r="L41" i="16"/>
  <c r="M41" i="16"/>
  <c r="N41" i="16"/>
  <c r="D42" i="16"/>
  <c r="E42" i="16"/>
  <c r="F42" i="16"/>
  <c r="G42" i="16"/>
  <c r="H42" i="16"/>
  <c r="I42" i="16"/>
  <c r="J42" i="16"/>
  <c r="K42" i="16"/>
  <c r="L42" i="16"/>
  <c r="M42" i="16"/>
  <c r="N42" i="16"/>
  <c r="N22" i="16" l="1"/>
  <c r="F22" i="16"/>
  <c r="C22" i="16"/>
  <c r="I22" i="16"/>
  <c r="H22" i="16"/>
  <c r="J22" i="16"/>
  <c r="G8" i="16"/>
  <c r="G14" i="16" s="1"/>
  <c r="G22" i="16"/>
  <c r="M8" i="16"/>
  <c r="M14" i="16" s="1"/>
  <c r="M22" i="16"/>
  <c r="E8" i="16"/>
  <c r="E14" i="16" s="1"/>
  <c r="E22" i="16"/>
  <c r="K22" i="16"/>
  <c r="K8" i="16"/>
  <c r="K14" i="16" s="1"/>
  <c r="L22" i="16"/>
  <c r="L13" i="16"/>
  <c r="L14" i="16" s="1"/>
  <c r="D22" i="16"/>
  <c r="D13" i="16"/>
  <c r="D14" i="16" s="1"/>
  <c r="N9" i="16"/>
  <c r="N14" i="16" s="1"/>
  <c r="F9" i="16"/>
  <c r="F14" i="16" s="1"/>
  <c r="I8" i="16"/>
  <c r="I14" i="16" s="1"/>
  <c r="H8" i="16"/>
  <c r="H14" i="16" s="1"/>
  <c r="J9" i="16"/>
  <c r="J14" i="16" s="1"/>
  <c r="C14" i="16"/>
  <c r="H43" i="16"/>
  <c r="H44" i="16" s="1"/>
  <c r="L43" i="16"/>
  <c r="L44" i="16" s="1"/>
  <c r="I43" i="16"/>
  <c r="I45" i="16" s="1"/>
  <c r="D43" i="16"/>
  <c r="D44" i="16" s="1"/>
  <c r="K43" i="16"/>
  <c r="K44" i="16" s="1"/>
  <c r="N43" i="16"/>
  <c r="N44" i="16" s="1"/>
  <c r="F43" i="16"/>
  <c r="F44" i="16" s="1"/>
  <c r="J43" i="16"/>
  <c r="J44" i="16" s="1"/>
  <c r="M43" i="16"/>
  <c r="M45" i="16" s="1"/>
  <c r="E43" i="16"/>
  <c r="E45" i="16" s="1"/>
  <c r="G43" i="16"/>
  <c r="G45" i="16" s="1"/>
  <c r="E44" i="16" l="1"/>
  <c r="K45" i="16"/>
  <c r="H45" i="16"/>
  <c r="F45" i="16"/>
  <c r="L45" i="16"/>
  <c r="I44" i="16"/>
  <c r="D45" i="16"/>
  <c r="J45" i="16"/>
  <c r="N45" i="16"/>
  <c r="M44" i="16"/>
  <c r="G44" i="16"/>
  <c r="O6" i="16" l="1"/>
  <c r="O49" i="16"/>
  <c r="A1" i="16"/>
  <c r="O38" i="16"/>
  <c r="O48" i="16" s="1"/>
  <c r="O37" i="16"/>
  <c r="O35" i="16"/>
  <c r="O26" i="16"/>
  <c r="O25" i="16"/>
  <c r="O24" i="16"/>
  <c r="O22" i="16"/>
  <c r="O21" i="16"/>
  <c r="O20" i="16"/>
  <c r="O19" i="16"/>
  <c r="O18" i="16"/>
  <c r="O17" i="16"/>
  <c r="O16" i="16"/>
  <c r="O15" i="16"/>
  <c r="O13" i="16"/>
  <c r="O5" i="16"/>
  <c r="A6" i="16"/>
  <c r="A7" i="16" s="1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O7" i="16" l="1"/>
  <c r="O29" i="16"/>
  <c r="O12" i="16"/>
  <c r="O34" i="16"/>
  <c r="O11" i="16"/>
  <c r="O33" i="16"/>
  <c r="O10" i="16"/>
  <c r="O32" i="16"/>
  <c r="O9" i="16"/>
  <c r="O8" i="16"/>
  <c r="O28" i="16"/>
  <c r="O14" i="16"/>
  <c r="O31" i="16" l="1"/>
  <c r="C42" i="16"/>
  <c r="O42" i="16" s="1"/>
  <c r="O39" i="16"/>
  <c r="O47" i="16" s="1"/>
  <c r="O50" i="16" s="1"/>
  <c r="C41" i="16"/>
  <c r="O30" i="16"/>
  <c r="O41" i="16" l="1"/>
  <c r="C43" i="16"/>
  <c r="E7" i="9"/>
  <c r="L600" i="2"/>
  <c r="D106" i="15"/>
  <c r="D102" i="15" s="1"/>
  <c r="D104" i="15"/>
  <c r="E104" i="15" s="1"/>
  <c r="F104" i="15" s="1"/>
  <c r="G104" i="15" s="1"/>
  <c r="H104" i="15" s="1"/>
  <c r="I104" i="15" s="1"/>
  <c r="J104" i="15" s="1"/>
  <c r="K104" i="15" s="1"/>
  <c r="L104" i="15" s="1"/>
  <c r="M104" i="15" s="1"/>
  <c r="N104" i="15" s="1"/>
  <c r="N106" i="15"/>
  <c r="N102" i="15" s="1"/>
  <c r="M106" i="15"/>
  <c r="M102" i="15" s="1"/>
  <c r="L106" i="15"/>
  <c r="L102" i="15" s="1"/>
  <c r="K106" i="15"/>
  <c r="K102" i="15" s="1"/>
  <c r="J106" i="15"/>
  <c r="J102" i="15" s="1"/>
  <c r="I106" i="15"/>
  <c r="I102" i="15" s="1"/>
  <c r="H106" i="15"/>
  <c r="H102" i="15" s="1"/>
  <c r="G106" i="15"/>
  <c r="G102" i="15" s="1"/>
  <c r="C106" i="15"/>
  <c r="C102" i="15" s="1"/>
  <c r="B13" i="9"/>
  <c r="C13" i="9"/>
  <c r="B13" i="8"/>
  <c r="C13" i="8"/>
  <c r="M3" i="2"/>
  <c r="M2" i="2"/>
  <c r="B40" i="4"/>
  <c r="C40" i="4"/>
  <c r="C45" i="16" l="1"/>
  <c r="O43" i="16"/>
  <c r="C44" i="16"/>
  <c r="E106" i="15"/>
  <c r="E102" i="15" s="1"/>
  <c r="E103" i="15" s="1"/>
  <c r="E105" i="15" s="1"/>
  <c r="F106" i="15"/>
  <c r="F102" i="15" s="1"/>
  <c r="F103" i="15" s="1"/>
  <c r="F105" i="15" s="1"/>
  <c r="D103" i="15"/>
  <c r="D105" i="15" s="1"/>
  <c r="L103" i="15"/>
  <c r="L105" i="15" s="1"/>
  <c r="M103" i="15"/>
  <c r="M105" i="15" s="1"/>
  <c r="N103" i="15"/>
  <c r="N105" i="15" s="1"/>
  <c r="G103" i="15"/>
  <c r="G105" i="15" s="1"/>
  <c r="H103" i="15"/>
  <c r="H105" i="15" s="1"/>
  <c r="I103" i="15"/>
  <c r="I105" i="15" s="1"/>
  <c r="J103" i="15"/>
  <c r="J105" i="15" s="1"/>
  <c r="C103" i="15"/>
  <c r="C105" i="15" s="1"/>
  <c r="K103" i="15"/>
  <c r="K105" i="15" s="1"/>
  <c r="O44" i="16" l="1"/>
  <c r="H479" i="1" s="1"/>
  <c r="O45" i="16"/>
  <c r="I479" i="1" s="1"/>
  <c r="F8" i="18"/>
  <c r="H8" i="18" s="1"/>
  <c r="F9" i="18"/>
  <c r="H9" i="18" s="1"/>
  <c r="H42" i="1" l="1"/>
  <c r="A1" i="18" l="1"/>
  <c r="A1" i="9"/>
  <c r="A1" i="8"/>
  <c r="A1" i="15"/>
  <c r="A1" i="17"/>
  <c r="F142" i="1" l="1"/>
  <c r="E349" i="2" l="1"/>
  <c r="C34" i="4" l="1"/>
  <c r="C35" i="4"/>
  <c r="C36" i="4"/>
  <c r="C37" i="4"/>
  <c r="C38" i="4"/>
  <c r="C39" i="4"/>
  <c r="C33" i="4"/>
  <c r="B34" i="4"/>
  <c r="B35" i="4"/>
  <c r="B36" i="4"/>
  <c r="B37" i="4"/>
  <c r="B38" i="4"/>
  <c r="B39" i="4"/>
  <c r="B33" i="4"/>
  <c r="A33" i="4"/>
  <c r="A34" i="4" s="1"/>
  <c r="A35" i="4" s="1"/>
  <c r="A36" i="4" s="1"/>
  <c r="A37" i="4" s="1"/>
  <c r="A38" i="4" s="1"/>
  <c r="A39" i="4" s="1"/>
  <c r="N115" i="15"/>
  <c r="M115" i="15"/>
  <c r="L115" i="15"/>
  <c r="K115" i="15"/>
  <c r="J115" i="15"/>
  <c r="I115" i="15"/>
  <c r="H115" i="15"/>
  <c r="G115" i="15"/>
  <c r="F115" i="15"/>
  <c r="E115" i="15"/>
  <c r="D115" i="15"/>
  <c r="C115" i="15"/>
  <c r="N117" i="15"/>
  <c r="M117" i="15"/>
  <c r="L117" i="15"/>
  <c r="K117" i="15"/>
  <c r="J117" i="15"/>
  <c r="I117" i="15"/>
  <c r="H117" i="15"/>
  <c r="G117" i="15"/>
  <c r="F117" i="15"/>
  <c r="E117" i="15"/>
  <c r="D117" i="15"/>
  <c r="C117" i="15"/>
  <c r="K3" i="2" l="1"/>
  <c r="J3" i="2"/>
  <c r="K2" i="2"/>
  <c r="J2" i="2"/>
  <c r="B7" i="9" l="1"/>
  <c r="C7" i="9"/>
  <c r="B8" i="9"/>
  <c r="C8" i="9"/>
  <c r="B9" i="9"/>
  <c r="C9" i="9"/>
  <c r="B10" i="9"/>
  <c r="C10" i="9"/>
  <c r="B11" i="9"/>
  <c r="C11" i="9"/>
  <c r="B12" i="9"/>
  <c r="C12" i="9"/>
  <c r="B7" i="8"/>
  <c r="C7" i="8"/>
  <c r="B8" i="8"/>
  <c r="C8" i="8"/>
  <c r="B9" i="8"/>
  <c r="C9" i="8"/>
  <c r="B10" i="8"/>
  <c r="C10" i="8"/>
  <c r="B11" i="8"/>
  <c r="C11" i="8"/>
  <c r="B12" i="8"/>
  <c r="C12" i="8"/>
  <c r="B9" i="15"/>
  <c r="B10" i="15"/>
  <c r="B11" i="15"/>
  <c r="B12" i="15"/>
  <c r="B13" i="15"/>
  <c r="B14" i="15"/>
  <c r="B15" i="15"/>
  <c r="B109" i="15" s="1"/>
  <c r="A9" i="15"/>
  <c r="A10" i="15"/>
  <c r="A11" i="15"/>
  <c r="A12" i="15"/>
  <c r="A13" i="15"/>
  <c r="A14" i="15"/>
  <c r="A15" i="15"/>
  <c r="A109" i="15" s="1"/>
  <c r="B10" i="17"/>
  <c r="B11" i="17"/>
  <c r="B12" i="17"/>
  <c r="B13" i="17"/>
  <c r="L64" i="18" l="1"/>
  <c r="M64" i="18" s="1"/>
  <c r="J64" i="18"/>
  <c r="I64" i="18"/>
  <c r="F64" i="18"/>
  <c r="H64" i="18" s="1"/>
  <c r="H109" i="18" l="1"/>
  <c r="H108" i="18"/>
  <c r="H107" i="18"/>
  <c r="N51" i="15"/>
  <c r="M51" i="15"/>
  <c r="L51" i="15"/>
  <c r="K51" i="15"/>
  <c r="J51" i="15"/>
  <c r="I51" i="15"/>
  <c r="H51" i="15"/>
  <c r="G51" i="15"/>
  <c r="F51" i="15"/>
  <c r="E51" i="15"/>
  <c r="D51" i="15"/>
  <c r="C51" i="15"/>
  <c r="AG343" i="2" l="1"/>
  <c r="L63" i="18" l="1"/>
  <c r="L65" i="18"/>
  <c r="L66" i="18"/>
  <c r="L67" i="18"/>
  <c r="L68" i="18"/>
  <c r="L69" i="18"/>
  <c r="L70" i="18"/>
  <c r="L71" i="18"/>
  <c r="L72" i="18"/>
  <c r="L73" i="18"/>
  <c r="L74" i="18"/>
  <c r="L75" i="18"/>
  <c r="L76" i="18"/>
  <c r="L77" i="18"/>
  <c r="L78" i="18"/>
  <c r="L79" i="18"/>
  <c r="L80" i="18"/>
  <c r="L81" i="18"/>
  <c r="L82" i="18"/>
  <c r="L83" i="18"/>
  <c r="L62" i="18"/>
  <c r="K407" i="2"/>
  <c r="D54" i="15"/>
  <c r="E54" i="15" l="1"/>
  <c r="D96" i="15"/>
  <c r="D92" i="15" s="1"/>
  <c r="D93" i="15" s="1"/>
  <c r="E96" i="15"/>
  <c r="E92" i="15" s="1"/>
  <c r="E93" i="15" s="1"/>
  <c r="H96" i="15"/>
  <c r="H92" i="15" s="1"/>
  <c r="K96" i="15"/>
  <c r="K92" i="15" s="1"/>
  <c r="M96" i="15"/>
  <c r="M92" i="15" s="1"/>
  <c r="J96" i="15"/>
  <c r="J92" i="15" s="1"/>
  <c r="D94" i="15"/>
  <c r="E94" i="15" s="1"/>
  <c r="F94" i="15" s="1"/>
  <c r="G94" i="15" s="1"/>
  <c r="H94" i="15" s="1"/>
  <c r="I94" i="15" s="1"/>
  <c r="J94" i="15" s="1"/>
  <c r="K94" i="15" s="1"/>
  <c r="L94" i="15" s="1"/>
  <c r="M94" i="15" s="1"/>
  <c r="N94" i="15" s="1"/>
  <c r="F54" i="15" l="1"/>
  <c r="H93" i="15"/>
  <c r="H95" i="15" s="1"/>
  <c r="M93" i="15"/>
  <c r="M95" i="15" s="1"/>
  <c r="J93" i="15"/>
  <c r="G96" i="15"/>
  <c r="G92" i="15" s="1"/>
  <c r="G93" i="15" s="1"/>
  <c r="G95" i="15" s="1"/>
  <c r="F96" i="15"/>
  <c r="F92" i="15" s="1"/>
  <c r="F93" i="15" s="1"/>
  <c r="F95" i="15" s="1"/>
  <c r="K93" i="15"/>
  <c r="K95" i="15" s="1"/>
  <c r="N96" i="15"/>
  <c r="N92" i="15" s="1"/>
  <c r="N93" i="15" s="1"/>
  <c r="N95" i="15" s="1"/>
  <c r="D95" i="15"/>
  <c r="I96" i="15"/>
  <c r="I92" i="15" s="1"/>
  <c r="I93" i="15" s="1"/>
  <c r="I95" i="15" s="1"/>
  <c r="L96" i="15"/>
  <c r="L92" i="15" s="1"/>
  <c r="L93" i="15" s="1"/>
  <c r="L95" i="15" s="1"/>
  <c r="C96" i="15"/>
  <c r="C92" i="15" s="1"/>
  <c r="C93" i="15" s="1"/>
  <c r="C95" i="15" s="1"/>
  <c r="J95" i="15"/>
  <c r="E95" i="15"/>
  <c r="G54" i="15" l="1"/>
  <c r="H54" i="15" l="1"/>
  <c r="I54" i="15" l="1"/>
  <c r="C67" i="15"/>
  <c r="C57" i="15"/>
  <c r="D66" i="15"/>
  <c r="E66" i="15" s="1"/>
  <c r="F66" i="15" s="1"/>
  <c r="G66" i="15" s="1"/>
  <c r="H66" i="15" s="1"/>
  <c r="I66" i="15" s="1"/>
  <c r="J66" i="15" s="1"/>
  <c r="K66" i="15" s="1"/>
  <c r="L66" i="15" s="1"/>
  <c r="M66" i="15" s="1"/>
  <c r="N66" i="15" s="1"/>
  <c r="J54" i="15" l="1"/>
  <c r="C63" i="15"/>
  <c r="C65" i="15" s="1"/>
  <c r="C53" i="15"/>
  <c r="C55" i="15" s="1"/>
  <c r="K54" i="15" l="1"/>
  <c r="L54" i="15" l="1"/>
  <c r="M54" i="15" l="1"/>
  <c r="N54" i="15" l="1"/>
  <c r="O109" i="15" l="1"/>
  <c r="C15" i="15" s="1"/>
  <c r="O99" i="15"/>
  <c r="C14" i="15" s="1"/>
  <c r="O89" i="15"/>
  <c r="C13" i="15" s="1"/>
  <c r="O79" i="15"/>
  <c r="C12" i="15" s="1"/>
  <c r="O69" i="15"/>
  <c r="C11" i="15" s="1"/>
  <c r="O59" i="15"/>
  <c r="C10" i="15" s="1"/>
  <c r="O49" i="15"/>
  <c r="C9" i="15" s="1"/>
  <c r="O39" i="15"/>
  <c r="C8" i="15" s="1"/>
  <c r="D13" i="9" l="1"/>
  <c r="F13" i="9" s="1"/>
  <c r="D13" i="8"/>
  <c r="J35" i="18"/>
  <c r="I35" i="18"/>
  <c r="F35" i="18"/>
  <c r="H35" i="18" s="1"/>
  <c r="J37" i="18"/>
  <c r="I37" i="18"/>
  <c r="F37" i="18"/>
  <c r="H37" i="18" s="1"/>
  <c r="J36" i="18"/>
  <c r="I36" i="18"/>
  <c r="F36" i="18"/>
  <c r="H36" i="18" s="1"/>
  <c r="E10" i="18" l="1"/>
  <c r="D20" i="18" s="1"/>
  <c r="D10" i="18"/>
  <c r="D25" i="18" s="1"/>
  <c r="I9" i="18"/>
  <c r="J9" i="18"/>
  <c r="J8" i="18"/>
  <c r="I8" i="18"/>
  <c r="D22" i="18" l="1"/>
  <c r="H14" i="18" a="1"/>
  <c r="H15" i="18" l="1"/>
  <c r="I16" i="18"/>
  <c r="I14" i="18"/>
  <c r="D15" i="18" s="1"/>
  <c r="D21" i="18" s="1"/>
  <c r="D24" i="18" s="1"/>
  <c r="D26" i="18" s="1"/>
  <c r="D27" i="18" s="1"/>
  <c r="D28" i="18" s="1"/>
  <c r="H16" i="18"/>
  <c r="D16" i="18" s="1"/>
  <c r="H14" i="18"/>
  <c r="D14" i="18" s="1"/>
  <c r="I15" i="18"/>
  <c r="F13" i="8" l="1"/>
  <c r="L2" i="2" l="1"/>
  <c r="B9" i="17"/>
  <c r="L23" i="15" l="1"/>
  <c r="L22" i="15"/>
  <c r="L21" i="15"/>
  <c r="L20" i="15"/>
  <c r="L19" i="15"/>
  <c r="L18" i="15"/>
  <c r="L17" i="15"/>
  <c r="L16" i="15"/>
  <c r="E84" i="18"/>
  <c r="D84" i="18"/>
  <c r="D99" i="18" s="1"/>
  <c r="M83" i="18"/>
  <c r="J83" i="18"/>
  <c r="I83" i="18"/>
  <c r="F83" i="18"/>
  <c r="H83" i="18" s="1"/>
  <c r="M82" i="18"/>
  <c r="J82" i="18"/>
  <c r="I82" i="18"/>
  <c r="F82" i="18"/>
  <c r="H82" i="18" s="1"/>
  <c r="M81" i="18"/>
  <c r="J81" i="18"/>
  <c r="I81" i="18"/>
  <c r="F81" i="18"/>
  <c r="H81" i="18" s="1"/>
  <c r="M80" i="18"/>
  <c r="J80" i="18"/>
  <c r="I80" i="18"/>
  <c r="F80" i="18"/>
  <c r="H80" i="18" s="1"/>
  <c r="M79" i="18"/>
  <c r="J79" i="18"/>
  <c r="I79" i="18"/>
  <c r="F79" i="18"/>
  <c r="H79" i="18" s="1"/>
  <c r="M78" i="18"/>
  <c r="J78" i="18"/>
  <c r="I78" i="18"/>
  <c r="F78" i="18"/>
  <c r="H78" i="18" s="1"/>
  <c r="M77" i="18"/>
  <c r="J77" i="18"/>
  <c r="I77" i="18"/>
  <c r="F77" i="18"/>
  <c r="H77" i="18" s="1"/>
  <c r="M76" i="18"/>
  <c r="J76" i="18"/>
  <c r="I76" i="18"/>
  <c r="F76" i="18"/>
  <c r="H76" i="18" s="1"/>
  <c r="M75" i="18"/>
  <c r="J75" i="18"/>
  <c r="I75" i="18"/>
  <c r="F75" i="18"/>
  <c r="H75" i="18" s="1"/>
  <c r="M74" i="18"/>
  <c r="J74" i="18"/>
  <c r="I74" i="18"/>
  <c r="F74" i="18"/>
  <c r="H74" i="18" s="1"/>
  <c r="M73" i="18"/>
  <c r="J73" i="18"/>
  <c r="I73" i="18"/>
  <c r="F73" i="18"/>
  <c r="H73" i="18" s="1"/>
  <c r="M72" i="18"/>
  <c r="J72" i="18"/>
  <c r="I72" i="18"/>
  <c r="F72" i="18"/>
  <c r="H72" i="18" s="1"/>
  <c r="M71" i="18"/>
  <c r="J71" i="18"/>
  <c r="I71" i="18"/>
  <c r="F71" i="18"/>
  <c r="H71" i="18" s="1"/>
  <c r="M70" i="18"/>
  <c r="J70" i="18"/>
  <c r="I70" i="18"/>
  <c r="F70" i="18"/>
  <c r="H70" i="18" s="1"/>
  <c r="M69" i="18"/>
  <c r="J69" i="18"/>
  <c r="I69" i="18"/>
  <c r="F69" i="18"/>
  <c r="H69" i="18" s="1"/>
  <c r="M68" i="18"/>
  <c r="J68" i="18"/>
  <c r="I68" i="18"/>
  <c r="F68" i="18"/>
  <c r="H68" i="18" s="1"/>
  <c r="M67" i="18"/>
  <c r="J67" i="18"/>
  <c r="I67" i="18"/>
  <c r="F67" i="18"/>
  <c r="H67" i="18" s="1"/>
  <c r="M66" i="18"/>
  <c r="J66" i="18"/>
  <c r="I66" i="18"/>
  <c r="F66" i="18"/>
  <c r="H66" i="18" s="1"/>
  <c r="M65" i="18"/>
  <c r="J65" i="18"/>
  <c r="I65" i="18"/>
  <c r="F65" i="18"/>
  <c r="H65" i="18" s="1"/>
  <c r="M63" i="18"/>
  <c r="J63" i="18"/>
  <c r="I63" i="18"/>
  <c r="F63" i="18"/>
  <c r="H63" i="18" s="1"/>
  <c r="M62" i="18"/>
  <c r="J62" i="18"/>
  <c r="I62" i="18"/>
  <c r="F62" i="18"/>
  <c r="H62" i="18" s="1"/>
  <c r="E38" i="18"/>
  <c r="D48" i="18" s="1"/>
  <c r="D38" i="18"/>
  <c r="D53" i="18" s="1"/>
  <c r="J34" i="18"/>
  <c r="I34" i="18"/>
  <c r="F34" i="18"/>
  <c r="H34" i="18" s="1"/>
  <c r="AG346" i="2"/>
  <c r="AH346" i="2" s="1"/>
  <c r="N191" i="15"/>
  <c r="N197" i="15" s="1"/>
  <c r="M191" i="15"/>
  <c r="M197" i="15" s="1"/>
  <c r="L191" i="15"/>
  <c r="L197" i="15" s="1"/>
  <c r="K191" i="15"/>
  <c r="K197" i="15" s="1"/>
  <c r="J191" i="15"/>
  <c r="J197" i="15" s="1"/>
  <c r="I191" i="15"/>
  <c r="I197" i="15" s="1"/>
  <c r="H191" i="15"/>
  <c r="H197" i="15" s="1"/>
  <c r="G191" i="15"/>
  <c r="G197" i="15" s="1"/>
  <c r="F191" i="15"/>
  <c r="F197" i="15" s="1"/>
  <c r="E191" i="15"/>
  <c r="E197" i="15" s="1"/>
  <c r="D191" i="15"/>
  <c r="D197" i="15" s="1"/>
  <c r="C191" i="15"/>
  <c r="C197" i="15" s="1"/>
  <c r="N181" i="15"/>
  <c r="N187" i="15" s="1"/>
  <c r="M181" i="15"/>
  <c r="M187" i="15" s="1"/>
  <c r="L181" i="15"/>
  <c r="L187" i="15" s="1"/>
  <c r="K181" i="15"/>
  <c r="K187" i="15" s="1"/>
  <c r="J181" i="15"/>
  <c r="J187" i="15" s="1"/>
  <c r="I181" i="15"/>
  <c r="I187" i="15" s="1"/>
  <c r="H181" i="15"/>
  <c r="H187" i="15" s="1"/>
  <c r="G181" i="15"/>
  <c r="G187" i="15" s="1"/>
  <c r="F181" i="15"/>
  <c r="F187" i="15" s="1"/>
  <c r="E181" i="15"/>
  <c r="E187" i="15" s="1"/>
  <c r="D181" i="15"/>
  <c r="D187" i="15" s="1"/>
  <c r="C181" i="15"/>
  <c r="C187" i="15" s="1"/>
  <c r="N171" i="15"/>
  <c r="N177" i="15" s="1"/>
  <c r="M171" i="15"/>
  <c r="M177" i="15" s="1"/>
  <c r="L171" i="15"/>
  <c r="L177" i="15" s="1"/>
  <c r="K171" i="15"/>
  <c r="K177" i="15" s="1"/>
  <c r="J171" i="15"/>
  <c r="J177" i="15" s="1"/>
  <c r="I171" i="15"/>
  <c r="I177" i="15" s="1"/>
  <c r="H171" i="15"/>
  <c r="H177" i="15" s="1"/>
  <c r="G171" i="15"/>
  <c r="G177" i="15" s="1"/>
  <c r="F171" i="15"/>
  <c r="F177" i="15" s="1"/>
  <c r="E171" i="15"/>
  <c r="E177" i="15" s="1"/>
  <c r="D171" i="15"/>
  <c r="D177" i="15" s="1"/>
  <c r="C171" i="15"/>
  <c r="C177" i="15" s="1"/>
  <c r="N161" i="15"/>
  <c r="N167" i="15" s="1"/>
  <c r="M161" i="15"/>
  <c r="M167" i="15" s="1"/>
  <c r="L161" i="15"/>
  <c r="L167" i="15" s="1"/>
  <c r="K161" i="15"/>
  <c r="K167" i="15" s="1"/>
  <c r="J161" i="15"/>
  <c r="J167" i="15" s="1"/>
  <c r="I161" i="15"/>
  <c r="I167" i="15" s="1"/>
  <c r="H161" i="15"/>
  <c r="H167" i="15" s="1"/>
  <c r="G161" i="15"/>
  <c r="G167" i="15" s="1"/>
  <c r="F161" i="15"/>
  <c r="F167" i="15" s="1"/>
  <c r="E161" i="15"/>
  <c r="E167" i="15" s="1"/>
  <c r="D161" i="15"/>
  <c r="D167" i="15" s="1"/>
  <c r="C161" i="15"/>
  <c r="C167" i="15" s="1"/>
  <c r="N151" i="15"/>
  <c r="N157" i="15" s="1"/>
  <c r="M151" i="15"/>
  <c r="M157" i="15" s="1"/>
  <c r="L151" i="15"/>
  <c r="L157" i="15" s="1"/>
  <c r="K151" i="15"/>
  <c r="K157" i="15" s="1"/>
  <c r="J151" i="15"/>
  <c r="J157" i="15" s="1"/>
  <c r="I151" i="15"/>
  <c r="I157" i="15" s="1"/>
  <c r="H151" i="15"/>
  <c r="H157" i="15" s="1"/>
  <c r="G151" i="15"/>
  <c r="G157" i="15" s="1"/>
  <c r="F151" i="15"/>
  <c r="F157" i="15" s="1"/>
  <c r="E151" i="15"/>
  <c r="E157" i="15" s="1"/>
  <c r="D151" i="15"/>
  <c r="D157" i="15" s="1"/>
  <c r="C151" i="15"/>
  <c r="C157" i="15" s="1"/>
  <c r="N141" i="15"/>
  <c r="N147" i="15" s="1"/>
  <c r="M141" i="15"/>
  <c r="M147" i="15" s="1"/>
  <c r="L141" i="15"/>
  <c r="L147" i="15" s="1"/>
  <c r="K141" i="15"/>
  <c r="K147" i="15" s="1"/>
  <c r="J141" i="15"/>
  <c r="J147" i="15" s="1"/>
  <c r="I141" i="15"/>
  <c r="I147" i="15" s="1"/>
  <c r="H141" i="15"/>
  <c r="H147" i="15" s="1"/>
  <c r="G141" i="15"/>
  <c r="G147" i="15" s="1"/>
  <c r="F141" i="15"/>
  <c r="F147" i="15" s="1"/>
  <c r="E141" i="15"/>
  <c r="E147" i="15" s="1"/>
  <c r="D141" i="15"/>
  <c r="D147" i="15" s="1"/>
  <c r="C141" i="15"/>
  <c r="C147" i="15" s="1"/>
  <c r="N131" i="15"/>
  <c r="N137" i="15" s="1"/>
  <c r="M131" i="15"/>
  <c r="M137" i="15" s="1"/>
  <c r="L131" i="15"/>
  <c r="L137" i="15" s="1"/>
  <c r="K131" i="15"/>
  <c r="K137" i="15" s="1"/>
  <c r="J131" i="15"/>
  <c r="J137" i="15" s="1"/>
  <c r="I131" i="15"/>
  <c r="I137" i="15" s="1"/>
  <c r="H131" i="15"/>
  <c r="H137" i="15" s="1"/>
  <c r="G131" i="15"/>
  <c r="G137" i="15" s="1"/>
  <c r="F131" i="15"/>
  <c r="F137" i="15" s="1"/>
  <c r="E131" i="15"/>
  <c r="E137" i="15" s="1"/>
  <c r="D131" i="15"/>
  <c r="D137" i="15" s="1"/>
  <c r="C131" i="15"/>
  <c r="C137" i="15" s="1"/>
  <c r="N121" i="15"/>
  <c r="N127" i="15" s="1"/>
  <c r="M121" i="15"/>
  <c r="M127" i="15" s="1"/>
  <c r="L121" i="15"/>
  <c r="L127" i="15" s="1"/>
  <c r="K121" i="15"/>
  <c r="K127" i="15" s="1"/>
  <c r="J121" i="15"/>
  <c r="J127" i="15" s="1"/>
  <c r="I121" i="15"/>
  <c r="I127" i="15" s="1"/>
  <c r="H121" i="15"/>
  <c r="H127" i="15" s="1"/>
  <c r="G121" i="15"/>
  <c r="G127" i="15" s="1"/>
  <c r="F121" i="15"/>
  <c r="F127" i="15" s="1"/>
  <c r="E121" i="15"/>
  <c r="E127" i="15" s="1"/>
  <c r="D121" i="15"/>
  <c r="D127" i="15" s="1"/>
  <c r="C121" i="15"/>
  <c r="C127" i="15" s="1"/>
  <c r="I43" i="15"/>
  <c r="I45" i="15" s="1"/>
  <c r="D47" i="15"/>
  <c r="E316" i="2"/>
  <c r="E338" i="2" s="1"/>
  <c r="E351" i="2" s="1"/>
  <c r="D56" i="15"/>
  <c r="E56" i="15" s="1"/>
  <c r="F56" i="15" s="1"/>
  <c r="G56" i="15" s="1"/>
  <c r="H56" i="15" s="1"/>
  <c r="I56" i="15" s="1"/>
  <c r="J56" i="15" s="1"/>
  <c r="K56" i="15" s="1"/>
  <c r="L56" i="15" s="1"/>
  <c r="M56" i="15" s="1"/>
  <c r="N56" i="15" s="1"/>
  <c r="D8" i="8"/>
  <c r="D7" i="9"/>
  <c r="F7" i="9" s="1"/>
  <c r="F416" i="2"/>
  <c r="F417" i="2" s="1"/>
  <c r="F418" i="2" s="1"/>
  <c r="C43" i="15"/>
  <c r="C45" i="15" s="1"/>
  <c r="C6" i="8"/>
  <c r="B6" i="8"/>
  <c r="C6" i="9"/>
  <c r="B6" i="9"/>
  <c r="A33" i="15"/>
  <c r="O110" i="15"/>
  <c r="O111" i="15" s="1"/>
  <c r="F262" i="1"/>
  <c r="G141" i="1"/>
  <c r="Y258" i="1"/>
  <c r="W258" i="1"/>
  <c r="U258" i="1"/>
  <c r="S258" i="1"/>
  <c r="R258" i="1"/>
  <c r="P258" i="1"/>
  <c r="O258" i="1"/>
  <c r="M258" i="1"/>
  <c r="K258" i="1"/>
  <c r="I258" i="1"/>
  <c r="H258" i="1"/>
  <c r="O60" i="15"/>
  <c r="D10" i="15" s="1"/>
  <c r="B8" i="15"/>
  <c r="B39" i="15" s="1"/>
  <c r="B49" i="15"/>
  <c r="B59" i="15"/>
  <c r="B69" i="15"/>
  <c r="B79" i="15"/>
  <c r="B89" i="15"/>
  <c r="B99" i="15"/>
  <c r="B16" i="15"/>
  <c r="B17" i="15"/>
  <c r="B129" i="15" s="1"/>
  <c r="B18" i="15"/>
  <c r="B139" i="15" s="1"/>
  <c r="B19" i="15"/>
  <c r="B149" i="15" s="1"/>
  <c r="B20" i="15"/>
  <c r="B159" i="15" s="1"/>
  <c r="B21" i="15"/>
  <c r="B169" i="15" s="1"/>
  <c r="B22" i="15"/>
  <c r="B179" i="15" s="1"/>
  <c r="B23" i="15"/>
  <c r="B189" i="15" s="1"/>
  <c r="A23" i="15"/>
  <c r="A189" i="15" s="1"/>
  <c r="A22" i="15"/>
  <c r="A179" i="15" s="1"/>
  <c r="A21" i="15"/>
  <c r="A169" i="15" s="1"/>
  <c r="A20" i="15"/>
  <c r="A159" i="15" s="1"/>
  <c r="A19" i="15"/>
  <c r="A149" i="15" s="1"/>
  <c r="A18" i="15"/>
  <c r="A139" i="15" s="1"/>
  <c r="A17" i="15"/>
  <c r="A129" i="15" s="1"/>
  <c r="A16" i="15"/>
  <c r="A119" i="15" s="1"/>
  <c r="L12" i="15"/>
  <c r="L11" i="15"/>
  <c r="L10" i="15"/>
  <c r="L9" i="15"/>
  <c r="A8" i="15"/>
  <c r="L8" i="15" s="1"/>
  <c r="O3" i="2"/>
  <c r="N3" i="2"/>
  <c r="L3" i="2"/>
  <c r="I3" i="2"/>
  <c r="H3" i="2"/>
  <c r="G3" i="2"/>
  <c r="F3" i="2"/>
  <c r="I2" i="2"/>
  <c r="H2" i="2"/>
  <c r="G2" i="2"/>
  <c r="F2" i="2"/>
  <c r="N185" i="15"/>
  <c r="M185" i="15"/>
  <c r="L185" i="15"/>
  <c r="K185" i="15"/>
  <c r="J185" i="15"/>
  <c r="I185" i="15"/>
  <c r="H185" i="15"/>
  <c r="G185" i="15"/>
  <c r="F185" i="15"/>
  <c r="E185" i="15"/>
  <c r="D185" i="15"/>
  <c r="C185" i="15"/>
  <c r="Q183" i="15"/>
  <c r="H22" i="15" s="1"/>
  <c r="T427" i="2" s="1"/>
  <c r="T432" i="2" s="1"/>
  <c r="T439" i="2" s="1"/>
  <c r="O183" i="15"/>
  <c r="O180" i="15"/>
  <c r="O181" i="15" s="1"/>
  <c r="N175" i="15"/>
  <c r="M175" i="15"/>
  <c r="L175" i="15"/>
  <c r="K175" i="15"/>
  <c r="J175" i="15"/>
  <c r="I175" i="15"/>
  <c r="H175" i="15"/>
  <c r="G175" i="15"/>
  <c r="F175" i="15"/>
  <c r="E175" i="15"/>
  <c r="D175" i="15"/>
  <c r="C175" i="15"/>
  <c r="Q173" i="15"/>
  <c r="H21" i="15" s="1"/>
  <c r="S427" i="2" s="1"/>
  <c r="O173" i="15"/>
  <c r="O170" i="15"/>
  <c r="N165" i="15"/>
  <c r="M165" i="15"/>
  <c r="L165" i="15"/>
  <c r="K165" i="15"/>
  <c r="J165" i="15"/>
  <c r="I165" i="15"/>
  <c r="H165" i="15"/>
  <c r="G165" i="15"/>
  <c r="F165" i="15"/>
  <c r="E165" i="15"/>
  <c r="D165" i="15"/>
  <c r="C165" i="15"/>
  <c r="Q163" i="15"/>
  <c r="H20" i="15" s="1"/>
  <c r="R427" i="2" s="1"/>
  <c r="O163" i="15"/>
  <c r="O160" i="15"/>
  <c r="N155" i="15"/>
  <c r="M155" i="15"/>
  <c r="L155" i="15"/>
  <c r="K155" i="15"/>
  <c r="J155" i="15"/>
  <c r="I155" i="15"/>
  <c r="H155" i="15"/>
  <c r="G155" i="15"/>
  <c r="F155" i="15"/>
  <c r="E155" i="15"/>
  <c r="D155" i="15"/>
  <c r="C155" i="15"/>
  <c r="Q153" i="15"/>
  <c r="H19" i="15" s="1"/>
  <c r="Q427" i="2" s="1"/>
  <c r="O153" i="15"/>
  <c r="O150" i="15"/>
  <c r="N145" i="15"/>
  <c r="M145" i="15"/>
  <c r="L145" i="15"/>
  <c r="K145" i="15"/>
  <c r="J145" i="15"/>
  <c r="I145" i="15"/>
  <c r="H145" i="15"/>
  <c r="G145" i="15"/>
  <c r="F145" i="15"/>
  <c r="E145" i="15"/>
  <c r="D145" i="15"/>
  <c r="C145" i="15"/>
  <c r="Q143" i="15"/>
  <c r="H18" i="15" s="1"/>
  <c r="P427" i="2" s="1"/>
  <c r="O143" i="15"/>
  <c r="O140" i="15"/>
  <c r="D18" i="15" s="1"/>
  <c r="P413" i="2" s="1"/>
  <c r="N135" i="15"/>
  <c r="M135" i="15"/>
  <c r="L135" i="15"/>
  <c r="K135" i="15"/>
  <c r="J135" i="15"/>
  <c r="I135" i="15"/>
  <c r="H135" i="15"/>
  <c r="G135" i="15"/>
  <c r="F135" i="15"/>
  <c r="E135" i="15"/>
  <c r="D135" i="15"/>
  <c r="C135" i="15"/>
  <c r="Q133" i="15"/>
  <c r="H17" i="15" s="1"/>
  <c r="O427" i="2" s="1"/>
  <c r="O133" i="15"/>
  <c r="O130" i="15"/>
  <c r="N125" i="15"/>
  <c r="M125" i="15"/>
  <c r="L125" i="15"/>
  <c r="K125" i="15"/>
  <c r="J125" i="15"/>
  <c r="I125" i="15"/>
  <c r="H125" i="15"/>
  <c r="G125" i="15"/>
  <c r="F125" i="15"/>
  <c r="E125" i="15"/>
  <c r="D125" i="15"/>
  <c r="C125" i="15"/>
  <c r="Q123" i="15"/>
  <c r="H16" i="15" s="1"/>
  <c r="N427" i="2" s="1"/>
  <c r="O123" i="15"/>
  <c r="O120" i="15"/>
  <c r="O121" i="15" s="1"/>
  <c r="Q113" i="15"/>
  <c r="H15" i="15" s="1"/>
  <c r="M427" i="2" s="1"/>
  <c r="O113" i="15"/>
  <c r="N6" i="15"/>
  <c r="O6" i="15"/>
  <c r="O8" i="15"/>
  <c r="O9" i="15"/>
  <c r="O10" i="15"/>
  <c r="O11" i="15"/>
  <c r="O12" i="15"/>
  <c r="O13" i="15"/>
  <c r="O14" i="15"/>
  <c r="O15" i="15"/>
  <c r="O16" i="15"/>
  <c r="O17" i="15"/>
  <c r="O18" i="15"/>
  <c r="O19" i="15"/>
  <c r="O20" i="15"/>
  <c r="O21" i="15"/>
  <c r="O22" i="15"/>
  <c r="O23" i="15"/>
  <c r="M6" i="15"/>
  <c r="M15" i="15"/>
  <c r="M16" i="15"/>
  <c r="M17" i="15"/>
  <c r="M18" i="15"/>
  <c r="M19" i="15"/>
  <c r="M20" i="15"/>
  <c r="M21" i="15"/>
  <c r="M22" i="15"/>
  <c r="M23" i="15"/>
  <c r="M5" i="15"/>
  <c r="E375" i="2"/>
  <c r="AF605" i="2"/>
  <c r="AE605" i="2"/>
  <c r="AD605" i="2"/>
  <c r="AC605" i="2"/>
  <c r="AB605" i="2"/>
  <c r="AA605" i="2"/>
  <c r="Z605" i="2"/>
  <c r="Y605" i="2"/>
  <c r="X605" i="2"/>
  <c r="W605" i="2"/>
  <c r="V605" i="2"/>
  <c r="U605" i="2"/>
  <c r="T605" i="2"/>
  <c r="S605" i="2"/>
  <c r="AF579" i="2"/>
  <c r="AE579" i="2"/>
  <c r="AD579" i="2"/>
  <c r="AC579" i="2"/>
  <c r="AB579" i="2"/>
  <c r="AA579" i="2"/>
  <c r="Z579" i="2"/>
  <c r="Y579" i="2"/>
  <c r="X579" i="2"/>
  <c r="W579" i="2"/>
  <c r="V579" i="2"/>
  <c r="U579" i="2"/>
  <c r="T579" i="2"/>
  <c r="S579" i="2"/>
  <c r="Q287" i="1"/>
  <c r="S639" i="2"/>
  <c r="S629" i="2"/>
  <c r="S627" i="2"/>
  <c r="P420" i="2"/>
  <c r="AG420" i="2" s="1"/>
  <c r="AH420" i="2" s="1"/>
  <c r="Z407" i="2"/>
  <c r="U416" i="2"/>
  <c r="U417" i="2" s="1"/>
  <c r="U419" i="2" s="1"/>
  <c r="T416" i="2"/>
  <c r="T417" i="2" s="1"/>
  <c r="S416" i="2"/>
  <c r="S417" i="2" s="1"/>
  <c r="R416" i="2"/>
  <c r="R421" i="2" s="1"/>
  <c r="Q416" i="2"/>
  <c r="Q421" i="2" s="1"/>
  <c r="P416" i="2"/>
  <c r="P417" i="2" s="1"/>
  <c r="O416" i="2"/>
  <c r="O417" i="2" s="1"/>
  <c r="N416" i="2"/>
  <c r="M416" i="2"/>
  <c r="U412" i="2"/>
  <c r="T412" i="2"/>
  <c r="S412" i="2"/>
  <c r="R412" i="2"/>
  <c r="Q412" i="2"/>
  <c r="P412" i="2"/>
  <c r="O412" i="2"/>
  <c r="N412" i="2"/>
  <c r="M412" i="2"/>
  <c r="L412" i="2"/>
  <c r="K412" i="2"/>
  <c r="J412" i="2"/>
  <c r="I412" i="2"/>
  <c r="H412" i="2"/>
  <c r="G412" i="2"/>
  <c r="O199" i="15"/>
  <c r="V415" i="2"/>
  <c r="W415" i="2"/>
  <c r="X415" i="2"/>
  <c r="Y415" i="2"/>
  <c r="Z415" i="2"/>
  <c r="AA415" i="2"/>
  <c r="AB415" i="2"/>
  <c r="AB393" i="2" s="1"/>
  <c r="AC415" i="2"/>
  <c r="AD415" i="2"/>
  <c r="AD393" i="2" s="1"/>
  <c r="AE415" i="2"/>
  <c r="AF415" i="2"/>
  <c r="V399" i="2"/>
  <c r="V400" i="2" s="1"/>
  <c r="W399" i="2"/>
  <c r="W400" i="2" s="1"/>
  <c r="X399" i="2"/>
  <c r="X400" i="2" s="1"/>
  <c r="Y399" i="2"/>
  <c r="Y400" i="2" s="1"/>
  <c r="Z399" i="2"/>
  <c r="Z400" i="2" s="1"/>
  <c r="AA399" i="2"/>
  <c r="AA400" i="2" s="1"/>
  <c r="AB399" i="2"/>
  <c r="AB400" i="2" s="1"/>
  <c r="AC399" i="2"/>
  <c r="AC400" i="2" s="1"/>
  <c r="AD399" i="2"/>
  <c r="AD400" i="2" s="1"/>
  <c r="AE399" i="2"/>
  <c r="AE400" i="2" s="1"/>
  <c r="AF399" i="2"/>
  <c r="AF400" i="2" s="1"/>
  <c r="V432" i="2"/>
  <c r="V439" i="2" s="1"/>
  <c r="V446" i="2"/>
  <c r="V453" i="2" s="1"/>
  <c r="V460" i="2"/>
  <c r="V467" i="2" s="1"/>
  <c r="V479" i="2"/>
  <c r="V486" i="2"/>
  <c r="V552" i="2"/>
  <c r="V554" i="2"/>
  <c r="V563" i="2"/>
  <c r="V568" i="2"/>
  <c r="V588" i="2"/>
  <c r="V614" i="2" s="1"/>
  <c r="V593" i="2"/>
  <c r="V619" i="2" s="1"/>
  <c r="Q324" i="1"/>
  <c r="Q326" i="1" s="1"/>
  <c r="F352" i="1"/>
  <c r="F343" i="1"/>
  <c r="AA350" i="1"/>
  <c r="Y350" i="1"/>
  <c r="W350" i="1"/>
  <c r="U350" i="1"/>
  <c r="S350" i="1"/>
  <c r="R350" i="1"/>
  <c r="P350" i="1"/>
  <c r="O350" i="1"/>
  <c r="M350" i="1"/>
  <c r="K350" i="1"/>
  <c r="I350" i="1"/>
  <c r="H350" i="1"/>
  <c r="AA349" i="1"/>
  <c r="Y349" i="1"/>
  <c r="W349" i="1"/>
  <c r="U349" i="1"/>
  <c r="S349" i="1"/>
  <c r="R349" i="1"/>
  <c r="P349" i="1"/>
  <c r="O349" i="1"/>
  <c r="M349" i="1"/>
  <c r="K349" i="1"/>
  <c r="I349" i="1"/>
  <c r="H349" i="1"/>
  <c r="AA348" i="1"/>
  <c r="Y348" i="1"/>
  <c r="W348" i="1"/>
  <c r="U348" i="1"/>
  <c r="S348" i="1"/>
  <c r="R348" i="1"/>
  <c r="P348" i="1"/>
  <c r="O348" i="1"/>
  <c r="M348" i="1"/>
  <c r="K348" i="1"/>
  <c r="I348" i="1"/>
  <c r="H348" i="1"/>
  <c r="AA347" i="1"/>
  <c r="Y347" i="1"/>
  <c r="W347" i="1"/>
  <c r="U347" i="1"/>
  <c r="S347" i="1"/>
  <c r="R347" i="1"/>
  <c r="P347" i="1"/>
  <c r="O347" i="1"/>
  <c r="M347" i="1"/>
  <c r="K347" i="1"/>
  <c r="I347" i="1"/>
  <c r="H347" i="1"/>
  <c r="AA346" i="1"/>
  <c r="Y346" i="1"/>
  <c r="W346" i="1"/>
  <c r="U346" i="1"/>
  <c r="S346" i="1"/>
  <c r="R346" i="1"/>
  <c r="P346" i="1"/>
  <c r="O346" i="1"/>
  <c r="M346" i="1"/>
  <c r="K346" i="1"/>
  <c r="I346" i="1"/>
  <c r="H346" i="1"/>
  <c r="AA341" i="1"/>
  <c r="Y341" i="1"/>
  <c r="W341" i="1"/>
  <c r="U341" i="1"/>
  <c r="S341" i="1"/>
  <c r="R341" i="1"/>
  <c r="P341" i="1"/>
  <c r="O341" i="1"/>
  <c r="M341" i="1"/>
  <c r="K341" i="1"/>
  <c r="I341" i="1"/>
  <c r="H341" i="1"/>
  <c r="AA340" i="1"/>
  <c r="Y340" i="1"/>
  <c r="W340" i="1"/>
  <c r="U340" i="1"/>
  <c r="S340" i="1"/>
  <c r="R340" i="1"/>
  <c r="P340" i="1"/>
  <c r="O340" i="1"/>
  <c r="M340" i="1"/>
  <c r="K340" i="1"/>
  <c r="I340" i="1"/>
  <c r="H340" i="1"/>
  <c r="AA339" i="1"/>
  <c r="Y339" i="1"/>
  <c r="W339" i="1"/>
  <c r="U339" i="1"/>
  <c r="S339" i="1"/>
  <c r="R339" i="1"/>
  <c r="P339" i="1"/>
  <c r="O339" i="1"/>
  <c r="M339" i="1"/>
  <c r="K339" i="1"/>
  <c r="I339" i="1"/>
  <c r="H339" i="1"/>
  <c r="AA338" i="1"/>
  <c r="Y338" i="1"/>
  <c r="W338" i="1"/>
  <c r="U338" i="1"/>
  <c r="S338" i="1"/>
  <c r="R338" i="1"/>
  <c r="P338" i="1"/>
  <c r="O338" i="1"/>
  <c r="M338" i="1"/>
  <c r="K338" i="1"/>
  <c r="I338" i="1"/>
  <c r="H338" i="1"/>
  <c r="AA337" i="1"/>
  <c r="Y337" i="1"/>
  <c r="W337" i="1"/>
  <c r="U337" i="1"/>
  <c r="S337" i="1"/>
  <c r="R337" i="1"/>
  <c r="P337" i="1"/>
  <c r="O337" i="1"/>
  <c r="M337" i="1"/>
  <c r="K337" i="1"/>
  <c r="I337" i="1"/>
  <c r="H337" i="1"/>
  <c r="AA336" i="1"/>
  <c r="Y336" i="1"/>
  <c r="W336" i="1"/>
  <c r="U336" i="1"/>
  <c r="S336" i="1"/>
  <c r="R336" i="1"/>
  <c r="P336" i="1"/>
  <c r="O336" i="1"/>
  <c r="M336" i="1"/>
  <c r="K336" i="1"/>
  <c r="I336" i="1"/>
  <c r="H336" i="1"/>
  <c r="AA335" i="1"/>
  <c r="Y335" i="1"/>
  <c r="W335" i="1"/>
  <c r="U335" i="1"/>
  <c r="S335" i="1"/>
  <c r="R335" i="1"/>
  <c r="P335" i="1"/>
  <c r="O335" i="1"/>
  <c r="M335" i="1"/>
  <c r="K335" i="1"/>
  <c r="I335" i="1"/>
  <c r="H335" i="1"/>
  <c r="AA334" i="1"/>
  <c r="Y334" i="1"/>
  <c r="W334" i="1"/>
  <c r="U334" i="1"/>
  <c r="S334" i="1"/>
  <c r="R334" i="1"/>
  <c r="P334" i="1"/>
  <c r="O334" i="1"/>
  <c r="M334" i="1"/>
  <c r="K334" i="1"/>
  <c r="I334" i="1"/>
  <c r="H334" i="1"/>
  <c r="AA177" i="1"/>
  <c r="Y177" i="1"/>
  <c r="W177" i="1"/>
  <c r="U177" i="1"/>
  <c r="S177" i="1"/>
  <c r="R177" i="1"/>
  <c r="P177" i="1"/>
  <c r="O177" i="1"/>
  <c r="M177" i="1"/>
  <c r="K177" i="1"/>
  <c r="AB485" i="1"/>
  <c r="AC485" i="1" s="1"/>
  <c r="AA156" i="1"/>
  <c r="Y156" i="1"/>
  <c r="W156" i="1"/>
  <c r="U156" i="1"/>
  <c r="S156" i="1"/>
  <c r="R156" i="1"/>
  <c r="P156" i="1"/>
  <c r="O156" i="1"/>
  <c r="M156" i="1"/>
  <c r="K156" i="1"/>
  <c r="I156" i="1"/>
  <c r="H156" i="1"/>
  <c r="AA21" i="1"/>
  <c r="Y21" i="1"/>
  <c r="W21" i="1"/>
  <c r="U21" i="1"/>
  <c r="S21" i="1"/>
  <c r="R21" i="1"/>
  <c r="P21" i="1"/>
  <c r="O21" i="1"/>
  <c r="M21" i="1"/>
  <c r="K21" i="1"/>
  <c r="I21" i="1"/>
  <c r="H21" i="1"/>
  <c r="G24" i="1"/>
  <c r="AA22" i="1"/>
  <c r="Y22" i="1"/>
  <c r="W22" i="1"/>
  <c r="U22" i="1"/>
  <c r="S22" i="1"/>
  <c r="R22" i="1"/>
  <c r="P22" i="1"/>
  <c r="O22" i="1"/>
  <c r="M22" i="1"/>
  <c r="K22" i="1"/>
  <c r="I22" i="1"/>
  <c r="H22" i="1"/>
  <c r="AA20" i="1"/>
  <c r="Y20" i="1"/>
  <c r="W20" i="1"/>
  <c r="U20" i="1"/>
  <c r="S20" i="1"/>
  <c r="R20" i="1"/>
  <c r="P20" i="1"/>
  <c r="O20" i="1"/>
  <c r="M20" i="1"/>
  <c r="K20" i="1"/>
  <c r="I20" i="1"/>
  <c r="H20" i="1"/>
  <c r="AA19" i="1"/>
  <c r="Y19" i="1"/>
  <c r="W19" i="1"/>
  <c r="U19" i="1"/>
  <c r="S19" i="1"/>
  <c r="R19" i="1"/>
  <c r="P19" i="1"/>
  <c r="O19" i="1"/>
  <c r="M19" i="1"/>
  <c r="K19" i="1"/>
  <c r="I19" i="1"/>
  <c r="H19" i="1"/>
  <c r="AA18" i="1"/>
  <c r="Y18" i="1"/>
  <c r="W18" i="1"/>
  <c r="U18" i="1"/>
  <c r="S18" i="1"/>
  <c r="R18" i="1"/>
  <c r="P18" i="1"/>
  <c r="O18" i="1"/>
  <c r="M18" i="1"/>
  <c r="K18" i="1"/>
  <c r="I18" i="1"/>
  <c r="H18" i="1"/>
  <c r="AA17" i="1"/>
  <c r="Y17" i="1"/>
  <c r="W17" i="1"/>
  <c r="U17" i="1"/>
  <c r="S17" i="1"/>
  <c r="R17" i="1"/>
  <c r="P17" i="1"/>
  <c r="O17" i="1"/>
  <c r="M17" i="1"/>
  <c r="K17" i="1"/>
  <c r="I17" i="1"/>
  <c r="H17" i="1"/>
  <c r="AA16" i="1"/>
  <c r="Y16" i="1"/>
  <c r="W16" i="1"/>
  <c r="U16" i="1"/>
  <c r="S16" i="1"/>
  <c r="R16" i="1"/>
  <c r="P16" i="1"/>
  <c r="O16" i="1"/>
  <c r="M16" i="1"/>
  <c r="K16" i="1"/>
  <c r="I16" i="1"/>
  <c r="H16" i="1"/>
  <c r="AA15" i="1"/>
  <c r="Y15" i="1"/>
  <c r="W15" i="1"/>
  <c r="U15" i="1"/>
  <c r="S15" i="1"/>
  <c r="R15" i="1"/>
  <c r="P15" i="1"/>
  <c r="O15" i="1"/>
  <c r="M15" i="1"/>
  <c r="K15" i="1"/>
  <c r="I15" i="1"/>
  <c r="H15" i="1"/>
  <c r="F24" i="1"/>
  <c r="K162" i="1"/>
  <c r="F159" i="1"/>
  <c r="F168" i="1"/>
  <c r="F180" i="1"/>
  <c r="AA176" i="1"/>
  <c r="Y176" i="1"/>
  <c r="W176" i="1"/>
  <c r="U176" i="1"/>
  <c r="S176" i="1"/>
  <c r="R176" i="1"/>
  <c r="P176" i="1"/>
  <c r="O176" i="1"/>
  <c r="M176" i="1"/>
  <c r="K176" i="1"/>
  <c r="Y241" i="1"/>
  <c r="K27" i="1"/>
  <c r="AE577" i="2"/>
  <c r="AE603" i="2" s="1"/>
  <c r="AE578" i="2"/>
  <c r="AE604" i="2" s="1"/>
  <c r="G441" i="2"/>
  <c r="H441" i="2"/>
  <c r="I441" i="2"/>
  <c r="J441" i="2"/>
  <c r="K441" i="2"/>
  <c r="L441" i="2"/>
  <c r="M441" i="2"/>
  <c r="N441" i="2"/>
  <c r="O441" i="2"/>
  <c r="P441" i="2"/>
  <c r="Q441" i="2"/>
  <c r="R441" i="2"/>
  <c r="S441" i="2"/>
  <c r="F441" i="2"/>
  <c r="E441" i="2"/>
  <c r="F412" i="2"/>
  <c r="N195" i="15"/>
  <c r="M195" i="15"/>
  <c r="K195" i="15"/>
  <c r="G195" i="15"/>
  <c r="F195" i="15"/>
  <c r="E195" i="15"/>
  <c r="C195" i="15"/>
  <c r="O190" i="15"/>
  <c r="O191" i="15" s="1"/>
  <c r="O100" i="15"/>
  <c r="O101" i="15" s="1"/>
  <c r="O70" i="15"/>
  <c r="N63" i="15"/>
  <c r="N65" i="15" s="1"/>
  <c r="M63" i="15"/>
  <c r="M65" i="15" s="1"/>
  <c r="L63" i="15"/>
  <c r="L65" i="15" s="1"/>
  <c r="K63" i="15"/>
  <c r="K65" i="15" s="1"/>
  <c r="J63" i="15"/>
  <c r="J65" i="15" s="1"/>
  <c r="I63" i="15"/>
  <c r="I65" i="15" s="1"/>
  <c r="H63" i="15"/>
  <c r="H65" i="15" s="1"/>
  <c r="G63" i="15"/>
  <c r="G65" i="15" s="1"/>
  <c r="F63" i="15"/>
  <c r="F65" i="15" s="1"/>
  <c r="E63" i="15"/>
  <c r="E65" i="15" s="1"/>
  <c r="D63" i="15"/>
  <c r="D65" i="15" s="1"/>
  <c r="O50" i="15"/>
  <c r="O51" i="15" s="1"/>
  <c r="N43" i="15"/>
  <c r="N45" i="15" s="1"/>
  <c r="M47" i="15"/>
  <c r="L47" i="15"/>
  <c r="K43" i="15"/>
  <c r="K45" i="15" s="1"/>
  <c r="J47" i="15"/>
  <c r="G47" i="15"/>
  <c r="F43" i="15"/>
  <c r="F45" i="15" s="1"/>
  <c r="E47" i="15"/>
  <c r="O40" i="15"/>
  <c r="O41" i="15" s="1"/>
  <c r="E25" i="15"/>
  <c r="M40" i="1"/>
  <c r="L54" i="1"/>
  <c r="L56" i="1" s="1"/>
  <c r="L58" i="1" s="1"/>
  <c r="F54" i="1"/>
  <c r="F390" i="1"/>
  <c r="J56" i="1"/>
  <c r="J58" i="1" s="1"/>
  <c r="Q56" i="1"/>
  <c r="Q58" i="1" s="1"/>
  <c r="T56" i="1"/>
  <c r="T58" i="1" s="1"/>
  <c r="V56" i="1"/>
  <c r="V58" i="1" s="1"/>
  <c r="X56" i="1"/>
  <c r="X58" i="1" s="1"/>
  <c r="Z56" i="1"/>
  <c r="Q448" i="2"/>
  <c r="AG448" i="2" s="1"/>
  <c r="AH448" i="2" s="1"/>
  <c r="N8" i="10"/>
  <c r="O8" i="10"/>
  <c r="F8" i="10"/>
  <c r="K7" i="10"/>
  <c r="K8" i="10" s="1"/>
  <c r="L7" i="10"/>
  <c r="L8" i="10" s="1"/>
  <c r="R7" i="10"/>
  <c r="R8" i="10" s="1"/>
  <c r="Q7" i="10"/>
  <c r="Q8" i="10" s="1"/>
  <c r="M7" i="10"/>
  <c r="M8" i="10" s="1"/>
  <c r="J7" i="10"/>
  <c r="J8" i="10" s="1"/>
  <c r="I7" i="10"/>
  <c r="I8" i="10" s="1"/>
  <c r="H7" i="10"/>
  <c r="H8" i="10" s="1"/>
  <c r="G7" i="10"/>
  <c r="S6" i="10"/>
  <c r="T6" i="10" s="1"/>
  <c r="K175" i="1"/>
  <c r="M175" i="1"/>
  <c r="O175" i="1"/>
  <c r="P175" i="1"/>
  <c r="R175" i="1"/>
  <c r="S175" i="1"/>
  <c r="U175" i="1"/>
  <c r="W175" i="1"/>
  <c r="Y175" i="1"/>
  <c r="AA175" i="1"/>
  <c r="AA430" i="1"/>
  <c r="W430" i="1"/>
  <c r="U430" i="1"/>
  <c r="S430" i="1"/>
  <c r="R430" i="1"/>
  <c r="P430" i="1"/>
  <c r="O430" i="1"/>
  <c r="M430" i="1"/>
  <c r="K430" i="1"/>
  <c r="I430" i="1"/>
  <c r="H430" i="1"/>
  <c r="Y430" i="1"/>
  <c r="AA255" i="1"/>
  <c r="W255" i="1"/>
  <c r="U255" i="1"/>
  <c r="S255" i="1"/>
  <c r="R255" i="1"/>
  <c r="P255" i="1"/>
  <c r="O255" i="1"/>
  <c r="M255" i="1"/>
  <c r="K255" i="1"/>
  <c r="I255" i="1"/>
  <c r="H255" i="1"/>
  <c r="Y255" i="1"/>
  <c r="AD446" i="2"/>
  <c r="AD453" i="2" s="1"/>
  <c r="AC446" i="2"/>
  <c r="AC453" i="2" s="1"/>
  <c r="AA446" i="2"/>
  <c r="AA476" i="2" s="1"/>
  <c r="Z417" i="2"/>
  <c r="Z418" i="2" s="1"/>
  <c r="AB417" i="2"/>
  <c r="AB419" i="2" s="1"/>
  <c r="AD417" i="2"/>
  <c r="AD418" i="2" s="1"/>
  <c r="AA417" i="2"/>
  <c r="AA419" i="2" s="1"/>
  <c r="AC417" i="2"/>
  <c r="AC419" i="2" s="1"/>
  <c r="AE417" i="2"/>
  <c r="AE418" i="2" s="1"/>
  <c r="AF417" i="2"/>
  <c r="AF419" i="2" s="1"/>
  <c r="AE432" i="2"/>
  <c r="AE439" i="2" s="1"/>
  <c r="AF432" i="2"/>
  <c r="AF439" i="2" s="1"/>
  <c r="AG434" i="2"/>
  <c r="AH434" i="2" s="1"/>
  <c r="AE446" i="2"/>
  <c r="AE476" i="2" s="1"/>
  <c r="AF446" i="2"/>
  <c r="AF476" i="2" s="1"/>
  <c r="E453" i="2"/>
  <c r="AD455" i="2"/>
  <c r="AG455" i="2" s="1"/>
  <c r="AH455" i="2" s="1"/>
  <c r="AF460" i="2"/>
  <c r="AF467" i="2" s="1"/>
  <c r="AG462" i="2"/>
  <c r="AH462" i="2" s="1"/>
  <c r="AE467" i="2"/>
  <c r="AG469" i="2"/>
  <c r="AH469" i="2" s="1"/>
  <c r="E476" i="2"/>
  <c r="AF479" i="2"/>
  <c r="AF486" i="2"/>
  <c r="AF614" i="2"/>
  <c r="AF619" i="2"/>
  <c r="AE620" i="2"/>
  <c r="Z446" i="2"/>
  <c r="Z476" i="2" s="1"/>
  <c r="Z460" i="2"/>
  <c r="Z467" i="2" s="1"/>
  <c r="AD467" i="2"/>
  <c r="AB432" i="2"/>
  <c r="AB439" i="2" s="1"/>
  <c r="AB460" i="2"/>
  <c r="AB467" i="2" s="1"/>
  <c r="K28" i="1"/>
  <c r="K29" i="1"/>
  <c r="K30" i="1"/>
  <c r="K31" i="1"/>
  <c r="K32" i="1"/>
  <c r="K33" i="1"/>
  <c r="M41" i="1"/>
  <c r="M109" i="1" s="1"/>
  <c r="M42" i="1"/>
  <c r="M379" i="1" s="1"/>
  <c r="M43" i="1"/>
  <c r="M111" i="1" s="1"/>
  <c r="M44" i="1"/>
  <c r="M205" i="1" s="1"/>
  <c r="M45" i="1"/>
  <c r="M299" i="1" s="1"/>
  <c r="M46" i="1"/>
  <c r="M223" i="1" s="1"/>
  <c r="M47" i="1"/>
  <c r="M401" i="1" s="1"/>
  <c r="M166" i="1"/>
  <c r="M48" i="1"/>
  <c r="M49" i="1"/>
  <c r="M303" i="1" s="1"/>
  <c r="M50" i="1"/>
  <c r="M304" i="1" s="1"/>
  <c r="M51" i="1"/>
  <c r="M52" i="1"/>
  <c r="M225" i="1" s="1"/>
  <c r="O40" i="1"/>
  <c r="O41" i="1"/>
  <c r="O295" i="1" s="1"/>
  <c r="O42" i="1"/>
  <c r="O221" i="1" s="1"/>
  <c r="O48" i="1"/>
  <c r="O386" i="1" s="1"/>
  <c r="O49" i="1"/>
  <c r="O117" i="1" s="1"/>
  <c r="O50" i="1"/>
  <c r="O383" i="1" s="1"/>
  <c r="O154" i="1"/>
  <c r="O51" i="1"/>
  <c r="O52" i="1"/>
  <c r="U27" i="1"/>
  <c r="U28" i="1"/>
  <c r="U29" i="1"/>
  <c r="U30" i="1"/>
  <c r="U31" i="1"/>
  <c r="U32" i="1"/>
  <c r="U33" i="1"/>
  <c r="U40" i="1"/>
  <c r="U41" i="1"/>
  <c r="U42" i="1"/>
  <c r="U43" i="1"/>
  <c r="U297" i="1" s="1"/>
  <c r="U44" i="1"/>
  <c r="U381" i="1" s="1"/>
  <c r="U45" i="1"/>
  <c r="U113" i="1" s="1"/>
  <c r="U46" i="1"/>
  <c r="U400" i="1" s="1"/>
  <c r="U47" i="1"/>
  <c r="U301" i="1" s="1"/>
  <c r="U48" i="1"/>
  <c r="U302" i="1" s="1"/>
  <c r="U49" i="1"/>
  <c r="U303" i="1" s="1"/>
  <c r="U50" i="1"/>
  <c r="U51" i="1"/>
  <c r="U52" i="1"/>
  <c r="U402" i="1" s="1"/>
  <c r="S27" i="1"/>
  <c r="S28" i="1"/>
  <c r="S29" i="1"/>
  <c r="S30" i="1"/>
  <c r="S31" i="1"/>
  <c r="S32" i="1"/>
  <c r="S33" i="1"/>
  <c r="S40" i="1"/>
  <c r="S41" i="1"/>
  <c r="S42" i="1"/>
  <c r="S380" i="1" s="1"/>
  <c r="S43" i="1"/>
  <c r="S111" i="1" s="1"/>
  <c r="S44" i="1"/>
  <c r="S399" i="1" s="1"/>
  <c r="S45" i="1"/>
  <c r="S46" i="1"/>
  <c r="S47" i="1"/>
  <c r="S48" i="1"/>
  <c r="S49" i="1"/>
  <c r="S303" i="1" s="1"/>
  <c r="S50" i="1"/>
  <c r="S51" i="1"/>
  <c r="S52" i="1"/>
  <c r="R27" i="1"/>
  <c r="R28" i="1"/>
  <c r="R29" i="1"/>
  <c r="R30" i="1"/>
  <c r="R31" i="1"/>
  <c r="R32" i="1"/>
  <c r="R33" i="1"/>
  <c r="R40" i="1"/>
  <c r="R41" i="1"/>
  <c r="R42" i="1"/>
  <c r="R221" i="1" s="1"/>
  <c r="R43" i="1"/>
  <c r="R44" i="1"/>
  <c r="R45" i="1"/>
  <c r="R46" i="1"/>
  <c r="R300" i="1" s="1"/>
  <c r="R47" i="1"/>
  <c r="R224" i="1" s="1"/>
  <c r="R48" i="1"/>
  <c r="R386" i="1" s="1"/>
  <c r="R49" i="1"/>
  <c r="R50" i="1"/>
  <c r="R51" i="1"/>
  <c r="R52" i="1"/>
  <c r="R225" i="1" s="1"/>
  <c r="M27" i="1"/>
  <c r="M28" i="1"/>
  <c r="M29" i="1"/>
  <c r="M30" i="1"/>
  <c r="M31" i="1"/>
  <c r="M32" i="1"/>
  <c r="M33" i="1"/>
  <c r="Y27" i="1"/>
  <c r="Y28" i="1"/>
  <c r="Y29" i="1"/>
  <c r="Y30" i="1"/>
  <c r="Y31" i="1"/>
  <c r="Y32" i="1"/>
  <c r="Y33" i="1"/>
  <c r="Y41" i="1"/>
  <c r="Y109" i="1" s="1"/>
  <c r="Y42" i="1"/>
  <c r="Y380" i="1" s="1"/>
  <c r="Y43" i="1"/>
  <c r="Y297" i="1" s="1"/>
  <c r="Y44" i="1"/>
  <c r="Y222" i="1" s="1"/>
  <c r="Y45" i="1"/>
  <c r="Y299" i="1" s="1"/>
  <c r="Y46" i="1"/>
  <c r="Y114" i="1" s="1"/>
  <c r="Y47" i="1"/>
  <c r="Y301" i="1" s="1"/>
  <c r="Y48" i="1"/>
  <c r="Y386" i="1" s="1"/>
  <c r="Y49" i="1"/>
  <c r="Y384" i="1" s="1"/>
  <c r="Y50" i="1"/>
  <c r="Y118" i="1" s="1"/>
  <c r="Y52" i="1"/>
  <c r="Y402" i="1" s="1"/>
  <c r="Y40" i="1"/>
  <c r="Y51" i="1"/>
  <c r="F75" i="1"/>
  <c r="AA27" i="1"/>
  <c r="AA28" i="1"/>
  <c r="AA29" i="1"/>
  <c r="AA30" i="1"/>
  <c r="AA31" i="1"/>
  <c r="AA32" i="1"/>
  <c r="AA33" i="1"/>
  <c r="AA40" i="1"/>
  <c r="AA41" i="1"/>
  <c r="AA109" i="1" s="1"/>
  <c r="AA42" i="1"/>
  <c r="AA203" i="1" s="1"/>
  <c r="AA43" i="1"/>
  <c r="AA44" i="1"/>
  <c r="AA222" i="1" s="1"/>
  <c r="AA45" i="1"/>
  <c r="AA46" i="1"/>
  <c r="AA300" i="1" s="1"/>
  <c r="AA47" i="1"/>
  <c r="AA224" i="1" s="1"/>
  <c r="AA48" i="1"/>
  <c r="AA386" i="1" s="1"/>
  <c r="AA157" i="1"/>
  <c r="AA49" i="1"/>
  <c r="AA303" i="1" s="1"/>
  <c r="AA50" i="1"/>
  <c r="AA207" i="1" s="1"/>
  <c r="AA154" i="1"/>
  <c r="AA51" i="1"/>
  <c r="AA52" i="1"/>
  <c r="AA402" i="1" s="1"/>
  <c r="P27" i="1"/>
  <c r="P28" i="1"/>
  <c r="P29" i="1"/>
  <c r="P30" i="1"/>
  <c r="P31" i="1"/>
  <c r="P32" i="1"/>
  <c r="P33" i="1"/>
  <c r="P40" i="1"/>
  <c r="P41" i="1"/>
  <c r="P295" i="1" s="1"/>
  <c r="P42" i="1"/>
  <c r="P296" i="1" s="1"/>
  <c r="P48" i="1"/>
  <c r="P116" i="1" s="1"/>
  <c r="P49" i="1"/>
  <c r="P384" i="1" s="1"/>
  <c r="P50" i="1"/>
  <c r="P383" i="1" s="1"/>
  <c r="P51" i="1"/>
  <c r="P52" i="1"/>
  <c r="P225" i="1" s="1"/>
  <c r="W27" i="1"/>
  <c r="W28" i="1"/>
  <c r="W29" i="1"/>
  <c r="W30" i="1"/>
  <c r="W31" i="1"/>
  <c r="W32" i="1"/>
  <c r="W33" i="1"/>
  <c r="W41" i="1"/>
  <c r="W42" i="1"/>
  <c r="W380" i="1" s="1"/>
  <c r="W43" i="1"/>
  <c r="W44" i="1"/>
  <c r="W298" i="1" s="1"/>
  <c r="W45" i="1"/>
  <c r="W299" i="1" s="1"/>
  <c r="W46" i="1"/>
  <c r="W300" i="1" s="1"/>
  <c r="W47" i="1"/>
  <c r="W224" i="1" s="1"/>
  <c r="W48" i="1"/>
  <c r="W386" i="1" s="1"/>
  <c r="W49" i="1"/>
  <c r="W50" i="1"/>
  <c r="W304" i="1" s="1"/>
  <c r="W52" i="1"/>
  <c r="W119" i="1" s="1"/>
  <c r="W40" i="1"/>
  <c r="W51" i="1"/>
  <c r="O27" i="1"/>
  <c r="O28" i="1"/>
  <c r="O29" i="1"/>
  <c r="O30" i="1"/>
  <c r="O31" i="1"/>
  <c r="O32" i="1"/>
  <c r="O33" i="1"/>
  <c r="F12" i="1"/>
  <c r="F91" i="1"/>
  <c r="F124" i="1"/>
  <c r="Y385" i="1"/>
  <c r="Y360" i="1"/>
  <c r="Y361" i="1"/>
  <c r="Y415" i="1"/>
  <c r="Y416" i="1"/>
  <c r="Y417" i="1"/>
  <c r="Y418" i="1"/>
  <c r="Y419" i="1"/>
  <c r="Y424" i="1"/>
  <c r="Y425" i="1"/>
  <c r="Y426" i="1"/>
  <c r="Y427" i="1"/>
  <c r="Y428" i="1"/>
  <c r="Y429" i="1"/>
  <c r="Y431" i="1"/>
  <c r="Y432" i="1"/>
  <c r="Y433" i="1"/>
  <c r="Y434" i="1"/>
  <c r="Y209" i="1"/>
  <c r="Y212" i="1"/>
  <c r="Y240" i="1"/>
  <c r="Y242" i="1"/>
  <c r="Y243" i="1"/>
  <c r="Y249" i="1"/>
  <c r="Y250" i="1"/>
  <c r="Y251" i="1"/>
  <c r="Y252" i="1"/>
  <c r="Y253" i="1"/>
  <c r="Y254" i="1"/>
  <c r="Y256" i="1"/>
  <c r="Y257" i="1"/>
  <c r="Y259" i="1"/>
  <c r="Y260" i="1"/>
  <c r="F406" i="1"/>
  <c r="F375" i="1"/>
  <c r="F421" i="1"/>
  <c r="W209" i="1"/>
  <c r="W212" i="1"/>
  <c r="W178" i="1"/>
  <c r="W240" i="1"/>
  <c r="W241" i="1"/>
  <c r="W242" i="1"/>
  <c r="W243" i="1"/>
  <c r="W244" i="1"/>
  <c r="W249" i="1"/>
  <c r="W250" i="1"/>
  <c r="W251" i="1"/>
  <c r="W252" i="1"/>
  <c r="W253" i="1"/>
  <c r="W254" i="1"/>
  <c r="W256" i="1"/>
  <c r="W257" i="1"/>
  <c r="W259" i="1"/>
  <c r="W260" i="1"/>
  <c r="W385" i="1"/>
  <c r="W415" i="1"/>
  <c r="W416" i="1"/>
  <c r="W417" i="1"/>
  <c r="W418" i="1"/>
  <c r="W419" i="1"/>
  <c r="W424" i="1"/>
  <c r="W425" i="1"/>
  <c r="W426" i="1"/>
  <c r="W427" i="1"/>
  <c r="W428" i="1"/>
  <c r="W429" i="1"/>
  <c r="W431" i="1"/>
  <c r="W432" i="1"/>
  <c r="W433" i="1"/>
  <c r="W434" i="1"/>
  <c r="Y178" i="1"/>
  <c r="U209" i="1"/>
  <c r="U212" i="1"/>
  <c r="U178" i="1"/>
  <c r="U240" i="1"/>
  <c r="U241" i="1"/>
  <c r="U242" i="1"/>
  <c r="U243" i="1"/>
  <c r="U244" i="1"/>
  <c r="U249" i="1"/>
  <c r="U250" i="1"/>
  <c r="U251" i="1"/>
  <c r="U252" i="1"/>
  <c r="U253" i="1"/>
  <c r="U254" i="1"/>
  <c r="U256" i="1"/>
  <c r="U257" i="1"/>
  <c r="U259" i="1"/>
  <c r="U260" i="1"/>
  <c r="U385" i="1"/>
  <c r="U415" i="1"/>
  <c r="U416" i="1"/>
  <c r="U417" i="1"/>
  <c r="U418" i="1"/>
  <c r="U419" i="1"/>
  <c r="U424" i="1"/>
  <c r="U425" i="1"/>
  <c r="U426" i="1"/>
  <c r="U427" i="1"/>
  <c r="U428" i="1"/>
  <c r="U429" i="1"/>
  <c r="U431" i="1"/>
  <c r="U432" i="1"/>
  <c r="U433" i="1"/>
  <c r="U434" i="1"/>
  <c r="U360" i="1"/>
  <c r="U361" i="1"/>
  <c r="R385" i="1"/>
  <c r="R360" i="1"/>
  <c r="R361" i="1"/>
  <c r="R415" i="1"/>
  <c r="R416" i="1"/>
  <c r="R417" i="1"/>
  <c r="R418" i="1"/>
  <c r="R419" i="1"/>
  <c r="R424" i="1"/>
  <c r="R425" i="1"/>
  <c r="R426" i="1"/>
  <c r="R427" i="1"/>
  <c r="R428" i="1"/>
  <c r="R429" i="1"/>
  <c r="R431" i="1"/>
  <c r="R432" i="1"/>
  <c r="R433" i="1"/>
  <c r="R434" i="1"/>
  <c r="R209" i="1"/>
  <c r="R212" i="1"/>
  <c r="R240" i="1"/>
  <c r="R241" i="1"/>
  <c r="R242" i="1"/>
  <c r="R243" i="1"/>
  <c r="R244" i="1"/>
  <c r="R249" i="1"/>
  <c r="R250" i="1"/>
  <c r="R251" i="1"/>
  <c r="R252" i="1"/>
  <c r="R253" i="1"/>
  <c r="R254" i="1"/>
  <c r="R256" i="1"/>
  <c r="R257" i="1"/>
  <c r="R259" i="1"/>
  <c r="R260" i="1"/>
  <c r="R178" i="1"/>
  <c r="W360" i="1"/>
  <c r="W361" i="1"/>
  <c r="K202" i="1"/>
  <c r="K42" i="1"/>
  <c r="K204" i="1" s="1"/>
  <c r="K44" i="1"/>
  <c r="K381" i="1" s="1"/>
  <c r="K46" i="1"/>
  <c r="K114" i="1" s="1"/>
  <c r="K50" i="1"/>
  <c r="K383" i="1" s="1"/>
  <c r="K49" i="1"/>
  <c r="K384" i="1" s="1"/>
  <c r="K209" i="1"/>
  <c r="K48" i="1"/>
  <c r="K386" i="1" s="1"/>
  <c r="K211" i="1"/>
  <c r="K212" i="1"/>
  <c r="K213" i="1"/>
  <c r="K220" i="1"/>
  <c r="K47" i="1"/>
  <c r="K301" i="1" s="1"/>
  <c r="K52" i="1"/>
  <c r="K227" i="1"/>
  <c r="K240" i="1"/>
  <c r="K241" i="1"/>
  <c r="K242" i="1"/>
  <c r="K243" i="1"/>
  <c r="K244" i="1"/>
  <c r="K249" i="1"/>
  <c r="K250" i="1"/>
  <c r="K251" i="1"/>
  <c r="K252" i="1"/>
  <c r="K253" i="1"/>
  <c r="K254" i="1"/>
  <c r="K256" i="1"/>
  <c r="K257" i="1"/>
  <c r="K259" i="1"/>
  <c r="K260" i="1"/>
  <c r="K378" i="1"/>
  <c r="K385" i="1"/>
  <c r="K387" i="1"/>
  <c r="K388" i="1"/>
  <c r="K397" i="1"/>
  <c r="K404" i="1"/>
  <c r="K415" i="1"/>
  <c r="K416" i="1"/>
  <c r="K417" i="1"/>
  <c r="K418" i="1"/>
  <c r="K419" i="1"/>
  <c r="K424" i="1"/>
  <c r="K425" i="1"/>
  <c r="K426" i="1"/>
  <c r="K427" i="1"/>
  <c r="K428" i="1"/>
  <c r="K429" i="1"/>
  <c r="K431" i="1"/>
  <c r="K432" i="1"/>
  <c r="K433" i="1"/>
  <c r="K434" i="1"/>
  <c r="K78" i="1"/>
  <c r="K41" i="1"/>
  <c r="K295" i="1" s="1"/>
  <c r="K43" i="1"/>
  <c r="K45" i="1"/>
  <c r="K108" i="1"/>
  <c r="S385" i="1"/>
  <c r="S360" i="1"/>
  <c r="S361" i="1"/>
  <c r="S415" i="1"/>
  <c r="S416" i="1"/>
  <c r="S417" i="1"/>
  <c r="S418" i="1"/>
  <c r="S419" i="1"/>
  <c r="S424" i="1"/>
  <c r="S425" i="1"/>
  <c r="S426" i="1"/>
  <c r="S427" i="1"/>
  <c r="S428" i="1"/>
  <c r="S429" i="1"/>
  <c r="S431" i="1"/>
  <c r="S432" i="1"/>
  <c r="S433" i="1"/>
  <c r="S434" i="1"/>
  <c r="S209" i="1"/>
  <c r="S212" i="1"/>
  <c r="S240" i="1"/>
  <c r="S241" i="1"/>
  <c r="S242" i="1"/>
  <c r="S243" i="1"/>
  <c r="S244" i="1"/>
  <c r="S249" i="1"/>
  <c r="S250" i="1"/>
  <c r="S251" i="1"/>
  <c r="S252" i="1"/>
  <c r="S253" i="1"/>
  <c r="S254" i="1"/>
  <c r="S256" i="1"/>
  <c r="S257" i="1"/>
  <c r="S259" i="1"/>
  <c r="S260" i="1"/>
  <c r="AA209" i="1"/>
  <c r="AA212" i="1"/>
  <c r="AA178" i="1"/>
  <c r="AA240" i="1"/>
  <c r="AA241" i="1"/>
  <c r="AA242" i="1"/>
  <c r="AA243" i="1"/>
  <c r="AA244" i="1"/>
  <c r="AA249" i="1"/>
  <c r="AA250" i="1"/>
  <c r="AA251" i="1"/>
  <c r="AA252" i="1"/>
  <c r="AA253" i="1"/>
  <c r="AA254" i="1"/>
  <c r="AA256" i="1"/>
  <c r="AA257" i="1"/>
  <c r="AA259" i="1"/>
  <c r="AA260" i="1"/>
  <c r="AA385" i="1"/>
  <c r="AA415" i="1"/>
  <c r="AA416" i="1"/>
  <c r="AA417" i="1"/>
  <c r="AA418" i="1"/>
  <c r="AA419" i="1"/>
  <c r="AA424" i="1"/>
  <c r="AA425" i="1"/>
  <c r="AA426" i="1"/>
  <c r="AA427" i="1"/>
  <c r="AA428" i="1"/>
  <c r="AA429" i="1"/>
  <c r="AA431" i="1"/>
  <c r="AA432" i="1"/>
  <c r="AA433" i="1"/>
  <c r="AA434" i="1"/>
  <c r="P209" i="1"/>
  <c r="P212" i="1"/>
  <c r="P178" i="1"/>
  <c r="P240" i="1"/>
  <c r="P241" i="1"/>
  <c r="P242" i="1"/>
  <c r="P243" i="1"/>
  <c r="P244" i="1"/>
  <c r="P249" i="1"/>
  <c r="P250" i="1"/>
  <c r="P251" i="1"/>
  <c r="P252" i="1"/>
  <c r="P253" i="1"/>
  <c r="P254" i="1"/>
  <c r="P256" i="1"/>
  <c r="P257" i="1"/>
  <c r="P259" i="1"/>
  <c r="P260" i="1"/>
  <c r="P385" i="1"/>
  <c r="P415" i="1"/>
  <c r="P416" i="1"/>
  <c r="P417" i="1"/>
  <c r="P418" i="1"/>
  <c r="P419" i="1"/>
  <c r="P424" i="1"/>
  <c r="P425" i="1"/>
  <c r="P426" i="1"/>
  <c r="P427" i="1"/>
  <c r="P428" i="1"/>
  <c r="P429" i="1"/>
  <c r="P431" i="1"/>
  <c r="P432" i="1"/>
  <c r="P433" i="1"/>
  <c r="P434" i="1"/>
  <c r="I40" i="1"/>
  <c r="I41" i="1"/>
  <c r="I295" i="1" s="1"/>
  <c r="I42" i="1"/>
  <c r="I203" i="1" s="1"/>
  <c r="I43" i="1"/>
  <c r="I297" i="1" s="1"/>
  <c r="I44" i="1"/>
  <c r="I45" i="1"/>
  <c r="I113" i="1" s="1"/>
  <c r="I46" i="1"/>
  <c r="I382" i="1" s="1"/>
  <c r="I47" i="1"/>
  <c r="I401" i="1" s="1"/>
  <c r="I48" i="1"/>
  <c r="I386" i="1" s="1"/>
  <c r="I157" i="1"/>
  <c r="I49" i="1"/>
  <c r="I208" i="1" s="1"/>
  <c r="I50" i="1"/>
  <c r="I304" i="1" s="1"/>
  <c r="I51" i="1"/>
  <c r="I52" i="1"/>
  <c r="I119" i="1" s="1"/>
  <c r="I209" i="1"/>
  <c r="I212" i="1"/>
  <c r="I27" i="1"/>
  <c r="I28" i="1"/>
  <c r="I29" i="1"/>
  <c r="I30" i="1"/>
  <c r="I31" i="1"/>
  <c r="I32" i="1"/>
  <c r="I33" i="1"/>
  <c r="I240" i="1"/>
  <c r="I241" i="1"/>
  <c r="I242" i="1"/>
  <c r="I243" i="1"/>
  <c r="I244" i="1"/>
  <c r="I249" i="1"/>
  <c r="I250" i="1"/>
  <c r="I251" i="1"/>
  <c r="I252" i="1"/>
  <c r="I253" i="1"/>
  <c r="I254" i="1"/>
  <c r="I256" i="1"/>
  <c r="I257" i="1"/>
  <c r="I259" i="1"/>
  <c r="I260" i="1"/>
  <c r="I385" i="1"/>
  <c r="I415" i="1"/>
  <c r="I416" i="1"/>
  <c r="I417" i="1"/>
  <c r="I418" i="1"/>
  <c r="I419" i="1"/>
  <c r="I424" i="1"/>
  <c r="I425" i="1"/>
  <c r="I426" i="1"/>
  <c r="I427" i="1"/>
  <c r="I428" i="1"/>
  <c r="I429" i="1"/>
  <c r="I431" i="1"/>
  <c r="I432" i="1"/>
  <c r="I433" i="1"/>
  <c r="I434" i="1"/>
  <c r="M209" i="1"/>
  <c r="M212" i="1"/>
  <c r="M178" i="1"/>
  <c r="M240" i="1"/>
  <c r="M241" i="1"/>
  <c r="M242" i="1"/>
  <c r="M243" i="1"/>
  <c r="M244" i="1"/>
  <c r="M249" i="1"/>
  <c r="M250" i="1"/>
  <c r="M251" i="1"/>
  <c r="M252" i="1"/>
  <c r="M253" i="1"/>
  <c r="M254" i="1"/>
  <c r="M256" i="1"/>
  <c r="M257" i="1"/>
  <c r="M259" i="1"/>
  <c r="M260" i="1"/>
  <c r="M385" i="1"/>
  <c r="M415" i="1"/>
  <c r="M416" i="1"/>
  <c r="M417" i="1"/>
  <c r="M418" i="1"/>
  <c r="M419" i="1"/>
  <c r="M424" i="1"/>
  <c r="M425" i="1"/>
  <c r="M426" i="1"/>
  <c r="M427" i="1"/>
  <c r="M428" i="1"/>
  <c r="M429" i="1"/>
  <c r="M431" i="1"/>
  <c r="M432" i="1"/>
  <c r="M433" i="1"/>
  <c r="M434" i="1"/>
  <c r="AA360" i="1"/>
  <c r="AA361" i="1"/>
  <c r="M360" i="1"/>
  <c r="M361" i="1"/>
  <c r="S178" i="1"/>
  <c r="P360" i="1"/>
  <c r="P361" i="1"/>
  <c r="O385" i="1"/>
  <c r="O360" i="1"/>
  <c r="O361" i="1"/>
  <c r="O415" i="1"/>
  <c r="O416" i="1"/>
  <c r="O417" i="1"/>
  <c r="O418" i="1"/>
  <c r="O419" i="1"/>
  <c r="O424" i="1"/>
  <c r="O425" i="1"/>
  <c r="O426" i="1"/>
  <c r="O427" i="1"/>
  <c r="O428" i="1"/>
  <c r="O429" i="1"/>
  <c r="O431" i="1"/>
  <c r="O432" i="1"/>
  <c r="O433" i="1"/>
  <c r="O434" i="1"/>
  <c r="O209" i="1"/>
  <c r="O212" i="1"/>
  <c r="O240" i="1"/>
  <c r="O241" i="1"/>
  <c r="O242" i="1"/>
  <c r="O243" i="1"/>
  <c r="O244" i="1"/>
  <c r="O249" i="1"/>
  <c r="O250" i="1"/>
  <c r="O251" i="1"/>
  <c r="O252" i="1"/>
  <c r="O253" i="1"/>
  <c r="O254" i="1"/>
  <c r="O256" i="1"/>
  <c r="O257" i="1"/>
  <c r="O259" i="1"/>
  <c r="O260" i="1"/>
  <c r="O178" i="1"/>
  <c r="K306" i="1"/>
  <c r="K310" i="1"/>
  <c r="H40" i="1"/>
  <c r="H41" i="1"/>
  <c r="H398" i="1"/>
  <c r="H43" i="1"/>
  <c r="H111" i="1" s="1"/>
  <c r="H44" i="1"/>
  <c r="H222" i="1" s="1"/>
  <c r="H45" i="1"/>
  <c r="H299" i="1" s="1"/>
  <c r="H46" i="1"/>
  <c r="H300" i="1" s="1"/>
  <c r="H47" i="1"/>
  <c r="H401" i="1" s="1"/>
  <c r="H48" i="1"/>
  <c r="H210" i="1" s="1"/>
  <c r="H49" i="1"/>
  <c r="H226" i="1" s="1"/>
  <c r="H50" i="1"/>
  <c r="H118" i="1" s="1"/>
  <c r="H51" i="1"/>
  <c r="H52" i="1"/>
  <c r="H209" i="1"/>
  <c r="H212" i="1"/>
  <c r="H27" i="1"/>
  <c r="H28" i="1"/>
  <c r="H29" i="1"/>
  <c r="H30" i="1"/>
  <c r="H31" i="1"/>
  <c r="H32" i="1"/>
  <c r="H33" i="1"/>
  <c r="H240" i="1"/>
  <c r="H241" i="1"/>
  <c r="H242" i="1"/>
  <c r="H243" i="1"/>
  <c r="H244" i="1"/>
  <c r="H249" i="1"/>
  <c r="H250" i="1"/>
  <c r="H251" i="1"/>
  <c r="H252" i="1"/>
  <c r="H253" i="1"/>
  <c r="H254" i="1"/>
  <c r="H256" i="1"/>
  <c r="H257" i="1"/>
  <c r="H259" i="1"/>
  <c r="H260" i="1"/>
  <c r="H385" i="1"/>
  <c r="H415" i="1"/>
  <c r="H416" i="1"/>
  <c r="H417" i="1"/>
  <c r="H418" i="1"/>
  <c r="H419" i="1"/>
  <c r="H424" i="1"/>
  <c r="H425" i="1"/>
  <c r="H426" i="1"/>
  <c r="H427" i="1"/>
  <c r="H428" i="1"/>
  <c r="H429" i="1"/>
  <c r="H431" i="1"/>
  <c r="H432" i="1"/>
  <c r="H433" i="1"/>
  <c r="H434" i="1"/>
  <c r="G12" i="1"/>
  <c r="G35" i="1"/>
  <c r="K40" i="1"/>
  <c r="K51" i="1"/>
  <c r="G54" i="1"/>
  <c r="G82" i="1" s="1"/>
  <c r="G93" i="1" s="1"/>
  <c r="G75" i="1"/>
  <c r="G91" i="1"/>
  <c r="G99" i="1" s="1"/>
  <c r="G101" i="1" s="1"/>
  <c r="G124" i="1"/>
  <c r="G133" i="1"/>
  <c r="G199" i="1"/>
  <c r="G215" i="1"/>
  <c r="G262" i="1"/>
  <c r="G283" i="1"/>
  <c r="F363" i="1"/>
  <c r="G375" i="1"/>
  <c r="G390" i="1"/>
  <c r="G406" i="1"/>
  <c r="G421" i="1"/>
  <c r="G436" i="1"/>
  <c r="F457" i="1"/>
  <c r="G457" i="1"/>
  <c r="G461" i="1"/>
  <c r="F312" i="1"/>
  <c r="F324" i="1" s="1"/>
  <c r="G326" i="1"/>
  <c r="T324" i="1"/>
  <c r="T326" i="1" s="1"/>
  <c r="V324" i="1"/>
  <c r="V326" i="1" s="1"/>
  <c r="X324" i="1"/>
  <c r="X326" i="1" s="1"/>
  <c r="Z324" i="1"/>
  <c r="Z326" i="1" s="1"/>
  <c r="AB465" i="1"/>
  <c r="AC465" i="1" s="1"/>
  <c r="AB470" i="1"/>
  <c r="AC470" i="1" s="1"/>
  <c r="AB471" i="1"/>
  <c r="AC471" i="1" s="1"/>
  <c r="AB472" i="1"/>
  <c r="AC472" i="1" s="1"/>
  <c r="AB473" i="1"/>
  <c r="AC473" i="1" s="1"/>
  <c r="AB474" i="1"/>
  <c r="AC474" i="1" s="1"/>
  <c r="AB475" i="1"/>
  <c r="AC475" i="1" s="1"/>
  <c r="AB476" i="1"/>
  <c r="AC476" i="1" s="1"/>
  <c r="AB481" i="1"/>
  <c r="AC481" i="1" s="1"/>
  <c r="AB482" i="1"/>
  <c r="AC482" i="1"/>
  <c r="AB483" i="1"/>
  <c r="AC483" i="1" s="1"/>
  <c r="AB484" i="1"/>
  <c r="AC484" i="1" s="1"/>
  <c r="AA460" i="2"/>
  <c r="AA467" i="2" s="1"/>
  <c r="AA432" i="2"/>
  <c r="AA439" i="2" s="1"/>
  <c r="F436" i="1"/>
  <c r="Z432" i="2"/>
  <c r="Z439" i="2" s="1"/>
  <c r="AB446" i="2"/>
  <c r="AB453" i="2" s="1"/>
  <c r="AC432" i="2"/>
  <c r="AC439" i="2" s="1"/>
  <c r="AC460" i="2"/>
  <c r="AC467" i="2" s="1"/>
  <c r="AD432" i="2"/>
  <c r="AD439" i="2" s="1"/>
  <c r="K361" i="1"/>
  <c r="K360" i="1"/>
  <c r="K178" i="1"/>
  <c r="Z486" i="2"/>
  <c r="Z479" i="2"/>
  <c r="X486" i="2"/>
  <c r="Y486" i="2"/>
  <c r="W486" i="2"/>
  <c r="Y446" i="2"/>
  <c r="Y476" i="2" s="1"/>
  <c r="W460" i="2"/>
  <c r="W467" i="2" s="1"/>
  <c r="Y432" i="2"/>
  <c r="Y439" i="2" s="1"/>
  <c r="W446" i="2"/>
  <c r="W453" i="2" s="1"/>
  <c r="X446" i="2"/>
  <c r="X453" i="2" s="1"/>
  <c r="Y479" i="2"/>
  <c r="X479" i="2"/>
  <c r="X460" i="2"/>
  <c r="X467" i="2" s="1"/>
  <c r="W479" i="2"/>
  <c r="X432" i="2"/>
  <c r="X439" i="2" s="1"/>
  <c r="Y460" i="2"/>
  <c r="Y467" i="2" s="1"/>
  <c r="W432" i="2"/>
  <c r="W439" i="2" s="1"/>
  <c r="G8" i="10"/>
  <c r="P7" i="10"/>
  <c r="P8" i="10"/>
  <c r="AF593" i="2"/>
  <c r="AF568" i="2"/>
  <c r="AF564" i="2"/>
  <c r="AE554" i="2"/>
  <c r="Z554" i="2"/>
  <c r="AA554" i="2"/>
  <c r="U554" i="2"/>
  <c r="Y554" i="2"/>
  <c r="AD554" i="2"/>
  <c r="T554" i="2"/>
  <c r="AB554" i="2"/>
  <c r="AC554" i="2"/>
  <c r="AF554" i="2"/>
  <c r="AF578" i="2"/>
  <c r="AF604" i="2" s="1"/>
  <c r="X554" i="2"/>
  <c r="W554" i="2"/>
  <c r="E439" i="2"/>
  <c r="E460" i="2" s="1"/>
  <c r="E467" i="2" s="1"/>
  <c r="U563" i="2"/>
  <c r="U588" i="2"/>
  <c r="U614" i="2" s="1"/>
  <c r="W563" i="2"/>
  <c r="W588" i="2"/>
  <c r="W614" i="2" s="1"/>
  <c r="AB588" i="2"/>
  <c r="AB614" i="2" s="1"/>
  <c r="AB563" i="2"/>
  <c r="AD568" i="2"/>
  <c r="AD593" i="2"/>
  <c r="AD619" i="2" s="1"/>
  <c r="AA563" i="2"/>
  <c r="AA588" i="2"/>
  <c r="AA614" i="2" s="1"/>
  <c r="AC593" i="2"/>
  <c r="AC619" i="2" s="1"/>
  <c r="AC568" i="2"/>
  <c r="Y593" i="2"/>
  <c r="Y619" i="2" s="1"/>
  <c r="Y568" i="2"/>
  <c r="T593" i="2"/>
  <c r="T619" i="2" s="1"/>
  <c r="T568" i="2"/>
  <c r="X568" i="2"/>
  <c r="X593" i="2"/>
  <c r="X619" i="2" s="1"/>
  <c r="Z568" i="2"/>
  <c r="Z593" i="2"/>
  <c r="Z619" i="2" s="1"/>
  <c r="AE563" i="2"/>
  <c r="AE588" i="2"/>
  <c r="AE614" i="2" s="1"/>
  <c r="AF569" i="2"/>
  <c r="AA568" i="2"/>
  <c r="AA593" i="2"/>
  <c r="AA619" i="2" s="1"/>
  <c r="Y563" i="2"/>
  <c r="Y588" i="2"/>
  <c r="Y614" i="2" s="1"/>
  <c r="X588" i="2"/>
  <c r="X614" i="2" s="1"/>
  <c r="X563" i="2"/>
  <c r="Z588" i="2"/>
  <c r="Z614" i="2" s="1"/>
  <c r="Z563" i="2"/>
  <c r="AE593" i="2"/>
  <c r="AE619" i="2" s="1"/>
  <c r="AE568" i="2"/>
  <c r="AF588" i="2"/>
  <c r="AF563" i="2"/>
  <c r="AC588" i="2"/>
  <c r="AC614" i="2" s="1"/>
  <c r="AC563" i="2"/>
  <c r="U593" i="2"/>
  <c r="U568" i="2"/>
  <c r="W568" i="2"/>
  <c r="W593" i="2"/>
  <c r="W619" i="2" s="1"/>
  <c r="AB593" i="2"/>
  <c r="AB619" i="2" s="1"/>
  <c r="AB568" i="2"/>
  <c r="AD563" i="2"/>
  <c r="AD588" i="2"/>
  <c r="AD614" i="2" s="1"/>
  <c r="U619" i="2"/>
  <c r="T588" i="2"/>
  <c r="T614" i="2" s="1"/>
  <c r="T563" i="2"/>
  <c r="AD552" i="2"/>
  <c r="AC552" i="2"/>
  <c r="AF552" i="2"/>
  <c r="AF577" i="2"/>
  <c r="AF603" i="2" s="1"/>
  <c r="T552" i="2"/>
  <c r="U552" i="2"/>
  <c r="X552" i="2"/>
  <c r="AE552" i="2"/>
  <c r="AA552" i="2"/>
  <c r="W552" i="2"/>
  <c r="Y552" i="2"/>
  <c r="AB552" i="2"/>
  <c r="Z552" i="2"/>
  <c r="R162" i="1"/>
  <c r="S162" i="1"/>
  <c r="H157" i="1"/>
  <c r="H152" i="1"/>
  <c r="H164" i="1"/>
  <c r="I166" i="1"/>
  <c r="K155" i="1"/>
  <c r="K151" i="1"/>
  <c r="K163" i="1"/>
  <c r="K150" i="1"/>
  <c r="W166" i="1"/>
  <c r="P154" i="1"/>
  <c r="P153" i="1"/>
  <c r="P165" i="1"/>
  <c r="P151" i="1"/>
  <c r="P163" i="1"/>
  <c r="P150" i="1"/>
  <c r="AA153" i="1"/>
  <c r="AA165" i="1"/>
  <c r="AA151" i="1"/>
  <c r="AA163" i="1"/>
  <c r="AA150" i="1"/>
  <c r="Y157" i="1"/>
  <c r="Y152" i="1"/>
  <c r="Y164" i="1"/>
  <c r="R154" i="1"/>
  <c r="R165" i="1"/>
  <c r="R153" i="1"/>
  <c r="R151" i="1"/>
  <c r="R163" i="1"/>
  <c r="R150" i="1"/>
  <c r="S154" i="1"/>
  <c r="S153" i="1"/>
  <c r="S165" i="1"/>
  <c r="S151" i="1"/>
  <c r="S163" i="1"/>
  <c r="S150" i="1"/>
  <c r="U154" i="1"/>
  <c r="U153" i="1"/>
  <c r="U165" i="1"/>
  <c r="U163" i="1"/>
  <c r="U150" i="1"/>
  <c r="U151" i="1"/>
  <c r="O153" i="1"/>
  <c r="O165" i="1"/>
  <c r="O163" i="1"/>
  <c r="O150" i="1"/>
  <c r="O151" i="1"/>
  <c r="H155" i="1"/>
  <c r="I164" i="1"/>
  <c r="I152" i="1"/>
  <c r="K152" i="1"/>
  <c r="K164" i="1"/>
  <c r="W157" i="1"/>
  <c r="W164" i="1"/>
  <c r="W152" i="1"/>
  <c r="P166" i="1"/>
  <c r="AA166" i="1"/>
  <c r="Y155" i="1"/>
  <c r="R166" i="1"/>
  <c r="S166" i="1"/>
  <c r="U166" i="1"/>
  <c r="O166" i="1"/>
  <c r="M157" i="1"/>
  <c r="M152" i="1"/>
  <c r="M164" i="1"/>
  <c r="H154" i="1"/>
  <c r="H153" i="1"/>
  <c r="H165" i="1"/>
  <c r="H163" i="1"/>
  <c r="H150" i="1"/>
  <c r="H151" i="1"/>
  <c r="I155" i="1"/>
  <c r="K157" i="1"/>
  <c r="K165" i="1"/>
  <c r="K153" i="1"/>
  <c r="W155" i="1"/>
  <c r="P157" i="1"/>
  <c r="P164" i="1"/>
  <c r="P152" i="1"/>
  <c r="AA152" i="1"/>
  <c r="AA164" i="1"/>
  <c r="Y154" i="1"/>
  <c r="Y165" i="1"/>
  <c r="Y153" i="1"/>
  <c r="Y151" i="1"/>
  <c r="Y163" i="1"/>
  <c r="Y150" i="1"/>
  <c r="R157" i="1"/>
  <c r="R152" i="1"/>
  <c r="R164" i="1"/>
  <c r="S157" i="1"/>
  <c r="S152" i="1"/>
  <c r="S164" i="1"/>
  <c r="U157" i="1"/>
  <c r="U152" i="1"/>
  <c r="U164" i="1"/>
  <c r="O157" i="1"/>
  <c r="O152" i="1"/>
  <c r="O164" i="1"/>
  <c r="M155" i="1"/>
  <c r="O162" i="1"/>
  <c r="H166" i="1"/>
  <c r="I154" i="1"/>
  <c r="I153" i="1"/>
  <c r="I165" i="1"/>
  <c r="I151" i="1"/>
  <c r="I163" i="1"/>
  <c r="I150" i="1"/>
  <c r="K166" i="1"/>
  <c r="K154" i="1"/>
  <c r="W154" i="1"/>
  <c r="W153" i="1"/>
  <c r="W165" i="1"/>
  <c r="W151" i="1"/>
  <c r="W163" i="1"/>
  <c r="W150" i="1"/>
  <c r="P155" i="1"/>
  <c r="AA155" i="1"/>
  <c r="Y166" i="1"/>
  <c r="R155" i="1"/>
  <c r="S155" i="1"/>
  <c r="U155" i="1"/>
  <c r="O155" i="1"/>
  <c r="M154" i="1"/>
  <c r="M153" i="1"/>
  <c r="M165" i="1"/>
  <c r="M151" i="1"/>
  <c r="M163" i="1"/>
  <c r="M150" i="1"/>
  <c r="I162" i="1"/>
  <c r="AA162" i="1"/>
  <c r="Y162" i="1"/>
  <c r="P162" i="1"/>
  <c r="W162" i="1"/>
  <c r="M162" i="1"/>
  <c r="H162" i="1"/>
  <c r="U162" i="1"/>
  <c r="K87" i="1"/>
  <c r="K136" i="1"/>
  <c r="H195" i="15"/>
  <c r="O80" i="15"/>
  <c r="D12" i="15" s="1"/>
  <c r="I195" i="15"/>
  <c r="U400" i="2"/>
  <c r="L195" i="15"/>
  <c r="D195" i="15"/>
  <c r="J195" i="15"/>
  <c r="O193" i="15"/>
  <c r="Q193" i="15"/>
  <c r="H23" i="15" s="1"/>
  <c r="U427" i="2" s="1"/>
  <c r="O67" i="15"/>
  <c r="F10" i="15" s="1"/>
  <c r="H428" i="2" s="1"/>
  <c r="P67" i="15"/>
  <c r="G10" i="15" s="1"/>
  <c r="P77" i="15"/>
  <c r="G11" i="15" s="1"/>
  <c r="O77" i="15"/>
  <c r="F11" i="15" s="1"/>
  <c r="I428" i="2" s="1"/>
  <c r="O87" i="15"/>
  <c r="F12" i="15" s="1"/>
  <c r="J428" i="2" s="1"/>
  <c r="P87" i="15"/>
  <c r="G12" i="15" s="1"/>
  <c r="S400" i="2"/>
  <c r="T400" i="2"/>
  <c r="K139" i="1"/>
  <c r="F229" i="1"/>
  <c r="F35" i="1"/>
  <c r="F199" i="1"/>
  <c r="F215" i="1"/>
  <c r="F246" i="1"/>
  <c r="F283" i="1"/>
  <c r="Y244" i="1"/>
  <c r="Q83" i="15"/>
  <c r="H12" i="15" s="1"/>
  <c r="J427" i="2" s="1"/>
  <c r="O83" i="15"/>
  <c r="K89" i="1"/>
  <c r="K137" i="1"/>
  <c r="K138" i="1"/>
  <c r="K105" i="1"/>
  <c r="G408" i="1"/>
  <c r="G410" i="1" s="1"/>
  <c r="G438" i="1" s="1"/>
  <c r="AA258" i="1"/>
  <c r="F170" i="1"/>
  <c r="F354" i="1"/>
  <c r="AF407" i="2"/>
  <c r="V407" i="2"/>
  <c r="Q407" i="2"/>
  <c r="N407" i="2"/>
  <c r="I407" i="2"/>
  <c r="AC407" i="2"/>
  <c r="J407" i="2"/>
  <c r="S407" i="2"/>
  <c r="X407" i="2"/>
  <c r="H407" i="2"/>
  <c r="G407" i="2"/>
  <c r="AA407" i="2"/>
  <c r="AE407" i="2"/>
  <c r="R407" i="2"/>
  <c r="Y407" i="2"/>
  <c r="AD407" i="2"/>
  <c r="W407" i="2"/>
  <c r="O407" i="2"/>
  <c r="U407" i="2"/>
  <c r="G414" i="2"/>
  <c r="T407" i="2"/>
  <c r="AB407" i="2"/>
  <c r="F407" i="2"/>
  <c r="P57" i="15"/>
  <c r="G9" i="15" s="1"/>
  <c r="O57" i="15"/>
  <c r="F9" i="15" s="1"/>
  <c r="G428" i="2" s="1"/>
  <c r="N414" i="2"/>
  <c r="O414" i="2" s="1"/>
  <c r="AA453" i="2"/>
  <c r="O90" i="15"/>
  <c r="D13" i="15" s="1"/>
  <c r="X476" i="2"/>
  <c r="D9" i="15"/>
  <c r="D43" i="15"/>
  <c r="D7" i="8"/>
  <c r="F7" i="8" s="1"/>
  <c r="AB418" i="2" l="1"/>
  <c r="AF453" i="2"/>
  <c r="AE453" i="2"/>
  <c r="W476" i="2"/>
  <c r="N9" i="15"/>
  <c r="N10" i="15"/>
  <c r="G56" i="1"/>
  <c r="AA418" i="2"/>
  <c r="H453" i="2"/>
  <c r="Z419" i="2"/>
  <c r="G446" i="2"/>
  <c r="G476" i="2" s="1"/>
  <c r="G477" i="2" s="1"/>
  <c r="J476" i="2"/>
  <c r="J477" i="2" s="1"/>
  <c r="X477" i="2"/>
  <c r="B119" i="15"/>
  <c r="F99" i="1"/>
  <c r="G264" i="1"/>
  <c r="A99" i="15"/>
  <c r="L14" i="15"/>
  <c r="S7" i="10"/>
  <c r="T7" i="10" s="1"/>
  <c r="AB341" i="2"/>
  <c r="AB358" i="2" s="1"/>
  <c r="AB359" i="2"/>
  <c r="L15" i="15"/>
  <c r="AA393" i="2"/>
  <c r="AA359" i="2"/>
  <c r="AA341" i="2"/>
  <c r="AA358" i="2" s="1"/>
  <c r="V341" i="2"/>
  <c r="V358" i="2" s="1"/>
  <c r="V359" i="2"/>
  <c r="Z453" i="2"/>
  <c r="S8" i="10"/>
  <c r="T8" i="10" s="1"/>
  <c r="AF393" i="2"/>
  <c r="AF341" i="2"/>
  <c r="AF358" i="2" s="1"/>
  <c r="AF359" i="2"/>
  <c r="Z393" i="2"/>
  <c r="Z359" i="2"/>
  <c r="Z341" i="2"/>
  <c r="Z358" i="2" s="1"/>
  <c r="Y453" i="2"/>
  <c r="AB476" i="2"/>
  <c r="AB477" i="2" s="1"/>
  <c r="P352" i="1"/>
  <c r="AE393" i="2"/>
  <c r="AE341" i="2"/>
  <c r="AE358" i="2" s="1"/>
  <c r="AE359" i="2"/>
  <c r="Y393" i="2"/>
  <c r="Y359" i="2"/>
  <c r="Y341" i="2"/>
  <c r="Y358" i="2" s="1"/>
  <c r="X393" i="2"/>
  <c r="X341" i="2"/>
  <c r="X358" i="2" s="1"/>
  <c r="X359" i="2"/>
  <c r="F56" i="1"/>
  <c r="F58" i="1" s="1"/>
  <c r="AD341" i="2"/>
  <c r="AD358" i="2" s="1"/>
  <c r="AD359" i="2"/>
  <c r="W393" i="2"/>
  <c r="W341" i="2"/>
  <c r="W358" i="2" s="1"/>
  <c r="W359" i="2"/>
  <c r="AC393" i="2"/>
  <c r="AC359" i="2"/>
  <c r="AC341" i="2"/>
  <c r="AC358" i="2" s="1"/>
  <c r="V393" i="2"/>
  <c r="U352" i="1"/>
  <c r="AE621" i="2"/>
  <c r="AG441" i="2"/>
  <c r="AH441" i="2" s="1"/>
  <c r="AF477" i="2"/>
  <c r="Y477" i="2"/>
  <c r="AE419" i="2"/>
  <c r="AF565" i="2"/>
  <c r="AF570" i="2"/>
  <c r="AD476" i="2"/>
  <c r="AD477" i="2" s="1"/>
  <c r="AF418" i="2"/>
  <c r="AC476" i="2"/>
  <c r="AC477" i="2" s="1"/>
  <c r="AC418" i="2"/>
  <c r="AA477" i="2"/>
  <c r="AE477" i="2"/>
  <c r="W477" i="2"/>
  <c r="V476" i="2"/>
  <c r="V477" i="2" s="1"/>
  <c r="AD419" i="2"/>
  <c r="F47" i="15"/>
  <c r="Q103" i="15"/>
  <c r="H14" i="15" s="1"/>
  <c r="L427" i="2" s="1"/>
  <c r="D16" i="15"/>
  <c r="N413" i="2" s="1"/>
  <c r="N486" i="2" s="1"/>
  <c r="K47" i="15"/>
  <c r="Q10" i="15"/>
  <c r="E28" i="15"/>
  <c r="E29" i="15" s="1"/>
  <c r="D50" i="18"/>
  <c r="D96" i="18"/>
  <c r="M84" i="18"/>
  <c r="D94" i="18" s="1"/>
  <c r="F408" i="1"/>
  <c r="F410" i="1" s="1"/>
  <c r="F412" i="1" s="1"/>
  <c r="F459" i="1" s="1"/>
  <c r="F461" i="1" s="1"/>
  <c r="F82" i="1"/>
  <c r="F98" i="1" s="1"/>
  <c r="D98" i="1" s="1"/>
  <c r="AA352" i="1"/>
  <c r="Y352" i="1"/>
  <c r="W352" i="1"/>
  <c r="F231" i="1"/>
  <c r="F235" i="1" s="1"/>
  <c r="U299" i="1"/>
  <c r="M224" i="1"/>
  <c r="U403" i="1"/>
  <c r="S384" i="1"/>
  <c r="K115" i="1"/>
  <c r="Y302" i="1"/>
  <c r="W398" i="1"/>
  <c r="P210" i="1"/>
  <c r="M301" i="1"/>
  <c r="U208" i="1"/>
  <c r="I402" i="1"/>
  <c r="S208" i="1"/>
  <c r="K118" i="1"/>
  <c r="M363" i="1"/>
  <c r="M24" i="1"/>
  <c r="M293" i="1" s="1"/>
  <c r="S24" i="1"/>
  <c r="S85" i="1" s="1"/>
  <c r="AA24" i="1"/>
  <c r="AA293" i="1" s="1"/>
  <c r="F419" i="2"/>
  <c r="R402" i="1"/>
  <c r="R116" i="1"/>
  <c r="O208" i="1"/>
  <c r="W222" i="1"/>
  <c r="P398" i="1"/>
  <c r="H115" i="1"/>
  <c r="W112" i="1"/>
  <c r="W116" i="1"/>
  <c r="H301" i="1"/>
  <c r="O303" i="1"/>
  <c r="M208" i="1"/>
  <c r="U119" i="1"/>
  <c r="AA399" i="1"/>
  <c r="W381" i="1"/>
  <c r="P207" i="1"/>
  <c r="I352" i="1"/>
  <c r="H383" i="1"/>
  <c r="K363" i="1"/>
  <c r="H206" i="1"/>
  <c r="M381" i="1"/>
  <c r="U223" i="1"/>
  <c r="W115" i="1"/>
  <c r="M403" i="1"/>
  <c r="M206" i="1"/>
  <c r="Y203" i="1"/>
  <c r="AA298" i="1"/>
  <c r="H223" i="1"/>
  <c r="M226" i="1"/>
  <c r="Y304" i="1"/>
  <c r="Y206" i="1"/>
  <c r="W301" i="1"/>
  <c r="H379" i="1"/>
  <c r="M117" i="1"/>
  <c r="AA205" i="1"/>
  <c r="H114" i="1"/>
  <c r="W225" i="1"/>
  <c r="AA363" i="1"/>
  <c r="M384" i="1"/>
  <c r="Y223" i="1"/>
  <c r="U225" i="1"/>
  <c r="W401" i="1"/>
  <c r="P403" i="1"/>
  <c r="O403" i="1"/>
  <c r="O226" i="1"/>
  <c r="O384" i="1"/>
  <c r="AA302" i="1"/>
  <c r="I118" i="1"/>
  <c r="H304" i="1"/>
  <c r="I301" i="1"/>
  <c r="AA403" i="1"/>
  <c r="H207" i="1"/>
  <c r="AB249" i="1"/>
  <c r="AC249" i="1" s="1"/>
  <c r="O180" i="1"/>
  <c r="H117" i="1"/>
  <c r="AA400" i="1"/>
  <c r="Y117" i="1"/>
  <c r="K208" i="1"/>
  <c r="AB240" i="1"/>
  <c r="AC240" i="1" s="1"/>
  <c r="O246" i="1"/>
  <c r="R421" i="1"/>
  <c r="H403" i="1"/>
  <c r="I403" i="1"/>
  <c r="U224" i="1"/>
  <c r="AA110" i="1"/>
  <c r="H399" i="1"/>
  <c r="P302" i="1"/>
  <c r="AA401" i="1"/>
  <c r="K398" i="1"/>
  <c r="W203" i="1"/>
  <c r="U401" i="1"/>
  <c r="K403" i="1"/>
  <c r="I206" i="1"/>
  <c r="M295" i="1"/>
  <c r="R180" i="1"/>
  <c r="R24" i="1"/>
  <c r="R106" i="1" s="1"/>
  <c r="AB156" i="1"/>
  <c r="AC156" i="1" s="1"/>
  <c r="M113" i="1"/>
  <c r="K207" i="1"/>
  <c r="U111" i="1"/>
  <c r="AA221" i="1"/>
  <c r="W223" i="1"/>
  <c r="W382" i="1"/>
  <c r="I299" i="1"/>
  <c r="H297" i="1"/>
  <c r="Y403" i="1"/>
  <c r="AA225" i="1"/>
  <c r="R363" i="1"/>
  <c r="P262" i="1"/>
  <c r="M180" i="1"/>
  <c r="P117" i="1"/>
  <c r="I300" i="1"/>
  <c r="W206" i="1"/>
  <c r="Y303" i="1"/>
  <c r="I379" i="1"/>
  <c r="AA115" i="1"/>
  <c r="Y113" i="1"/>
  <c r="Y363" i="1"/>
  <c r="Y24" i="1"/>
  <c r="Y293" i="1" s="1"/>
  <c r="AB340" i="1"/>
  <c r="AC340" i="1" s="1"/>
  <c r="H224" i="1"/>
  <c r="M402" i="1"/>
  <c r="AA226" i="1"/>
  <c r="AA384" i="1"/>
  <c r="AA119" i="1"/>
  <c r="K110" i="1"/>
  <c r="AA117" i="1"/>
  <c r="R401" i="1"/>
  <c r="K304" i="1"/>
  <c r="U115" i="1"/>
  <c r="P386" i="1"/>
  <c r="Y208" i="1"/>
  <c r="AA301" i="1"/>
  <c r="AA208" i="1"/>
  <c r="S297" i="1"/>
  <c r="Y226" i="1"/>
  <c r="P168" i="1"/>
  <c r="O168" i="1"/>
  <c r="H168" i="1"/>
  <c r="R304" i="1"/>
  <c r="R207" i="1"/>
  <c r="R379" i="1"/>
  <c r="R203" i="1"/>
  <c r="R296" i="1"/>
  <c r="S223" i="1"/>
  <c r="S400" i="1"/>
  <c r="S206" i="1"/>
  <c r="U118" i="1"/>
  <c r="U304" i="1"/>
  <c r="AA299" i="1"/>
  <c r="AA113" i="1"/>
  <c r="S295" i="1"/>
  <c r="S109" i="1"/>
  <c r="M118" i="1"/>
  <c r="M383" i="1"/>
  <c r="M207" i="1"/>
  <c r="P110" i="1"/>
  <c r="O109" i="1"/>
  <c r="U384" i="1"/>
  <c r="Y111" i="1"/>
  <c r="AA295" i="1"/>
  <c r="S226" i="1"/>
  <c r="R380" i="1"/>
  <c r="R110" i="1"/>
  <c r="Y225" i="1"/>
  <c r="M297" i="1"/>
  <c r="I303" i="1"/>
  <c r="I117" i="1"/>
  <c r="I114" i="1"/>
  <c r="I223" i="1"/>
  <c r="I400" i="1"/>
  <c r="I110" i="1"/>
  <c r="I221" i="1"/>
  <c r="I398" i="1"/>
  <c r="I296" i="1"/>
  <c r="I204" i="1"/>
  <c r="I380" i="1"/>
  <c r="K402" i="1"/>
  <c r="K305" i="1"/>
  <c r="K226" i="1"/>
  <c r="K303" i="1"/>
  <c r="K117" i="1"/>
  <c r="K296" i="1"/>
  <c r="K379" i="1"/>
  <c r="K203" i="1"/>
  <c r="K221" i="1"/>
  <c r="K380" i="1"/>
  <c r="R206" i="1"/>
  <c r="R223" i="1"/>
  <c r="S118" i="1"/>
  <c r="S383" i="1"/>
  <c r="S203" i="1"/>
  <c r="S296" i="1"/>
  <c r="U206" i="1"/>
  <c r="U382" i="1"/>
  <c r="U114" i="1"/>
  <c r="O110" i="1"/>
  <c r="O296" i="1"/>
  <c r="S398" i="1"/>
  <c r="S204" i="1"/>
  <c r="U300" i="1"/>
  <c r="R118" i="1"/>
  <c r="M112" i="1"/>
  <c r="Y224" i="1"/>
  <c r="Y401" i="1"/>
  <c r="Y115" i="1"/>
  <c r="R117" i="1"/>
  <c r="R403" i="1"/>
  <c r="U117" i="1"/>
  <c r="U226" i="1"/>
  <c r="M115" i="1"/>
  <c r="S110" i="1"/>
  <c r="R400" i="1"/>
  <c r="R383" i="1"/>
  <c r="R208" i="1"/>
  <c r="AB425" i="1"/>
  <c r="AC425" i="1" s="1"/>
  <c r="H225" i="1"/>
  <c r="H305" i="1"/>
  <c r="H402" i="1"/>
  <c r="H384" i="1"/>
  <c r="AB49" i="1"/>
  <c r="AC49" i="1" s="1"/>
  <c r="AB41" i="1"/>
  <c r="AC41" i="1" s="1"/>
  <c r="O421" i="1"/>
  <c r="M436" i="1"/>
  <c r="AB33" i="1"/>
  <c r="AC33" i="1" s="1"/>
  <c r="AA246" i="1"/>
  <c r="K299" i="1"/>
  <c r="K113" i="1"/>
  <c r="K262" i="1"/>
  <c r="K205" i="1"/>
  <c r="K222" i="1"/>
  <c r="K399" i="1"/>
  <c r="W246" i="1"/>
  <c r="W305" i="1"/>
  <c r="W402" i="1"/>
  <c r="P118" i="1"/>
  <c r="P304" i="1"/>
  <c r="AA116" i="1"/>
  <c r="AA210" i="1"/>
  <c r="AA112" i="1"/>
  <c r="AA381" i="1"/>
  <c r="Y207" i="1"/>
  <c r="Y383" i="1"/>
  <c r="Y300" i="1"/>
  <c r="Y400" i="1"/>
  <c r="Y382" i="1"/>
  <c r="Y398" i="1"/>
  <c r="Y204" i="1"/>
  <c r="Y110" i="1"/>
  <c r="Y379" i="1"/>
  <c r="Y296" i="1"/>
  <c r="Y221" i="1"/>
  <c r="R305" i="1"/>
  <c r="R119" i="1"/>
  <c r="AB254" i="1"/>
  <c r="AC254" i="1" s="1"/>
  <c r="I262" i="1"/>
  <c r="AB40" i="1"/>
  <c r="AC40" i="1" s="1"/>
  <c r="AB431" i="1"/>
  <c r="AC431" i="1" s="1"/>
  <c r="AB426" i="1"/>
  <c r="AC426" i="1" s="1"/>
  <c r="W363" i="1"/>
  <c r="U363" i="1"/>
  <c r="U246" i="1"/>
  <c r="Y421" i="1"/>
  <c r="S180" i="1"/>
  <c r="K24" i="1"/>
  <c r="K80" i="1" s="1"/>
  <c r="AB17" i="1"/>
  <c r="AC17" i="1" s="1"/>
  <c r="AB22" i="1"/>
  <c r="AC22" i="1" s="1"/>
  <c r="AB242" i="1"/>
  <c r="AC242" i="1" s="1"/>
  <c r="P402" i="1"/>
  <c r="P305" i="1"/>
  <c r="P119" i="1"/>
  <c r="O302" i="1"/>
  <c r="O210" i="1"/>
  <c r="M305" i="1"/>
  <c r="M119" i="1"/>
  <c r="M116" i="1"/>
  <c r="M302" i="1"/>
  <c r="M210" i="1"/>
  <c r="P180" i="1"/>
  <c r="W262" i="1"/>
  <c r="Y262" i="1"/>
  <c r="W210" i="1"/>
  <c r="W302" i="1"/>
  <c r="W205" i="1"/>
  <c r="W399" i="1"/>
  <c r="P380" i="1"/>
  <c r="P204" i="1"/>
  <c r="R382" i="1"/>
  <c r="R114" i="1"/>
  <c r="R398" i="1"/>
  <c r="R204" i="1"/>
  <c r="S114" i="1"/>
  <c r="S300" i="1"/>
  <c r="S379" i="1"/>
  <c r="S221" i="1"/>
  <c r="S54" i="1"/>
  <c r="S136" i="1" s="1"/>
  <c r="U207" i="1"/>
  <c r="U383" i="1"/>
  <c r="O380" i="1"/>
  <c r="O379" i="1"/>
  <c r="H380" i="1"/>
  <c r="H204" i="1"/>
  <c r="H203" i="1"/>
  <c r="H221" i="1"/>
  <c r="AB166" i="1"/>
  <c r="AC166" i="1" s="1"/>
  <c r="H113" i="1"/>
  <c r="M421" i="1"/>
  <c r="I421" i="1"/>
  <c r="I35" i="1"/>
  <c r="I366" i="1" s="1"/>
  <c r="S436" i="1"/>
  <c r="K298" i="1"/>
  <c r="O116" i="1"/>
  <c r="H208" i="1"/>
  <c r="AB418" i="1"/>
  <c r="AC418" i="1" s="1"/>
  <c r="M386" i="1"/>
  <c r="AA398" i="1"/>
  <c r="H110" i="1"/>
  <c r="H296" i="1"/>
  <c r="H119" i="1"/>
  <c r="Y298" i="1"/>
  <c r="I111" i="1"/>
  <c r="W113" i="1"/>
  <c r="H303" i="1"/>
  <c r="AB253" i="1"/>
  <c r="AC253" i="1" s="1"/>
  <c r="H35" i="1"/>
  <c r="H195" i="1" s="1"/>
  <c r="W168" i="1"/>
  <c r="I168" i="1"/>
  <c r="AB348" i="1"/>
  <c r="AC348" i="1" s="1"/>
  <c r="AB51" i="1"/>
  <c r="AC51" i="1" s="1"/>
  <c r="R35" i="1"/>
  <c r="R372" i="1" s="1"/>
  <c r="S35" i="1"/>
  <c r="S86" i="1" s="1"/>
  <c r="K35" i="1"/>
  <c r="K86" i="1" s="1"/>
  <c r="AB255" i="1"/>
  <c r="AC255" i="1" s="1"/>
  <c r="AB430" i="1"/>
  <c r="AC430" i="1" s="1"/>
  <c r="Y180" i="1"/>
  <c r="I24" i="1"/>
  <c r="I85" i="1" s="1"/>
  <c r="P24" i="1"/>
  <c r="P149" i="1" s="1"/>
  <c r="P159" i="1" s="1"/>
  <c r="W24" i="1"/>
  <c r="W80" i="1" s="1"/>
  <c r="AB16" i="1"/>
  <c r="AC16" i="1" s="1"/>
  <c r="AB18" i="1"/>
  <c r="AC18" i="1" s="1"/>
  <c r="AB19" i="1"/>
  <c r="AC19" i="1" s="1"/>
  <c r="AB20" i="1"/>
  <c r="AC20" i="1" s="1"/>
  <c r="O24" i="1"/>
  <c r="O80" i="1" s="1"/>
  <c r="U24" i="1"/>
  <c r="U106" i="1" s="1"/>
  <c r="AB334" i="1"/>
  <c r="AC334" i="1" s="1"/>
  <c r="AB335" i="1"/>
  <c r="AC335" i="1" s="1"/>
  <c r="AB336" i="1"/>
  <c r="AC336" i="1" s="1"/>
  <c r="AB337" i="1"/>
  <c r="AC337" i="1" s="1"/>
  <c r="AB338" i="1"/>
  <c r="AC338" i="1" s="1"/>
  <c r="AB339" i="1"/>
  <c r="AC339" i="1" s="1"/>
  <c r="AB341" i="1"/>
  <c r="AC341" i="1" s="1"/>
  <c r="AB346" i="1"/>
  <c r="AC346" i="1" s="1"/>
  <c r="O352" i="1"/>
  <c r="U109" i="1"/>
  <c r="U295" i="1"/>
  <c r="R399" i="1"/>
  <c r="R112" i="1"/>
  <c r="S210" i="1"/>
  <c r="S386" i="1"/>
  <c r="S302" i="1"/>
  <c r="U205" i="1"/>
  <c r="U222" i="1"/>
  <c r="U399" i="1"/>
  <c r="M203" i="1"/>
  <c r="M110" i="1"/>
  <c r="M398" i="1"/>
  <c r="M380" i="1"/>
  <c r="H24" i="1"/>
  <c r="AB21" i="1"/>
  <c r="AC21" i="1" s="1"/>
  <c r="AB349" i="1"/>
  <c r="AC349" i="1" s="1"/>
  <c r="AB15" i="1"/>
  <c r="AC15" i="1" s="1"/>
  <c r="I222" i="1"/>
  <c r="I399" i="1"/>
  <c r="I381" i="1"/>
  <c r="AA262" i="1"/>
  <c r="AB212" i="1"/>
  <c r="AC212" i="1" s="1"/>
  <c r="Y246" i="1"/>
  <c r="AB30" i="1"/>
  <c r="AC30" i="1" s="1"/>
  <c r="AA204" i="1"/>
  <c r="AA380" i="1"/>
  <c r="AA296" i="1"/>
  <c r="AA379" i="1"/>
  <c r="Y116" i="1"/>
  <c r="Y210" i="1"/>
  <c r="Y399" i="1"/>
  <c r="Y112" i="1"/>
  <c r="Y381" i="1"/>
  <c r="Y205" i="1"/>
  <c r="Y35" i="1"/>
  <c r="Y190" i="1" s="1"/>
  <c r="M35" i="1"/>
  <c r="M294" i="1" s="1"/>
  <c r="R115" i="1"/>
  <c r="R301" i="1"/>
  <c r="R297" i="1"/>
  <c r="R111" i="1"/>
  <c r="W110" i="1"/>
  <c r="W204" i="1"/>
  <c r="W221" i="1"/>
  <c r="W296" i="1"/>
  <c r="W379" i="1"/>
  <c r="W54" i="1"/>
  <c r="W138" i="1" s="1"/>
  <c r="R302" i="1"/>
  <c r="R210" i="1"/>
  <c r="R54" i="1"/>
  <c r="R310" i="1" s="1"/>
  <c r="S402" i="1"/>
  <c r="S305" i="1"/>
  <c r="S119" i="1"/>
  <c r="U210" i="1"/>
  <c r="U116" i="1"/>
  <c r="U386" i="1"/>
  <c r="M400" i="1"/>
  <c r="M114" i="1"/>
  <c r="M382" i="1"/>
  <c r="M300" i="1"/>
  <c r="S352" i="1"/>
  <c r="AB350" i="1"/>
  <c r="AC350" i="1" s="1"/>
  <c r="U305" i="1"/>
  <c r="U298" i="1"/>
  <c r="M221" i="1"/>
  <c r="U54" i="1"/>
  <c r="U213" i="1" s="1"/>
  <c r="AB52" i="1"/>
  <c r="AC52" i="1" s="1"/>
  <c r="S225" i="1"/>
  <c r="M296" i="1"/>
  <c r="Y295" i="1"/>
  <c r="S116" i="1"/>
  <c r="I205" i="1"/>
  <c r="M204" i="1"/>
  <c r="O207" i="1"/>
  <c r="U112" i="1"/>
  <c r="AB162" i="1"/>
  <c r="AC162" i="1" s="1"/>
  <c r="H205" i="1"/>
  <c r="H381" i="1"/>
  <c r="H112" i="1"/>
  <c r="H298" i="1"/>
  <c r="H109" i="1"/>
  <c r="H295" i="1"/>
  <c r="O262" i="1"/>
  <c r="AB385" i="1"/>
  <c r="AC385" i="1" s="1"/>
  <c r="I224" i="1"/>
  <c r="I115" i="1"/>
  <c r="P436" i="1"/>
  <c r="S262" i="1"/>
  <c r="AB434" i="1"/>
  <c r="AC434" i="1" s="1"/>
  <c r="AB429" i="1"/>
  <c r="AC429" i="1" s="1"/>
  <c r="AB417" i="1"/>
  <c r="AC417" i="1" s="1"/>
  <c r="P363" i="1"/>
  <c r="I436" i="1"/>
  <c r="AB260" i="1"/>
  <c r="AC260" i="1" s="1"/>
  <c r="AB250" i="1"/>
  <c r="AC250" i="1" s="1"/>
  <c r="I246" i="1"/>
  <c r="I384" i="1"/>
  <c r="I226" i="1"/>
  <c r="P203" i="1"/>
  <c r="P221" i="1"/>
  <c r="P379" i="1"/>
  <c r="Y305" i="1"/>
  <c r="Y119" i="1"/>
  <c r="M54" i="1"/>
  <c r="M138" i="1" s="1"/>
  <c r="AB157" i="1"/>
  <c r="AC157" i="1" s="1"/>
  <c r="AB256" i="1"/>
  <c r="AC256" i="1" s="1"/>
  <c r="H262" i="1"/>
  <c r="AB251" i="1"/>
  <c r="AC251" i="1" s="1"/>
  <c r="K401" i="1"/>
  <c r="K224" i="1"/>
  <c r="W118" i="1"/>
  <c r="W383" i="1"/>
  <c r="W207" i="1"/>
  <c r="W400" i="1"/>
  <c r="W114" i="1"/>
  <c r="R109" i="1"/>
  <c r="R295" i="1"/>
  <c r="S403" i="1"/>
  <c r="S117" i="1"/>
  <c r="S299" i="1"/>
  <c r="S113" i="1"/>
  <c r="K352" i="1"/>
  <c r="O363" i="1"/>
  <c r="AA180" i="1"/>
  <c r="S421" i="1"/>
  <c r="AA305" i="1"/>
  <c r="H352" i="1"/>
  <c r="K141" i="1"/>
  <c r="Y168" i="1"/>
  <c r="M168" i="1"/>
  <c r="AB150" i="1"/>
  <c r="AC150" i="1" s="1"/>
  <c r="AB153" i="1"/>
  <c r="AC153" i="1" s="1"/>
  <c r="AB165" i="1"/>
  <c r="AC165" i="1" s="1"/>
  <c r="AB151" i="1"/>
  <c r="AC151" i="1" s="1"/>
  <c r="R168" i="1"/>
  <c r="K180" i="1"/>
  <c r="AB433" i="1"/>
  <c r="AC433" i="1" s="1"/>
  <c r="AB428" i="1"/>
  <c r="AC428" i="1" s="1"/>
  <c r="AB424" i="1"/>
  <c r="AC424" i="1" s="1"/>
  <c r="H54" i="1"/>
  <c r="H202" i="1" s="1"/>
  <c r="AB50" i="1"/>
  <c r="AC50" i="1" s="1"/>
  <c r="AB244" i="1"/>
  <c r="AC244" i="1" s="1"/>
  <c r="AA54" i="1"/>
  <c r="AA220" i="1" s="1"/>
  <c r="AB29" i="1"/>
  <c r="AC29" i="1" s="1"/>
  <c r="Y54" i="1"/>
  <c r="Y378" i="1" s="1"/>
  <c r="AB32" i="1"/>
  <c r="AC32" i="1" s="1"/>
  <c r="AB28" i="1"/>
  <c r="AC28" i="1" s="1"/>
  <c r="R352" i="1"/>
  <c r="K436" i="1"/>
  <c r="AB243" i="1"/>
  <c r="AC243" i="1" s="1"/>
  <c r="K246" i="1"/>
  <c r="K302" i="1"/>
  <c r="K210" i="1"/>
  <c r="K116" i="1"/>
  <c r="K400" i="1"/>
  <c r="K206" i="1"/>
  <c r="K382" i="1"/>
  <c r="K223" i="1"/>
  <c r="K300" i="1"/>
  <c r="R262" i="1"/>
  <c r="R436" i="1"/>
  <c r="U436" i="1"/>
  <c r="U262" i="1"/>
  <c r="W436" i="1"/>
  <c r="Y436" i="1"/>
  <c r="W226" i="1"/>
  <c r="W117" i="1"/>
  <c r="W208" i="1"/>
  <c r="W403" i="1"/>
  <c r="W303" i="1"/>
  <c r="W384" i="1"/>
  <c r="P109" i="1"/>
  <c r="P35" i="1"/>
  <c r="AB347" i="1"/>
  <c r="AC347" i="1" s="1"/>
  <c r="M352" i="1"/>
  <c r="AB258" i="1"/>
  <c r="AC258" i="1" s="1"/>
  <c r="M262" i="1"/>
  <c r="AB155" i="1"/>
  <c r="AC155" i="1" s="1"/>
  <c r="U168" i="1"/>
  <c r="AB163" i="1"/>
  <c r="AC163" i="1" s="1"/>
  <c r="AB164" i="1"/>
  <c r="AC164" i="1" s="1"/>
  <c r="AB416" i="1"/>
  <c r="AC416" i="1" s="1"/>
  <c r="H421" i="1"/>
  <c r="AB259" i="1"/>
  <c r="AC259" i="1" s="1"/>
  <c r="AB241" i="1"/>
  <c r="AC241" i="1" s="1"/>
  <c r="AB31" i="1"/>
  <c r="AC31" i="1" s="1"/>
  <c r="AB27" i="1"/>
  <c r="AC27" i="1" s="1"/>
  <c r="I383" i="1"/>
  <c r="I207" i="1"/>
  <c r="I302" i="1"/>
  <c r="I210" i="1"/>
  <c r="I116" i="1"/>
  <c r="I109" i="1"/>
  <c r="I54" i="1"/>
  <c r="P421" i="1"/>
  <c r="AA111" i="1"/>
  <c r="AA297" i="1"/>
  <c r="AA35" i="1"/>
  <c r="AA194" i="1" s="1"/>
  <c r="R303" i="1"/>
  <c r="R384" i="1"/>
  <c r="R226" i="1"/>
  <c r="R299" i="1"/>
  <c r="R113" i="1"/>
  <c r="S207" i="1"/>
  <c r="S304" i="1"/>
  <c r="U203" i="1"/>
  <c r="U110" i="1"/>
  <c r="U296" i="1"/>
  <c r="U204" i="1"/>
  <c r="U221" i="1"/>
  <c r="U379" i="1"/>
  <c r="U380" i="1"/>
  <c r="U398" i="1"/>
  <c r="AB42" i="1"/>
  <c r="AC42" i="1" s="1"/>
  <c r="U35" i="1"/>
  <c r="AA168" i="1"/>
  <c r="AB154" i="1"/>
  <c r="AC154" i="1" s="1"/>
  <c r="AB152" i="1"/>
  <c r="AC152" i="1" s="1"/>
  <c r="AB432" i="1"/>
  <c r="AC432" i="1" s="1"/>
  <c r="AB427" i="1"/>
  <c r="AC427" i="1" s="1"/>
  <c r="AB419" i="1"/>
  <c r="AC419" i="1" s="1"/>
  <c r="AB415" i="1"/>
  <c r="AC415" i="1" s="1"/>
  <c r="AB257" i="1"/>
  <c r="AC257" i="1" s="1"/>
  <c r="AB252" i="1"/>
  <c r="AC252" i="1" s="1"/>
  <c r="H246" i="1"/>
  <c r="H302" i="1"/>
  <c r="H386" i="1"/>
  <c r="AB48" i="1"/>
  <c r="AC48" i="1" s="1"/>
  <c r="H116" i="1"/>
  <c r="AA382" i="1"/>
  <c r="AA114" i="1"/>
  <c r="AA206" i="1"/>
  <c r="AA223" i="1"/>
  <c r="R205" i="1"/>
  <c r="R381" i="1"/>
  <c r="R298" i="1"/>
  <c r="R222" i="1"/>
  <c r="H400" i="1"/>
  <c r="H382" i="1"/>
  <c r="O436" i="1"/>
  <c r="P246" i="1"/>
  <c r="S363" i="1"/>
  <c r="K297" i="1"/>
  <c r="K111" i="1"/>
  <c r="K119" i="1"/>
  <c r="K225" i="1"/>
  <c r="K112" i="1"/>
  <c r="W109" i="1"/>
  <c r="W295" i="1"/>
  <c r="P226" i="1"/>
  <c r="P208" i="1"/>
  <c r="P303" i="1"/>
  <c r="AA118" i="1"/>
  <c r="AA304" i="1"/>
  <c r="AA383" i="1"/>
  <c r="S401" i="1"/>
  <c r="S224" i="1"/>
  <c r="S301" i="1"/>
  <c r="S115" i="1"/>
  <c r="O225" i="1"/>
  <c r="O305" i="1"/>
  <c r="O402" i="1"/>
  <c r="O119" i="1"/>
  <c r="M298" i="1"/>
  <c r="M399" i="1"/>
  <c r="M222" i="1"/>
  <c r="AB209" i="1"/>
  <c r="AC209" i="1" s="1"/>
  <c r="I112" i="1"/>
  <c r="I298" i="1"/>
  <c r="AA436" i="1"/>
  <c r="W297" i="1"/>
  <c r="W111" i="1"/>
  <c r="U180" i="1"/>
  <c r="M246" i="1"/>
  <c r="I225" i="1"/>
  <c r="I305" i="1"/>
  <c r="U421" i="1"/>
  <c r="S381" i="1"/>
  <c r="S112" i="1"/>
  <c r="S298" i="1"/>
  <c r="S205" i="1"/>
  <c r="S222" i="1"/>
  <c r="O118" i="1"/>
  <c r="O304" i="1"/>
  <c r="O398" i="1"/>
  <c r="O204" i="1"/>
  <c r="O203" i="1"/>
  <c r="K168" i="1"/>
  <c r="S168" i="1"/>
  <c r="H436" i="1"/>
  <c r="AA421" i="1"/>
  <c r="S246" i="1"/>
  <c r="K421" i="1"/>
  <c r="W421" i="1"/>
  <c r="W180" i="1"/>
  <c r="K109" i="1"/>
  <c r="R246" i="1"/>
  <c r="O35" i="1"/>
  <c r="W35" i="1"/>
  <c r="G413" i="2"/>
  <c r="G486" i="2" s="1"/>
  <c r="D6" i="8"/>
  <c r="F6" i="8" s="1"/>
  <c r="G43" i="15"/>
  <c r="G45" i="15" s="1"/>
  <c r="I47" i="15"/>
  <c r="O91" i="15"/>
  <c r="D12" i="9"/>
  <c r="F12" i="9" s="1"/>
  <c r="D12" i="8"/>
  <c r="F12" i="8" s="1"/>
  <c r="O135" i="15"/>
  <c r="R135" i="15" s="1"/>
  <c r="I17" i="15" s="1"/>
  <c r="O426" i="2" s="1"/>
  <c r="Q20" i="15"/>
  <c r="O421" i="2"/>
  <c r="T460" i="2"/>
  <c r="T467" i="2" s="1"/>
  <c r="R417" i="2"/>
  <c r="R419" i="2" s="1"/>
  <c r="Q21" i="15"/>
  <c r="AG412" i="2"/>
  <c r="J43" i="15"/>
  <c r="J45" i="15" s="1"/>
  <c r="D6" i="9"/>
  <c r="F6" i="9" s="1"/>
  <c r="E43" i="15"/>
  <c r="E45" i="15" s="1"/>
  <c r="Q9" i="15"/>
  <c r="P407" i="2"/>
  <c r="AG407" i="2" s="1"/>
  <c r="AH407" i="2" s="1"/>
  <c r="L53" i="15"/>
  <c r="L55" i="15" s="1"/>
  <c r="O81" i="15"/>
  <c r="G416" i="2"/>
  <c r="G417" i="2" s="1"/>
  <c r="G418" i="2" s="1"/>
  <c r="M43" i="15"/>
  <c r="M45" i="15" s="1"/>
  <c r="Q17" i="15"/>
  <c r="Q12" i="15"/>
  <c r="L43" i="15"/>
  <c r="L45" i="15" s="1"/>
  <c r="Q22" i="15"/>
  <c r="D15" i="15"/>
  <c r="O155" i="15"/>
  <c r="R155" i="15" s="1"/>
  <c r="I19" i="15" s="1"/>
  <c r="Q426" i="2" s="1"/>
  <c r="G53" i="15"/>
  <c r="G55" i="15" s="1"/>
  <c r="Q15" i="15"/>
  <c r="Q14" i="15"/>
  <c r="D53" i="15"/>
  <c r="D55" i="15" s="1"/>
  <c r="H53" i="15"/>
  <c r="H55" i="15" s="1"/>
  <c r="E412" i="2"/>
  <c r="V345" i="2" s="1"/>
  <c r="Q18" i="15"/>
  <c r="O141" i="15"/>
  <c r="S175" i="15"/>
  <c r="J21" i="15" s="1"/>
  <c r="S425" i="2" s="1"/>
  <c r="A59" i="15"/>
  <c r="J413" i="2"/>
  <c r="J486" i="2" s="1"/>
  <c r="N12" i="15"/>
  <c r="A69" i="15"/>
  <c r="O145" i="15"/>
  <c r="R145" i="15" s="1"/>
  <c r="I18" i="15" s="1"/>
  <c r="P426" i="2" s="1"/>
  <c r="O165" i="15"/>
  <c r="R165" i="15" s="1"/>
  <c r="I20" i="15" s="1"/>
  <c r="R426" i="2" s="1"/>
  <c r="O175" i="15"/>
  <c r="R175" i="15" s="1"/>
  <c r="O107" i="15"/>
  <c r="F14" i="15" s="1"/>
  <c r="L428" i="2" s="1"/>
  <c r="O25" i="15"/>
  <c r="Q8" i="15"/>
  <c r="Q23" i="15"/>
  <c r="C47" i="15"/>
  <c r="AH422" i="2"/>
  <c r="Q417" i="2"/>
  <c r="Q419" i="2" s="1"/>
  <c r="Q25" i="15"/>
  <c r="D23" i="15"/>
  <c r="D22" i="15"/>
  <c r="J53" i="15"/>
  <c r="J55" i="15" s="1"/>
  <c r="N53" i="15"/>
  <c r="N55" i="15" s="1"/>
  <c r="M9" i="15"/>
  <c r="Q13" i="15"/>
  <c r="Q16" i="15"/>
  <c r="Q11" i="15"/>
  <c r="Q19" i="15"/>
  <c r="H413" i="2"/>
  <c r="H486" i="2" s="1"/>
  <c r="D8" i="15"/>
  <c r="N47" i="15"/>
  <c r="O61" i="15"/>
  <c r="S195" i="15"/>
  <c r="J23" i="15" s="1"/>
  <c r="U425" i="2" s="1"/>
  <c r="P419" i="2"/>
  <c r="P418" i="2"/>
  <c r="P422" i="2" s="1"/>
  <c r="S419" i="2"/>
  <c r="S418" i="2"/>
  <c r="S422" i="2" s="1"/>
  <c r="O187" i="15"/>
  <c r="F22" i="15" s="1"/>
  <c r="T428" i="2" s="1"/>
  <c r="T446" i="2" s="1"/>
  <c r="T453" i="2" s="1"/>
  <c r="U418" i="2"/>
  <c r="O177" i="15"/>
  <c r="F21" i="15" s="1"/>
  <c r="S428" i="2" s="1"/>
  <c r="S446" i="2" s="1"/>
  <c r="U421" i="2"/>
  <c r="P147" i="15"/>
  <c r="G18" i="15" s="1"/>
  <c r="P167" i="15"/>
  <c r="G20" i="15" s="1"/>
  <c r="O71" i="15"/>
  <c r="D11" i="15"/>
  <c r="O125" i="15"/>
  <c r="R125" i="15" s="1"/>
  <c r="I16" i="15" s="1"/>
  <c r="N426" i="2" s="1"/>
  <c r="F53" i="15"/>
  <c r="F55" i="15" s="1"/>
  <c r="S145" i="15"/>
  <c r="J18" i="15" s="1"/>
  <c r="P425" i="2" s="1"/>
  <c r="O185" i="15"/>
  <c r="R185" i="15" s="1"/>
  <c r="I22" i="15" s="1"/>
  <c r="T426" i="2" s="1"/>
  <c r="T479" i="2" s="1"/>
  <c r="A39" i="15"/>
  <c r="P107" i="15"/>
  <c r="G14" i="15" s="1"/>
  <c r="C25" i="15"/>
  <c r="C28" i="15" s="1"/>
  <c r="C29" i="15" s="1"/>
  <c r="M8" i="15"/>
  <c r="K53" i="15"/>
  <c r="K55" i="15" s="1"/>
  <c r="S165" i="15"/>
  <c r="J20" i="15" s="1"/>
  <c r="R425" i="2" s="1"/>
  <c r="E53" i="15"/>
  <c r="E55" i="15" s="1"/>
  <c r="I53" i="15"/>
  <c r="I55" i="15" s="1"/>
  <c r="M53" i="15"/>
  <c r="M55" i="15" s="1"/>
  <c r="P137" i="15"/>
  <c r="G17" i="15" s="1"/>
  <c r="O137" i="15"/>
  <c r="F17" i="15" s="1"/>
  <c r="O428" i="2" s="1"/>
  <c r="O446" i="2" s="1"/>
  <c r="D45" i="15"/>
  <c r="D17" i="15"/>
  <c r="O131" i="15"/>
  <c r="O151" i="15"/>
  <c r="D19" i="15"/>
  <c r="O161" i="15"/>
  <c r="D20" i="15"/>
  <c r="I416" i="2"/>
  <c r="M11" i="15"/>
  <c r="O117" i="15"/>
  <c r="F15" i="15" s="1"/>
  <c r="M428" i="2" s="1"/>
  <c r="M476" i="2" s="1"/>
  <c r="M477" i="2" s="1"/>
  <c r="P117" i="15"/>
  <c r="G15" i="15" s="1"/>
  <c r="P127" i="15"/>
  <c r="G16" i="15" s="1"/>
  <c r="D14" i="15"/>
  <c r="O195" i="15"/>
  <c r="R195" i="15" s="1"/>
  <c r="I23" i="15" s="1"/>
  <c r="U426" i="2" s="1"/>
  <c r="U479" i="2" s="1"/>
  <c r="P197" i="15"/>
  <c r="G23" i="15" s="1"/>
  <c r="O197" i="15"/>
  <c r="F23" i="15" s="1"/>
  <c r="U428" i="2" s="1"/>
  <c r="U446" i="2" s="1"/>
  <c r="U476" i="2" s="1"/>
  <c r="U477" i="2" s="1"/>
  <c r="M417" i="2"/>
  <c r="M419" i="2" s="1"/>
  <c r="T418" i="2"/>
  <c r="T419" i="2"/>
  <c r="H43" i="15"/>
  <c r="H47" i="15"/>
  <c r="O147" i="15"/>
  <c r="F18" i="15" s="1"/>
  <c r="P428" i="2" s="1"/>
  <c r="P446" i="2" s="1"/>
  <c r="P177" i="15"/>
  <c r="G21" i="15" s="1"/>
  <c r="N417" i="2"/>
  <c r="N421" i="2"/>
  <c r="O157" i="15"/>
  <c r="F19" i="15" s="1"/>
  <c r="Q428" i="2" s="1"/>
  <c r="Q446" i="2" s="1"/>
  <c r="Q476" i="2" s="1"/>
  <c r="Q477" i="2" s="1"/>
  <c r="O171" i="15"/>
  <c r="D21" i="15"/>
  <c r="P187" i="15"/>
  <c r="G22" i="15" s="1"/>
  <c r="O127" i="15"/>
  <c r="F16" i="15" s="1"/>
  <c r="N428" i="2" s="1"/>
  <c r="N446" i="2" s="1"/>
  <c r="N476" i="2" s="1"/>
  <c r="N477" i="2" s="1"/>
  <c r="O418" i="2"/>
  <c r="O422" i="2" s="1"/>
  <c r="O419" i="2"/>
  <c r="O115" i="15"/>
  <c r="R115" i="15" s="1"/>
  <c r="S115" i="15"/>
  <c r="J15" i="15" s="1"/>
  <c r="M425" i="2" s="1"/>
  <c r="S135" i="15"/>
  <c r="J17" i="15" s="1"/>
  <c r="O425" i="2" s="1"/>
  <c r="P157" i="15"/>
  <c r="G19" i="15" s="1"/>
  <c r="S155" i="15"/>
  <c r="J19" i="15" s="1"/>
  <c r="Q425" i="2" s="1"/>
  <c r="O167" i="15"/>
  <c r="F20" i="15" s="1"/>
  <c r="R428" i="2" s="1"/>
  <c r="R446" i="2" s="1"/>
  <c r="R476" i="2" s="1"/>
  <c r="R477" i="2" s="1"/>
  <c r="S185" i="15"/>
  <c r="J22" i="15" s="1"/>
  <c r="T425" i="2" s="1"/>
  <c r="D11" i="9"/>
  <c r="F11" i="9" s="1"/>
  <c r="M13" i="15"/>
  <c r="K416" i="2"/>
  <c r="K417" i="2" s="1"/>
  <c r="K419" i="2" s="1"/>
  <c r="L416" i="2"/>
  <c r="M14" i="15"/>
  <c r="D10" i="8"/>
  <c r="F10" i="8" s="1"/>
  <c r="J416" i="2"/>
  <c r="M12" i="15"/>
  <c r="S125" i="15"/>
  <c r="J16" i="15" s="1"/>
  <c r="N425" i="2" s="1"/>
  <c r="K413" i="2"/>
  <c r="N13" i="15"/>
  <c r="P415" i="2"/>
  <c r="P486" i="2"/>
  <c r="U432" i="2"/>
  <c r="U460" i="2"/>
  <c r="G126" i="1"/>
  <c r="I476" i="2"/>
  <c r="I453" i="2"/>
  <c r="N18" i="15"/>
  <c r="G412" i="1"/>
  <c r="H416" i="2"/>
  <c r="L13" i="15"/>
  <c r="A89" i="15"/>
  <c r="D9" i="8"/>
  <c r="D9" i="9"/>
  <c r="F9" i="9" s="1"/>
  <c r="F8" i="8"/>
  <c r="H88" i="18" a="1"/>
  <c r="S382" i="1"/>
  <c r="A49" i="15"/>
  <c r="D8" i="9"/>
  <c r="F8" i="9" s="1"/>
  <c r="Z477" i="2"/>
  <c r="M10" i="15"/>
  <c r="A79" i="15"/>
  <c r="D10" i="9"/>
  <c r="F10" i="9" s="1"/>
  <c r="D11" i="8"/>
  <c r="F11" i="8" s="1"/>
  <c r="H42" i="18" a="1"/>
  <c r="X345" i="2" l="1"/>
  <c r="V344" i="2"/>
  <c r="AB344" i="2"/>
  <c r="X344" i="2"/>
  <c r="AF344" i="2"/>
  <c r="AA344" i="2"/>
  <c r="W345" i="2"/>
  <c r="AC344" i="2"/>
  <c r="AC345" i="2"/>
  <c r="Z345" i="2"/>
  <c r="AB345" i="2"/>
  <c r="AD344" i="2"/>
  <c r="AE344" i="2"/>
  <c r="Y344" i="2"/>
  <c r="AE345" i="2"/>
  <c r="Z344" i="2"/>
  <c r="AA345" i="2"/>
  <c r="AD345" i="2"/>
  <c r="Y345" i="2"/>
  <c r="W344" i="2"/>
  <c r="AF345" i="2"/>
  <c r="H476" i="2"/>
  <c r="H477" i="2" s="1"/>
  <c r="M413" i="2"/>
  <c r="M486" i="2" s="1"/>
  <c r="F413" i="2"/>
  <c r="F486" i="2" s="1"/>
  <c r="G453" i="2"/>
  <c r="M26" i="15"/>
  <c r="J453" i="2"/>
  <c r="K421" i="2"/>
  <c r="K422" i="2"/>
  <c r="F422" i="2"/>
  <c r="L446" i="2"/>
  <c r="L453" i="2" s="1"/>
  <c r="F438" i="1"/>
  <c r="F237" i="1"/>
  <c r="F285" i="1" s="1"/>
  <c r="F129" i="1" s="1"/>
  <c r="P393" i="2"/>
  <c r="P345" i="2"/>
  <c r="P341" i="2"/>
  <c r="P358" i="2" s="1"/>
  <c r="P344" i="2"/>
  <c r="P359" i="2"/>
  <c r="U139" i="1"/>
  <c r="G415" i="2"/>
  <c r="M453" i="2"/>
  <c r="O103" i="15"/>
  <c r="N415" i="2"/>
  <c r="N16" i="15"/>
  <c r="AB347" i="2"/>
  <c r="F93" i="1"/>
  <c r="F101" i="1"/>
  <c r="F126" i="1" s="1"/>
  <c r="F233" i="1"/>
  <c r="F264" i="1" s="1"/>
  <c r="S293" i="1"/>
  <c r="S149" i="1"/>
  <c r="S159" i="1" s="1"/>
  <c r="S170" i="1" s="1"/>
  <c r="S80" i="1"/>
  <c r="M106" i="1"/>
  <c r="S333" i="1"/>
  <c r="S343" i="1" s="1"/>
  <c r="S354" i="1" s="1"/>
  <c r="S106" i="1"/>
  <c r="AA149" i="1"/>
  <c r="AA159" i="1" s="1"/>
  <c r="AA170" i="1" s="1"/>
  <c r="AA85" i="1"/>
  <c r="M333" i="1"/>
  <c r="M343" i="1" s="1"/>
  <c r="M149" i="1"/>
  <c r="M159" i="1" s="1"/>
  <c r="M80" i="1"/>
  <c r="M85" i="1"/>
  <c r="AA80" i="1"/>
  <c r="R333" i="1"/>
  <c r="R343" i="1" s="1"/>
  <c r="R354" i="1" s="1"/>
  <c r="AA106" i="1"/>
  <c r="AA333" i="1"/>
  <c r="AA343" i="1" s="1"/>
  <c r="AA354" i="1" s="1"/>
  <c r="T476" i="2"/>
  <c r="T477" i="2" s="1"/>
  <c r="E416" i="2"/>
  <c r="S65" i="15"/>
  <c r="J10" i="15" s="1"/>
  <c r="H425" i="2" s="1"/>
  <c r="F421" i="2"/>
  <c r="I194" i="1"/>
  <c r="I372" i="1"/>
  <c r="W136" i="1"/>
  <c r="U89" i="1"/>
  <c r="U397" i="1"/>
  <c r="H185" i="1"/>
  <c r="R188" i="1"/>
  <c r="U137" i="1"/>
  <c r="Y404" i="1"/>
  <c r="U138" i="1"/>
  <c r="U78" i="1"/>
  <c r="U310" i="1"/>
  <c r="R86" i="1"/>
  <c r="U387" i="1"/>
  <c r="M387" i="1"/>
  <c r="K188" i="1"/>
  <c r="AA136" i="1"/>
  <c r="H196" i="1"/>
  <c r="M211" i="1"/>
  <c r="H188" i="1"/>
  <c r="AA196" i="1"/>
  <c r="M378" i="1"/>
  <c r="R85" i="1"/>
  <c r="M310" i="1"/>
  <c r="S107" i="1"/>
  <c r="I183" i="1"/>
  <c r="M306" i="1"/>
  <c r="AA189" i="1"/>
  <c r="Y85" i="1"/>
  <c r="M202" i="1"/>
  <c r="S183" i="1"/>
  <c r="AA369" i="1"/>
  <c r="H306" i="1"/>
  <c r="AA192" i="1"/>
  <c r="R192" i="1"/>
  <c r="M183" i="1"/>
  <c r="W106" i="1"/>
  <c r="P170" i="1"/>
  <c r="Y333" i="1"/>
  <c r="Y343" i="1" s="1"/>
  <c r="Y354" i="1" s="1"/>
  <c r="M89" i="1"/>
  <c r="M105" i="1"/>
  <c r="I371" i="1"/>
  <c r="I191" i="1"/>
  <c r="R294" i="1"/>
  <c r="M196" i="1"/>
  <c r="R194" i="1"/>
  <c r="Y80" i="1"/>
  <c r="Y149" i="1"/>
  <c r="Y159" i="1" s="1"/>
  <c r="Y170" i="1" s="1"/>
  <c r="H187" i="1"/>
  <c r="H183" i="1"/>
  <c r="P80" i="1"/>
  <c r="K367" i="1"/>
  <c r="H190" i="1"/>
  <c r="H189" i="1"/>
  <c r="P333" i="1"/>
  <c r="P343" i="1" s="1"/>
  <c r="P354" i="1" s="1"/>
  <c r="M388" i="1"/>
  <c r="H191" i="1"/>
  <c r="R193" i="1"/>
  <c r="Y106" i="1"/>
  <c r="H186" i="1"/>
  <c r="K190" i="1"/>
  <c r="H194" i="1"/>
  <c r="H372" i="1"/>
  <c r="AB304" i="1"/>
  <c r="AC304" i="1" s="1"/>
  <c r="Y189" i="1"/>
  <c r="K390" i="1"/>
  <c r="I368" i="1"/>
  <c r="S186" i="1"/>
  <c r="I189" i="1"/>
  <c r="S366" i="1"/>
  <c r="I186" i="1"/>
  <c r="U136" i="1"/>
  <c r="Y227" i="1"/>
  <c r="I196" i="1"/>
  <c r="I197" i="1"/>
  <c r="I185" i="1"/>
  <c r="U202" i="1"/>
  <c r="U388" i="1"/>
  <c r="U56" i="1"/>
  <c r="U64" i="1" s="1"/>
  <c r="R371" i="1"/>
  <c r="R366" i="1"/>
  <c r="W378" i="1"/>
  <c r="S202" i="1"/>
  <c r="U105" i="1"/>
  <c r="U220" i="1"/>
  <c r="W149" i="1"/>
  <c r="W159" i="1" s="1"/>
  <c r="W170" i="1" s="1"/>
  <c r="I190" i="1"/>
  <c r="R373" i="1"/>
  <c r="K85" i="1"/>
  <c r="I192" i="1"/>
  <c r="I369" i="1"/>
  <c r="I188" i="1"/>
  <c r="S189" i="1"/>
  <c r="S191" i="1"/>
  <c r="W397" i="1"/>
  <c r="W387" i="1"/>
  <c r="I373" i="1"/>
  <c r="U227" i="1"/>
  <c r="I86" i="1"/>
  <c r="I107" i="1"/>
  <c r="I370" i="1"/>
  <c r="I195" i="1"/>
  <c r="U306" i="1"/>
  <c r="I56" i="1"/>
  <c r="I10" i="1" s="1"/>
  <c r="R370" i="1"/>
  <c r="U87" i="1"/>
  <c r="S306" i="1"/>
  <c r="U404" i="1"/>
  <c r="R195" i="1"/>
  <c r="AB203" i="1"/>
  <c r="AC203" i="1" s="1"/>
  <c r="K196" i="1"/>
  <c r="Y89" i="1"/>
  <c r="R367" i="1"/>
  <c r="R369" i="1"/>
  <c r="R186" i="1"/>
  <c r="M191" i="1"/>
  <c r="M194" i="1"/>
  <c r="S139" i="1"/>
  <c r="R184" i="1"/>
  <c r="R293" i="1"/>
  <c r="W333" i="1"/>
  <c r="W343" i="1" s="1"/>
  <c r="W354" i="1" s="1"/>
  <c r="R185" i="1"/>
  <c r="R191" i="1"/>
  <c r="R149" i="1"/>
  <c r="R159" i="1" s="1"/>
  <c r="R170" i="1" s="1"/>
  <c r="R80" i="1"/>
  <c r="I106" i="1"/>
  <c r="AB117" i="1"/>
  <c r="AC117" i="1" s="1"/>
  <c r="Y387" i="1"/>
  <c r="K372" i="1"/>
  <c r="M188" i="1"/>
  <c r="Y87" i="1"/>
  <c r="R190" i="1"/>
  <c r="R107" i="1"/>
  <c r="R197" i="1"/>
  <c r="R368" i="1"/>
  <c r="M186" i="1"/>
  <c r="R183" i="1"/>
  <c r="R187" i="1"/>
  <c r="AB110" i="1"/>
  <c r="AC110" i="1" s="1"/>
  <c r="K183" i="1"/>
  <c r="K368" i="1"/>
  <c r="R227" i="1"/>
  <c r="R397" i="1"/>
  <c r="M189" i="1"/>
  <c r="M373" i="1"/>
  <c r="M367" i="1"/>
  <c r="M107" i="1"/>
  <c r="M184" i="1"/>
  <c r="I293" i="1"/>
  <c r="K189" i="1"/>
  <c r="AA186" i="1"/>
  <c r="H139" i="1"/>
  <c r="Y220" i="1"/>
  <c r="K184" i="1"/>
  <c r="K370" i="1"/>
  <c r="K192" i="1"/>
  <c r="K197" i="1"/>
  <c r="S197" i="1"/>
  <c r="K191" i="1"/>
  <c r="M190" i="1"/>
  <c r="S373" i="1"/>
  <c r="H87" i="1"/>
  <c r="Y213" i="1"/>
  <c r="AA188" i="1"/>
  <c r="AA372" i="1"/>
  <c r="AA86" i="1"/>
  <c r="AB204" i="1"/>
  <c r="AC204" i="1" s="1"/>
  <c r="Y306" i="1"/>
  <c r="H89" i="1"/>
  <c r="Y197" i="1"/>
  <c r="K406" i="1"/>
  <c r="M372" i="1"/>
  <c r="M187" i="1"/>
  <c r="M86" i="1"/>
  <c r="M193" i="1"/>
  <c r="I80" i="1"/>
  <c r="K371" i="1"/>
  <c r="AB221" i="1"/>
  <c r="AC221" i="1" s="1"/>
  <c r="O85" i="1"/>
  <c r="K369" i="1"/>
  <c r="AA294" i="1"/>
  <c r="Y78" i="1"/>
  <c r="K185" i="1"/>
  <c r="K187" i="1"/>
  <c r="M371" i="1"/>
  <c r="AA107" i="1"/>
  <c r="Y211" i="1"/>
  <c r="AA191" i="1"/>
  <c r="AA184" i="1"/>
  <c r="AA183" i="1"/>
  <c r="AA195" i="1"/>
  <c r="K373" i="1"/>
  <c r="AB119" i="1"/>
  <c r="AC119" i="1" s="1"/>
  <c r="K333" i="1"/>
  <c r="K343" i="1" s="1"/>
  <c r="K354" i="1" s="1"/>
  <c r="K293" i="1"/>
  <c r="K106" i="1"/>
  <c r="K193" i="1"/>
  <c r="AA190" i="1"/>
  <c r="S187" i="1"/>
  <c r="H227" i="1"/>
  <c r="Y139" i="1"/>
  <c r="K186" i="1"/>
  <c r="K107" i="1"/>
  <c r="K195" i="1"/>
  <c r="E433" i="2"/>
  <c r="E440" i="2" s="1"/>
  <c r="S184" i="1"/>
  <c r="AA185" i="1"/>
  <c r="H108" i="1"/>
  <c r="Y397" i="1"/>
  <c r="AA368" i="1"/>
  <c r="AA187" i="1"/>
  <c r="K366" i="1"/>
  <c r="H78" i="1"/>
  <c r="R56" i="1"/>
  <c r="R65" i="1" s="1"/>
  <c r="M366" i="1"/>
  <c r="M368" i="1"/>
  <c r="M185" i="1"/>
  <c r="S372" i="1"/>
  <c r="K194" i="1"/>
  <c r="S188" i="1"/>
  <c r="K149" i="1"/>
  <c r="K159" i="1" s="1"/>
  <c r="K170" i="1" s="1"/>
  <c r="S213" i="1"/>
  <c r="S89" i="1"/>
  <c r="S387" i="1"/>
  <c r="H373" i="1"/>
  <c r="S190" i="1"/>
  <c r="H387" i="1"/>
  <c r="H368" i="1"/>
  <c r="H197" i="1"/>
  <c r="H371" i="1"/>
  <c r="S368" i="1"/>
  <c r="S195" i="1"/>
  <c r="S369" i="1"/>
  <c r="H136" i="1"/>
  <c r="P85" i="1"/>
  <c r="H138" i="1"/>
  <c r="Y370" i="1"/>
  <c r="R220" i="1"/>
  <c r="AB352" i="1"/>
  <c r="AC352" i="1" s="1"/>
  <c r="R388" i="1"/>
  <c r="S108" i="1"/>
  <c r="S310" i="1"/>
  <c r="S78" i="1"/>
  <c r="S220" i="1"/>
  <c r="H369" i="1"/>
  <c r="H192" i="1"/>
  <c r="S367" i="1"/>
  <c r="S87" i="1"/>
  <c r="U149" i="1"/>
  <c r="U159" i="1" s="1"/>
  <c r="U170" i="1" s="1"/>
  <c r="U85" i="1"/>
  <c r="U293" i="1"/>
  <c r="U333" i="1"/>
  <c r="U343" i="1" s="1"/>
  <c r="U354" i="1" s="1"/>
  <c r="U80" i="1"/>
  <c r="I149" i="1"/>
  <c r="I159" i="1" s="1"/>
  <c r="I170" i="1" s="1"/>
  <c r="I333" i="1"/>
  <c r="I343" i="1" s="1"/>
  <c r="I354" i="1" s="1"/>
  <c r="K56" i="1"/>
  <c r="K294" i="1"/>
  <c r="Y294" i="1"/>
  <c r="Y188" i="1"/>
  <c r="R136" i="1"/>
  <c r="R108" i="1"/>
  <c r="R404" i="1"/>
  <c r="H107" i="1"/>
  <c r="S227" i="1"/>
  <c r="S388" i="1"/>
  <c r="S105" i="1"/>
  <c r="S211" i="1"/>
  <c r="S138" i="1"/>
  <c r="H56" i="1"/>
  <c r="H66" i="1" s="1"/>
  <c r="H86" i="1"/>
  <c r="AB403" i="1"/>
  <c r="AC403" i="1" s="1"/>
  <c r="P106" i="1"/>
  <c r="S378" i="1"/>
  <c r="O106" i="1"/>
  <c r="O293" i="1"/>
  <c r="O149" i="1"/>
  <c r="O159" i="1" s="1"/>
  <c r="O170" i="1" s="1"/>
  <c r="S294" i="1"/>
  <c r="S193" i="1"/>
  <c r="S196" i="1"/>
  <c r="S192" i="1"/>
  <c r="H366" i="1"/>
  <c r="S56" i="1"/>
  <c r="S73" i="1" s="1"/>
  <c r="H220" i="1"/>
  <c r="H370" i="1"/>
  <c r="H367" i="1"/>
  <c r="H184" i="1"/>
  <c r="S185" i="1"/>
  <c r="H193" i="1"/>
  <c r="S370" i="1"/>
  <c r="H378" i="1"/>
  <c r="H105" i="1"/>
  <c r="AB398" i="1"/>
  <c r="AC398" i="1" s="1"/>
  <c r="AB402" i="1"/>
  <c r="AC402" i="1" s="1"/>
  <c r="P293" i="1"/>
  <c r="AB380" i="1"/>
  <c r="AC380" i="1" s="1"/>
  <c r="AB296" i="1"/>
  <c r="AC296" i="1" s="1"/>
  <c r="AB207" i="1"/>
  <c r="AC207" i="1" s="1"/>
  <c r="AB384" i="1"/>
  <c r="AC384" i="1" s="1"/>
  <c r="AB116" i="1"/>
  <c r="AC116" i="1" s="1"/>
  <c r="AB383" i="1"/>
  <c r="AC383" i="1" s="1"/>
  <c r="Y56" i="1"/>
  <c r="Y10" i="1" s="1"/>
  <c r="Y107" i="1"/>
  <c r="R202" i="1"/>
  <c r="S397" i="1"/>
  <c r="S404" i="1"/>
  <c r="S137" i="1"/>
  <c r="H294" i="1"/>
  <c r="AB295" i="1"/>
  <c r="AC295" i="1" s="1"/>
  <c r="AB262" i="1"/>
  <c r="AC262" i="1" s="1"/>
  <c r="S194" i="1"/>
  <c r="S371" i="1"/>
  <c r="O333" i="1"/>
  <c r="O343" i="1" s="1"/>
  <c r="O354" i="1" s="1"/>
  <c r="W293" i="1"/>
  <c r="W85" i="1"/>
  <c r="R189" i="1"/>
  <c r="R196" i="1"/>
  <c r="I184" i="1"/>
  <c r="I367" i="1"/>
  <c r="I193" i="1"/>
  <c r="I294" i="1"/>
  <c r="I187" i="1"/>
  <c r="H333" i="1"/>
  <c r="H343" i="1" s="1"/>
  <c r="H354" i="1" s="1"/>
  <c r="H80" i="1"/>
  <c r="H85" i="1"/>
  <c r="H293" i="1"/>
  <c r="H149" i="1"/>
  <c r="H159" i="1" s="1"/>
  <c r="H170" i="1" s="1"/>
  <c r="H106" i="1"/>
  <c r="AB305" i="1"/>
  <c r="AC305" i="1" s="1"/>
  <c r="AB386" i="1"/>
  <c r="AC386" i="1" s="1"/>
  <c r="AB210" i="1"/>
  <c r="AC210" i="1" s="1"/>
  <c r="AB421" i="1"/>
  <c r="AC421" i="1" s="1"/>
  <c r="AA138" i="1"/>
  <c r="AB24" i="1"/>
  <c r="AC24" i="1" s="1"/>
  <c r="W388" i="1"/>
  <c r="W105" i="1"/>
  <c r="W137" i="1"/>
  <c r="W227" i="1"/>
  <c r="W213" i="1"/>
  <c r="W211" i="1"/>
  <c r="W78" i="1"/>
  <c r="W202" i="1"/>
  <c r="W89" i="1"/>
  <c r="W310" i="1"/>
  <c r="W306" i="1"/>
  <c r="M404" i="1"/>
  <c r="M220" i="1"/>
  <c r="M87" i="1"/>
  <c r="AA56" i="1"/>
  <c r="AA58" i="1" s="1"/>
  <c r="K215" i="1"/>
  <c r="AB118" i="1"/>
  <c r="AC118" i="1" s="1"/>
  <c r="AB225" i="1"/>
  <c r="AC225" i="1" s="1"/>
  <c r="AB208" i="1"/>
  <c r="AC208" i="1" s="1"/>
  <c r="AB302" i="1"/>
  <c r="AC302" i="1" s="1"/>
  <c r="AA87" i="1"/>
  <c r="AB303" i="1"/>
  <c r="AC303" i="1" s="1"/>
  <c r="W87" i="1"/>
  <c r="W139" i="1"/>
  <c r="Y105" i="1"/>
  <c r="Y136" i="1"/>
  <c r="Y310" i="1"/>
  <c r="Y138" i="1"/>
  <c r="Y108" i="1"/>
  <c r="Y202" i="1"/>
  <c r="Y388" i="1"/>
  <c r="Y137" i="1"/>
  <c r="R211" i="1"/>
  <c r="R306" i="1"/>
  <c r="R105" i="1"/>
  <c r="R137" i="1"/>
  <c r="R89" i="1"/>
  <c r="R387" i="1"/>
  <c r="R78" i="1"/>
  <c r="R87" i="1"/>
  <c r="R378" i="1"/>
  <c r="R138" i="1"/>
  <c r="R139" i="1"/>
  <c r="R213" i="1"/>
  <c r="M370" i="1"/>
  <c r="M192" i="1"/>
  <c r="M195" i="1"/>
  <c r="M369" i="1"/>
  <c r="M197" i="1"/>
  <c r="AA202" i="1"/>
  <c r="AA89" i="1"/>
  <c r="AA137" i="1"/>
  <c r="AA310" i="1"/>
  <c r="AA388" i="1"/>
  <c r="AA105" i="1"/>
  <c r="AA139" i="1"/>
  <c r="AA213" i="1"/>
  <c r="AA397" i="1"/>
  <c r="AA108" i="1"/>
  <c r="AA404" i="1"/>
  <c r="AA387" i="1"/>
  <c r="AA78" i="1"/>
  <c r="AA227" i="1"/>
  <c r="AA229" i="1" s="1"/>
  <c r="AB379" i="1"/>
  <c r="AC379" i="1" s="1"/>
  <c r="AA211" i="1"/>
  <c r="M139" i="1"/>
  <c r="M397" i="1"/>
  <c r="M136" i="1"/>
  <c r="M137" i="1"/>
  <c r="M213" i="1"/>
  <c r="M108" i="1"/>
  <c r="M56" i="1"/>
  <c r="M66" i="1" s="1"/>
  <c r="AB436" i="1"/>
  <c r="AC436" i="1" s="1"/>
  <c r="AB226" i="1"/>
  <c r="AC226" i="1" s="1"/>
  <c r="AA378" i="1"/>
  <c r="AA306" i="1"/>
  <c r="W108" i="1"/>
  <c r="K229" i="1"/>
  <c r="W404" i="1"/>
  <c r="W220" i="1"/>
  <c r="M78" i="1"/>
  <c r="M227" i="1"/>
  <c r="H137" i="1"/>
  <c r="H404" i="1"/>
  <c r="H310" i="1"/>
  <c r="H397" i="1"/>
  <c r="H211" i="1"/>
  <c r="H388" i="1"/>
  <c r="H213" i="1"/>
  <c r="U108" i="1"/>
  <c r="U211" i="1"/>
  <c r="U378" i="1"/>
  <c r="Y86" i="1"/>
  <c r="Y196" i="1"/>
  <c r="Y369" i="1"/>
  <c r="Y366" i="1"/>
  <c r="Y195" i="1"/>
  <c r="Y184" i="1"/>
  <c r="Y192" i="1"/>
  <c r="Y372" i="1"/>
  <c r="Y371" i="1"/>
  <c r="Y186" i="1"/>
  <c r="Y187" i="1"/>
  <c r="Y183" i="1"/>
  <c r="Y194" i="1"/>
  <c r="Y373" i="1"/>
  <c r="Y193" i="1"/>
  <c r="Y367" i="1"/>
  <c r="Y185" i="1"/>
  <c r="Y191" i="1"/>
  <c r="Y368" i="1"/>
  <c r="AB168" i="1"/>
  <c r="AC168" i="1" s="1"/>
  <c r="O192" i="1"/>
  <c r="O189" i="1"/>
  <c r="O190" i="1"/>
  <c r="O369" i="1"/>
  <c r="O371" i="1"/>
  <c r="O86" i="1"/>
  <c r="O191" i="1"/>
  <c r="O183" i="1"/>
  <c r="O372" i="1"/>
  <c r="O186" i="1"/>
  <c r="O107" i="1"/>
  <c r="O366" i="1"/>
  <c r="O188" i="1"/>
  <c r="O195" i="1"/>
  <c r="O294" i="1"/>
  <c r="O196" i="1"/>
  <c r="O194" i="1"/>
  <c r="O185" i="1"/>
  <c r="O370" i="1"/>
  <c r="O187" i="1"/>
  <c r="O193" i="1"/>
  <c r="O373" i="1"/>
  <c r="O197" i="1"/>
  <c r="O184" i="1"/>
  <c r="O368" i="1"/>
  <c r="O367" i="1"/>
  <c r="AB246" i="1"/>
  <c r="AC246" i="1" s="1"/>
  <c r="AA367" i="1"/>
  <c r="AA370" i="1"/>
  <c r="AA373" i="1"/>
  <c r="AA197" i="1"/>
  <c r="AA371" i="1"/>
  <c r="AA193" i="1"/>
  <c r="AA366" i="1"/>
  <c r="I139" i="1"/>
  <c r="I213" i="1"/>
  <c r="I387" i="1"/>
  <c r="I211" i="1"/>
  <c r="I310" i="1"/>
  <c r="I136" i="1"/>
  <c r="I378" i="1"/>
  <c r="I227" i="1"/>
  <c r="I138" i="1"/>
  <c r="I78" i="1"/>
  <c r="I388" i="1"/>
  <c r="I306" i="1"/>
  <c r="I87" i="1"/>
  <c r="I105" i="1"/>
  <c r="I108" i="1"/>
  <c r="I137" i="1"/>
  <c r="I220" i="1"/>
  <c r="I202" i="1"/>
  <c r="I89" i="1"/>
  <c r="I397" i="1"/>
  <c r="I404" i="1"/>
  <c r="P186" i="1"/>
  <c r="P194" i="1"/>
  <c r="P197" i="1"/>
  <c r="P86" i="1"/>
  <c r="P368" i="1"/>
  <c r="P189" i="1"/>
  <c r="P183" i="1"/>
  <c r="P188" i="1"/>
  <c r="P366" i="1"/>
  <c r="P367" i="1"/>
  <c r="P371" i="1"/>
  <c r="P185" i="1"/>
  <c r="P369" i="1"/>
  <c r="P373" i="1"/>
  <c r="P187" i="1"/>
  <c r="P372" i="1"/>
  <c r="P196" i="1"/>
  <c r="P370" i="1"/>
  <c r="P191" i="1"/>
  <c r="P294" i="1"/>
  <c r="P107" i="1"/>
  <c r="P190" i="1"/>
  <c r="P193" i="1"/>
  <c r="P192" i="1"/>
  <c r="P184" i="1"/>
  <c r="P195" i="1"/>
  <c r="W196" i="1"/>
  <c r="W86" i="1"/>
  <c r="W367" i="1"/>
  <c r="W192" i="1"/>
  <c r="W194" i="1"/>
  <c r="W368" i="1"/>
  <c r="W189" i="1"/>
  <c r="W183" i="1"/>
  <c r="W188" i="1"/>
  <c r="W370" i="1"/>
  <c r="W193" i="1"/>
  <c r="W371" i="1"/>
  <c r="W195" i="1"/>
  <c r="W197" i="1"/>
  <c r="W190" i="1"/>
  <c r="W191" i="1"/>
  <c r="W369" i="1"/>
  <c r="W294" i="1"/>
  <c r="W366" i="1"/>
  <c r="W186" i="1"/>
  <c r="W187" i="1"/>
  <c r="W56" i="1"/>
  <c r="W185" i="1"/>
  <c r="W373" i="1"/>
  <c r="W107" i="1"/>
  <c r="W184" i="1"/>
  <c r="W372" i="1"/>
  <c r="U86" i="1"/>
  <c r="U371" i="1"/>
  <c r="U192" i="1"/>
  <c r="U184" i="1"/>
  <c r="U185" i="1"/>
  <c r="U190" i="1"/>
  <c r="U194" i="1"/>
  <c r="U187" i="1"/>
  <c r="U196" i="1"/>
  <c r="U188" i="1"/>
  <c r="U191" i="1"/>
  <c r="U294" i="1"/>
  <c r="U373" i="1"/>
  <c r="U372" i="1"/>
  <c r="U367" i="1"/>
  <c r="U193" i="1"/>
  <c r="U368" i="1"/>
  <c r="U366" i="1"/>
  <c r="U107" i="1"/>
  <c r="U370" i="1"/>
  <c r="U186" i="1"/>
  <c r="U369" i="1"/>
  <c r="U515" i="1" s="1"/>
  <c r="U195" i="1"/>
  <c r="U183" i="1"/>
  <c r="U189" i="1"/>
  <c r="U197" i="1"/>
  <c r="AB109" i="1"/>
  <c r="AC109" i="1" s="1"/>
  <c r="AB35" i="1"/>
  <c r="AC35" i="1" s="1"/>
  <c r="S95" i="15"/>
  <c r="J13" i="15" s="1"/>
  <c r="K425" i="2" s="1"/>
  <c r="O65" i="15"/>
  <c r="R65" i="15" s="1"/>
  <c r="S55" i="15"/>
  <c r="J9" i="15" s="1"/>
  <c r="G425" i="2" s="1"/>
  <c r="R453" i="2"/>
  <c r="U453" i="2"/>
  <c r="N15" i="15"/>
  <c r="S313" i="2"/>
  <c r="N8" i="15"/>
  <c r="Z347" i="2"/>
  <c r="O313" i="2"/>
  <c r="L347" i="2"/>
  <c r="G347" i="2"/>
  <c r="H347" i="2"/>
  <c r="Q313" i="2"/>
  <c r="R418" i="2"/>
  <c r="R422" i="2" s="1"/>
  <c r="Z313" i="2"/>
  <c r="M347" i="2"/>
  <c r="W347" i="2"/>
  <c r="F313" i="2"/>
  <c r="F401" i="2" s="1"/>
  <c r="U313" i="2"/>
  <c r="N347" i="2"/>
  <c r="R313" i="2"/>
  <c r="X347" i="2"/>
  <c r="T165" i="15"/>
  <c r="K20" i="15" s="1"/>
  <c r="R424" i="2" s="1"/>
  <c r="P313" i="2"/>
  <c r="AH412" i="2"/>
  <c r="AA347" i="2"/>
  <c r="AA313" i="2"/>
  <c r="G419" i="2"/>
  <c r="G422" i="2" s="1"/>
  <c r="H313" i="2"/>
  <c r="H401" i="2" s="1"/>
  <c r="AD313" i="2"/>
  <c r="Y347" i="2"/>
  <c r="Y313" i="2"/>
  <c r="G313" i="2"/>
  <c r="G401" i="2" s="1"/>
  <c r="O347" i="2"/>
  <c r="AF313" i="2"/>
  <c r="AF347" i="2"/>
  <c r="T313" i="2"/>
  <c r="S421" i="2"/>
  <c r="V347" i="2"/>
  <c r="K313" i="2"/>
  <c r="P347" i="2"/>
  <c r="K347" i="2"/>
  <c r="I313" i="2"/>
  <c r="I401" i="2" s="1"/>
  <c r="AB313" i="2"/>
  <c r="J313" i="2"/>
  <c r="AE313" i="2"/>
  <c r="S347" i="2"/>
  <c r="T347" i="2"/>
  <c r="F347" i="2"/>
  <c r="AC313" i="2"/>
  <c r="AC347" i="2"/>
  <c r="Q418" i="2"/>
  <c r="Q422" i="2" s="1"/>
  <c r="R347" i="2"/>
  <c r="V313" i="2"/>
  <c r="AD347" i="2"/>
  <c r="W313" i="2"/>
  <c r="X313" i="2"/>
  <c r="U347" i="2"/>
  <c r="AE347" i="2"/>
  <c r="I347" i="2"/>
  <c r="M313" i="2"/>
  <c r="L313" i="2"/>
  <c r="N313" i="2"/>
  <c r="Q347" i="2"/>
  <c r="J347" i="2"/>
  <c r="T145" i="15"/>
  <c r="K18" i="15" s="1"/>
  <c r="P424" i="2" s="1"/>
  <c r="H415" i="2"/>
  <c r="N453" i="2"/>
  <c r="O55" i="15"/>
  <c r="R55" i="15" s="1"/>
  <c r="I9" i="15" s="1"/>
  <c r="G426" i="2" s="1"/>
  <c r="G479" i="2" s="1"/>
  <c r="N22" i="15"/>
  <c r="T413" i="2"/>
  <c r="U413" i="2"/>
  <c r="N23" i="15"/>
  <c r="T175" i="15"/>
  <c r="K21" i="15" s="1"/>
  <c r="S424" i="2" s="1"/>
  <c r="I21" i="15"/>
  <c r="S426" i="2" s="1"/>
  <c r="J415" i="2"/>
  <c r="Q53" i="15"/>
  <c r="H9" i="15" s="1"/>
  <c r="G427" i="2" s="1"/>
  <c r="P421" i="2"/>
  <c r="O53" i="15"/>
  <c r="S476" i="2"/>
  <c r="S477" i="2" s="1"/>
  <c r="S453" i="2"/>
  <c r="F415" i="2"/>
  <c r="E417" i="2"/>
  <c r="AD404" i="2" s="1"/>
  <c r="M25" i="15"/>
  <c r="T195" i="15"/>
  <c r="K23" i="15" s="1"/>
  <c r="U424" i="2" s="1"/>
  <c r="Q453" i="2"/>
  <c r="N11" i="15"/>
  <c r="I413" i="2"/>
  <c r="I486" i="2" s="1"/>
  <c r="I15" i="15"/>
  <c r="M426" i="2" s="1"/>
  <c r="M479" i="2" s="1"/>
  <c r="T115" i="15"/>
  <c r="K15" i="15" s="1"/>
  <c r="M424" i="2" s="1"/>
  <c r="N21" i="15"/>
  <c r="S413" i="2"/>
  <c r="H45" i="15"/>
  <c r="S45" i="15" s="1"/>
  <c r="J8" i="15" s="1"/>
  <c r="F425" i="2" s="1"/>
  <c r="O43" i="15"/>
  <c r="M418" i="2"/>
  <c r="M422" i="2" s="1"/>
  <c r="N14" i="15"/>
  <c r="L413" i="2"/>
  <c r="L488" i="2" s="1"/>
  <c r="D25" i="15"/>
  <c r="Q413" i="2"/>
  <c r="N19" i="15"/>
  <c r="T135" i="15"/>
  <c r="K17" i="15" s="1"/>
  <c r="O424" i="2" s="1"/>
  <c r="T125" i="15"/>
  <c r="K16" i="15" s="1"/>
  <c r="N424" i="2" s="1"/>
  <c r="J417" i="2"/>
  <c r="J419" i="2" s="1"/>
  <c r="J422" i="2" s="1"/>
  <c r="D200" i="15"/>
  <c r="T421" i="2"/>
  <c r="I417" i="2"/>
  <c r="Q63" i="15"/>
  <c r="H10" i="15" s="1"/>
  <c r="H427" i="2" s="1"/>
  <c r="O453" i="2"/>
  <c r="O476" i="2"/>
  <c r="O477" i="2" s="1"/>
  <c r="L417" i="2"/>
  <c r="N419" i="2"/>
  <c r="N418" i="2"/>
  <c r="N422" i="2" s="1"/>
  <c r="P453" i="2"/>
  <c r="P476" i="2"/>
  <c r="P477" i="2" s="1"/>
  <c r="P432" i="2"/>
  <c r="P439" i="2" s="1"/>
  <c r="P460" i="2" s="1"/>
  <c r="P467" i="2" s="1"/>
  <c r="P479" i="2"/>
  <c r="T185" i="15"/>
  <c r="K22" i="15" s="1"/>
  <c r="T424" i="2" s="1"/>
  <c r="R413" i="2"/>
  <c r="N20" i="15"/>
  <c r="Q43" i="15"/>
  <c r="H8" i="15" s="1"/>
  <c r="F427" i="2" s="1"/>
  <c r="T155" i="15"/>
  <c r="K19" i="15" s="1"/>
  <c r="Q424" i="2" s="1"/>
  <c r="K418" i="2"/>
  <c r="O63" i="15"/>
  <c r="P47" i="15"/>
  <c r="G8" i="15" s="1"/>
  <c r="O47" i="15"/>
  <c r="F8" i="15" s="1"/>
  <c r="O413" i="2"/>
  <c r="N17" i="15"/>
  <c r="H44" i="18"/>
  <c r="D44" i="18" s="1"/>
  <c r="I43" i="18"/>
  <c r="H42" i="18"/>
  <c r="D42" i="18" s="1"/>
  <c r="I44" i="18"/>
  <c r="H43" i="18"/>
  <c r="I42" i="18"/>
  <c r="D43" i="18" s="1"/>
  <c r="D49" i="18" s="1"/>
  <c r="D52" i="18" s="1"/>
  <c r="D54" i="18" s="1"/>
  <c r="D55" i="18" s="1"/>
  <c r="S75" i="15"/>
  <c r="J11" i="15" s="1"/>
  <c r="O432" i="2"/>
  <c r="O479" i="2"/>
  <c r="U467" i="2"/>
  <c r="H89" i="18"/>
  <c r="I88" i="18"/>
  <c r="D89" i="18" s="1"/>
  <c r="D95" i="18" s="1"/>
  <c r="D98" i="18" s="1"/>
  <c r="D100" i="18" s="1"/>
  <c r="D101" i="18" s="1"/>
  <c r="I89" i="18"/>
  <c r="H88" i="18"/>
  <c r="D88" i="18" s="1"/>
  <c r="I90" i="18"/>
  <c r="H90" i="18"/>
  <c r="D90" i="18" s="1"/>
  <c r="U439" i="2"/>
  <c r="R432" i="2"/>
  <c r="R479" i="2"/>
  <c r="D33" i="9"/>
  <c r="H417" i="2"/>
  <c r="AG416" i="2"/>
  <c r="Q479" i="2"/>
  <c r="Q432" i="2"/>
  <c r="N432" i="2"/>
  <c r="N479" i="2"/>
  <c r="F9" i="8"/>
  <c r="D32" i="8"/>
  <c r="I477" i="2"/>
  <c r="F326" i="1"/>
  <c r="F287" i="1"/>
  <c r="F133" i="1"/>
  <c r="K415" i="2"/>
  <c r="P515" i="1" l="1"/>
  <c r="O515" i="1"/>
  <c r="AA515" i="1"/>
  <c r="W515" i="1"/>
  <c r="M515" i="1"/>
  <c r="Y515" i="1"/>
  <c r="K515" i="1"/>
  <c r="R515" i="1"/>
  <c r="S515" i="1"/>
  <c r="M415" i="2"/>
  <c r="AH416" i="2"/>
  <c r="E401" i="2"/>
  <c r="O75" i="15"/>
  <c r="R75" i="15" s="1"/>
  <c r="I11" i="15" s="1"/>
  <c r="I426" i="2" s="1"/>
  <c r="I479" i="2" s="1"/>
  <c r="O73" i="15"/>
  <c r="Q73" i="15"/>
  <c r="H11" i="15" s="1"/>
  <c r="K488" i="2"/>
  <c r="AG488" i="2" s="1"/>
  <c r="AH488" i="2" s="1"/>
  <c r="T404" i="2"/>
  <c r="F144" i="1"/>
  <c r="L476" i="2"/>
  <c r="L477" i="2" s="1"/>
  <c r="R404" i="2"/>
  <c r="S404" i="2"/>
  <c r="X404" i="2"/>
  <c r="Y404" i="2"/>
  <c r="W404" i="2"/>
  <c r="V404" i="2"/>
  <c r="U404" i="2"/>
  <c r="AA404" i="2"/>
  <c r="AB404" i="2"/>
  <c r="AF404" i="2"/>
  <c r="AC404" i="2"/>
  <c r="P404" i="2"/>
  <c r="O404" i="2"/>
  <c r="AE404" i="2"/>
  <c r="F404" i="2"/>
  <c r="Z404" i="2"/>
  <c r="Q404" i="2"/>
  <c r="K345" i="2"/>
  <c r="K341" i="2"/>
  <c r="K359" i="2"/>
  <c r="K344" i="2"/>
  <c r="F393" i="2"/>
  <c r="F344" i="2"/>
  <c r="F341" i="2"/>
  <c r="F345" i="2"/>
  <c r="N393" i="2"/>
  <c r="N344" i="2"/>
  <c r="N345" i="2"/>
  <c r="N341" i="2"/>
  <c r="N358" i="2" s="1"/>
  <c r="N359" i="2"/>
  <c r="H393" i="2"/>
  <c r="H344" i="2"/>
  <c r="H345" i="2"/>
  <c r="H341" i="2"/>
  <c r="H359" i="2"/>
  <c r="M393" i="2"/>
  <c r="M359" i="2"/>
  <c r="M345" i="2"/>
  <c r="M344" i="2"/>
  <c r="M341" i="2"/>
  <c r="M358" i="2" s="1"/>
  <c r="L415" i="2"/>
  <c r="J393" i="2"/>
  <c r="J344" i="2"/>
  <c r="J341" i="2"/>
  <c r="J345" i="2"/>
  <c r="J359" i="2"/>
  <c r="G393" i="2"/>
  <c r="G345" i="2"/>
  <c r="G341" i="2"/>
  <c r="G359" i="2"/>
  <c r="G344" i="2"/>
  <c r="R8" i="1"/>
  <c r="O105" i="15"/>
  <c r="R105" i="15" s="1"/>
  <c r="S105" i="15"/>
  <c r="J14" i="15" s="1"/>
  <c r="L425" i="2" s="1"/>
  <c r="D201" i="15"/>
  <c r="D36" i="15" s="1"/>
  <c r="E200" i="15"/>
  <c r="E201" i="15" s="1"/>
  <c r="E36" i="15" s="1"/>
  <c r="P19" i="15"/>
  <c r="E43" i="4" s="1"/>
  <c r="D28" i="15"/>
  <c r="D29" i="15" s="1"/>
  <c r="S71" i="1"/>
  <c r="Y406" i="1"/>
  <c r="U70" i="1"/>
  <c r="U309" i="1"/>
  <c r="T65" i="15"/>
  <c r="K10" i="15" s="1"/>
  <c r="H424" i="2" s="1"/>
  <c r="S65" i="1"/>
  <c r="S9" i="1"/>
  <c r="S66" i="1"/>
  <c r="S10" i="1"/>
  <c r="U8" i="1"/>
  <c r="U72" i="1"/>
  <c r="U10" i="1"/>
  <c r="S63" i="1"/>
  <c r="S64" i="1"/>
  <c r="U71" i="1"/>
  <c r="S8" i="1"/>
  <c r="S58" i="1"/>
  <c r="U406" i="1"/>
  <c r="U141" i="1"/>
  <c r="U69" i="1"/>
  <c r="U9" i="1"/>
  <c r="U77" i="1"/>
  <c r="Y58" i="1"/>
  <c r="W406" i="1"/>
  <c r="R64" i="1"/>
  <c r="I70" i="1"/>
  <c r="R69" i="1"/>
  <c r="W390" i="1"/>
  <c r="I72" i="1"/>
  <c r="I71" i="1"/>
  <c r="AA65" i="1"/>
  <c r="M215" i="1"/>
  <c r="M390" i="1"/>
  <c r="S229" i="1"/>
  <c r="R10" i="1"/>
  <c r="R71" i="1"/>
  <c r="R309" i="1"/>
  <c r="U68" i="1"/>
  <c r="U58" i="1"/>
  <c r="U67" i="1"/>
  <c r="U73" i="1"/>
  <c r="S69" i="1"/>
  <c r="S72" i="1"/>
  <c r="S68" i="1"/>
  <c r="S70" i="1"/>
  <c r="R63" i="1"/>
  <c r="R9" i="1"/>
  <c r="R68" i="1"/>
  <c r="U66" i="1"/>
  <c r="U65" i="1"/>
  <c r="U63" i="1"/>
  <c r="S77" i="1"/>
  <c r="S309" i="1"/>
  <c r="S67" i="1"/>
  <c r="R72" i="1"/>
  <c r="U390" i="1"/>
  <c r="K408" i="1"/>
  <c r="I8" i="1"/>
  <c r="AB106" i="1"/>
  <c r="AC106" i="1" s="1"/>
  <c r="AB80" i="1"/>
  <c r="AC80" i="1" s="1"/>
  <c r="S406" i="1"/>
  <c r="R406" i="1"/>
  <c r="R229" i="1"/>
  <c r="R199" i="1"/>
  <c r="U229" i="1"/>
  <c r="I65" i="1"/>
  <c r="H71" i="1"/>
  <c r="Y64" i="1"/>
  <c r="H375" i="1"/>
  <c r="M73" i="1"/>
  <c r="I63" i="1"/>
  <c r="I58" i="1"/>
  <c r="I309" i="1"/>
  <c r="H58" i="1"/>
  <c r="I9" i="1"/>
  <c r="I64" i="1"/>
  <c r="I68" i="1"/>
  <c r="I77" i="1"/>
  <c r="I67" i="1"/>
  <c r="I66" i="1"/>
  <c r="I69" i="1"/>
  <c r="H69" i="1"/>
  <c r="Y68" i="1"/>
  <c r="U215" i="1"/>
  <c r="I375" i="1"/>
  <c r="K375" i="1"/>
  <c r="K514" i="1" s="1"/>
  <c r="R375" i="1"/>
  <c r="R514" i="1" s="1"/>
  <c r="H229" i="1"/>
  <c r="I73" i="1"/>
  <c r="H64" i="1"/>
  <c r="Y67" i="1"/>
  <c r="Y229" i="1"/>
  <c r="I199" i="1"/>
  <c r="K199" i="1"/>
  <c r="AG433" i="2"/>
  <c r="AH433" i="2" s="1"/>
  <c r="M199" i="1"/>
  <c r="Y390" i="1"/>
  <c r="M406" i="1"/>
  <c r="W229" i="1"/>
  <c r="AB368" i="1"/>
  <c r="AC368" i="1" s="1"/>
  <c r="AA68" i="1"/>
  <c r="H63" i="1"/>
  <c r="H10" i="1"/>
  <c r="Y71" i="1"/>
  <c r="Y73" i="1"/>
  <c r="AA375" i="1"/>
  <c r="AA514" i="1" s="1"/>
  <c r="H406" i="1"/>
  <c r="Y215" i="1"/>
  <c r="AB189" i="1"/>
  <c r="AC189" i="1" s="1"/>
  <c r="H77" i="1"/>
  <c r="H309" i="1"/>
  <c r="Y69" i="1"/>
  <c r="Y70" i="1"/>
  <c r="M141" i="1"/>
  <c r="S141" i="1"/>
  <c r="M375" i="1"/>
  <c r="M514" i="1" s="1"/>
  <c r="M10" i="1"/>
  <c r="AB149" i="1"/>
  <c r="AC149" i="1" s="1"/>
  <c r="AA9" i="1"/>
  <c r="E435" i="2"/>
  <c r="U435" i="2" s="1"/>
  <c r="U436" i="2" s="1"/>
  <c r="H67" i="1"/>
  <c r="H73" i="1"/>
  <c r="H8" i="1"/>
  <c r="H70" i="1"/>
  <c r="H9" i="1"/>
  <c r="Y66" i="1"/>
  <c r="Y65" i="1"/>
  <c r="Y8" i="1"/>
  <c r="Y72" i="1"/>
  <c r="R390" i="1"/>
  <c r="AB183" i="1"/>
  <c r="AC183" i="1" s="1"/>
  <c r="AB184" i="1"/>
  <c r="AC184" i="1" s="1"/>
  <c r="AA73" i="1"/>
  <c r="M58" i="1"/>
  <c r="AA72" i="1"/>
  <c r="AA69" i="1"/>
  <c r="M64" i="1"/>
  <c r="AA64" i="1"/>
  <c r="AA10" i="1"/>
  <c r="H65" i="1"/>
  <c r="H72" i="1"/>
  <c r="H68" i="1"/>
  <c r="AB193" i="1"/>
  <c r="AC193" i="1" s="1"/>
  <c r="Y309" i="1"/>
  <c r="Y77" i="1"/>
  <c r="Y9" i="1"/>
  <c r="Y63" i="1"/>
  <c r="R215" i="1"/>
  <c r="K231" i="1"/>
  <c r="W215" i="1"/>
  <c r="AB85" i="1"/>
  <c r="AC85" i="1" s="1"/>
  <c r="S199" i="1"/>
  <c r="H199" i="1"/>
  <c r="S215" i="1"/>
  <c r="S375" i="1"/>
  <c r="S514" i="1" s="1"/>
  <c r="H141" i="1"/>
  <c r="S390" i="1"/>
  <c r="R77" i="1"/>
  <c r="R66" i="1"/>
  <c r="R58" i="1"/>
  <c r="R70" i="1"/>
  <c r="R67" i="1"/>
  <c r="R73" i="1"/>
  <c r="AA141" i="1"/>
  <c r="M229" i="1"/>
  <c r="E461" i="2"/>
  <c r="E468" i="2" s="1"/>
  <c r="AB333" i="1"/>
  <c r="AC333" i="1" s="1"/>
  <c r="AB186" i="1"/>
  <c r="AC186" i="1" s="1"/>
  <c r="I406" i="1"/>
  <c r="AB373" i="1"/>
  <c r="AC373" i="1" s="1"/>
  <c r="AB369" i="1"/>
  <c r="AC369" i="1" s="1"/>
  <c r="M72" i="1"/>
  <c r="M8" i="1"/>
  <c r="M65" i="1"/>
  <c r="M77" i="1"/>
  <c r="M71" i="1"/>
  <c r="AA67" i="1"/>
  <c r="AA77" i="1"/>
  <c r="AA63" i="1"/>
  <c r="AA8" i="1"/>
  <c r="AA71" i="1"/>
  <c r="AA199" i="1"/>
  <c r="Y199" i="1"/>
  <c r="AA406" i="1"/>
  <c r="AA390" i="1"/>
  <c r="AA215" i="1"/>
  <c r="AA231" i="1" s="1"/>
  <c r="Y141" i="1"/>
  <c r="W141" i="1"/>
  <c r="AB187" i="1"/>
  <c r="AC187" i="1" s="1"/>
  <c r="M69" i="1"/>
  <c r="M70" i="1"/>
  <c r="M9" i="1"/>
  <c r="M63" i="1"/>
  <c r="M309" i="1"/>
  <c r="M67" i="1"/>
  <c r="M68" i="1"/>
  <c r="AA309" i="1"/>
  <c r="AA70" i="1"/>
  <c r="AA66" i="1"/>
  <c r="AB367" i="1"/>
  <c r="AC367" i="1" s="1"/>
  <c r="AB194" i="1"/>
  <c r="AC194" i="1" s="1"/>
  <c r="AB294" i="1"/>
  <c r="AC294" i="1" s="1"/>
  <c r="H215" i="1"/>
  <c r="AB293" i="1"/>
  <c r="AC293" i="1" s="1"/>
  <c r="K64" i="1"/>
  <c r="K63" i="1"/>
  <c r="K72" i="1"/>
  <c r="K309" i="1"/>
  <c r="K9" i="1"/>
  <c r="K77" i="1"/>
  <c r="K68" i="1"/>
  <c r="K73" i="1"/>
  <c r="K70" i="1"/>
  <c r="K69" i="1"/>
  <c r="K65" i="1"/>
  <c r="K58" i="1"/>
  <c r="K10" i="1"/>
  <c r="K8" i="1"/>
  <c r="K67" i="1"/>
  <c r="K66" i="1"/>
  <c r="K71" i="1"/>
  <c r="R141" i="1"/>
  <c r="H390" i="1"/>
  <c r="AB192" i="1"/>
  <c r="AC192" i="1" s="1"/>
  <c r="AB86" i="1"/>
  <c r="AC86" i="1" s="1"/>
  <c r="AB197" i="1"/>
  <c r="AC197" i="1" s="1"/>
  <c r="AB370" i="1"/>
  <c r="AC370" i="1" s="1"/>
  <c r="Y375" i="1"/>
  <c r="Y514" i="1" s="1"/>
  <c r="AB188" i="1"/>
  <c r="AC188" i="1" s="1"/>
  <c r="AB372" i="1"/>
  <c r="AC372" i="1" s="1"/>
  <c r="AB196" i="1"/>
  <c r="AC196" i="1" s="1"/>
  <c r="AB195" i="1"/>
  <c r="AC195" i="1" s="1"/>
  <c r="AB371" i="1"/>
  <c r="AC371" i="1" s="1"/>
  <c r="AB185" i="1"/>
  <c r="AC185" i="1" s="1"/>
  <c r="AB107" i="1"/>
  <c r="AC107" i="1" s="1"/>
  <c r="AB190" i="1"/>
  <c r="AC190" i="1" s="1"/>
  <c r="U375" i="1"/>
  <c r="U514" i="1" s="1"/>
  <c r="I390" i="1"/>
  <c r="U199" i="1"/>
  <c r="W375" i="1"/>
  <c r="W514" i="1" s="1"/>
  <c r="I215" i="1"/>
  <c r="I141" i="1"/>
  <c r="O375" i="1"/>
  <c r="O514" i="1" s="1"/>
  <c r="W199" i="1"/>
  <c r="P199" i="1"/>
  <c r="AB191" i="1"/>
  <c r="AC191" i="1" s="1"/>
  <c r="AB366" i="1"/>
  <c r="AC366" i="1" s="1"/>
  <c r="W77" i="1"/>
  <c r="W10" i="1"/>
  <c r="W63" i="1"/>
  <c r="W58" i="1"/>
  <c r="W9" i="1"/>
  <c r="W70" i="1"/>
  <c r="W71" i="1"/>
  <c r="W64" i="1"/>
  <c r="W66" i="1"/>
  <c r="W69" i="1"/>
  <c r="W67" i="1"/>
  <c r="W8" i="1"/>
  <c r="W72" i="1"/>
  <c r="W68" i="1"/>
  <c r="W309" i="1"/>
  <c r="W65" i="1"/>
  <c r="W73" i="1"/>
  <c r="P375" i="1"/>
  <c r="P514" i="1" s="1"/>
  <c r="I229" i="1"/>
  <c r="O199" i="1"/>
  <c r="I10" i="15"/>
  <c r="H426" i="2" s="1"/>
  <c r="H479" i="2" s="1"/>
  <c r="Y349" i="2"/>
  <c r="V349" i="2"/>
  <c r="X349" i="2"/>
  <c r="AB349" i="2"/>
  <c r="P21" i="15"/>
  <c r="E45" i="4" s="1"/>
  <c r="AA349" i="2"/>
  <c r="AG347" i="2"/>
  <c r="AH347" i="2" s="1"/>
  <c r="P349" i="2"/>
  <c r="W349" i="2"/>
  <c r="AE349" i="2"/>
  <c r="AG313" i="2"/>
  <c r="AH313" i="2" s="1"/>
  <c r="G404" i="2"/>
  <c r="P14" i="15"/>
  <c r="E39" i="4" s="1"/>
  <c r="AD349" i="2"/>
  <c r="AH343" i="2"/>
  <c r="AG348" i="2"/>
  <c r="AH348" i="2" s="1"/>
  <c r="Z349" i="2"/>
  <c r="G421" i="2"/>
  <c r="AF349" i="2"/>
  <c r="AC349" i="2"/>
  <c r="T55" i="15"/>
  <c r="K9" i="15" s="1"/>
  <c r="G424" i="2" s="1"/>
  <c r="S479" i="2"/>
  <c r="S432" i="2"/>
  <c r="S439" i="2" s="1"/>
  <c r="S460" i="2" s="1"/>
  <c r="S467" i="2" s="1"/>
  <c r="T415" i="2"/>
  <c r="T486" i="2"/>
  <c r="U415" i="2"/>
  <c r="U486" i="2"/>
  <c r="P17" i="15"/>
  <c r="E41" i="4" s="1"/>
  <c r="I415" i="2"/>
  <c r="N409" i="2"/>
  <c r="E418" i="2"/>
  <c r="K408" i="2" s="1"/>
  <c r="N404" i="2"/>
  <c r="O486" i="2"/>
  <c r="O415" i="2"/>
  <c r="R486" i="2"/>
  <c r="R415" i="2"/>
  <c r="J418" i="2"/>
  <c r="J421" i="2"/>
  <c r="S486" i="2"/>
  <c r="S415" i="2"/>
  <c r="Q486" i="2"/>
  <c r="Q415" i="2"/>
  <c r="AG413" i="2"/>
  <c r="I419" i="2"/>
  <c r="I418" i="2"/>
  <c r="AG401" i="2"/>
  <c r="M432" i="2"/>
  <c r="O45" i="15"/>
  <c r="R45" i="15" s="1"/>
  <c r="F428" i="2"/>
  <c r="K404" i="2"/>
  <c r="L418" i="2"/>
  <c r="L419" i="2"/>
  <c r="L421" i="2" s="1"/>
  <c r="P9" i="15"/>
  <c r="E34" i="4" s="1"/>
  <c r="P25" i="15"/>
  <c r="P22" i="15"/>
  <c r="E46" i="4" s="1"/>
  <c r="P11" i="15"/>
  <c r="E36" i="4" s="1"/>
  <c r="P23" i="15"/>
  <c r="E47" i="4" s="1"/>
  <c r="P16" i="15"/>
  <c r="E40" i="4" s="1"/>
  <c r="P18" i="15"/>
  <c r="E42" i="4" s="1"/>
  <c r="P10" i="15"/>
  <c r="E35" i="4" s="1"/>
  <c r="P12" i="15"/>
  <c r="E37" i="4" s="1"/>
  <c r="P13" i="15"/>
  <c r="E38" i="4" s="1"/>
  <c r="N25" i="15"/>
  <c r="P8" i="15"/>
  <c r="E33" i="4" s="1"/>
  <c r="E413" i="2"/>
  <c r="P20" i="15"/>
  <c r="E44" i="4" s="1"/>
  <c r="P15" i="15"/>
  <c r="M404" i="2"/>
  <c r="G432" i="2"/>
  <c r="D107" i="18"/>
  <c r="O467" i="1" s="1"/>
  <c r="O466" i="1" s="1"/>
  <c r="O43" i="1" s="1"/>
  <c r="E107" i="18"/>
  <c r="Q439" i="2"/>
  <c r="F33" i="9"/>
  <c r="G13" i="9" s="1"/>
  <c r="E109" i="18"/>
  <c r="D102" i="18"/>
  <c r="D109" i="18" s="1"/>
  <c r="O469" i="1" s="1"/>
  <c r="I425" i="2"/>
  <c r="K393" i="2"/>
  <c r="I427" i="2"/>
  <c r="M170" i="1"/>
  <c r="AB159" i="1"/>
  <c r="AC159" i="1" s="1"/>
  <c r="H418" i="2"/>
  <c r="H419" i="2"/>
  <c r="AG417" i="2"/>
  <c r="AH417" i="2" s="1"/>
  <c r="E442" i="2"/>
  <c r="U442" i="2" s="1"/>
  <c r="U443" i="2" s="1"/>
  <c r="AG440" i="2"/>
  <c r="AH440" i="2" s="1"/>
  <c r="D56" i="18"/>
  <c r="D108" i="18" s="1"/>
  <c r="O468" i="1" s="1"/>
  <c r="E108" i="18"/>
  <c r="P468" i="1" s="1"/>
  <c r="T75" i="15"/>
  <c r="K11" i="15" s="1"/>
  <c r="I424" i="2" s="1"/>
  <c r="N439" i="2"/>
  <c r="M354" i="1"/>
  <c r="AB343" i="1"/>
  <c r="AC343" i="1" s="1"/>
  <c r="R439" i="2"/>
  <c r="F32" i="8"/>
  <c r="G13" i="8" s="1"/>
  <c r="O439" i="2"/>
  <c r="I432" i="2"/>
  <c r="F349" i="2" l="1"/>
  <c r="K405" i="2"/>
  <c r="N408" i="2"/>
  <c r="M408" i="2"/>
  <c r="G408" i="2"/>
  <c r="G20" i="9"/>
  <c r="G28" i="9"/>
  <c r="Q399" i="2" s="1"/>
  <c r="Q400" i="2" s="1"/>
  <c r="G33" i="9"/>
  <c r="M399" i="2"/>
  <c r="M400" i="2" s="1"/>
  <c r="G21" i="9"/>
  <c r="G29" i="9"/>
  <c r="G30" i="9"/>
  <c r="R399" i="2" s="1"/>
  <c r="R400" i="2" s="1"/>
  <c r="G25" i="9"/>
  <c r="G14" i="9"/>
  <c r="G22" i="9"/>
  <c r="N399" i="2" s="1"/>
  <c r="N400" i="2" s="1"/>
  <c r="G15" i="9"/>
  <c r="G23" i="9"/>
  <c r="G31" i="9"/>
  <c r="G17" i="9"/>
  <c r="G16" i="9"/>
  <c r="G24" i="9"/>
  <c r="O399" i="2" s="1"/>
  <c r="O400" i="2" s="1"/>
  <c r="G32" i="9"/>
  <c r="G9" i="9"/>
  <c r="I399" i="2" s="1"/>
  <c r="I400" i="2" s="1"/>
  <c r="G18" i="9"/>
  <c r="G26" i="9"/>
  <c r="P399" i="2" s="1"/>
  <c r="P400" i="2" s="1"/>
  <c r="G19" i="9"/>
  <c r="G27" i="9"/>
  <c r="G7" i="9"/>
  <c r="G399" i="2" s="1"/>
  <c r="G400" i="2" s="1"/>
  <c r="G8" i="9"/>
  <c r="H399" i="2" s="1"/>
  <c r="H400" i="2" s="1"/>
  <c r="G6" i="9"/>
  <c r="G12" i="9"/>
  <c r="G11" i="9"/>
  <c r="K399" i="2" s="1"/>
  <c r="K400" i="2" s="1"/>
  <c r="G10" i="9"/>
  <c r="J399" i="2" s="1"/>
  <c r="J400" i="2" s="1"/>
  <c r="I421" i="2"/>
  <c r="I422" i="2"/>
  <c r="I409" i="2" s="1"/>
  <c r="V408" i="2"/>
  <c r="Z405" i="2"/>
  <c r="Z408" i="2"/>
  <c r="V405" i="2"/>
  <c r="X405" i="2"/>
  <c r="AD405" i="2"/>
  <c r="AC405" i="2"/>
  <c r="AB405" i="2"/>
  <c r="AF405" i="2"/>
  <c r="Y405" i="2"/>
  <c r="W408" i="2"/>
  <c r="W405" i="2"/>
  <c r="Y408" i="2"/>
  <c r="AA405" i="2"/>
  <c r="X408" i="2"/>
  <c r="AE405" i="2"/>
  <c r="R405" i="2"/>
  <c r="Q405" i="2"/>
  <c r="AC408" i="2"/>
  <c r="AB408" i="2"/>
  <c r="AF408" i="2"/>
  <c r="AA408" i="2"/>
  <c r="U408" i="2"/>
  <c r="F408" i="2"/>
  <c r="Q408" i="2"/>
  <c r="M405" i="2"/>
  <c r="P408" i="2"/>
  <c r="S408" i="2"/>
  <c r="O408" i="2"/>
  <c r="O405" i="2"/>
  <c r="AE408" i="2"/>
  <c r="R408" i="2"/>
  <c r="U405" i="2"/>
  <c r="AD408" i="2"/>
  <c r="T408" i="2"/>
  <c r="N405" i="2"/>
  <c r="T405" i="2"/>
  <c r="S405" i="2"/>
  <c r="J405" i="2"/>
  <c r="G405" i="2"/>
  <c r="H421" i="2"/>
  <c r="AG421" i="2" s="1"/>
  <c r="AH421" i="2" s="1"/>
  <c r="H422" i="2"/>
  <c r="L405" i="2"/>
  <c r="L422" i="2"/>
  <c r="L409" i="2" s="1"/>
  <c r="P405" i="2"/>
  <c r="F405" i="2"/>
  <c r="F358" i="2"/>
  <c r="J358" i="2"/>
  <c r="J349" i="2"/>
  <c r="H358" i="2"/>
  <c r="H349" i="2"/>
  <c r="K358" i="2"/>
  <c r="K349" i="2"/>
  <c r="G358" i="2"/>
  <c r="G349" i="2"/>
  <c r="E48" i="4"/>
  <c r="O111" i="1"/>
  <c r="O297" i="1"/>
  <c r="P467" i="1"/>
  <c r="P469" i="1"/>
  <c r="AB469" i="1" s="1"/>
  <c r="AC469" i="1" s="1"/>
  <c r="N349" i="2"/>
  <c r="Q393" i="2"/>
  <c r="Q359" i="2"/>
  <c r="Q345" i="2"/>
  <c r="Q341" i="2"/>
  <c r="Q344" i="2"/>
  <c r="O393" i="2"/>
  <c r="O341" i="2"/>
  <c r="O359" i="2"/>
  <c r="O344" i="2"/>
  <c r="O345" i="2"/>
  <c r="U393" i="2"/>
  <c r="U359" i="2"/>
  <c r="U345" i="2"/>
  <c r="U344" i="2"/>
  <c r="U341" i="2"/>
  <c r="I393" i="2"/>
  <c r="I359" i="2"/>
  <c r="I345" i="2"/>
  <c r="I341" i="2"/>
  <c r="I344" i="2"/>
  <c r="S393" i="2"/>
  <c r="S341" i="2"/>
  <c r="S359" i="2"/>
  <c r="S344" i="2"/>
  <c r="S345" i="2"/>
  <c r="R393" i="2"/>
  <c r="R344" i="2"/>
  <c r="R345" i="2"/>
  <c r="R341" i="2"/>
  <c r="R359" i="2"/>
  <c r="T393" i="2"/>
  <c r="T345" i="2"/>
  <c r="T341" i="2"/>
  <c r="T344" i="2"/>
  <c r="T359" i="2"/>
  <c r="M349" i="2"/>
  <c r="L345" i="2"/>
  <c r="L344" i="2"/>
  <c r="L359" i="2"/>
  <c r="L341" i="2"/>
  <c r="L393" i="2"/>
  <c r="F359" i="2"/>
  <c r="R12" i="1"/>
  <c r="AB467" i="1"/>
  <c r="AC467" i="1" s="1"/>
  <c r="O44" i="1"/>
  <c r="O45" i="1"/>
  <c r="AB468" i="1"/>
  <c r="AC468" i="1" s="1"/>
  <c r="O46" i="1"/>
  <c r="P45" i="1"/>
  <c r="P46" i="1"/>
  <c r="O47" i="1"/>
  <c r="T314" i="2"/>
  <c r="T316" i="2" s="1"/>
  <c r="T338" i="2" s="1"/>
  <c r="M314" i="2"/>
  <c r="M316" i="2" s="1"/>
  <c r="M338" i="2" s="1"/>
  <c r="N314" i="2"/>
  <c r="N316" i="2" s="1"/>
  <c r="N338" i="2" s="1"/>
  <c r="U314" i="2"/>
  <c r="U316" i="2" s="1"/>
  <c r="U338" i="2" s="1"/>
  <c r="Q314" i="2"/>
  <c r="Q316" i="2" s="1"/>
  <c r="Q338" i="2" s="1"/>
  <c r="R314" i="2"/>
  <c r="R316" i="2" s="1"/>
  <c r="R338" i="2" s="1"/>
  <c r="L314" i="2"/>
  <c r="L316" i="2" s="1"/>
  <c r="L338" i="2" s="1"/>
  <c r="O314" i="2"/>
  <c r="O316" i="2" s="1"/>
  <c r="O338" i="2" s="1"/>
  <c r="P314" i="2"/>
  <c r="P316" i="2" s="1"/>
  <c r="P338" i="2" s="1"/>
  <c r="P351" i="2" s="1"/>
  <c r="S314" i="2"/>
  <c r="S316" i="2" s="1"/>
  <c r="S338" i="2" s="1"/>
  <c r="I14" i="15"/>
  <c r="L426" i="2" s="1"/>
  <c r="T105" i="15"/>
  <c r="K14" i="15" s="1"/>
  <c r="L424" i="2" s="1"/>
  <c r="F200" i="15"/>
  <c r="F201" i="15" s="1"/>
  <c r="F36" i="15" s="1"/>
  <c r="H432" i="2"/>
  <c r="H435" i="2" s="1"/>
  <c r="H436" i="2" s="1"/>
  <c r="Y408" i="1"/>
  <c r="Y410" i="1" s="1"/>
  <c r="Y438" i="1" s="1"/>
  <c r="Y448" i="1" s="1"/>
  <c r="U231" i="1"/>
  <c r="U233" i="1" s="1"/>
  <c r="U264" i="1" s="1"/>
  <c r="U269" i="1" s="1"/>
  <c r="W408" i="1"/>
  <c r="W410" i="1" s="1"/>
  <c r="W412" i="1" s="1"/>
  <c r="J409" i="2"/>
  <c r="S12" i="1"/>
  <c r="U75" i="1"/>
  <c r="U307" i="1" s="1"/>
  <c r="U12" i="1"/>
  <c r="U408" i="1"/>
  <c r="U410" i="1" s="1"/>
  <c r="U412" i="1" s="1"/>
  <c r="M408" i="1"/>
  <c r="M410" i="1" s="1"/>
  <c r="M438" i="1" s="1"/>
  <c r="R231" i="1"/>
  <c r="R235" i="1" s="1"/>
  <c r="Y231" i="1"/>
  <c r="Y237" i="1" s="1"/>
  <c r="Y12" i="1"/>
  <c r="I12" i="1"/>
  <c r="S75" i="1"/>
  <c r="S122" i="1" s="1"/>
  <c r="M231" i="1"/>
  <c r="M233" i="1" s="1"/>
  <c r="M264" i="1" s="1"/>
  <c r="M452" i="1" s="1"/>
  <c r="S231" i="1"/>
  <c r="S237" i="1" s="1"/>
  <c r="H231" i="1"/>
  <c r="H233" i="1" s="1"/>
  <c r="R408" i="1"/>
  <c r="R410" i="1" s="1"/>
  <c r="R412" i="1" s="1"/>
  <c r="K410" i="1"/>
  <c r="K412" i="1" s="1"/>
  <c r="S408" i="1"/>
  <c r="S410" i="1" s="1"/>
  <c r="S412" i="1" s="1"/>
  <c r="M12" i="1"/>
  <c r="I75" i="1"/>
  <c r="I454" i="1" s="1"/>
  <c r="K235" i="1"/>
  <c r="W231" i="1"/>
  <c r="W233" i="1" s="1"/>
  <c r="W264" i="1" s="1"/>
  <c r="Y435" i="2"/>
  <c r="O435" i="2"/>
  <c r="O436" i="2" s="1"/>
  <c r="Z435" i="2"/>
  <c r="K233" i="1"/>
  <c r="K264" i="1" s="1"/>
  <c r="K269" i="1" s="1"/>
  <c r="AD435" i="2"/>
  <c r="H408" i="1"/>
  <c r="H410" i="1" s="1"/>
  <c r="X435" i="2"/>
  <c r="K237" i="1"/>
  <c r="AF435" i="2"/>
  <c r="R75" i="1"/>
  <c r="R121" i="1" s="1"/>
  <c r="H12" i="1"/>
  <c r="W435" i="2"/>
  <c r="AE435" i="2"/>
  <c r="AB435" i="2"/>
  <c r="P435" i="2"/>
  <c r="P436" i="2" s="1"/>
  <c r="Q435" i="2"/>
  <c r="Q436" i="2" s="1"/>
  <c r="AG461" i="2"/>
  <c r="AH461" i="2" s="1"/>
  <c r="I408" i="1"/>
  <c r="I410" i="1" s="1"/>
  <c r="I438" i="1" s="1"/>
  <c r="I270" i="1" s="1"/>
  <c r="AA75" i="1"/>
  <c r="AA454" i="1" s="1"/>
  <c r="M75" i="1"/>
  <c r="M121" i="1" s="1"/>
  <c r="AA12" i="1"/>
  <c r="H75" i="1"/>
  <c r="H454" i="1" s="1"/>
  <c r="T435" i="2"/>
  <c r="T436" i="2" s="1"/>
  <c r="R435" i="2"/>
  <c r="R436" i="2" s="1"/>
  <c r="N435" i="2"/>
  <c r="N436" i="2" s="1"/>
  <c r="AA435" i="2"/>
  <c r="AC435" i="2"/>
  <c r="E436" i="2"/>
  <c r="O90" i="2" s="1"/>
  <c r="O515" i="2" s="1"/>
  <c r="V435" i="2"/>
  <c r="AA408" i="1"/>
  <c r="AA410" i="1" s="1"/>
  <c r="Y75" i="1"/>
  <c r="AA237" i="1"/>
  <c r="AA235" i="1"/>
  <c r="AA233" i="1"/>
  <c r="AA264" i="1" s="1"/>
  <c r="AA450" i="1" s="1"/>
  <c r="E463" i="2"/>
  <c r="AB463" i="2" s="1"/>
  <c r="AB464" i="2" s="1"/>
  <c r="K75" i="1"/>
  <c r="K12" i="1"/>
  <c r="AB199" i="1"/>
  <c r="AC199" i="1" s="1"/>
  <c r="AB375" i="1"/>
  <c r="W12" i="1"/>
  <c r="I231" i="1"/>
  <c r="W75" i="1"/>
  <c r="G12" i="8"/>
  <c r="L406" i="2" s="1"/>
  <c r="L399" i="2"/>
  <c r="L400" i="2" s="1"/>
  <c r="S435" i="2"/>
  <c r="S436" i="2" s="1"/>
  <c r="AG486" i="2"/>
  <c r="AH486" i="2" s="1"/>
  <c r="AH413" i="2"/>
  <c r="AE409" i="2"/>
  <c r="U409" i="2"/>
  <c r="AD409" i="2"/>
  <c r="Q409" i="2"/>
  <c r="Y409" i="2"/>
  <c r="X409" i="2"/>
  <c r="V409" i="2"/>
  <c r="P409" i="2"/>
  <c r="AA409" i="2"/>
  <c r="Z409" i="2"/>
  <c r="AC409" i="2"/>
  <c r="F409" i="2"/>
  <c r="G409" i="2"/>
  <c r="W409" i="2"/>
  <c r="AB409" i="2"/>
  <c r="S409" i="2"/>
  <c r="R409" i="2"/>
  <c r="O409" i="2"/>
  <c r="AF409" i="2"/>
  <c r="T409" i="2"/>
  <c r="M409" i="2"/>
  <c r="K409" i="2"/>
  <c r="M439" i="2"/>
  <c r="M460" i="2" s="1"/>
  <c r="M467" i="2" s="1"/>
  <c r="M435" i="2"/>
  <c r="M436" i="2" s="1"/>
  <c r="I408" i="2"/>
  <c r="I404" i="2"/>
  <c r="L404" i="2"/>
  <c r="L408" i="2"/>
  <c r="F446" i="2"/>
  <c r="Y316" i="2"/>
  <c r="Y338" i="2" s="1"/>
  <c r="Y351" i="2" s="1"/>
  <c r="AA316" i="2"/>
  <c r="AA338" i="2" s="1"/>
  <c r="AA351" i="2" s="1"/>
  <c r="AB316" i="2"/>
  <c r="AB338" i="2" s="1"/>
  <c r="AB351" i="2" s="1"/>
  <c r="AC316" i="2"/>
  <c r="AC338" i="2" s="1"/>
  <c r="AC351" i="2" s="1"/>
  <c r="AF316" i="2"/>
  <c r="AF338" i="2" s="1"/>
  <c r="AF351" i="2" s="1"/>
  <c r="AD316" i="2"/>
  <c r="AD338" i="2" s="1"/>
  <c r="AD351" i="2" s="1"/>
  <c r="W316" i="2"/>
  <c r="W338" i="2" s="1"/>
  <c r="W351" i="2" s="1"/>
  <c r="V316" i="2"/>
  <c r="V338" i="2" s="1"/>
  <c r="V351" i="2" s="1"/>
  <c r="X316" i="2"/>
  <c r="X338" i="2" s="1"/>
  <c r="X351" i="2" s="1"/>
  <c r="Z316" i="2"/>
  <c r="Z338" i="2" s="1"/>
  <c r="Z351" i="2" s="1"/>
  <c r="AH401" i="2"/>
  <c r="AE316" i="2"/>
  <c r="AE338" i="2" s="1"/>
  <c r="AE351" i="2" s="1"/>
  <c r="J408" i="2"/>
  <c r="J404" i="2"/>
  <c r="AG415" i="2"/>
  <c r="AH415" i="2" s="1"/>
  <c r="T45" i="15"/>
  <c r="K8" i="15" s="1"/>
  <c r="F424" i="2" s="1"/>
  <c r="I8" i="15"/>
  <c r="F426" i="2" s="1"/>
  <c r="F432" i="2" s="1"/>
  <c r="H404" i="2"/>
  <c r="H408" i="2"/>
  <c r="AG419" i="2"/>
  <c r="AH419" i="2" s="1"/>
  <c r="Q460" i="2"/>
  <c r="Q442" i="2"/>
  <c r="Q443" i="2" s="1"/>
  <c r="AB442" i="2"/>
  <c r="AF442" i="2"/>
  <c r="S442" i="2"/>
  <c r="S443" i="2" s="1"/>
  <c r="Z442" i="2"/>
  <c r="AC442" i="2"/>
  <c r="E443" i="2"/>
  <c r="Y442" i="2"/>
  <c r="T442" i="2"/>
  <c r="T443" i="2" s="1"/>
  <c r="AE442" i="2"/>
  <c r="P442" i="2"/>
  <c r="P443" i="2" s="1"/>
  <c r="AD442" i="2"/>
  <c r="V442" i="2"/>
  <c r="W442" i="2"/>
  <c r="AA442" i="2"/>
  <c r="X442" i="2"/>
  <c r="AG418" i="2"/>
  <c r="AH418" i="2" s="1"/>
  <c r="E470" i="2"/>
  <c r="AG468" i="2"/>
  <c r="AH468" i="2" s="1"/>
  <c r="O460" i="2"/>
  <c r="O442" i="2"/>
  <c r="O443" i="2" s="1"/>
  <c r="I439" i="2"/>
  <c r="I435" i="2"/>
  <c r="I436" i="2" s="1"/>
  <c r="E32" i="8"/>
  <c r="G6" i="8"/>
  <c r="F406" i="2" s="1"/>
  <c r="G7" i="8"/>
  <c r="G406" i="2" s="1"/>
  <c r="G10" i="8"/>
  <c r="J406" i="2" s="1"/>
  <c r="G11" i="8"/>
  <c r="K406" i="2" s="1"/>
  <c r="G8" i="8"/>
  <c r="H406" i="2" s="1"/>
  <c r="AB170" i="1"/>
  <c r="AC170" i="1" s="1"/>
  <c r="G435" i="2"/>
  <c r="G436" i="2" s="1"/>
  <c r="G439" i="2"/>
  <c r="G9" i="8"/>
  <c r="I406" i="2" s="1"/>
  <c r="R460" i="2"/>
  <c r="R442" i="2"/>
  <c r="R443" i="2" s="1"/>
  <c r="AB354" i="1"/>
  <c r="AC354" i="1" s="1"/>
  <c r="N460" i="2"/>
  <c r="N442" i="2"/>
  <c r="N443" i="2" s="1"/>
  <c r="E33" i="9"/>
  <c r="AC375" i="1" l="1"/>
  <c r="H405" i="2"/>
  <c r="I405" i="2"/>
  <c r="I358" i="2"/>
  <c r="I349" i="2"/>
  <c r="P44" i="1"/>
  <c r="P298" i="1" s="1"/>
  <c r="P466" i="1"/>
  <c r="P47" i="1"/>
  <c r="AB47" i="1" s="1"/>
  <c r="AC47" i="1" s="1"/>
  <c r="N351" i="2"/>
  <c r="AG345" i="2"/>
  <c r="AH345" i="2" s="1"/>
  <c r="AG393" i="2"/>
  <c r="AH393" i="2" s="1"/>
  <c r="M351" i="2"/>
  <c r="D17" i="4" s="1"/>
  <c r="AG344" i="2"/>
  <c r="AH344" i="2" s="1"/>
  <c r="U358" i="2"/>
  <c r="U349" i="2"/>
  <c r="U351" i="2" s="1"/>
  <c r="O358" i="2"/>
  <c r="O349" i="2"/>
  <c r="O351" i="2" s="1"/>
  <c r="AG359" i="2"/>
  <c r="AH359" i="2" s="1"/>
  <c r="T358" i="2"/>
  <c r="T349" i="2"/>
  <c r="T351" i="2" s="1"/>
  <c r="R358" i="2"/>
  <c r="R349" i="2"/>
  <c r="R351" i="2" s="1"/>
  <c r="Q358" i="2"/>
  <c r="Q349" i="2"/>
  <c r="Q351" i="2" s="1"/>
  <c r="S358" i="2"/>
  <c r="S349" i="2"/>
  <c r="S351" i="2" s="1"/>
  <c r="AG341" i="2"/>
  <c r="AH341" i="2" s="1"/>
  <c r="L358" i="2"/>
  <c r="L349" i="2"/>
  <c r="L351" i="2" s="1"/>
  <c r="D16" i="4" s="1"/>
  <c r="O298" i="1"/>
  <c r="O222" i="1"/>
  <c r="O205" i="1"/>
  <c r="O399" i="1"/>
  <c r="O381" i="1"/>
  <c r="O112" i="1"/>
  <c r="O400" i="1"/>
  <c r="O114" i="1"/>
  <c r="O206" i="1"/>
  <c r="AB46" i="1"/>
  <c r="AC46" i="1" s="1"/>
  <c r="O223" i="1"/>
  <c r="O300" i="1"/>
  <c r="O382" i="1"/>
  <c r="P299" i="1"/>
  <c r="P113" i="1"/>
  <c r="P114" i="1"/>
  <c r="P223" i="1"/>
  <c r="P400" i="1"/>
  <c r="P206" i="1"/>
  <c r="P300" i="1"/>
  <c r="P382" i="1"/>
  <c r="O113" i="1"/>
  <c r="AB45" i="1"/>
  <c r="AC45" i="1" s="1"/>
  <c r="O299" i="1"/>
  <c r="O115" i="1"/>
  <c r="O401" i="1"/>
  <c r="O301" i="1"/>
  <c r="O224" i="1"/>
  <c r="O54" i="1"/>
  <c r="L432" i="2"/>
  <c r="G200" i="15"/>
  <c r="G201" i="15" s="1"/>
  <c r="G36" i="15" s="1"/>
  <c r="H439" i="2"/>
  <c r="H460" i="2" s="1"/>
  <c r="U235" i="1"/>
  <c r="U237" i="1"/>
  <c r="M237" i="1"/>
  <c r="U88" i="1"/>
  <c r="U91" i="1" s="1"/>
  <c r="U99" i="1" s="1"/>
  <c r="U121" i="1"/>
  <c r="U82" i="1"/>
  <c r="U142" i="1" s="1"/>
  <c r="U455" i="1"/>
  <c r="U120" i="1"/>
  <c r="U454" i="1"/>
  <c r="U308" i="1"/>
  <c r="U312" i="1" s="1"/>
  <c r="U279" i="1"/>
  <c r="U122" i="1"/>
  <c r="U280" i="1"/>
  <c r="Y52" i="2"/>
  <c r="M445" i="1"/>
  <c r="M449" i="1"/>
  <c r="M274" i="1"/>
  <c r="H52" i="2"/>
  <c r="X437" i="2"/>
  <c r="L204" i="2"/>
  <c r="K438" i="1"/>
  <c r="K445" i="1" s="1"/>
  <c r="V463" i="2"/>
  <c r="V464" i="2" s="1"/>
  <c r="R237" i="1"/>
  <c r="AD463" i="2"/>
  <c r="AD464" i="2" s="1"/>
  <c r="S82" i="1"/>
  <c r="E25" i="2" s="1"/>
  <c r="M270" i="1"/>
  <c r="AA277" i="1"/>
  <c r="H235" i="1"/>
  <c r="Y273" i="1"/>
  <c r="M273" i="1"/>
  <c r="M448" i="1"/>
  <c r="X52" i="2"/>
  <c r="Z52" i="2"/>
  <c r="AE90" i="2"/>
  <c r="AA276" i="1"/>
  <c r="K446" i="1"/>
  <c r="Y235" i="1"/>
  <c r="M412" i="1"/>
  <c r="L13" i="2"/>
  <c r="G13" i="2"/>
  <c r="Y233" i="1"/>
  <c r="Y264" i="1" s="1"/>
  <c r="Y452" i="1" s="1"/>
  <c r="S88" i="1"/>
  <c r="S91" i="1" s="1"/>
  <c r="S99" i="1" s="1"/>
  <c r="N90" i="2"/>
  <c r="N515" i="2" s="1"/>
  <c r="I437" i="2"/>
  <c r="P204" i="2"/>
  <c r="N52" i="2"/>
  <c r="S279" i="1"/>
  <c r="S280" i="1"/>
  <c r="S308" i="1"/>
  <c r="AE52" i="2"/>
  <c r="AD204" i="2"/>
  <c r="L52" i="2"/>
  <c r="AA437" i="2"/>
  <c r="S233" i="1"/>
  <c r="S264" i="1" s="1"/>
  <c r="S444" i="1" s="1"/>
  <c r="R233" i="1"/>
  <c r="R264" i="1" s="1"/>
  <c r="R271" i="1" s="1"/>
  <c r="M235" i="1"/>
  <c r="Y82" i="1"/>
  <c r="E35" i="2" s="1"/>
  <c r="K35" i="2" s="1"/>
  <c r="I122" i="1"/>
  <c r="AA122" i="1"/>
  <c r="S307" i="1"/>
  <c r="S121" i="1"/>
  <c r="S454" i="1"/>
  <c r="I308" i="1"/>
  <c r="S120" i="1"/>
  <c r="S455" i="1"/>
  <c r="Y449" i="1"/>
  <c r="K450" i="1"/>
  <c r="Y270" i="1"/>
  <c r="T13" i="2"/>
  <c r="V90" i="2"/>
  <c r="F204" i="2"/>
  <c r="K437" i="2"/>
  <c r="AD437" i="2"/>
  <c r="AA52" i="2"/>
  <c r="G52" i="2"/>
  <c r="I52" i="2"/>
  <c r="M275" i="1"/>
  <c r="K451" i="1"/>
  <c r="K277" i="1"/>
  <c r="W237" i="1"/>
  <c r="Y274" i="1"/>
  <c r="G204" i="2"/>
  <c r="H437" i="2"/>
  <c r="I204" i="2"/>
  <c r="N204" i="2"/>
  <c r="Z204" i="2"/>
  <c r="M437" i="2"/>
  <c r="F90" i="2"/>
  <c r="F515" i="2" s="1"/>
  <c r="M204" i="2"/>
  <c r="AF437" i="2"/>
  <c r="M444" i="1"/>
  <c r="K276" i="1"/>
  <c r="S235" i="1"/>
  <c r="Y412" i="1"/>
  <c r="W235" i="1"/>
  <c r="M82" i="1"/>
  <c r="M98" i="1" s="1"/>
  <c r="H307" i="1"/>
  <c r="W446" i="1"/>
  <c r="W452" i="1"/>
  <c r="U437" i="2"/>
  <c r="F52" i="2"/>
  <c r="Q13" i="2"/>
  <c r="AA13" i="2"/>
  <c r="I13" i="2"/>
  <c r="AA204" i="2"/>
  <c r="AE437" i="2"/>
  <c r="AD52" i="2"/>
  <c r="P13" i="2"/>
  <c r="V52" i="2"/>
  <c r="V437" i="2"/>
  <c r="X90" i="2"/>
  <c r="J437" i="2"/>
  <c r="W52" i="2"/>
  <c r="K52" i="2"/>
  <c r="K13" i="2"/>
  <c r="V204" i="2"/>
  <c r="M451" i="1"/>
  <c r="M446" i="1"/>
  <c r="I279" i="1"/>
  <c r="I121" i="1"/>
  <c r="Y445" i="1"/>
  <c r="Z90" i="2"/>
  <c r="AF204" i="2"/>
  <c r="W437" i="2"/>
  <c r="O13" i="2"/>
  <c r="H13" i="2"/>
  <c r="R52" i="2"/>
  <c r="O52" i="2"/>
  <c r="U204" i="2"/>
  <c r="M90" i="2"/>
  <c r="M515" i="2" s="1"/>
  <c r="N437" i="2"/>
  <c r="Q52" i="2"/>
  <c r="U13" i="2"/>
  <c r="Y90" i="2"/>
  <c r="P90" i="2"/>
  <c r="P515" i="2" s="1"/>
  <c r="P544" i="2" s="1"/>
  <c r="T204" i="2"/>
  <c r="AF90" i="2"/>
  <c r="AF13" i="2"/>
  <c r="X204" i="2"/>
  <c r="Q437" i="2"/>
  <c r="R13" i="2"/>
  <c r="R204" i="2"/>
  <c r="Q90" i="2"/>
  <c r="Q515" i="2" s="1"/>
  <c r="AB13" i="2"/>
  <c r="M13" i="2"/>
  <c r="S204" i="2"/>
  <c r="J52" i="2"/>
  <c r="I90" i="2"/>
  <c r="I515" i="2" s="1"/>
  <c r="AA90" i="2"/>
  <c r="AC52" i="2"/>
  <c r="AD13" i="2"/>
  <c r="AE204" i="2"/>
  <c r="N13" i="2"/>
  <c r="S90" i="2"/>
  <c r="M450" i="1"/>
  <c r="M271" i="1"/>
  <c r="M269" i="1"/>
  <c r="I120" i="1"/>
  <c r="I280" i="1"/>
  <c r="I307" i="1"/>
  <c r="K275" i="1"/>
  <c r="K452" i="1"/>
  <c r="K271" i="1"/>
  <c r="J13" i="2"/>
  <c r="Y13" i="2"/>
  <c r="J204" i="2"/>
  <c r="H204" i="2"/>
  <c r="G437" i="2"/>
  <c r="T52" i="2"/>
  <c r="AB437" i="2"/>
  <c r="O204" i="2"/>
  <c r="T90" i="2"/>
  <c r="AB90" i="2"/>
  <c r="F437" i="2"/>
  <c r="F13" i="2"/>
  <c r="AB52" i="2"/>
  <c r="K90" i="2"/>
  <c r="K515" i="2" s="1"/>
  <c r="AC204" i="2"/>
  <c r="L437" i="2"/>
  <c r="S52" i="2"/>
  <c r="I82" i="1"/>
  <c r="I142" i="1" s="1"/>
  <c r="AE13" i="2"/>
  <c r="L90" i="2"/>
  <c r="L515" i="2" s="1"/>
  <c r="AF52" i="2"/>
  <c r="J90" i="2"/>
  <c r="J515" i="2" s="1"/>
  <c r="Y204" i="2"/>
  <c r="P52" i="2"/>
  <c r="H90" i="2"/>
  <c r="H515" i="2" s="1"/>
  <c r="R90" i="2"/>
  <c r="R515" i="2" s="1"/>
  <c r="R544" i="2" s="1"/>
  <c r="T437" i="2"/>
  <c r="R437" i="2"/>
  <c r="AD90" i="2"/>
  <c r="X13" i="2"/>
  <c r="V13" i="2"/>
  <c r="K204" i="2"/>
  <c r="M52" i="2"/>
  <c r="W90" i="2"/>
  <c r="AC13" i="2"/>
  <c r="Q204" i="2"/>
  <c r="AC90" i="2"/>
  <c r="O437" i="2"/>
  <c r="W13" i="2"/>
  <c r="P437" i="2"/>
  <c r="AB204" i="2"/>
  <c r="Z437" i="2"/>
  <c r="U90" i="2"/>
  <c r="W204" i="2"/>
  <c r="G90" i="2"/>
  <c r="G515" i="2" s="1"/>
  <c r="Y437" i="2"/>
  <c r="AC437" i="2"/>
  <c r="S437" i="2"/>
  <c r="Z13" i="2"/>
  <c r="U52" i="2"/>
  <c r="S13" i="2"/>
  <c r="M276" i="1"/>
  <c r="M277" i="1"/>
  <c r="I88" i="1"/>
  <c r="I91" i="1" s="1"/>
  <c r="I455" i="1"/>
  <c r="K444" i="1"/>
  <c r="AA271" i="1"/>
  <c r="AA444" i="1"/>
  <c r="AA452" i="1"/>
  <c r="M308" i="1"/>
  <c r="W269" i="1"/>
  <c r="R88" i="1"/>
  <c r="R91" i="1" s="1"/>
  <c r="R99" i="1" s="1"/>
  <c r="R280" i="1"/>
  <c r="R454" i="1"/>
  <c r="AA269" i="1"/>
  <c r="AA451" i="1"/>
  <c r="AA275" i="1"/>
  <c r="W450" i="1"/>
  <c r="AA82" i="1"/>
  <c r="AA142" i="1" s="1"/>
  <c r="U446" i="1"/>
  <c r="AA446" i="1"/>
  <c r="AA307" i="1"/>
  <c r="R307" i="1"/>
  <c r="M122" i="1"/>
  <c r="I449" i="1"/>
  <c r="AA280" i="1"/>
  <c r="AA120" i="1"/>
  <c r="H88" i="1"/>
  <c r="H91" i="1" s="1"/>
  <c r="H99" i="1" s="1"/>
  <c r="H279" i="1"/>
  <c r="R438" i="1"/>
  <c r="R270" i="1" s="1"/>
  <c r="M280" i="1"/>
  <c r="I274" i="1"/>
  <c r="AA308" i="1"/>
  <c r="K82" i="1"/>
  <c r="E13" i="2" s="1"/>
  <c r="H122" i="1"/>
  <c r="H120" i="1"/>
  <c r="M120" i="1"/>
  <c r="M307" i="1"/>
  <c r="I445" i="1"/>
  <c r="AA279" i="1"/>
  <c r="AA455" i="1"/>
  <c r="H121" i="1"/>
  <c r="H455" i="1"/>
  <c r="W438" i="1"/>
  <c r="W274" i="1" s="1"/>
  <c r="R120" i="1"/>
  <c r="R308" i="1"/>
  <c r="R82" i="1"/>
  <c r="R122" i="1"/>
  <c r="H82" i="1"/>
  <c r="U450" i="1"/>
  <c r="M454" i="1"/>
  <c r="M279" i="1"/>
  <c r="M455" i="1"/>
  <c r="I448" i="1"/>
  <c r="M88" i="1"/>
  <c r="M91" i="1" s="1"/>
  <c r="M99" i="1" s="1"/>
  <c r="I273" i="1"/>
  <c r="AA121" i="1"/>
  <c r="AA88" i="1"/>
  <c r="AA91" i="1" s="1"/>
  <c r="AA99" i="1" s="1"/>
  <c r="H280" i="1"/>
  <c r="H308" i="1"/>
  <c r="S438" i="1"/>
  <c r="S274" i="1" s="1"/>
  <c r="R455" i="1"/>
  <c r="R279" i="1"/>
  <c r="AA438" i="1"/>
  <c r="AA412" i="1"/>
  <c r="U463" i="2"/>
  <c r="U464" i="2" s="1"/>
  <c r="U438" i="1"/>
  <c r="AE463" i="2"/>
  <c r="AE464" i="2" s="1"/>
  <c r="Y463" i="2"/>
  <c r="Y464" i="2" s="1"/>
  <c r="Y280" i="1"/>
  <c r="Y279" i="1"/>
  <c r="Y121" i="1"/>
  <c r="Y455" i="1"/>
  <c r="Y307" i="1"/>
  <c r="Y120" i="1"/>
  <c r="Y122" i="1"/>
  <c r="Y308" i="1"/>
  <c r="Y454" i="1"/>
  <c r="Y88" i="1"/>
  <c r="Y91" i="1" s="1"/>
  <c r="Y99" i="1" s="1"/>
  <c r="X463" i="2"/>
  <c r="X464" i="2" s="1"/>
  <c r="W463" i="2"/>
  <c r="W464" i="2" s="1"/>
  <c r="S463" i="2"/>
  <c r="S464" i="2" s="1"/>
  <c r="K279" i="1"/>
  <c r="K307" i="1"/>
  <c r="K88" i="1"/>
  <c r="K91" i="1" s="1"/>
  <c r="K99" i="1" s="1"/>
  <c r="K454" i="1"/>
  <c r="K308" i="1"/>
  <c r="K121" i="1"/>
  <c r="K280" i="1"/>
  <c r="K122" i="1"/>
  <c r="K120" i="1"/>
  <c r="K455" i="1"/>
  <c r="Z463" i="2"/>
  <c r="Z464" i="2" s="1"/>
  <c r="AF463" i="2"/>
  <c r="AF464" i="2" s="1"/>
  <c r="AC463" i="2"/>
  <c r="AC464" i="2" s="1"/>
  <c r="P463" i="2"/>
  <c r="P464" i="2" s="1"/>
  <c r="M463" i="2"/>
  <c r="M464" i="2" s="1"/>
  <c r="T463" i="2"/>
  <c r="T464" i="2" s="1"/>
  <c r="AA463" i="2"/>
  <c r="AA464" i="2" s="1"/>
  <c r="E464" i="2"/>
  <c r="W82" i="1"/>
  <c r="W130" i="1" s="1"/>
  <c r="U451" i="1"/>
  <c r="U271" i="1"/>
  <c r="U276" i="1"/>
  <c r="U277" i="1"/>
  <c r="U452" i="1"/>
  <c r="U444" i="1"/>
  <c r="U275" i="1"/>
  <c r="W276" i="1"/>
  <c r="W271" i="1"/>
  <c r="W275" i="1"/>
  <c r="W451" i="1"/>
  <c r="W444" i="1"/>
  <c r="W277" i="1"/>
  <c r="M470" i="2"/>
  <c r="M471" i="2" s="1"/>
  <c r="W120" i="1"/>
  <c r="W279" i="1"/>
  <c r="W454" i="1"/>
  <c r="W121" i="1"/>
  <c r="W122" i="1"/>
  <c r="W88" i="1"/>
  <c r="W91" i="1" s="1"/>
  <c r="W99" i="1" s="1"/>
  <c r="W308" i="1"/>
  <c r="W307" i="1"/>
  <c r="W280" i="1"/>
  <c r="W455" i="1"/>
  <c r="I235" i="1"/>
  <c r="I233" i="1"/>
  <c r="I264" i="1" s="1"/>
  <c r="H314" i="2"/>
  <c r="M442" i="2"/>
  <c r="M443" i="2" s="1"/>
  <c r="F453" i="2"/>
  <c r="F476" i="2"/>
  <c r="F479" i="2"/>
  <c r="I460" i="2"/>
  <c r="I442" i="2"/>
  <c r="I443" i="2" s="1"/>
  <c r="J314" i="2"/>
  <c r="E399" i="2"/>
  <c r="F399" i="2"/>
  <c r="AC470" i="2"/>
  <c r="AC471" i="2" s="1"/>
  <c r="Y470" i="2"/>
  <c r="Y471" i="2" s="1"/>
  <c r="AF470" i="2"/>
  <c r="AF471" i="2" s="1"/>
  <c r="E471" i="2"/>
  <c r="AE470" i="2"/>
  <c r="AE471" i="2" s="1"/>
  <c r="AD470" i="2"/>
  <c r="AD471" i="2" s="1"/>
  <c r="P470" i="2"/>
  <c r="P471" i="2" s="1"/>
  <c r="AA470" i="2"/>
  <c r="AA471" i="2" s="1"/>
  <c r="Z470" i="2"/>
  <c r="Z471" i="2" s="1"/>
  <c r="X470" i="2"/>
  <c r="X471" i="2" s="1"/>
  <c r="S470" i="2"/>
  <c r="S471" i="2" s="1"/>
  <c r="AB470" i="2"/>
  <c r="AB471" i="2" s="1"/>
  <c r="T470" i="2"/>
  <c r="T471" i="2" s="1"/>
  <c r="W470" i="2"/>
  <c r="W471" i="2" s="1"/>
  <c r="V470" i="2"/>
  <c r="V471" i="2" s="1"/>
  <c r="U470" i="2"/>
  <c r="U471" i="2" s="1"/>
  <c r="H264" i="1"/>
  <c r="AG408" i="2"/>
  <c r="AH408" i="2" s="1"/>
  <c r="AG404" i="2"/>
  <c r="AH404" i="2" s="1"/>
  <c r="G314" i="2"/>
  <c r="G32" i="8"/>
  <c r="O467" i="2"/>
  <c r="O470" i="2" s="1"/>
  <c r="O471" i="2" s="1"/>
  <c r="O463" i="2"/>
  <c r="O464" i="2" s="1"/>
  <c r="AG422" i="2"/>
  <c r="H409" i="2"/>
  <c r="I314" i="2"/>
  <c r="K314" i="2"/>
  <c r="N467" i="2"/>
  <c r="N470" i="2" s="1"/>
  <c r="N471" i="2" s="1"/>
  <c r="N463" i="2"/>
  <c r="N464" i="2" s="1"/>
  <c r="Q467" i="2"/>
  <c r="Q470" i="2" s="1"/>
  <c r="Q471" i="2" s="1"/>
  <c r="Q463" i="2"/>
  <c r="Q464" i="2" s="1"/>
  <c r="R467" i="2"/>
  <c r="R470" i="2" s="1"/>
  <c r="R471" i="2" s="1"/>
  <c r="R463" i="2"/>
  <c r="R464" i="2" s="1"/>
  <c r="G460" i="2"/>
  <c r="G442" i="2"/>
  <c r="G443" i="2" s="1"/>
  <c r="O544" i="2"/>
  <c r="H438" i="1"/>
  <c r="M242" i="2"/>
  <c r="G444" i="2"/>
  <c r="M128" i="2"/>
  <c r="V128" i="2"/>
  <c r="L242" i="2"/>
  <c r="X166" i="2"/>
  <c r="K280" i="2"/>
  <c r="AA166" i="2"/>
  <c r="G242" i="2"/>
  <c r="AB444" i="2"/>
  <c r="Z280" i="2"/>
  <c r="L166" i="2"/>
  <c r="J242" i="2"/>
  <c r="H444" i="2"/>
  <c r="N444" i="2"/>
  <c r="O128" i="2"/>
  <c r="AF242" i="2"/>
  <c r="U280" i="2"/>
  <c r="AE280" i="2"/>
  <c r="AF444" i="2"/>
  <c r="O280" i="2"/>
  <c r="Z166" i="2"/>
  <c r="K128" i="2"/>
  <c r="V280" i="2"/>
  <c r="AF128" i="2"/>
  <c r="M280" i="2"/>
  <c r="K242" i="2"/>
  <c r="AD166" i="2"/>
  <c r="AD128" i="2"/>
  <c r="AC128" i="2"/>
  <c r="AC444" i="2"/>
  <c r="AB128" i="2"/>
  <c r="J280" i="2"/>
  <c r="Q280" i="2"/>
  <c r="R444" i="2"/>
  <c r="U444" i="2"/>
  <c r="O242" i="2"/>
  <c r="AA280" i="2"/>
  <c r="F242" i="2"/>
  <c r="AD444" i="2"/>
  <c r="U166" i="2"/>
  <c r="M166" i="2"/>
  <c r="T242" i="2"/>
  <c r="V166" i="2"/>
  <c r="S444" i="2"/>
  <c r="F128" i="2"/>
  <c r="S166" i="2"/>
  <c r="Q166" i="2"/>
  <c r="I444" i="2"/>
  <c r="AB280" i="2"/>
  <c r="S128" i="2"/>
  <c r="J128" i="2"/>
  <c r="AF280" i="2"/>
  <c r="P128" i="2"/>
  <c r="N128" i="2"/>
  <c r="Y242" i="2"/>
  <c r="F280" i="2"/>
  <c r="AE444" i="2"/>
  <c r="L280" i="2"/>
  <c r="Z128" i="2"/>
  <c r="AD242" i="2"/>
  <c r="I128" i="2"/>
  <c r="L128" i="2"/>
  <c r="Z242" i="2"/>
  <c r="R242" i="2"/>
  <c r="AB166" i="2"/>
  <c r="W242" i="2"/>
  <c r="R280" i="2"/>
  <c r="U128" i="2"/>
  <c r="X280" i="2"/>
  <c r="P280" i="2"/>
  <c r="X444" i="2"/>
  <c r="W166" i="2"/>
  <c r="U242" i="2"/>
  <c r="M444" i="2"/>
  <c r="H242" i="2"/>
  <c r="G166" i="2"/>
  <c r="P166" i="2"/>
  <c r="F444" i="2"/>
  <c r="AC280" i="2"/>
  <c r="P444" i="2"/>
  <c r="K166" i="2"/>
  <c r="I242" i="2"/>
  <c r="G128" i="2"/>
  <c r="J444" i="2"/>
  <c r="T444" i="2"/>
  <c r="AE128" i="2"/>
  <c r="H280" i="2"/>
  <c r="AC242" i="2"/>
  <c r="W280" i="2"/>
  <c r="Q444" i="2"/>
  <c r="AB242" i="2"/>
  <c r="S280" i="2"/>
  <c r="R128" i="2"/>
  <c r="V242" i="2"/>
  <c r="N166" i="2"/>
  <c r="I280" i="2"/>
  <c r="N280" i="2"/>
  <c r="O444" i="2"/>
  <c r="Y166" i="2"/>
  <c r="S242" i="2"/>
  <c r="Y280" i="2"/>
  <c r="AE242" i="2"/>
  <c r="W128" i="2"/>
  <c r="W444" i="2"/>
  <c r="AE166" i="2"/>
  <c r="H166" i="2"/>
  <c r="Y444" i="2"/>
  <c r="L444" i="2"/>
  <c r="Q128" i="2"/>
  <c r="Q242" i="2"/>
  <c r="V444" i="2"/>
  <c r="F166" i="2"/>
  <c r="O166" i="2"/>
  <c r="AD280" i="2"/>
  <c r="J166" i="2"/>
  <c r="K444" i="2"/>
  <c r="N242" i="2"/>
  <c r="AA444" i="2"/>
  <c r="G280" i="2"/>
  <c r="AA242" i="2"/>
  <c r="AA128" i="2"/>
  <c r="Y128" i="2"/>
  <c r="X242" i="2"/>
  <c r="R166" i="2"/>
  <c r="I166" i="2"/>
  <c r="P242" i="2"/>
  <c r="T280" i="2"/>
  <c r="Z444" i="2"/>
  <c r="T166" i="2"/>
  <c r="H128" i="2"/>
  <c r="AC166" i="2"/>
  <c r="T128" i="2"/>
  <c r="AF166" i="2"/>
  <c r="X128" i="2"/>
  <c r="I544" i="2" l="1"/>
  <c r="I610" i="2"/>
  <c r="L610" i="2"/>
  <c r="L544" i="2"/>
  <c r="AG406" i="2"/>
  <c r="AH406" i="2" s="1"/>
  <c r="AG405" i="2"/>
  <c r="AH405" i="2" s="1"/>
  <c r="P381" i="1"/>
  <c r="AB381" i="1" s="1"/>
  <c r="AC381" i="1" s="1"/>
  <c r="P112" i="1"/>
  <c r="AB112" i="1" s="1"/>
  <c r="AC112" i="1" s="1"/>
  <c r="P222" i="1"/>
  <c r="AB222" i="1" s="1"/>
  <c r="AC222" i="1" s="1"/>
  <c r="AB44" i="1"/>
  <c r="AC44" i="1" s="1"/>
  <c r="P205" i="1"/>
  <c r="AB205" i="1" s="1"/>
  <c r="AC205" i="1" s="1"/>
  <c r="P399" i="1"/>
  <c r="AB399" i="1" s="1"/>
  <c r="AC399" i="1" s="1"/>
  <c r="P43" i="1"/>
  <c r="AB466" i="1"/>
  <c r="AC466" i="1" s="1"/>
  <c r="AB298" i="1"/>
  <c r="AC298" i="1" s="1"/>
  <c r="P115" i="1"/>
  <c r="AB115" i="1" s="1"/>
  <c r="AC115" i="1" s="1"/>
  <c r="P401" i="1"/>
  <c r="AB401" i="1" s="1"/>
  <c r="AC401" i="1" s="1"/>
  <c r="P224" i="1"/>
  <c r="AB224" i="1" s="1"/>
  <c r="AC224" i="1" s="1"/>
  <c r="P301" i="1"/>
  <c r="AB301" i="1" s="1"/>
  <c r="AC301" i="1" s="1"/>
  <c r="AG358" i="2"/>
  <c r="AH358" i="2" s="1"/>
  <c r="AB113" i="1"/>
  <c r="AC113" i="1" s="1"/>
  <c r="AB206" i="1"/>
  <c r="AC206" i="1" s="1"/>
  <c r="AB299" i="1"/>
  <c r="AC299" i="1" s="1"/>
  <c r="AB300" i="1"/>
  <c r="AC300" i="1" s="1"/>
  <c r="AB114" i="1"/>
  <c r="AC114" i="1" s="1"/>
  <c r="AB382" i="1"/>
  <c r="AC382" i="1" s="1"/>
  <c r="AB223" i="1"/>
  <c r="AC223" i="1" s="1"/>
  <c r="AB400" i="1"/>
  <c r="AC400" i="1" s="1"/>
  <c r="O87" i="1"/>
  <c r="O213" i="1"/>
  <c r="O306" i="1"/>
  <c r="O139" i="1"/>
  <c r="O89" i="1"/>
  <c r="O138" i="1"/>
  <c r="O397" i="1"/>
  <c r="O387" i="1"/>
  <c r="O202" i="1"/>
  <c r="O211" i="1"/>
  <c r="E447" i="2"/>
  <c r="O220" i="1"/>
  <c r="O378" i="1"/>
  <c r="O388" i="1"/>
  <c r="O404" i="1"/>
  <c r="O56" i="1"/>
  <c r="O310" i="1"/>
  <c r="O137" i="1"/>
  <c r="O136" i="1"/>
  <c r="O78" i="1"/>
  <c r="O227" i="1"/>
  <c r="O105" i="1"/>
  <c r="O108" i="1"/>
  <c r="J544" i="2"/>
  <c r="G544" i="2"/>
  <c r="H544" i="2"/>
  <c r="R275" i="1"/>
  <c r="L439" i="2"/>
  <c r="L435" i="2"/>
  <c r="L436" i="2" s="1"/>
  <c r="H442" i="2"/>
  <c r="H443" i="2" s="1"/>
  <c r="H200" i="15"/>
  <c r="H201" i="15" s="1"/>
  <c r="H36" i="15" s="1"/>
  <c r="U130" i="1"/>
  <c r="U93" i="1"/>
  <c r="U98" i="1"/>
  <c r="U101" i="1" s="1"/>
  <c r="U104" i="1" s="1"/>
  <c r="U124" i="1" s="1"/>
  <c r="U126" i="1" s="1"/>
  <c r="E29" i="2"/>
  <c r="R29" i="2" s="1"/>
  <c r="U131" i="1"/>
  <c r="S275" i="1"/>
  <c r="Y98" i="1"/>
  <c r="Y101" i="1" s="1"/>
  <c r="Y104" i="1" s="1"/>
  <c r="Y124" i="1" s="1"/>
  <c r="Y126" i="1" s="1"/>
  <c r="R276" i="1"/>
  <c r="R269" i="1"/>
  <c r="R444" i="1"/>
  <c r="N544" i="2"/>
  <c r="K274" i="1"/>
  <c r="M465" i="2"/>
  <c r="S277" i="1"/>
  <c r="S130" i="1"/>
  <c r="S276" i="1"/>
  <c r="S98" i="1"/>
  <c r="S101" i="1" s="1"/>
  <c r="S104" i="1" s="1"/>
  <c r="S124" i="1" s="1"/>
  <c r="S126" i="1" s="1"/>
  <c r="S271" i="1"/>
  <c r="S131" i="1"/>
  <c r="S452" i="1"/>
  <c r="S446" i="1"/>
  <c r="S450" i="1"/>
  <c r="S93" i="1"/>
  <c r="S142" i="1"/>
  <c r="Y142" i="1"/>
  <c r="S269" i="1"/>
  <c r="K448" i="1"/>
  <c r="K449" i="1"/>
  <c r="K270" i="1"/>
  <c r="S451" i="1"/>
  <c r="K273" i="1"/>
  <c r="N465" i="2"/>
  <c r="R452" i="1"/>
  <c r="Y131" i="1"/>
  <c r="R450" i="1"/>
  <c r="E16" i="2"/>
  <c r="R277" i="1"/>
  <c r="Y446" i="1"/>
  <c r="Y276" i="1"/>
  <c r="Y450" i="1"/>
  <c r="Y269" i="1"/>
  <c r="Y271" i="1"/>
  <c r="K130" i="1"/>
  <c r="Y130" i="1"/>
  <c r="Y444" i="1"/>
  <c r="Y275" i="1"/>
  <c r="M131" i="1"/>
  <c r="V465" i="2"/>
  <c r="Y451" i="1"/>
  <c r="Y277" i="1"/>
  <c r="R312" i="1"/>
  <c r="E215" i="2" s="1"/>
  <c r="G215" i="2" s="1"/>
  <c r="M142" i="1"/>
  <c r="H312" i="1"/>
  <c r="E199" i="2" s="1"/>
  <c r="S312" i="1"/>
  <c r="E216" i="2" s="1"/>
  <c r="F216" i="2" s="1"/>
  <c r="R446" i="1"/>
  <c r="R451" i="1"/>
  <c r="I131" i="1"/>
  <c r="K312" i="1"/>
  <c r="E204" i="2" s="1"/>
  <c r="W270" i="1"/>
  <c r="I312" i="1"/>
  <c r="E200" i="2" s="1"/>
  <c r="V35" i="2"/>
  <c r="R465" i="2"/>
  <c r="F35" i="2"/>
  <c r="N35" i="2"/>
  <c r="Y465" i="2"/>
  <c r="O465" i="2"/>
  <c r="K131" i="1"/>
  <c r="M130" i="1"/>
  <c r="P35" i="2"/>
  <c r="AG52" i="2"/>
  <c r="AA131" i="1"/>
  <c r="Y35" i="2"/>
  <c r="W131" i="1"/>
  <c r="G35" i="2"/>
  <c r="Q465" i="2"/>
  <c r="AB465" i="2"/>
  <c r="Q544" i="2"/>
  <c r="E9" i="2"/>
  <c r="AG90" i="2"/>
  <c r="T465" i="2"/>
  <c r="X465" i="2"/>
  <c r="AE465" i="2"/>
  <c r="AG13" i="2"/>
  <c r="AH13" i="2" s="1"/>
  <c r="AG204" i="2"/>
  <c r="S465" i="2"/>
  <c r="AD465" i="2"/>
  <c r="I130" i="1"/>
  <c r="I98" i="1"/>
  <c r="Z465" i="2"/>
  <c r="AC465" i="2"/>
  <c r="R449" i="1"/>
  <c r="I93" i="1"/>
  <c r="AG437" i="2"/>
  <c r="AH437" i="2" s="1"/>
  <c r="I35" i="2"/>
  <c r="W445" i="1"/>
  <c r="AA35" i="2"/>
  <c r="AC35" i="2"/>
  <c r="AA98" i="1"/>
  <c r="AA101" i="1" s="1"/>
  <c r="AA104" i="1" s="1"/>
  <c r="AA124" i="1" s="1"/>
  <c r="AA126" i="1" s="1"/>
  <c r="AA130" i="1"/>
  <c r="AF35" i="2"/>
  <c r="R35" i="2"/>
  <c r="O35" i="2"/>
  <c r="AD35" i="2"/>
  <c r="AB35" i="2"/>
  <c r="S445" i="1"/>
  <c r="S448" i="1"/>
  <c r="K98" i="1"/>
  <c r="K101" i="1" s="1"/>
  <c r="K104" i="1" s="1"/>
  <c r="K124" i="1" s="1"/>
  <c r="K126" i="1" s="1"/>
  <c r="K142" i="1"/>
  <c r="E38" i="2"/>
  <c r="M38" i="2" s="1"/>
  <c r="H35" i="2"/>
  <c r="W35" i="2"/>
  <c r="T35" i="2"/>
  <c r="Z35" i="2"/>
  <c r="S270" i="1"/>
  <c r="AA93" i="1"/>
  <c r="L35" i="2"/>
  <c r="J35" i="2"/>
  <c r="W448" i="1"/>
  <c r="S35" i="2"/>
  <c r="U35" i="2"/>
  <c r="AE35" i="2"/>
  <c r="Q35" i="2"/>
  <c r="X35" i="2"/>
  <c r="AA465" i="2"/>
  <c r="M35" i="2"/>
  <c r="AF465" i="2"/>
  <c r="H93" i="1"/>
  <c r="M312" i="1"/>
  <c r="E207" i="2" s="1"/>
  <c r="AA312" i="1"/>
  <c r="E229" i="2" s="1"/>
  <c r="Q229" i="2" s="1"/>
  <c r="R273" i="1"/>
  <c r="R274" i="1"/>
  <c r="R448" i="1"/>
  <c r="R445" i="1"/>
  <c r="M93" i="1"/>
  <c r="W449" i="1"/>
  <c r="W273" i="1"/>
  <c r="W465" i="2"/>
  <c r="M101" i="1"/>
  <c r="M104" i="1" s="1"/>
  <c r="M124" i="1" s="1"/>
  <c r="M126" i="1" s="1"/>
  <c r="U465" i="2"/>
  <c r="E24" i="2"/>
  <c r="R131" i="1"/>
  <c r="R130" i="1"/>
  <c r="R142" i="1"/>
  <c r="R93" i="1"/>
  <c r="R98" i="1"/>
  <c r="R101" i="1" s="1"/>
  <c r="R104" i="1" s="1"/>
  <c r="R124" i="1" s="1"/>
  <c r="R126" i="1" s="1"/>
  <c r="W142" i="1"/>
  <c r="H142" i="1"/>
  <c r="H130" i="1"/>
  <c r="H98" i="1"/>
  <c r="H101" i="1" s="1"/>
  <c r="H104" i="1" s="1"/>
  <c r="H124" i="1" s="1"/>
  <c r="E8" i="2"/>
  <c r="H131" i="1"/>
  <c r="AA273" i="1"/>
  <c r="AA274" i="1"/>
  <c r="AA270" i="1"/>
  <c r="AA445" i="1"/>
  <c r="AA448" i="1"/>
  <c r="AA449" i="1"/>
  <c r="S273" i="1"/>
  <c r="S449" i="1"/>
  <c r="U274" i="1"/>
  <c r="U448" i="1"/>
  <c r="U449" i="1"/>
  <c r="U445" i="1"/>
  <c r="U270" i="1"/>
  <c r="U273" i="1"/>
  <c r="P465" i="2"/>
  <c r="Y312" i="1"/>
  <c r="Y93" i="1"/>
  <c r="W98" i="1"/>
  <c r="W101" i="1" s="1"/>
  <c r="E32" i="2"/>
  <c r="V32" i="2" s="1"/>
  <c r="K93" i="1"/>
  <c r="W312" i="1"/>
  <c r="I451" i="1"/>
  <c r="I450" i="1"/>
  <c r="I277" i="1"/>
  <c r="I452" i="1"/>
  <c r="I276" i="1"/>
  <c r="I446" i="1"/>
  <c r="I271" i="1"/>
  <c r="I275" i="1"/>
  <c r="I444" i="1"/>
  <c r="I269" i="1"/>
  <c r="W93" i="1"/>
  <c r="H316" i="2"/>
  <c r="H338" i="2" s="1"/>
  <c r="I200" i="15"/>
  <c r="F439" i="2"/>
  <c r="F435" i="2"/>
  <c r="F436" i="2" s="1"/>
  <c r="O497" i="2"/>
  <c r="O506" i="2" s="1"/>
  <c r="H497" i="2"/>
  <c r="H506" i="2" s="1"/>
  <c r="L497" i="2"/>
  <c r="L506" i="2" s="1"/>
  <c r="N497" i="2"/>
  <c r="N506" i="2" s="1"/>
  <c r="M497" i="2"/>
  <c r="M506" i="2" s="1"/>
  <c r="F477" i="2"/>
  <c r="J497" i="2"/>
  <c r="J506" i="2" s="1"/>
  <c r="AG444" i="2"/>
  <c r="AH444" i="2" s="1"/>
  <c r="I467" i="2"/>
  <c r="I470" i="2" s="1"/>
  <c r="I471" i="2" s="1"/>
  <c r="I472" i="2" s="1"/>
  <c r="I463" i="2"/>
  <c r="I464" i="2" s="1"/>
  <c r="I465" i="2" s="1"/>
  <c r="Q497" i="2"/>
  <c r="Q506" i="2" s="1"/>
  <c r="R497" i="2"/>
  <c r="R506" i="2" s="1"/>
  <c r="I497" i="2"/>
  <c r="P497" i="2"/>
  <c r="P506" i="2" s="1"/>
  <c r="AG128" i="2"/>
  <c r="F497" i="2"/>
  <c r="F506" i="2" s="1"/>
  <c r="H467" i="2"/>
  <c r="H470" i="2" s="1"/>
  <c r="H471" i="2" s="1"/>
  <c r="H472" i="2" s="1"/>
  <c r="H463" i="2"/>
  <c r="H464" i="2" s="1"/>
  <c r="H465" i="2" s="1"/>
  <c r="I316" i="2"/>
  <c r="G316" i="2"/>
  <c r="K497" i="2"/>
  <c r="K506" i="2" s="1"/>
  <c r="E220" i="2"/>
  <c r="X220" i="2" s="1"/>
  <c r="AG166" i="2"/>
  <c r="AG280" i="2"/>
  <c r="I99" i="1"/>
  <c r="X472" i="2"/>
  <c r="R472" i="2"/>
  <c r="U472" i="2"/>
  <c r="S472" i="2"/>
  <c r="AB472" i="2"/>
  <c r="T472" i="2"/>
  <c r="W472" i="2"/>
  <c r="V472" i="2"/>
  <c r="Q472" i="2"/>
  <c r="AC472" i="2"/>
  <c r="Y472" i="2"/>
  <c r="AF472" i="2"/>
  <c r="O472" i="2"/>
  <c r="AE472" i="2"/>
  <c r="AD472" i="2"/>
  <c r="N472" i="2"/>
  <c r="P472" i="2"/>
  <c r="AA472" i="2"/>
  <c r="M472" i="2"/>
  <c r="Z472" i="2"/>
  <c r="AG515" i="2"/>
  <c r="F544" i="2"/>
  <c r="F400" i="2"/>
  <c r="AG399" i="2"/>
  <c r="AH399" i="2" s="1"/>
  <c r="AG242" i="2"/>
  <c r="H449" i="1"/>
  <c r="H270" i="1"/>
  <c r="H448" i="1"/>
  <c r="H445" i="1"/>
  <c r="H274" i="1"/>
  <c r="H273" i="1"/>
  <c r="G497" i="2"/>
  <c r="G506" i="2" s="1"/>
  <c r="G467" i="2"/>
  <c r="G463" i="2"/>
  <c r="K316" i="2"/>
  <c r="AG409" i="2"/>
  <c r="AH409" i="2" s="1"/>
  <c r="H446" i="1"/>
  <c r="H452" i="1"/>
  <c r="H271" i="1"/>
  <c r="H450" i="1"/>
  <c r="H275" i="1"/>
  <c r="H451" i="1"/>
  <c r="H276" i="1"/>
  <c r="H444" i="1"/>
  <c r="H269" i="1"/>
  <c r="H277" i="1"/>
  <c r="AA25" i="2"/>
  <c r="N25" i="2"/>
  <c r="U25" i="2"/>
  <c r="X25" i="2"/>
  <c r="Q25" i="2"/>
  <c r="AE25" i="2"/>
  <c r="M25" i="2"/>
  <c r="Z25" i="2"/>
  <c r="AC25" i="2"/>
  <c r="Y25" i="2"/>
  <c r="V25" i="2"/>
  <c r="L25" i="2"/>
  <c r="F25" i="2"/>
  <c r="P25" i="2"/>
  <c r="J25" i="2"/>
  <c r="I25" i="2"/>
  <c r="T25" i="2"/>
  <c r="R25" i="2"/>
  <c r="G25" i="2"/>
  <c r="W25" i="2"/>
  <c r="O25" i="2"/>
  <c r="AB25" i="2"/>
  <c r="K25" i="2"/>
  <c r="AD25" i="2"/>
  <c r="S25" i="2"/>
  <c r="AF25" i="2"/>
  <c r="H25" i="2"/>
  <c r="J316" i="2"/>
  <c r="I506" i="2" l="1"/>
  <c r="I535" i="2" s="1"/>
  <c r="I558" i="2" s="1"/>
  <c r="I609" i="2" s="1"/>
  <c r="I611" i="2" s="1"/>
  <c r="R278" i="1"/>
  <c r="H351" i="2"/>
  <c r="D12" i="4" s="1"/>
  <c r="P297" i="1"/>
  <c r="AB297" i="1" s="1"/>
  <c r="AC297" i="1" s="1"/>
  <c r="P111" i="1"/>
  <c r="AB111" i="1" s="1"/>
  <c r="AC111" i="1" s="1"/>
  <c r="AB43" i="1"/>
  <c r="AC43" i="1" s="1"/>
  <c r="P54" i="1"/>
  <c r="L535" i="2"/>
  <c r="L558" i="2" s="1"/>
  <c r="G535" i="2"/>
  <c r="G558" i="2" s="1"/>
  <c r="H535" i="2"/>
  <c r="H558" i="2" s="1"/>
  <c r="H609" i="2" s="1"/>
  <c r="N535" i="2"/>
  <c r="N558" i="2" s="1"/>
  <c r="N583" i="2" s="1"/>
  <c r="AE32" i="2"/>
  <c r="V16" i="2"/>
  <c r="O141" i="1"/>
  <c r="E449" i="2"/>
  <c r="AG447" i="2"/>
  <c r="AH447" i="2" s="1"/>
  <c r="E454" i="2"/>
  <c r="O406" i="1"/>
  <c r="O390" i="1"/>
  <c r="O215" i="1"/>
  <c r="O67" i="1"/>
  <c r="O72" i="1"/>
  <c r="O63" i="1"/>
  <c r="O9" i="1"/>
  <c r="O73" i="1"/>
  <c r="O8" i="1"/>
  <c r="O66" i="1"/>
  <c r="O70" i="1"/>
  <c r="O77" i="1"/>
  <c r="O309" i="1"/>
  <c r="O68" i="1"/>
  <c r="O71" i="1"/>
  <c r="O64" i="1"/>
  <c r="O10" i="1"/>
  <c r="O65" i="1"/>
  <c r="O69" i="1"/>
  <c r="O58" i="1"/>
  <c r="O229" i="1"/>
  <c r="J535" i="2"/>
  <c r="J558" i="2" s="1"/>
  <c r="AD29" i="2"/>
  <c r="L460" i="2"/>
  <c r="L442" i="2"/>
  <c r="L443" i="2" s="1"/>
  <c r="AE29" i="2"/>
  <c r="AF29" i="2"/>
  <c r="G29" i="2"/>
  <c r="O29" i="2"/>
  <c r="N29" i="2"/>
  <c r="K29" i="2"/>
  <c r="I29" i="2"/>
  <c r="Y29" i="2"/>
  <c r="J29" i="2"/>
  <c r="L29" i="2"/>
  <c r="V29" i="2"/>
  <c r="AB29" i="2"/>
  <c r="H29" i="2"/>
  <c r="S29" i="2"/>
  <c r="AC29" i="2"/>
  <c r="P29" i="2"/>
  <c r="M29" i="2"/>
  <c r="Z29" i="2"/>
  <c r="W29" i="2"/>
  <c r="AA29" i="2"/>
  <c r="U29" i="2"/>
  <c r="X29" i="2"/>
  <c r="Q29" i="2"/>
  <c r="F29" i="2"/>
  <c r="T29" i="2"/>
  <c r="X215" i="2"/>
  <c r="U215" i="2"/>
  <c r="N216" i="2"/>
  <c r="AF16" i="2"/>
  <c r="AC16" i="2"/>
  <c r="AE16" i="2"/>
  <c r="AC215" i="2"/>
  <c r="AD16" i="2"/>
  <c r="Y16" i="2"/>
  <c r="L216" i="2"/>
  <c r="E217" i="2"/>
  <c r="P16" i="2"/>
  <c r="AA16" i="2"/>
  <c r="AH204" i="2"/>
  <c r="T16" i="2"/>
  <c r="AB16" i="2"/>
  <c r="M215" i="2"/>
  <c r="V215" i="2"/>
  <c r="AB216" i="2"/>
  <c r="K215" i="2"/>
  <c r="N16" i="2"/>
  <c r="AF216" i="2"/>
  <c r="P215" i="2"/>
  <c r="V229" i="2"/>
  <c r="S320" i="1"/>
  <c r="S278" i="1"/>
  <c r="M16" i="2"/>
  <c r="S215" i="2"/>
  <c r="AC216" i="2"/>
  <c r="G216" i="2"/>
  <c r="G217" i="2" s="1"/>
  <c r="U16" i="2"/>
  <c r="Q16" i="2"/>
  <c r="O16" i="2"/>
  <c r="R16" i="2"/>
  <c r="AA215" i="2"/>
  <c r="O216" i="2"/>
  <c r="U216" i="2"/>
  <c r="T216" i="2"/>
  <c r="F215" i="2"/>
  <c r="F217" i="2" s="1"/>
  <c r="Q215" i="2"/>
  <c r="J215" i="2"/>
  <c r="AD216" i="2"/>
  <c r="N215" i="2"/>
  <c r="Y215" i="2"/>
  <c r="L215" i="2"/>
  <c r="Y216" i="2"/>
  <c r="AB215" i="2"/>
  <c r="W16" i="2"/>
  <c r="Z16" i="2"/>
  <c r="S16" i="2"/>
  <c r="X16" i="2"/>
  <c r="R316" i="1"/>
  <c r="E291" i="2" s="1"/>
  <c r="AF291" i="2" s="1"/>
  <c r="P229" i="2"/>
  <c r="O229" i="2"/>
  <c r="S281" i="1"/>
  <c r="T32" i="2"/>
  <c r="AB229" i="2"/>
  <c r="H229" i="2"/>
  <c r="S272" i="1"/>
  <c r="S322" i="1"/>
  <c r="E64" i="2"/>
  <c r="G64" i="2" s="1"/>
  <c r="E63" i="2"/>
  <c r="AE63" i="2" s="1"/>
  <c r="AE229" i="2"/>
  <c r="W229" i="2"/>
  <c r="M229" i="2"/>
  <c r="AD229" i="2"/>
  <c r="S318" i="1"/>
  <c r="S447" i="1"/>
  <c r="R281" i="1"/>
  <c r="X229" i="2"/>
  <c r="AF229" i="2"/>
  <c r="J229" i="2"/>
  <c r="AA229" i="2"/>
  <c r="Z229" i="2"/>
  <c r="L229" i="2"/>
  <c r="S314" i="1"/>
  <c r="E254" i="2" s="1"/>
  <c r="S316" i="1"/>
  <c r="E292" i="2" s="1"/>
  <c r="T292" i="2" s="1"/>
  <c r="S453" i="1"/>
  <c r="R320" i="1"/>
  <c r="Z32" i="2"/>
  <c r="AE215" i="2"/>
  <c r="V216" i="2"/>
  <c r="M216" i="2"/>
  <c r="J216" i="2"/>
  <c r="AF215" i="2"/>
  <c r="P216" i="2"/>
  <c r="H216" i="2"/>
  <c r="W216" i="2"/>
  <c r="Q216" i="2"/>
  <c r="R216" i="2"/>
  <c r="H215" i="2"/>
  <c r="Z216" i="2"/>
  <c r="T215" i="2"/>
  <c r="X216" i="2"/>
  <c r="O215" i="2"/>
  <c r="S216" i="2"/>
  <c r="R215" i="2"/>
  <c r="AD215" i="2"/>
  <c r="W38" i="2"/>
  <c r="AA32" i="2"/>
  <c r="O32" i="2"/>
  <c r="K216" i="2"/>
  <c r="I215" i="2"/>
  <c r="Z215" i="2"/>
  <c r="AE216" i="2"/>
  <c r="W215" i="2"/>
  <c r="AA216" i="2"/>
  <c r="I216" i="2"/>
  <c r="F32" i="2"/>
  <c r="W32" i="2"/>
  <c r="E10" i="2"/>
  <c r="R207" i="2"/>
  <c r="H38" i="2"/>
  <c r="U38" i="2"/>
  <c r="S38" i="2"/>
  <c r="AC38" i="2"/>
  <c r="AE38" i="2"/>
  <c r="O38" i="2"/>
  <c r="L32" i="2"/>
  <c r="AC32" i="2"/>
  <c r="AD32" i="2"/>
  <c r="K32" i="2"/>
  <c r="K229" i="2"/>
  <c r="F229" i="2"/>
  <c r="U229" i="2"/>
  <c r="Y229" i="2"/>
  <c r="G229" i="2"/>
  <c r="N229" i="2"/>
  <c r="R314" i="1"/>
  <c r="E253" i="2" s="1"/>
  <c r="R322" i="1"/>
  <c r="M32" i="2"/>
  <c r="Q32" i="2"/>
  <c r="U32" i="2"/>
  <c r="G32" i="2"/>
  <c r="H32" i="2"/>
  <c r="I32" i="2"/>
  <c r="AG35" i="2"/>
  <c r="AH35" i="2" s="1"/>
  <c r="R447" i="1"/>
  <c r="R453" i="1"/>
  <c r="S32" i="2"/>
  <c r="J32" i="2"/>
  <c r="X32" i="2"/>
  <c r="R229" i="2"/>
  <c r="S229" i="2"/>
  <c r="I229" i="2"/>
  <c r="T229" i="2"/>
  <c r="AC229" i="2"/>
  <c r="R272" i="1"/>
  <c r="R318" i="1"/>
  <c r="P32" i="2"/>
  <c r="R32" i="2"/>
  <c r="N32" i="2"/>
  <c r="AB32" i="2"/>
  <c r="AF32" i="2"/>
  <c r="Y32" i="2"/>
  <c r="R38" i="2"/>
  <c r="AB38" i="2"/>
  <c r="F38" i="2"/>
  <c r="AF38" i="2"/>
  <c r="T38" i="2"/>
  <c r="Z38" i="2"/>
  <c r="V38" i="2"/>
  <c r="P38" i="2"/>
  <c r="Y38" i="2"/>
  <c r="J38" i="2"/>
  <c r="AD38" i="2"/>
  <c r="X38" i="2"/>
  <c r="N38" i="2"/>
  <c r="I38" i="2"/>
  <c r="L38" i="2"/>
  <c r="G38" i="2"/>
  <c r="AA38" i="2"/>
  <c r="K38" i="2"/>
  <c r="Q38" i="2"/>
  <c r="S24" i="2"/>
  <c r="S26" i="2" s="1"/>
  <c r="P24" i="2"/>
  <c r="P26" i="2" s="1"/>
  <c r="T24" i="2"/>
  <c r="T26" i="2" s="1"/>
  <c r="H24" i="2"/>
  <c r="H26" i="2" s="1"/>
  <c r="O24" i="2"/>
  <c r="O26" i="2" s="1"/>
  <c r="M24" i="2"/>
  <c r="M26" i="2" s="1"/>
  <c r="Q24" i="2"/>
  <c r="Q26" i="2" s="1"/>
  <c r="E26" i="2"/>
  <c r="AA24" i="2"/>
  <c r="AA26" i="2" s="1"/>
  <c r="AE24" i="2"/>
  <c r="AE26" i="2" s="1"/>
  <c r="Z24" i="2"/>
  <c r="Z26" i="2" s="1"/>
  <c r="AB24" i="2"/>
  <c r="AB26" i="2" s="1"/>
  <c r="AF24" i="2"/>
  <c r="AF26" i="2" s="1"/>
  <c r="R24" i="2"/>
  <c r="R26" i="2" s="1"/>
  <c r="V24" i="2"/>
  <c r="V26" i="2" s="1"/>
  <c r="AD24" i="2"/>
  <c r="AD26" i="2" s="1"/>
  <c r="X24" i="2"/>
  <c r="X26" i="2" s="1"/>
  <c r="G24" i="2"/>
  <c r="G26" i="2" s="1"/>
  <c r="N24" i="2"/>
  <c r="N26" i="2" s="1"/>
  <c r="U24" i="2"/>
  <c r="U26" i="2" s="1"/>
  <c r="I24" i="2"/>
  <c r="I26" i="2" s="1"/>
  <c r="J24" i="2"/>
  <c r="J26" i="2" s="1"/>
  <c r="AC24" i="2"/>
  <c r="AC26" i="2" s="1"/>
  <c r="Y24" i="2"/>
  <c r="Y26" i="2" s="1"/>
  <c r="W24" i="2"/>
  <c r="W26" i="2" s="1"/>
  <c r="L24" i="2"/>
  <c r="L26" i="2" s="1"/>
  <c r="Y281" i="1"/>
  <c r="Y447" i="1"/>
  <c r="E74" i="2"/>
  <c r="Y318" i="1"/>
  <c r="Y322" i="1"/>
  <c r="Y314" i="1"/>
  <c r="E264" i="2" s="1"/>
  <c r="Y278" i="1"/>
  <c r="Y316" i="1"/>
  <c r="E302" i="2" s="1"/>
  <c r="Y453" i="1"/>
  <c r="Y320" i="1"/>
  <c r="Y272" i="1"/>
  <c r="E226" i="2"/>
  <c r="K447" i="1"/>
  <c r="K453" i="1"/>
  <c r="K272" i="1"/>
  <c r="K318" i="1"/>
  <c r="K322" i="1"/>
  <c r="K320" i="1"/>
  <c r="K316" i="1"/>
  <c r="E280" i="2" s="1"/>
  <c r="AH280" i="2" s="1"/>
  <c r="K314" i="1"/>
  <c r="E52" i="2"/>
  <c r="AH52" i="2" s="1"/>
  <c r="K281" i="1"/>
  <c r="K278" i="1"/>
  <c r="Z207" i="2"/>
  <c r="AB207" i="2"/>
  <c r="X207" i="2"/>
  <c r="Y207" i="2"/>
  <c r="I101" i="1"/>
  <c r="AE207" i="2"/>
  <c r="U207" i="2"/>
  <c r="W207" i="2"/>
  <c r="P207" i="2"/>
  <c r="N207" i="2"/>
  <c r="AD207" i="2"/>
  <c r="V207" i="2"/>
  <c r="AC207" i="2"/>
  <c r="W104" i="1"/>
  <c r="W124" i="1" s="1"/>
  <c r="W126" i="1" s="1"/>
  <c r="E223" i="2"/>
  <c r="O535" i="2"/>
  <c r="O558" i="2" s="1"/>
  <c r="O609" i="2" s="1"/>
  <c r="F24" i="2"/>
  <c r="F460" i="2"/>
  <c r="F442" i="2"/>
  <c r="F443" i="2" s="1"/>
  <c r="I201" i="15"/>
  <c r="I36" i="15" s="1"/>
  <c r="U281" i="1"/>
  <c r="E68" i="2"/>
  <c r="U314" i="1"/>
  <c r="U320" i="1"/>
  <c r="U316" i="1"/>
  <c r="E296" i="2" s="1"/>
  <c r="U278" i="1"/>
  <c r="U322" i="1"/>
  <c r="U272" i="1"/>
  <c r="U447" i="1"/>
  <c r="U453" i="1"/>
  <c r="U318" i="1"/>
  <c r="E77" i="2"/>
  <c r="AA447" i="1"/>
  <c r="AA453" i="1"/>
  <c r="AA278" i="1"/>
  <c r="AA314" i="1"/>
  <c r="AA316" i="1"/>
  <c r="E305" i="2" s="1"/>
  <c r="AA322" i="1"/>
  <c r="AA318" i="1"/>
  <c r="AA272" i="1"/>
  <c r="AA320" i="1"/>
  <c r="AA281" i="1"/>
  <c r="M316" i="1"/>
  <c r="E283" i="2" s="1"/>
  <c r="I283" i="2" s="1"/>
  <c r="M318" i="1"/>
  <c r="M453" i="1"/>
  <c r="M322" i="1"/>
  <c r="M272" i="1"/>
  <c r="M320" i="1"/>
  <c r="M281" i="1"/>
  <c r="M314" i="1"/>
  <c r="E55" i="2"/>
  <c r="I55" i="2" s="1"/>
  <c r="M278" i="1"/>
  <c r="M447" i="1"/>
  <c r="E201" i="2"/>
  <c r="H126" i="1"/>
  <c r="AE220" i="2"/>
  <c r="R220" i="2"/>
  <c r="K220" i="2"/>
  <c r="Y220" i="2"/>
  <c r="I338" i="2"/>
  <c r="I351" i="2" s="1"/>
  <c r="Q207" i="2"/>
  <c r="G338" i="2"/>
  <c r="G351" i="2" s="1"/>
  <c r="M220" i="2"/>
  <c r="V220" i="2"/>
  <c r="S220" i="2"/>
  <c r="J220" i="2"/>
  <c r="G220" i="2"/>
  <c r="N220" i="2"/>
  <c r="H220" i="2"/>
  <c r="H16" i="2"/>
  <c r="H207" i="2"/>
  <c r="AG497" i="2"/>
  <c r="R535" i="2"/>
  <c r="R558" i="2" s="1"/>
  <c r="AG25" i="2"/>
  <c r="AH25" i="2" s="1"/>
  <c r="G464" i="2"/>
  <c r="AG400" i="2"/>
  <c r="AH400" i="2" s="1"/>
  <c r="F314" i="2"/>
  <c r="AG314" i="2" s="1"/>
  <c r="AH314" i="2" s="1"/>
  <c r="U220" i="2"/>
  <c r="AF220" i="2"/>
  <c r="AA220" i="2"/>
  <c r="Z220" i="2"/>
  <c r="O220" i="2"/>
  <c r="AC220" i="2"/>
  <c r="F220" i="2"/>
  <c r="T220" i="2"/>
  <c r="I220" i="2"/>
  <c r="AA207" i="2"/>
  <c r="T207" i="2"/>
  <c r="S207" i="2"/>
  <c r="Q535" i="2"/>
  <c r="Q558" i="2" s="1"/>
  <c r="I16" i="2"/>
  <c r="I207" i="2"/>
  <c r="AF207" i="2"/>
  <c r="J338" i="2"/>
  <c r="J351" i="2" s="1"/>
  <c r="K338" i="2"/>
  <c r="K351" i="2" s="1"/>
  <c r="G470" i="2"/>
  <c r="P220" i="2"/>
  <c r="W220" i="2"/>
  <c r="AD220" i="2"/>
  <c r="Q220" i="2"/>
  <c r="L220" i="2"/>
  <c r="AB220" i="2"/>
  <c r="P535" i="2"/>
  <c r="P558" i="2" s="1"/>
  <c r="M207" i="2"/>
  <c r="O207" i="2"/>
  <c r="AG506" i="2" l="1"/>
  <c r="I583" i="2"/>
  <c r="L609" i="2"/>
  <c r="L611" i="2" s="1"/>
  <c r="L583" i="2"/>
  <c r="P213" i="1"/>
  <c r="AB213" i="1" s="1"/>
  <c r="AC213" i="1" s="1"/>
  <c r="P310" i="1"/>
  <c r="AB310" i="1" s="1"/>
  <c r="AC310" i="1" s="1"/>
  <c r="P306" i="1"/>
  <c r="AB306" i="1" s="1"/>
  <c r="AC306" i="1" s="1"/>
  <c r="P89" i="1"/>
  <c r="AB89" i="1" s="1"/>
  <c r="AC89" i="1" s="1"/>
  <c r="AB54" i="1"/>
  <c r="AC54" i="1" s="1"/>
  <c r="P78" i="1"/>
  <c r="AB78" i="1" s="1"/>
  <c r="AC78" i="1" s="1"/>
  <c r="P211" i="1"/>
  <c r="AB211" i="1" s="1"/>
  <c r="AC211" i="1" s="1"/>
  <c r="P105" i="1"/>
  <c r="AB105" i="1" s="1"/>
  <c r="AC105" i="1" s="1"/>
  <c r="P138" i="1"/>
  <c r="AB138" i="1" s="1"/>
  <c r="AC138" i="1" s="1"/>
  <c r="P227" i="1"/>
  <c r="AB227" i="1" s="1"/>
  <c r="AC227" i="1" s="1"/>
  <c r="P87" i="1"/>
  <c r="AB87" i="1" s="1"/>
  <c r="AC87" i="1" s="1"/>
  <c r="P397" i="1"/>
  <c r="P108" i="1"/>
  <c r="AB108" i="1" s="1"/>
  <c r="AC108" i="1" s="1"/>
  <c r="P136" i="1"/>
  <c r="P202" i="1"/>
  <c r="P56" i="1"/>
  <c r="P387" i="1"/>
  <c r="AB387" i="1" s="1"/>
  <c r="AC387" i="1" s="1"/>
  <c r="P220" i="1"/>
  <c r="P378" i="1"/>
  <c r="P137" i="1"/>
  <c r="AB137" i="1" s="1"/>
  <c r="AC137" i="1" s="1"/>
  <c r="P388" i="1"/>
  <c r="AB388" i="1" s="1"/>
  <c r="AC388" i="1" s="1"/>
  <c r="P139" i="1"/>
  <c r="AB139" i="1" s="1"/>
  <c r="AC139" i="1" s="1"/>
  <c r="P404" i="1"/>
  <c r="AB404" i="1" s="1"/>
  <c r="AC404" i="1" s="1"/>
  <c r="K217" i="2"/>
  <c r="AB217" i="2"/>
  <c r="Z217" i="2"/>
  <c r="M217" i="2"/>
  <c r="N609" i="2"/>
  <c r="G583" i="2"/>
  <c r="G609" i="2"/>
  <c r="H583" i="2"/>
  <c r="O12" i="1"/>
  <c r="AG454" i="2"/>
  <c r="AH454" i="2" s="1"/>
  <c r="E456" i="2"/>
  <c r="O408" i="1"/>
  <c r="O75" i="1"/>
  <c r="O231" i="1"/>
  <c r="S449" i="2"/>
  <c r="S450" i="2" s="1"/>
  <c r="AC449" i="2"/>
  <c r="AC450" i="2" s="1"/>
  <c r="AF449" i="2"/>
  <c r="AF450" i="2" s="1"/>
  <c r="W449" i="2"/>
  <c r="W450" i="2" s="1"/>
  <c r="H449" i="2"/>
  <c r="H450" i="2" s="1"/>
  <c r="I449" i="2"/>
  <c r="I450" i="2" s="1"/>
  <c r="M449" i="2"/>
  <c r="M450" i="2" s="1"/>
  <c r="X449" i="2"/>
  <c r="X450" i="2" s="1"/>
  <c r="E450" i="2"/>
  <c r="T449" i="2"/>
  <c r="T450" i="2" s="1"/>
  <c r="N449" i="2"/>
  <c r="N450" i="2" s="1"/>
  <c r="Y449" i="2"/>
  <c r="Y450" i="2" s="1"/>
  <c r="AE449" i="2"/>
  <c r="AE450" i="2" s="1"/>
  <c r="L449" i="2"/>
  <c r="L450" i="2" s="1"/>
  <c r="O449" i="2"/>
  <c r="O450" i="2" s="1"/>
  <c r="AB449" i="2"/>
  <c r="AB450" i="2" s="1"/>
  <c r="AD449" i="2"/>
  <c r="AD450" i="2" s="1"/>
  <c r="AA449" i="2"/>
  <c r="AA450" i="2" s="1"/>
  <c r="G449" i="2"/>
  <c r="G450" i="2" s="1"/>
  <c r="Q449" i="2"/>
  <c r="Q450" i="2" s="1"/>
  <c r="Z449" i="2"/>
  <c r="Z450" i="2" s="1"/>
  <c r="U449" i="2"/>
  <c r="U450" i="2" s="1"/>
  <c r="P449" i="2"/>
  <c r="P450" i="2" s="1"/>
  <c r="V449" i="2"/>
  <c r="V450" i="2" s="1"/>
  <c r="J449" i="2"/>
  <c r="J450" i="2" s="1"/>
  <c r="R449" i="2"/>
  <c r="R450" i="2" s="1"/>
  <c r="F449" i="2"/>
  <c r="F450" i="2" s="1"/>
  <c r="P291" i="2"/>
  <c r="J609" i="2"/>
  <c r="J583" i="2"/>
  <c r="U217" i="2"/>
  <c r="X217" i="2"/>
  <c r="L467" i="2"/>
  <c r="L470" i="2" s="1"/>
  <c r="L471" i="2" s="1"/>
  <c r="L472" i="2" s="1"/>
  <c r="L283" i="2" s="1"/>
  <c r="L463" i="2"/>
  <c r="L464" i="2" s="1"/>
  <c r="L465" i="2" s="1"/>
  <c r="L55" i="2" s="1"/>
  <c r="J200" i="15"/>
  <c r="J201" i="15" s="1"/>
  <c r="J36" i="15" s="1"/>
  <c r="AG29" i="2"/>
  <c r="AH29" i="2" s="1"/>
  <c r="H217" i="2"/>
  <c r="X291" i="2"/>
  <c r="U291" i="2"/>
  <c r="H291" i="2"/>
  <c r="AC291" i="2"/>
  <c r="K291" i="2"/>
  <c r="W291" i="2"/>
  <c r="AC217" i="2"/>
  <c r="AD291" i="2"/>
  <c r="AB291" i="2"/>
  <c r="N217" i="2"/>
  <c r="R291" i="2"/>
  <c r="F291" i="2"/>
  <c r="AA291" i="2"/>
  <c r="AE291" i="2"/>
  <c r="O291" i="2"/>
  <c r="Y291" i="2"/>
  <c r="G291" i="2"/>
  <c r="T291" i="2"/>
  <c r="T293" i="2" s="1"/>
  <c r="Q291" i="2"/>
  <c r="L217" i="2"/>
  <c r="N291" i="2"/>
  <c r="I291" i="2"/>
  <c r="S291" i="2"/>
  <c r="L291" i="2"/>
  <c r="Z291" i="2"/>
  <c r="V291" i="2"/>
  <c r="J291" i="2"/>
  <c r="M291" i="2"/>
  <c r="AF217" i="2"/>
  <c r="AB63" i="2"/>
  <c r="P217" i="2"/>
  <c r="V217" i="2"/>
  <c r="J217" i="2"/>
  <c r="T217" i="2"/>
  <c r="S63" i="2"/>
  <c r="S283" i="1"/>
  <c r="S285" i="1" s="1"/>
  <c r="S287" i="1" s="1"/>
  <c r="Y217" i="2"/>
  <c r="O217" i="2"/>
  <c r="S217" i="2"/>
  <c r="S457" i="1"/>
  <c r="S459" i="1" s="1"/>
  <c r="S461" i="1" s="1"/>
  <c r="E178" i="2" s="1"/>
  <c r="U178" i="2" s="1"/>
  <c r="R217" i="2"/>
  <c r="Q217" i="2"/>
  <c r="R283" i="1"/>
  <c r="R285" i="1" s="1"/>
  <c r="R129" i="1" s="1"/>
  <c r="R133" i="1" s="1"/>
  <c r="R144" i="1" s="1"/>
  <c r="Y292" i="2"/>
  <c r="H292" i="2"/>
  <c r="R63" i="2"/>
  <c r="AC63" i="2"/>
  <c r="AA292" i="2"/>
  <c r="Q292" i="2"/>
  <c r="W292" i="2"/>
  <c r="P64" i="2"/>
  <c r="AA217" i="2"/>
  <c r="AE217" i="2"/>
  <c r="X63" i="2"/>
  <c r="Z63" i="2"/>
  <c r="Y63" i="2"/>
  <c r="F292" i="2"/>
  <c r="AD217" i="2"/>
  <c r="E293" i="2"/>
  <c r="U63" i="2"/>
  <c r="P63" i="2"/>
  <c r="AA63" i="2"/>
  <c r="AF283" i="2"/>
  <c r="U292" i="2"/>
  <c r="G292" i="2"/>
  <c r="V292" i="2"/>
  <c r="AD292" i="2"/>
  <c r="AG216" i="2"/>
  <c r="AH216" i="2" s="1"/>
  <c r="S324" i="1"/>
  <c r="I63" i="2"/>
  <c r="L63" i="2"/>
  <c r="Q63" i="2"/>
  <c r="H63" i="2"/>
  <c r="T63" i="2"/>
  <c r="J63" i="2"/>
  <c r="V63" i="2"/>
  <c r="M292" i="2"/>
  <c r="S292" i="2"/>
  <c r="K292" i="2"/>
  <c r="O292" i="2"/>
  <c r="AC292" i="2"/>
  <c r="X292" i="2"/>
  <c r="AF292" i="2"/>
  <c r="AF293" i="2" s="1"/>
  <c r="I292" i="2"/>
  <c r="K64" i="2"/>
  <c r="N63" i="2"/>
  <c r="F63" i="2"/>
  <c r="W63" i="2"/>
  <c r="R292" i="2"/>
  <c r="L292" i="2"/>
  <c r="AE292" i="2"/>
  <c r="M63" i="2"/>
  <c r="AF63" i="2"/>
  <c r="G63" i="2"/>
  <c r="G65" i="2" s="1"/>
  <c r="O63" i="2"/>
  <c r="AD63" i="2"/>
  <c r="Z292" i="2"/>
  <c r="N292" i="2"/>
  <c r="J292" i="2"/>
  <c r="P292" i="2"/>
  <c r="AB292" i="2"/>
  <c r="N64" i="2"/>
  <c r="W217" i="2"/>
  <c r="S64" i="2"/>
  <c r="AF64" i="2"/>
  <c r="AB64" i="2"/>
  <c r="X64" i="2"/>
  <c r="U64" i="2"/>
  <c r="L64" i="2"/>
  <c r="Q64" i="2"/>
  <c r="Y64" i="2"/>
  <c r="AC64" i="2"/>
  <c r="J64" i="2"/>
  <c r="O64" i="2"/>
  <c r="F64" i="2"/>
  <c r="AE64" i="2"/>
  <c r="AE65" i="2" s="1"/>
  <c r="Z64" i="2"/>
  <c r="AG215" i="2"/>
  <c r="AH215" i="2" s="1"/>
  <c r="AE283" i="2"/>
  <c r="AD64" i="2"/>
  <c r="I64" i="2"/>
  <c r="AA64" i="2"/>
  <c r="E65" i="2"/>
  <c r="V64" i="2"/>
  <c r="W64" i="2"/>
  <c r="I217" i="2"/>
  <c r="H283" i="2"/>
  <c r="AA283" i="2"/>
  <c r="H64" i="2"/>
  <c r="R64" i="2"/>
  <c r="M64" i="2"/>
  <c r="T64" i="2"/>
  <c r="X283" i="2"/>
  <c r="AC283" i="2"/>
  <c r="T283" i="2"/>
  <c r="P283" i="2"/>
  <c r="M283" i="2"/>
  <c r="W283" i="2"/>
  <c r="AG38" i="2"/>
  <c r="AH38" i="2" s="1"/>
  <c r="V283" i="2"/>
  <c r="Z283" i="2"/>
  <c r="Y283" i="2"/>
  <c r="I104" i="1"/>
  <c r="R457" i="1"/>
  <c r="R459" i="1" s="1"/>
  <c r="R461" i="1" s="1"/>
  <c r="E177" i="2" s="1"/>
  <c r="T177" i="2" s="1"/>
  <c r="AG32" i="2"/>
  <c r="AH32" i="2" s="1"/>
  <c r="R324" i="1"/>
  <c r="AG229" i="2"/>
  <c r="AH229" i="2" s="1"/>
  <c r="R283" i="2"/>
  <c r="H55" i="2"/>
  <c r="Q283" i="2"/>
  <c r="O283" i="2"/>
  <c r="O583" i="2"/>
  <c r="Y283" i="1"/>
  <c r="Y285" i="1" s="1"/>
  <c r="Y287" i="1" s="1"/>
  <c r="AB283" i="2"/>
  <c r="U283" i="2"/>
  <c r="AD283" i="2"/>
  <c r="Y457" i="1"/>
  <c r="Y459" i="1" s="1"/>
  <c r="Y461" i="1" s="1"/>
  <c r="E188" i="2" s="1"/>
  <c r="AE188" i="2" s="1"/>
  <c r="AA74" i="2"/>
  <c r="AD74" i="2"/>
  <c r="AB74" i="2"/>
  <c r="P74" i="2"/>
  <c r="AE74" i="2"/>
  <c r="F74" i="2"/>
  <c r="Q74" i="2"/>
  <c r="Z74" i="2"/>
  <c r="V74" i="2"/>
  <c r="O74" i="2"/>
  <c r="J74" i="2"/>
  <c r="Y74" i="2"/>
  <c r="K74" i="2"/>
  <c r="X74" i="2"/>
  <c r="I74" i="2"/>
  <c r="AF74" i="2"/>
  <c r="T74" i="2"/>
  <c r="W74" i="2"/>
  <c r="G74" i="2"/>
  <c r="N74" i="2"/>
  <c r="R74" i="2"/>
  <c r="U74" i="2"/>
  <c r="M74" i="2"/>
  <c r="H74" i="2"/>
  <c r="L74" i="2"/>
  <c r="AC74" i="2"/>
  <c r="S74" i="2"/>
  <c r="Y324" i="1"/>
  <c r="AB264" i="2"/>
  <c r="AF264" i="2"/>
  <c r="R264" i="2"/>
  <c r="V264" i="2"/>
  <c r="AA264" i="2"/>
  <c r="O264" i="2"/>
  <c r="S264" i="2"/>
  <c r="X264" i="2"/>
  <c r="G264" i="2"/>
  <c r="W264" i="2"/>
  <c r="T264" i="2"/>
  <c r="AE264" i="2"/>
  <c r="Q264" i="2"/>
  <c r="U264" i="2"/>
  <c r="AC264" i="2"/>
  <c r="J264" i="2"/>
  <c r="P264" i="2"/>
  <c r="K264" i="2"/>
  <c r="Y264" i="2"/>
  <c r="N264" i="2"/>
  <c r="H264" i="2"/>
  <c r="Z264" i="2"/>
  <c r="AD264" i="2"/>
  <c r="L264" i="2"/>
  <c r="M264" i="2"/>
  <c r="I264" i="2"/>
  <c r="F264" i="2"/>
  <c r="N283" i="2"/>
  <c r="K226" i="2"/>
  <c r="N226" i="2"/>
  <c r="G226" i="2"/>
  <c r="AB226" i="2"/>
  <c r="AE226" i="2"/>
  <c r="AF226" i="2"/>
  <c r="S226" i="2"/>
  <c r="T226" i="2"/>
  <c r="M226" i="2"/>
  <c r="H226" i="2"/>
  <c r="W226" i="2"/>
  <c r="U226" i="2"/>
  <c r="Z226" i="2"/>
  <c r="F226" i="2"/>
  <c r="AC226" i="2"/>
  <c r="Y226" i="2"/>
  <c r="X226" i="2"/>
  <c r="P226" i="2"/>
  <c r="R226" i="2"/>
  <c r="J226" i="2"/>
  <c r="V226" i="2"/>
  <c r="O226" i="2"/>
  <c r="I226" i="2"/>
  <c r="L226" i="2"/>
  <c r="AA226" i="2"/>
  <c r="AD226" i="2"/>
  <c r="Q226" i="2"/>
  <c r="U302" i="2"/>
  <c r="AC302" i="2"/>
  <c r="P302" i="2"/>
  <c r="AB302" i="2"/>
  <c r="Z302" i="2"/>
  <c r="K302" i="2"/>
  <c r="S302" i="2"/>
  <c r="L302" i="2"/>
  <c r="G302" i="2"/>
  <c r="V302" i="2"/>
  <c r="AA302" i="2"/>
  <c r="F302" i="2"/>
  <c r="H302" i="2"/>
  <c r="T302" i="2"/>
  <c r="X302" i="2"/>
  <c r="R302" i="2"/>
  <c r="AE302" i="2"/>
  <c r="J302" i="2"/>
  <c r="O302" i="2"/>
  <c r="M302" i="2"/>
  <c r="I302" i="2"/>
  <c r="AD302" i="2"/>
  <c r="W302" i="2"/>
  <c r="Q302" i="2"/>
  <c r="Y302" i="2"/>
  <c r="AF302" i="2"/>
  <c r="N302" i="2"/>
  <c r="K324" i="1"/>
  <c r="E242" i="2"/>
  <c r="AH242" i="2" s="1"/>
  <c r="K283" i="1"/>
  <c r="K285" i="1" s="1"/>
  <c r="K457" i="1"/>
  <c r="K459" i="1" s="1"/>
  <c r="K461" i="1" s="1"/>
  <c r="E166" i="2" s="1"/>
  <c r="AH166" i="2" s="1"/>
  <c r="S283" i="2"/>
  <c r="W314" i="1"/>
  <c r="W320" i="1"/>
  <c r="W278" i="1"/>
  <c r="W281" i="1"/>
  <c r="W316" i="1"/>
  <c r="E299" i="2" s="1"/>
  <c r="W453" i="1"/>
  <c r="E71" i="2"/>
  <c r="W318" i="1"/>
  <c r="W447" i="1"/>
  <c r="W322" i="1"/>
  <c r="W272" i="1"/>
  <c r="M457" i="1"/>
  <c r="M459" i="1" s="1"/>
  <c r="M461" i="1" s="1"/>
  <c r="E169" i="2" s="1"/>
  <c r="U283" i="1"/>
  <c r="U285" i="1" s="1"/>
  <c r="E144" i="2" s="1"/>
  <c r="AA223" i="2"/>
  <c r="K223" i="2"/>
  <c r="W223" i="2"/>
  <c r="S223" i="2"/>
  <c r="X223" i="2"/>
  <c r="T223" i="2"/>
  <c r="J223" i="2"/>
  <c r="F223" i="2"/>
  <c r="Q223" i="2"/>
  <c r="L223" i="2"/>
  <c r="M223" i="2"/>
  <c r="AD223" i="2"/>
  <c r="Z223" i="2"/>
  <c r="I223" i="2"/>
  <c r="G223" i="2"/>
  <c r="AB223" i="2"/>
  <c r="AE223" i="2"/>
  <c r="AF223" i="2"/>
  <c r="N223" i="2"/>
  <c r="V223" i="2"/>
  <c r="O223" i="2"/>
  <c r="Y223" i="2"/>
  <c r="R223" i="2"/>
  <c r="U223" i="2"/>
  <c r="AC223" i="2"/>
  <c r="H223" i="2"/>
  <c r="P223" i="2"/>
  <c r="AA283" i="1"/>
  <c r="AA285" i="1" s="1"/>
  <c r="AA287" i="1" s="1"/>
  <c r="S85" i="15"/>
  <c r="J12" i="15" s="1"/>
  <c r="F467" i="2"/>
  <c r="F470" i="2" s="1"/>
  <c r="F471" i="2" s="1"/>
  <c r="F472" i="2" s="1"/>
  <c r="F463" i="2"/>
  <c r="F464" i="2" s="1"/>
  <c r="F465" i="2" s="1"/>
  <c r="F26" i="2"/>
  <c r="G471" i="2"/>
  <c r="G465" i="2"/>
  <c r="F254" i="2"/>
  <c r="X254" i="2"/>
  <c r="G254" i="2"/>
  <c r="V254" i="2"/>
  <c r="AA254" i="2"/>
  <c r="R254" i="2"/>
  <c r="S254" i="2"/>
  <c r="I254" i="2"/>
  <c r="P254" i="2"/>
  <c r="L254" i="2"/>
  <c r="U254" i="2"/>
  <c r="H254" i="2"/>
  <c r="Y254" i="2"/>
  <c r="N254" i="2"/>
  <c r="AB254" i="2"/>
  <c r="AD254" i="2"/>
  <c r="AF254" i="2"/>
  <c r="AC254" i="2"/>
  <c r="O254" i="2"/>
  <c r="Q254" i="2"/>
  <c r="K254" i="2"/>
  <c r="Z254" i="2"/>
  <c r="T254" i="2"/>
  <c r="W254" i="2"/>
  <c r="J254" i="2"/>
  <c r="M254" i="2"/>
  <c r="AE254" i="2"/>
  <c r="F535" i="2"/>
  <c r="F558" i="2" s="1"/>
  <c r="E267" i="2"/>
  <c r="AA324" i="1"/>
  <c r="J77" i="2"/>
  <c r="AC77" i="2"/>
  <c r="Y77" i="2"/>
  <c r="G77" i="2"/>
  <c r="L77" i="2"/>
  <c r="AE77" i="2"/>
  <c r="O77" i="2"/>
  <c r="P77" i="2"/>
  <c r="W77" i="2"/>
  <c r="U77" i="2"/>
  <c r="AF77" i="2"/>
  <c r="X77" i="2"/>
  <c r="Z77" i="2"/>
  <c r="K77" i="2"/>
  <c r="S77" i="2"/>
  <c r="AB77" i="2"/>
  <c r="M77" i="2"/>
  <c r="AD77" i="2"/>
  <c r="F77" i="2"/>
  <c r="Q77" i="2"/>
  <c r="N77" i="2"/>
  <c r="AA77" i="2"/>
  <c r="V77" i="2"/>
  <c r="I77" i="2"/>
  <c r="R77" i="2"/>
  <c r="T77" i="2"/>
  <c r="H77" i="2"/>
  <c r="U457" i="1"/>
  <c r="U459" i="1" s="1"/>
  <c r="U461" i="1" s="1"/>
  <c r="E182" i="2" s="1"/>
  <c r="S68" i="2"/>
  <c r="AB68" i="2"/>
  <c r="L68" i="2"/>
  <c r="R68" i="2"/>
  <c r="M68" i="2"/>
  <c r="N68" i="2"/>
  <c r="H68" i="2"/>
  <c r="AE68" i="2"/>
  <c r="AA68" i="2"/>
  <c r="AC68" i="2"/>
  <c r="J68" i="2"/>
  <c r="V68" i="2"/>
  <c r="AD68" i="2"/>
  <c r="G68" i="2"/>
  <c r="Y68" i="2"/>
  <c r="P68" i="2"/>
  <c r="X68" i="2"/>
  <c r="Q68" i="2"/>
  <c r="U68" i="2"/>
  <c r="K68" i="2"/>
  <c r="O68" i="2"/>
  <c r="Z68" i="2"/>
  <c r="T68" i="2"/>
  <c r="AF68" i="2"/>
  <c r="F68" i="2"/>
  <c r="I68" i="2"/>
  <c r="W68" i="2"/>
  <c r="H281" i="1"/>
  <c r="H322" i="1"/>
  <c r="H320" i="1"/>
  <c r="H447" i="1"/>
  <c r="H318" i="1"/>
  <c r="H278" i="1"/>
  <c r="H314" i="1"/>
  <c r="E47" i="2"/>
  <c r="H316" i="1"/>
  <c r="H272" i="1"/>
  <c r="H453" i="1"/>
  <c r="R55" i="2"/>
  <c r="Q55" i="2"/>
  <c r="AF55" i="2"/>
  <c r="Y55" i="2"/>
  <c r="Z55" i="2"/>
  <c r="N55" i="2"/>
  <c r="X55" i="2"/>
  <c r="AB55" i="2"/>
  <c r="P55" i="2"/>
  <c r="AC55" i="2"/>
  <c r="O55" i="2"/>
  <c r="M55" i="2"/>
  <c r="S55" i="2"/>
  <c r="AE55" i="2"/>
  <c r="V55" i="2"/>
  <c r="W55" i="2"/>
  <c r="AD55" i="2"/>
  <c r="U55" i="2"/>
  <c r="T55" i="2"/>
  <c r="AA55" i="2"/>
  <c r="M283" i="1"/>
  <c r="M285" i="1" s="1"/>
  <c r="H296" i="2"/>
  <c r="M296" i="2"/>
  <c r="V296" i="2"/>
  <c r="G296" i="2"/>
  <c r="AF296" i="2"/>
  <c r="L296" i="2"/>
  <c r="U296" i="2"/>
  <c r="AC296" i="2"/>
  <c r="AE296" i="2"/>
  <c r="P296" i="2"/>
  <c r="Z296" i="2"/>
  <c r="O296" i="2"/>
  <c r="X296" i="2"/>
  <c r="AD296" i="2"/>
  <c r="K296" i="2"/>
  <c r="I296" i="2"/>
  <c r="N296" i="2"/>
  <c r="W296" i="2"/>
  <c r="R296" i="2"/>
  <c r="F296" i="2"/>
  <c r="Y296" i="2"/>
  <c r="T296" i="2"/>
  <c r="S296" i="2"/>
  <c r="Q296" i="2"/>
  <c r="J296" i="2"/>
  <c r="AB296" i="2"/>
  <c r="AA296" i="2"/>
  <c r="P583" i="2"/>
  <c r="P609" i="2"/>
  <c r="D15" i="4"/>
  <c r="AG220" i="2"/>
  <c r="AH220" i="2" s="1"/>
  <c r="R583" i="2"/>
  <c r="R609" i="2"/>
  <c r="E245" i="2"/>
  <c r="M324" i="1"/>
  <c r="D14" i="4"/>
  <c r="Q609" i="2"/>
  <c r="Q583" i="2"/>
  <c r="F316" i="2"/>
  <c r="E255" i="2"/>
  <c r="V253" i="2"/>
  <c r="O253" i="2"/>
  <c r="AE253" i="2"/>
  <c r="K253" i="2"/>
  <c r="L253" i="2"/>
  <c r="T253" i="2"/>
  <c r="AA253" i="2"/>
  <c r="Z253" i="2"/>
  <c r="R253" i="2"/>
  <c r="U253" i="2"/>
  <c r="Q253" i="2"/>
  <c r="AD253" i="2"/>
  <c r="AB253" i="2"/>
  <c r="G253" i="2"/>
  <c r="X253" i="2"/>
  <c r="H253" i="2"/>
  <c r="AC253" i="2"/>
  <c r="I253" i="2"/>
  <c r="Y253" i="2"/>
  <c r="J253" i="2"/>
  <c r="N253" i="2"/>
  <c r="S253" i="2"/>
  <c r="P253" i="2"/>
  <c r="AF253" i="2"/>
  <c r="M253" i="2"/>
  <c r="W253" i="2"/>
  <c r="F253" i="2"/>
  <c r="D11" i="4"/>
  <c r="D13" i="4"/>
  <c r="W305" i="2"/>
  <c r="S305" i="2"/>
  <c r="T305" i="2"/>
  <c r="AB305" i="2"/>
  <c r="V305" i="2"/>
  <c r="Z305" i="2"/>
  <c r="I305" i="2"/>
  <c r="R305" i="2"/>
  <c r="X305" i="2"/>
  <c r="K305" i="2"/>
  <c r="AD305" i="2"/>
  <c r="U305" i="2"/>
  <c r="AC305" i="2"/>
  <c r="Q305" i="2"/>
  <c r="Y305" i="2"/>
  <c r="AF305" i="2"/>
  <c r="AE305" i="2"/>
  <c r="G305" i="2"/>
  <c r="P305" i="2"/>
  <c r="M305" i="2"/>
  <c r="J305" i="2"/>
  <c r="L305" i="2"/>
  <c r="N305" i="2"/>
  <c r="AA305" i="2"/>
  <c r="O305" i="2"/>
  <c r="F305" i="2"/>
  <c r="H305" i="2"/>
  <c r="AA457" i="1"/>
  <c r="AA459" i="1" s="1"/>
  <c r="AA461" i="1" s="1"/>
  <c r="E191" i="2" s="1"/>
  <c r="E258" i="2"/>
  <c r="U324" i="1"/>
  <c r="V293" i="2" l="1"/>
  <c r="E101" i="2"/>
  <c r="T101" i="2" s="1"/>
  <c r="P141" i="1"/>
  <c r="AB141" i="1" s="1"/>
  <c r="AC141" i="1" s="1"/>
  <c r="AB136" i="1"/>
  <c r="AC136" i="1" s="1"/>
  <c r="P406" i="1"/>
  <c r="AB406" i="1" s="1"/>
  <c r="AC406" i="1" s="1"/>
  <c r="AB397" i="1"/>
  <c r="AC397" i="1" s="1"/>
  <c r="AB378" i="1"/>
  <c r="AC378" i="1" s="1"/>
  <c r="P390" i="1"/>
  <c r="P229" i="1"/>
  <c r="AB229" i="1" s="1"/>
  <c r="AC229" i="1" s="1"/>
  <c r="AB220" i="1"/>
  <c r="AC220" i="1" s="1"/>
  <c r="P69" i="1"/>
  <c r="AB69" i="1" s="1"/>
  <c r="AC69" i="1" s="1"/>
  <c r="P66" i="1"/>
  <c r="AB66" i="1" s="1"/>
  <c r="AC66" i="1" s="1"/>
  <c r="P10" i="1"/>
  <c r="AB10" i="1" s="1"/>
  <c r="AC10" i="1" s="1"/>
  <c r="P68" i="1"/>
  <c r="AB68" i="1" s="1"/>
  <c r="AC68" i="1" s="1"/>
  <c r="P64" i="1"/>
  <c r="AB64" i="1" s="1"/>
  <c r="AC64" i="1" s="1"/>
  <c r="AB56" i="1"/>
  <c r="AC56" i="1" s="1"/>
  <c r="P309" i="1"/>
  <c r="AB309" i="1" s="1"/>
  <c r="AC309" i="1" s="1"/>
  <c r="P70" i="1"/>
  <c r="AB70" i="1" s="1"/>
  <c r="AC70" i="1" s="1"/>
  <c r="P65" i="1"/>
  <c r="AB65" i="1" s="1"/>
  <c r="AC65" i="1" s="1"/>
  <c r="P8" i="1"/>
  <c r="P67" i="1"/>
  <c r="AB67" i="1" s="1"/>
  <c r="AC67" i="1" s="1"/>
  <c r="P63" i="1"/>
  <c r="P72" i="1"/>
  <c r="AB72" i="1" s="1"/>
  <c r="AC72" i="1" s="1"/>
  <c r="P71" i="1"/>
  <c r="AB71" i="1" s="1"/>
  <c r="AC71" i="1" s="1"/>
  <c r="P9" i="1"/>
  <c r="AB9" i="1" s="1"/>
  <c r="AC9" i="1" s="1"/>
  <c r="P73" i="1"/>
  <c r="AB73" i="1" s="1"/>
  <c r="AC73" i="1" s="1"/>
  <c r="P77" i="1"/>
  <c r="AB77" i="1" s="1"/>
  <c r="AC77" i="1" s="1"/>
  <c r="P58" i="1"/>
  <c r="AB58" i="1" s="1"/>
  <c r="AC58" i="1" s="1"/>
  <c r="AB202" i="1"/>
  <c r="AC202" i="1" s="1"/>
  <c r="P215" i="1"/>
  <c r="AF65" i="2"/>
  <c r="W293" i="2"/>
  <c r="Y293" i="2"/>
  <c r="U451" i="2"/>
  <c r="T451" i="2"/>
  <c r="F451" i="2"/>
  <c r="N451" i="2"/>
  <c r="AB456" i="2"/>
  <c r="AB457" i="2" s="1"/>
  <c r="AD456" i="2"/>
  <c r="AD457" i="2" s="1"/>
  <c r="AC456" i="2"/>
  <c r="AC457" i="2" s="1"/>
  <c r="H456" i="2"/>
  <c r="H457" i="2" s="1"/>
  <c r="I456" i="2"/>
  <c r="I457" i="2" s="1"/>
  <c r="O456" i="2"/>
  <c r="O457" i="2" s="1"/>
  <c r="S456" i="2"/>
  <c r="S457" i="2" s="1"/>
  <c r="AF456" i="2"/>
  <c r="AF457" i="2" s="1"/>
  <c r="AE456" i="2"/>
  <c r="AE457" i="2" s="1"/>
  <c r="Z456" i="2"/>
  <c r="Z457" i="2" s="1"/>
  <c r="R456" i="2"/>
  <c r="R457" i="2" s="1"/>
  <c r="G456" i="2"/>
  <c r="G457" i="2" s="1"/>
  <c r="P456" i="2"/>
  <c r="P457" i="2" s="1"/>
  <c r="Y456" i="2"/>
  <c r="Y457" i="2" s="1"/>
  <c r="E457" i="2"/>
  <c r="W456" i="2"/>
  <c r="W457" i="2" s="1"/>
  <c r="U456" i="2"/>
  <c r="U457" i="2" s="1"/>
  <c r="T456" i="2"/>
  <c r="T457" i="2" s="1"/>
  <c r="Q456" i="2"/>
  <c r="Q457" i="2" s="1"/>
  <c r="X456" i="2"/>
  <c r="X457" i="2" s="1"/>
  <c r="V456" i="2"/>
  <c r="V457" i="2" s="1"/>
  <c r="AA456" i="2"/>
  <c r="AA457" i="2" s="1"/>
  <c r="J456" i="2"/>
  <c r="J457" i="2" s="1"/>
  <c r="L456" i="2"/>
  <c r="L457" i="2" s="1"/>
  <c r="M456" i="2"/>
  <c r="M457" i="2" s="1"/>
  <c r="N456" i="2"/>
  <c r="N457" i="2" s="1"/>
  <c r="F456" i="2"/>
  <c r="F457" i="2" s="1"/>
  <c r="O237" i="1"/>
  <c r="O233" i="1"/>
  <c r="O235" i="1"/>
  <c r="O410" i="1"/>
  <c r="O82" i="1"/>
  <c r="S451" i="2"/>
  <c r="R451" i="2"/>
  <c r="M451" i="2"/>
  <c r="AB451" i="2"/>
  <c r="V451" i="2"/>
  <c r="Z451" i="2"/>
  <c r="AF451" i="2"/>
  <c r="L451" i="2"/>
  <c r="Q451" i="2"/>
  <c r="I451" i="2"/>
  <c r="P451" i="2"/>
  <c r="AD451" i="2"/>
  <c r="X451" i="2"/>
  <c r="J451" i="2"/>
  <c r="G451" i="2"/>
  <c r="H451" i="2"/>
  <c r="Y451" i="2"/>
  <c r="AA451" i="2"/>
  <c r="AE451" i="2"/>
  <c r="O451" i="2"/>
  <c r="AC451" i="2"/>
  <c r="W451" i="2"/>
  <c r="O454" i="1"/>
  <c r="O122" i="1"/>
  <c r="O121" i="1"/>
  <c r="O88" i="1"/>
  <c r="O455" i="1"/>
  <c r="O307" i="1"/>
  <c r="O279" i="1"/>
  <c r="O120" i="1"/>
  <c r="O280" i="1"/>
  <c r="O308" i="1"/>
  <c r="P293" i="2"/>
  <c r="L207" i="2"/>
  <c r="L16" i="2"/>
  <c r="Q65" i="2"/>
  <c r="L65" i="2"/>
  <c r="K200" i="15"/>
  <c r="K201" i="15" s="1"/>
  <c r="K36" i="15" s="1"/>
  <c r="J65" i="2"/>
  <c r="K293" i="2"/>
  <c r="AB178" i="2"/>
  <c r="G101" i="2"/>
  <c r="Z178" i="2"/>
  <c r="AD178" i="2"/>
  <c r="X178" i="2"/>
  <c r="G178" i="2"/>
  <c r="R178" i="2"/>
  <c r="Q178" i="2"/>
  <c r="S178" i="2"/>
  <c r="AF178" i="2"/>
  <c r="E140" i="2"/>
  <c r="K140" i="2" s="1"/>
  <c r="AC293" i="2"/>
  <c r="M293" i="2"/>
  <c r="F293" i="2"/>
  <c r="O178" i="2"/>
  <c r="P178" i="2"/>
  <c r="L293" i="2"/>
  <c r="AD293" i="2"/>
  <c r="J178" i="2"/>
  <c r="F178" i="2"/>
  <c r="X293" i="2"/>
  <c r="U293" i="2"/>
  <c r="H293" i="2"/>
  <c r="AF101" i="2"/>
  <c r="R287" i="1"/>
  <c r="J293" i="2"/>
  <c r="R293" i="2"/>
  <c r="Q293" i="2"/>
  <c r="S293" i="2"/>
  <c r="AG291" i="2"/>
  <c r="AH291" i="2" s="1"/>
  <c r="V101" i="2"/>
  <c r="O293" i="2"/>
  <c r="AB293" i="2"/>
  <c r="AE293" i="2"/>
  <c r="AA293" i="2"/>
  <c r="N293" i="2"/>
  <c r="I293" i="2"/>
  <c r="Z293" i="2"/>
  <c r="Q101" i="2"/>
  <c r="H101" i="2"/>
  <c r="N101" i="2"/>
  <c r="AC101" i="2"/>
  <c r="AE101" i="2"/>
  <c r="E139" i="2"/>
  <c r="I139" i="2" s="1"/>
  <c r="R326" i="1"/>
  <c r="S101" i="2"/>
  <c r="AB101" i="2"/>
  <c r="AB65" i="2"/>
  <c r="R101" i="2"/>
  <c r="S65" i="2"/>
  <c r="F65" i="2"/>
  <c r="U65" i="2"/>
  <c r="N65" i="2"/>
  <c r="W65" i="2"/>
  <c r="I65" i="2"/>
  <c r="AA178" i="2"/>
  <c r="K178" i="2"/>
  <c r="W178" i="2"/>
  <c r="I178" i="2"/>
  <c r="L178" i="2"/>
  <c r="N178" i="2"/>
  <c r="AC178" i="2"/>
  <c r="S129" i="1"/>
  <c r="S133" i="1" s="1"/>
  <c r="S144" i="1" s="1"/>
  <c r="Y65" i="2"/>
  <c r="S326" i="1"/>
  <c r="M178" i="2"/>
  <c r="Y178" i="2"/>
  <c r="AE178" i="2"/>
  <c r="V178" i="2"/>
  <c r="H178" i="2"/>
  <c r="T178" i="2"/>
  <c r="T179" i="2" s="1"/>
  <c r="V65" i="2"/>
  <c r="Q177" i="2"/>
  <c r="M65" i="2"/>
  <c r="AD65" i="2"/>
  <c r="Z65" i="2"/>
  <c r="AC65" i="2"/>
  <c r="T65" i="2"/>
  <c r="I124" i="1"/>
  <c r="I126" i="1" s="1"/>
  <c r="X65" i="2"/>
  <c r="AG217" i="2"/>
  <c r="AH217" i="2" s="1"/>
  <c r="AG292" i="2"/>
  <c r="AH292" i="2" s="1"/>
  <c r="P65" i="2"/>
  <c r="R65" i="2"/>
  <c r="G293" i="2"/>
  <c r="G177" i="2"/>
  <c r="H65" i="2"/>
  <c r="AA65" i="2"/>
  <c r="O65" i="2"/>
  <c r="AG64" i="2"/>
  <c r="AH64" i="2" s="1"/>
  <c r="Y177" i="2"/>
  <c r="L177" i="2"/>
  <c r="O177" i="2"/>
  <c r="N177" i="2"/>
  <c r="L188" i="2"/>
  <c r="X177" i="2"/>
  <c r="AE177" i="2"/>
  <c r="AD177" i="2"/>
  <c r="M177" i="2"/>
  <c r="F177" i="2"/>
  <c r="AB177" i="2"/>
  <c r="E179" i="2"/>
  <c r="AC177" i="2"/>
  <c r="U177" i="2"/>
  <c r="U179" i="2" s="1"/>
  <c r="W177" i="2"/>
  <c r="AA177" i="2"/>
  <c r="I177" i="2"/>
  <c r="V177" i="2"/>
  <c r="S177" i="2"/>
  <c r="R177" i="2"/>
  <c r="P177" i="2"/>
  <c r="K177" i="2"/>
  <c r="H177" i="2"/>
  <c r="Z177" i="2"/>
  <c r="J177" i="2"/>
  <c r="AF177" i="2"/>
  <c r="T188" i="2"/>
  <c r="X139" i="2"/>
  <c r="Y326" i="1"/>
  <c r="E150" i="2"/>
  <c r="W150" i="2" s="1"/>
  <c r="K326" i="1"/>
  <c r="H188" i="2"/>
  <c r="AB188" i="2"/>
  <c r="M188" i="2"/>
  <c r="AC188" i="2"/>
  <c r="U188" i="2"/>
  <c r="S188" i="2"/>
  <c r="Q188" i="2"/>
  <c r="AD188" i="2"/>
  <c r="Y188" i="2"/>
  <c r="R188" i="2"/>
  <c r="AA188" i="2"/>
  <c r="F188" i="2"/>
  <c r="Z188" i="2"/>
  <c r="J188" i="2"/>
  <c r="X188" i="2"/>
  <c r="AF188" i="2"/>
  <c r="N188" i="2"/>
  <c r="I188" i="2"/>
  <c r="AA129" i="1"/>
  <c r="AA133" i="1" s="1"/>
  <c r="AA144" i="1" s="1"/>
  <c r="U129" i="1"/>
  <c r="U133" i="1" s="1"/>
  <c r="U144" i="1" s="1"/>
  <c r="P188" i="2"/>
  <c r="W188" i="2"/>
  <c r="O188" i="2"/>
  <c r="V188" i="2"/>
  <c r="K188" i="2"/>
  <c r="G188" i="2"/>
  <c r="Y129" i="1"/>
  <c r="Y133" i="1" s="1"/>
  <c r="Y144" i="1" s="1"/>
  <c r="AD255" i="2"/>
  <c r="AG264" i="2"/>
  <c r="AH264" i="2" s="1"/>
  <c r="AG74" i="2"/>
  <c r="AH74" i="2" s="1"/>
  <c r="AG226" i="2"/>
  <c r="AH226" i="2" s="1"/>
  <c r="H255" i="2"/>
  <c r="AG302" i="2"/>
  <c r="AH302" i="2" s="1"/>
  <c r="AE255" i="2"/>
  <c r="E128" i="2"/>
  <c r="K129" i="1"/>
  <c r="K133" i="1" s="1"/>
  <c r="K144" i="1" s="1"/>
  <c r="E90" i="2" s="1"/>
  <c r="K287" i="1"/>
  <c r="E153" i="2"/>
  <c r="F153" i="2" s="1"/>
  <c r="U287" i="1"/>
  <c r="W283" i="1"/>
  <c r="W285" i="1" s="1"/>
  <c r="E147" i="2" s="1"/>
  <c r="AE71" i="2"/>
  <c r="AD71" i="2"/>
  <c r="N71" i="2"/>
  <c r="H71" i="2"/>
  <c r="O71" i="2"/>
  <c r="R71" i="2"/>
  <c r="F71" i="2"/>
  <c r="L71" i="2"/>
  <c r="AC71" i="2"/>
  <c r="I71" i="2"/>
  <c r="S71" i="2"/>
  <c r="AF71" i="2"/>
  <c r="W71" i="2"/>
  <c r="J71" i="2"/>
  <c r="M71" i="2"/>
  <c r="Q71" i="2"/>
  <c r="G71" i="2"/>
  <c r="U71" i="2"/>
  <c r="T71" i="2"/>
  <c r="Z71" i="2"/>
  <c r="Y71" i="2"/>
  <c r="P71" i="2"/>
  <c r="V71" i="2"/>
  <c r="K71" i="2"/>
  <c r="AB71" i="2"/>
  <c r="AA71" i="2"/>
  <c r="X71" i="2"/>
  <c r="E261" i="2"/>
  <c r="W324" i="1"/>
  <c r="U326" i="1"/>
  <c r="AA326" i="1"/>
  <c r="N169" i="2"/>
  <c r="W169" i="2"/>
  <c r="M169" i="2"/>
  <c r="AF169" i="2"/>
  <c r="T169" i="2"/>
  <c r="AA169" i="2"/>
  <c r="R169" i="2"/>
  <c r="AD169" i="2"/>
  <c r="U169" i="2"/>
  <c r="P169" i="2"/>
  <c r="AC169" i="2"/>
  <c r="AB169" i="2"/>
  <c r="I169" i="2"/>
  <c r="Y169" i="2"/>
  <c r="Z169" i="2"/>
  <c r="H169" i="2"/>
  <c r="V169" i="2"/>
  <c r="X169" i="2"/>
  <c r="Q169" i="2"/>
  <c r="AE169" i="2"/>
  <c r="O169" i="2"/>
  <c r="S169" i="2"/>
  <c r="L169" i="2"/>
  <c r="W457" i="1"/>
  <c r="W459" i="1" s="1"/>
  <c r="W461" i="1" s="1"/>
  <c r="E185" i="2" s="1"/>
  <c r="Z255" i="2"/>
  <c r="AG223" i="2"/>
  <c r="AH223" i="2" s="1"/>
  <c r="K299" i="2"/>
  <c r="AD299" i="2"/>
  <c r="AE299" i="2"/>
  <c r="T299" i="2"/>
  <c r="P299" i="2"/>
  <c r="W299" i="2"/>
  <c r="Y299" i="2"/>
  <c r="L299" i="2"/>
  <c r="H299" i="2"/>
  <c r="R299" i="2"/>
  <c r="O299" i="2"/>
  <c r="N299" i="2"/>
  <c r="V299" i="2"/>
  <c r="Z299" i="2"/>
  <c r="X299" i="2"/>
  <c r="I299" i="2"/>
  <c r="M299" i="2"/>
  <c r="AC299" i="2"/>
  <c r="AA299" i="2"/>
  <c r="AB299" i="2"/>
  <c r="AF299" i="2"/>
  <c r="G299" i="2"/>
  <c r="J299" i="2"/>
  <c r="S299" i="2"/>
  <c r="U299" i="2"/>
  <c r="Q299" i="2"/>
  <c r="F299" i="2"/>
  <c r="M255" i="2"/>
  <c r="N255" i="2"/>
  <c r="AC255" i="2"/>
  <c r="R255" i="2"/>
  <c r="L255" i="2"/>
  <c r="X255" i="2"/>
  <c r="AB255" i="2"/>
  <c r="Q255" i="2"/>
  <c r="AF255" i="2"/>
  <c r="J255" i="2"/>
  <c r="K255" i="2"/>
  <c r="S255" i="2"/>
  <c r="G255" i="2"/>
  <c r="U255" i="2"/>
  <c r="T255" i="2"/>
  <c r="O255" i="2"/>
  <c r="P255" i="2"/>
  <c r="AA255" i="2"/>
  <c r="W255" i="2"/>
  <c r="I255" i="2"/>
  <c r="F283" i="2"/>
  <c r="F169" i="2"/>
  <c r="Y255" i="2"/>
  <c r="F16" i="2"/>
  <c r="F207" i="2"/>
  <c r="V255" i="2"/>
  <c r="F55" i="2"/>
  <c r="J425" i="2"/>
  <c r="AG425" i="2" s="1"/>
  <c r="J25" i="15"/>
  <c r="E425" i="2" s="1"/>
  <c r="AG253" i="2"/>
  <c r="AH253" i="2" s="1"/>
  <c r="F255" i="2"/>
  <c r="F245" i="2"/>
  <c r="I245" i="2"/>
  <c r="W245" i="2"/>
  <c r="M245" i="2"/>
  <c r="AD245" i="2"/>
  <c r="AF245" i="2"/>
  <c r="L245" i="2"/>
  <c r="N245" i="2"/>
  <c r="R245" i="2"/>
  <c r="P245" i="2"/>
  <c r="V245" i="2"/>
  <c r="O245" i="2"/>
  <c r="S245" i="2"/>
  <c r="Q245" i="2"/>
  <c r="T245" i="2"/>
  <c r="U245" i="2"/>
  <c r="AE245" i="2"/>
  <c r="AB245" i="2"/>
  <c r="Z245" i="2"/>
  <c r="AA245" i="2"/>
  <c r="Y245" i="2"/>
  <c r="H245" i="2"/>
  <c r="AC245" i="2"/>
  <c r="X245" i="2"/>
  <c r="AG349" i="2"/>
  <c r="AH349" i="2" s="1"/>
  <c r="H283" i="1"/>
  <c r="AG68" i="2"/>
  <c r="AH68" i="2" s="1"/>
  <c r="M267" i="2"/>
  <c r="U267" i="2"/>
  <c r="AB267" i="2"/>
  <c r="AA267" i="2"/>
  <c r="AF267" i="2"/>
  <c r="V267" i="2"/>
  <c r="I267" i="2"/>
  <c r="K267" i="2"/>
  <c r="F267" i="2"/>
  <c r="L267" i="2"/>
  <c r="AC267" i="2"/>
  <c r="Q267" i="2"/>
  <c r="N267" i="2"/>
  <c r="AE267" i="2"/>
  <c r="G267" i="2"/>
  <c r="AD267" i="2"/>
  <c r="O267" i="2"/>
  <c r="W267" i="2"/>
  <c r="J267" i="2"/>
  <c r="T267" i="2"/>
  <c r="Y267" i="2"/>
  <c r="X267" i="2"/>
  <c r="Z267" i="2"/>
  <c r="P267" i="2"/>
  <c r="S267" i="2"/>
  <c r="R267" i="2"/>
  <c r="H267" i="2"/>
  <c r="G16" i="2"/>
  <c r="G55" i="2"/>
  <c r="G207" i="2"/>
  <c r="G472" i="2"/>
  <c r="W191" i="2"/>
  <c r="L191" i="2"/>
  <c r="AD191" i="2"/>
  <c r="AA191" i="2"/>
  <c r="O191" i="2"/>
  <c r="T191" i="2"/>
  <c r="U191" i="2"/>
  <c r="M191" i="2"/>
  <c r="S191" i="2"/>
  <c r="J191" i="2"/>
  <c r="F191" i="2"/>
  <c r="I191" i="2"/>
  <c r="R191" i="2"/>
  <c r="Y191" i="2"/>
  <c r="AC191" i="2"/>
  <c r="Q191" i="2"/>
  <c r="AB191" i="2"/>
  <c r="AF191" i="2"/>
  <c r="AE191" i="2"/>
  <c r="G191" i="2"/>
  <c r="Z191" i="2"/>
  <c r="K191" i="2"/>
  <c r="P191" i="2"/>
  <c r="N191" i="2"/>
  <c r="V191" i="2"/>
  <c r="X191" i="2"/>
  <c r="H191" i="2"/>
  <c r="AG296" i="2"/>
  <c r="AH296" i="2" s="1"/>
  <c r="E275" i="2"/>
  <c r="AG254" i="2"/>
  <c r="AH254" i="2" s="1"/>
  <c r="AD144" i="2"/>
  <c r="AF144" i="2"/>
  <c r="AB144" i="2"/>
  <c r="Q144" i="2"/>
  <c r="X144" i="2"/>
  <c r="I144" i="2"/>
  <c r="Z144" i="2"/>
  <c r="U144" i="2"/>
  <c r="M144" i="2"/>
  <c r="H144" i="2"/>
  <c r="R144" i="2"/>
  <c r="S144" i="2"/>
  <c r="V144" i="2"/>
  <c r="J144" i="2"/>
  <c r="Y144" i="2"/>
  <c r="O144" i="2"/>
  <c r="AA144" i="2"/>
  <c r="P144" i="2"/>
  <c r="N144" i="2"/>
  <c r="G144" i="2"/>
  <c r="K144" i="2"/>
  <c r="F144" i="2"/>
  <c r="AE144" i="2"/>
  <c r="L144" i="2"/>
  <c r="AC144" i="2"/>
  <c r="T144" i="2"/>
  <c r="W144" i="2"/>
  <c r="M287" i="1"/>
  <c r="M129" i="1"/>
  <c r="M133" i="1" s="1"/>
  <c r="M144" i="1" s="1"/>
  <c r="E93" i="2" s="1"/>
  <c r="E131" i="2"/>
  <c r="M326" i="1"/>
  <c r="H457" i="1"/>
  <c r="F182" i="2"/>
  <c r="H182" i="2"/>
  <c r="Y182" i="2"/>
  <c r="P182" i="2"/>
  <c r="W182" i="2"/>
  <c r="V182" i="2"/>
  <c r="L182" i="2"/>
  <c r="U182" i="2"/>
  <c r="I182" i="2"/>
  <c r="AA182" i="2"/>
  <c r="Z182" i="2"/>
  <c r="AD182" i="2"/>
  <c r="M182" i="2"/>
  <c r="N182" i="2"/>
  <c r="X182" i="2"/>
  <c r="K182" i="2"/>
  <c r="S182" i="2"/>
  <c r="AF182" i="2"/>
  <c r="AB182" i="2"/>
  <c r="AE182" i="2"/>
  <c r="G182" i="2"/>
  <c r="AC182" i="2"/>
  <c r="T182" i="2"/>
  <c r="Q182" i="2"/>
  <c r="J182" i="2"/>
  <c r="R182" i="2"/>
  <c r="O182" i="2"/>
  <c r="F609" i="2"/>
  <c r="F583" i="2"/>
  <c r="K258" i="2"/>
  <c r="F258" i="2"/>
  <c r="G258" i="2"/>
  <c r="H258" i="2"/>
  <c r="J258" i="2"/>
  <c r="AC258" i="2"/>
  <c r="N258" i="2"/>
  <c r="I258" i="2"/>
  <c r="AA258" i="2"/>
  <c r="P258" i="2"/>
  <c r="S258" i="2"/>
  <c r="V258" i="2"/>
  <c r="M258" i="2"/>
  <c r="Y258" i="2"/>
  <c r="L258" i="2"/>
  <c r="O258" i="2"/>
  <c r="Q258" i="2"/>
  <c r="R258" i="2"/>
  <c r="AF258" i="2"/>
  <c r="AD258" i="2"/>
  <c r="T258" i="2"/>
  <c r="Z258" i="2"/>
  <c r="W258" i="2"/>
  <c r="U258" i="2"/>
  <c r="X258" i="2"/>
  <c r="AB258" i="2"/>
  <c r="AE258" i="2"/>
  <c r="AG305" i="2"/>
  <c r="AH305" i="2" s="1"/>
  <c r="F338" i="2"/>
  <c r="F351" i="2" s="1"/>
  <c r="AG316" i="2"/>
  <c r="AH316" i="2" s="1"/>
  <c r="E237" i="2"/>
  <c r="H324" i="1"/>
  <c r="AG77" i="2"/>
  <c r="AH77" i="2" s="1"/>
  <c r="AA101" i="2" l="1"/>
  <c r="O101" i="2"/>
  <c r="U101" i="2"/>
  <c r="I101" i="2"/>
  <c r="F101" i="2"/>
  <c r="J101" i="2"/>
  <c r="W101" i="2"/>
  <c r="L101" i="2"/>
  <c r="Y101" i="2"/>
  <c r="X101" i="2"/>
  <c r="AD101" i="2"/>
  <c r="Z101" i="2"/>
  <c r="M101" i="2"/>
  <c r="P101" i="2"/>
  <c r="E106" i="2"/>
  <c r="E112" i="2"/>
  <c r="AC112" i="2" s="1"/>
  <c r="E115" i="2"/>
  <c r="E102" i="2"/>
  <c r="E103" i="2" s="1"/>
  <c r="AB390" i="1"/>
  <c r="AC390" i="1" s="1"/>
  <c r="P408" i="1"/>
  <c r="AB215" i="1"/>
  <c r="AC215" i="1" s="1"/>
  <c r="P231" i="1"/>
  <c r="AB63" i="1"/>
  <c r="AC63" i="1" s="1"/>
  <c r="P75" i="1"/>
  <c r="AB8" i="1"/>
  <c r="AC8" i="1" s="1"/>
  <c r="P12" i="1"/>
  <c r="Q458" i="2"/>
  <c r="U458" i="2"/>
  <c r="W458" i="2"/>
  <c r="T458" i="2"/>
  <c r="O312" i="1"/>
  <c r="O264" i="1"/>
  <c r="O438" i="1"/>
  <c r="O412" i="1"/>
  <c r="O131" i="1"/>
  <c r="E19" i="2"/>
  <c r="Y19" i="2" s="1"/>
  <c r="O98" i="1"/>
  <c r="O130" i="1"/>
  <c r="O142" i="1"/>
  <c r="O91" i="1"/>
  <c r="O93" i="1" s="1"/>
  <c r="O458" i="2"/>
  <c r="G458" i="2"/>
  <c r="M458" i="2"/>
  <c r="X458" i="2"/>
  <c r="H458" i="2"/>
  <c r="I458" i="2"/>
  <c r="AB458" i="2"/>
  <c r="J458" i="2"/>
  <c r="P458" i="2"/>
  <c r="AD458" i="2"/>
  <c r="AF458" i="2"/>
  <c r="V458" i="2"/>
  <c r="R458" i="2"/>
  <c r="S458" i="2"/>
  <c r="N458" i="2"/>
  <c r="AE458" i="2"/>
  <c r="Y458" i="2"/>
  <c r="AA458" i="2"/>
  <c r="AC458" i="2"/>
  <c r="Z458" i="2"/>
  <c r="L458" i="2"/>
  <c r="F458" i="2"/>
  <c r="Q179" i="2"/>
  <c r="L200" i="15"/>
  <c r="L201" i="15" s="1"/>
  <c r="L36" i="15" s="1"/>
  <c r="AB179" i="2"/>
  <c r="S102" i="2"/>
  <c r="S103" i="2" s="1"/>
  <c r="U140" i="2"/>
  <c r="M140" i="2"/>
  <c r="F140" i="2"/>
  <c r="AE140" i="2"/>
  <c r="L140" i="2"/>
  <c r="X140" i="2"/>
  <c r="X141" i="2" s="1"/>
  <c r="H140" i="2"/>
  <c r="S140" i="2"/>
  <c r="I140" i="2"/>
  <c r="I141" i="2" s="1"/>
  <c r="Y140" i="2"/>
  <c r="H139" i="2"/>
  <c r="R140" i="2"/>
  <c r="W140" i="2"/>
  <c r="AB140" i="2"/>
  <c r="G140" i="2"/>
  <c r="Q140" i="2"/>
  <c r="Z140" i="2"/>
  <c r="N140" i="2"/>
  <c r="AA140" i="2"/>
  <c r="AF140" i="2"/>
  <c r="O140" i="2"/>
  <c r="K139" i="2"/>
  <c r="K141" i="2" s="1"/>
  <c r="W139" i="2"/>
  <c r="Z179" i="2"/>
  <c r="R179" i="2"/>
  <c r="AD179" i="2"/>
  <c r="AC140" i="2"/>
  <c r="T140" i="2"/>
  <c r="V140" i="2"/>
  <c r="J140" i="2"/>
  <c r="AD140" i="2"/>
  <c r="P140" i="2"/>
  <c r="Y139" i="2"/>
  <c r="AA139" i="2"/>
  <c r="J179" i="2"/>
  <c r="O179" i="2"/>
  <c r="S179" i="2"/>
  <c r="AF179" i="2"/>
  <c r="G179" i="2"/>
  <c r="F179" i="2"/>
  <c r="P179" i="2"/>
  <c r="X179" i="2"/>
  <c r="AC179" i="2"/>
  <c r="M179" i="2"/>
  <c r="N179" i="2"/>
  <c r="AE139" i="2"/>
  <c r="S139" i="2"/>
  <c r="L139" i="2"/>
  <c r="AB139" i="2"/>
  <c r="N139" i="2"/>
  <c r="AD139" i="2"/>
  <c r="U139" i="2"/>
  <c r="P139" i="2"/>
  <c r="E141" i="2"/>
  <c r="F139" i="2"/>
  <c r="Z139" i="2"/>
  <c r="V139" i="2"/>
  <c r="AC139" i="2"/>
  <c r="O139" i="2"/>
  <c r="T139" i="2"/>
  <c r="AG293" i="2"/>
  <c r="AH293" i="2" s="1"/>
  <c r="AF139" i="2"/>
  <c r="Q139" i="2"/>
  <c r="G139" i="2"/>
  <c r="J139" i="2"/>
  <c r="M139" i="2"/>
  <c r="R139" i="2"/>
  <c r="L179" i="2"/>
  <c r="AA179" i="2"/>
  <c r="AE179" i="2"/>
  <c r="Y179" i="2"/>
  <c r="AG178" i="2"/>
  <c r="AH178" i="2" s="1"/>
  <c r="K179" i="2"/>
  <c r="V179" i="2"/>
  <c r="H179" i="2"/>
  <c r="W179" i="2"/>
  <c r="L153" i="2"/>
  <c r="J150" i="2"/>
  <c r="O150" i="2"/>
  <c r="V150" i="2"/>
  <c r="AF150" i="2"/>
  <c r="N150" i="2"/>
  <c r="R150" i="2"/>
  <c r="AG177" i="2"/>
  <c r="AH177" i="2" s="1"/>
  <c r="I179" i="2"/>
  <c r="Q150" i="2"/>
  <c r="K150" i="2"/>
  <c r="Z150" i="2"/>
  <c r="S150" i="2"/>
  <c r="AB150" i="2"/>
  <c r="AA150" i="2"/>
  <c r="U150" i="2"/>
  <c r="V153" i="2"/>
  <c r="Y153" i="2"/>
  <c r="G153" i="2"/>
  <c r="L150" i="2"/>
  <c r="AC150" i="2"/>
  <c r="X150" i="2"/>
  <c r="AD150" i="2"/>
  <c r="Y150" i="2"/>
  <c r="M150" i="2"/>
  <c r="AE150" i="2"/>
  <c r="W153" i="2"/>
  <c r="Z153" i="2"/>
  <c r="S153" i="2"/>
  <c r="P150" i="2"/>
  <c r="I150" i="2"/>
  <c r="T150" i="2"/>
  <c r="H150" i="2"/>
  <c r="G150" i="2"/>
  <c r="F150" i="2"/>
  <c r="K153" i="2"/>
  <c r="P153" i="2"/>
  <c r="Q153" i="2"/>
  <c r="T153" i="2"/>
  <c r="AF153" i="2"/>
  <c r="AD153" i="2"/>
  <c r="X153" i="2"/>
  <c r="AG188" i="2"/>
  <c r="AH188" i="2" s="1"/>
  <c r="J153" i="2"/>
  <c r="U153" i="2"/>
  <c r="AA153" i="2"/>
  <c r="I153" i="2"/>
  <c r="R153" i="2"/>
  <c r="AE153" i="2"/>
  <c r="W129" i="1"/>
  <c r="W133" i="1" s="1"/>
  <c r="W144" i="1" s="1"/>
  <c r="H153" i="2"/>
  <c r="M153" i="2"/>
  <c r="AC153" i="2"/>
  <c r="AB153" i="2"/>
  <c r="N153" i="2"/>
  <c r="O153" i="2"/>
  <c r="W287" i="1"/>
  <c r="E515" i="2"/>
  <c r="AH515" i="2" s="1"/>
  <c r="AH90" i="2"/>
  <c r="E497" i="2"/>
  <c r="E506" i="2" s="1"/>
  <c r="AH506" i="2" s="1"/>
  <c r="AH128" i="2"/>
  <c r="W326" i="1"/>
  <c r="Z261" i="2"/>
  <c r="K261" i="2"/>
  <c r="T261" i="2"/>
  <c r="I261" i="2"/>
  <c r="O261" i="2"/>
  <c r="V261" i="2"/>
  <c r="L261" i="2"/>
  <c r="Q261" i="2"/>
  <c r="AE261" i="2"/>
  <c r="H261" i="2"/>
  <c r="N261" i="2"/>
  <c r="P261" i="2"/>
  <c r="AB261" i="2"/>
  <c r="F261" i="2"/>
  <c r="S261" i="2"/>
  <c r="G261" i="2"/>
  <c r="X261" i="2"/>
  <c r="R261" i="2"/>
  <c r="W261" i="2"/>
  <c r="AD261" i="2"/>
  <c r="J261" i="2"/>
  <c r="Y261" i="2"/>
  <c r="AF261" i="2"/>
  <c r="AC261" i="2"/>
  <c r="AA261" i="2"/>
  <c r="U261" i="2"/>
  <c r="M261" i="2"/>
  <c r="I147" i="2"/>
  <c r="Q147" i="2"/>
  <c r="O147" i="2"/>
  <c r="S147" i="2"/>
  <c r="N147" i="2"/>
  <c r="V147" i="2"/>
  <c r="F147" i="2"/>
  <c r="Y147" i="2"/>
  <c r="AE147" i="2"/>
  <c r="X147" i="2"/>
  <c r="W147" i="2"/>
  <c r="H147" i="2"/>
  <c r="AB147" i="2"/>
  <c r="G147" i="2"/>
  <c r="AD147" i="2"/>
  <c r="AF147" i="2"/>
  <c r="AA147" i="2"/>
  <c r="T147" i="2"/>
  <c r="L147" i="2"/>
  <c r="Z147" i="2"/>
  <c r="U147" i="2"/>
  <c r="AC147" i="2"/>
  <c r="R147" i="2"/>
  <c r="P147" i="2"/>
  <c r="J147" i="2"/>
  <c r="K147" i="2"/>
  <c r="M147" i="2"/>
  <c r="AG71" i="2"/>
  <c r="AH71" i="2" s="1"/>
  <c r="AG299" i="2"/>
  <c r="AH299" i="2" s="1"/>
  <c r="L185" i="2"/>
  <c r="U185" i="2"/>
  <c r="X185" i="2"/>
  <c r="AC185" i="2"/>
  <c r="T185" i="2"/>
  <c r="AF185" i="2"/>
  <c r="O185" i="2"/>
  <c r="P185" i="2"/>
  <c r="K185" i="2"/>
  <c r="R185" i="2"/>
  <c r="Z185" i="2"/>
  <c r="Q185" i="2"/>
  <c r="G185" i="2"/>
  <c r="N185" i="2"/>
  <c r="F185" i="2"/>
  <c r="H185" i="2"/>
  <c r="V185" i="2"/>
  <c r="AE185" i="2"/>
  <c r="S185" i="2"/>
  <c r="I185" i="2"/>
  <c r="W185" i="2"/>
  <c r="J185" i="2"/>
  <c r="AA185" i="2"/>
  <c r="AD185" i="2"/>
  <c r="Y185" i="2"/>
  <c r="M185" i="2"/>
  <c r="AB185" i="2"/>
  <c r="AG255" i="2"/>
  <c r="AH255" i="2" s="1"/>
  <c r="AH425" i="2"/>
  <c r="AG191" i="2"/>
  <c r="AH191" i="2" s="1"/>
  <c r="AG258" i="2"/>
  <c r="AH258" i="2" s="1"/>
  <c r="F131" i="2"/>
  <c r="Q131" i="2"/>
  <c r="AA131" i="2"/>
  <c r="Y131" i="2"/>
  <c r="AB131" i="2"/>
  <c r="R131" i="2"/>
  <c r="Z131" i="2"/>
  <c r="H131" i="2"/>
  <c r="AC131" i="2"/>
  <c r="V131" i="2"/>
  <c r="X131" i="2"/>
  <c r="AD131" i="2"/>
  <c r="U131" i="2"/>
  <c r="I131" i="2"/>
  <c r="M131" i="2"/>
  <c r="L131" i="2"/>
  <c r="N131" i="2"/>
  <c r="O131" i="2"/>
  <c r="W131" i="2"/>
  <c r="S131" i="2"/>
  <c r="AF131" i="2"/>
  <c r="T131" i="2"/>
  <c r="AE131" i="2"/>
  <c r="P131" i="2"/>
  <c r="AG144" i="2"/>
  <c r="AH144" i="2" s="1"/>
  <c r="G283" i="2"/>
  <c r="G245" i="2"/>
  <c r="G131" i="2"/>
  <c r="G169" i="2"/>
  <c r="AG182" i="2"/>
  <c r="AH182" i="2" s="1"/>
  <c r="S93" i="2"/>
  <c r="AA93" i="2"/>
  <c r="AE93" i="2"/>
  <c r="V93" i="2"/>
  <c r="W93" i="2"/>
  <c r="U93" i="2"/>
  <c r="O93" i="2"/>
  <c r="Q93" i="2"/>
  <c r="M93" i="2"/>
  <c r="R93" i="2"/>
  <c r="L93" i="2"/>
  <c r="AF93" i="2"/>
  <c r="F93" i="2"/>
  <c r="T93" i="2"/>
  <c r="X93" i="2"/>
  <c r="P93" i="2"/>
  <c r="AC93" i="2"/>
  <c r="Y93" i="2"/>
  <c r="Z93" i="2"/>
  <c r="N93" i="2"/>
  <c r="AB93" i="2"/>
  <c r="AD93" i="2"/>
  <c r="H93" i="2"/>
  <c r="I93" i="2"/>
  <c r="AG267" i="2"/>
  <c r="AH267" i="2" s="1"/>
  <c r="AG338" i="2"/>
  <c r="I278" i="1"/>
  <c r="I447" i="1"/>
  <c r="I314" i="1"/>
  <c r="I272" i="1"/>
  <c r="I316" i="1"/>
  <c r="I281" i="1"/>
  <c r="I322" i="1"/>
  <c r="I318" i="1"/>
  <c r="I320" i="1"/>
  <c r="I453" i="1"/>
  <c r="E48" i="2"/>
  <c r="G93" i="2"/>
  <c r="T112" i="2" l="1"/>
  <c r="S112" i="2"/>
  <c r="M112" i="2"/>
  <c r="X112" i="2"/>
  <c r="AE112" i="2"/>
  <c r="F112" i="2"/>
  <c r="P112" i="2"/>
  <c r="O112" i="2"/>
  <c r="H112" i="2"/>
  <c r="J112" i="2"/>
  <c r="K112" i="2"/>
  <c r="W112" i="2"/>
  <c r="R112" i="2"/>
  <c r="Y112" i="2"/>
  <c r="Z112" i="2"/>
  <c r="G112" i="2"/>
  <c r="AA112" i="2"/>
  <c r="AF112" i="2"/>
  <c r="U112" i="2"/>
  <c r="I112" i="2"/>
  <c r="AD112" i="2"/>
  <c r="L112" i="2"/>
  <c r="N112" i="2"/>
  <c r="Q112" i="2"/>
  <c r="AB112" i="2"/>
  <c r="V112" i="2"/>
  <c r="G102" i="2"/>
  <c r="G103" i="2" s="1"/>
  <c r="H102" i="2"/>
  <c r="H103" i="2" s="1"/>
  <c r="L102" i="2"/>
  <c r="L103" i="2" s="1"/>
  <c r="AC102" i="2"/>
  <c r="AC103" i="2" s="1"/>
  <c r="J102" i="2"/>
  <c r="J103" i="2" s="1"/>
  <c r="AD102" i="2"/>
  <c r="AD103" i="2" s="1"/>
  <c r="K102" i="2"/>
  <c r="N102" i="2"/>
  <c r="N103" i="2" s="1"/>
  <c r="O102" i="2"/>
  <c r="O103" i="2" s="1"/>
  <c r="AB102" i="2"/>
  <c r="AB103" i="2" s="1"/>
  <c r="P102" i="2"/>
  <c r="P103" i="2" s="1"/>
  <c r="AF102" i="2"/>
  <c r="AF103" i="2" s="1"/>
  <c r="V102" i="2"/>
  <c r="V103" i="2" s="1"/>
  <c r="F102" i="2"/>
  <c r="F103" i="2" s="1"/>
  <c r="R102" i="2"/>
  <c r="R103" i="2" s="1"/>
  <c r="W102" i="2"/>
  <c r="W103" i="2" s="1"/>
  <c r="Z102" i="2"/>
  <c r="Z103" i="2" s="1"/>
  <c r="AE102" i="2"/>
  <c r="AE103" i="2" s="1"/>
  <c r="U102" i="2"/>
  <c r="U103" i="2" s="1"/>
  <c r="AA102" i="2"/>
  <c r="AA103" i="2" s="1"/>
  <c r="Q102" i="2"/>
  <c r="Q103" i="2" s="1"/>
  <c r="X102" i="2"/>
  <c r="X103" i="2" s="1"/>
  <c r="Y102" i="2"/>
  <c r="Y103" i="2" s="1"/>
  <c r="T102" i="2"/>
  <c r="T103" i="2" s="1"/>
  <c r="M102" i="2"/>
  <c r="M103" i="2" s="1"/>
  <c r="I102" i="2"/>
  <c r="I103" i="2" s="1"/>
  <c r="Z115" i="2"/>
  <c r="F115" i="2"/>
  <c r="AA115" i="2"/>
  <c r="L115" i="2"/>
  <c r="Y115" i="2"/>
  <c r="M115" i="2"/>
  <c r="V115" i="2"/>
  <c r="AE115" i="2"/>
  <c r="R115" i="2"/>
  <c r="O115" i="2"/>
  <c r="Q115" i="2"/>
  <c r="AB115" i="2"/>
  <c r="P115" i="2"/>
  <c r="N115" i="2"/>
  <c r="H115" i="2"/>
  <c r="I115" i="2"/>
  <c r="S115" i="2"/>
  <c r="G115" i="2"/>
  <c r="J115" i="2"/>
  <c r="AF115" i="2"/>
  <c r="K115" i="2"/>
  <c r="AC115" i="2"/>
  <c r="X115" i="2"/>
  <c r="U115" i="2"/>
  <c r="W115" i="2"/>
  <c r="AD115" i="2"/>
  <c r="T115" i="2"/>
  <c r="F106" i="2"/>
  <c r="Q106" i="2"/>
  <c r="K106" i="2"/>
  <c r="L106" i="2"/>
  <c r="AB106" i="2"/>
  <c r="T106" i="2"/>
  <c r="U106" i="2"/>
  <c r="V106" i="2"/>
  <c r="AD106" i="2"/>
  <c r="AA106" i="2"/>
  <c r="S106" i="2"/>
  <c r="O106" i="2"/>
  <c r="R106" i="2"/>
  <c r="I106" i="2"/>
  <c r="AF106" i="2"/>
  <c r="N106" i="2"/>
  <c r="W106" i="2"/>
  <c r="M106" i="2"/>
  <c r="P106" i="2"/>
  <c r="G106" i="2"/>
  <c r="H106" i="2"/>
  <c r="X106" i="2"/>
  <c r="Z106" i="2"/>
  <c r="AC106" i="2"/>
  <c r="AE106" i="2"/>
  <c r="Y106" i="2"/>
  <c r="J106" i="2"/>
  <c r="E109" i="2"/>
  <c r="AI144" i="2"/>
  <c r="P235" i="1"/>
  <c r="AB235" i="1" s="1"/>
  <c r="AC235" i="1" s="1"/>
  <c r="AB231" i="1"/>
  <c r="AC231" i="1" s="1"/>
  <c r="P233" i="1"/>
  <c r="P237" i="1"/>
  <c r="P82" i="1"/>
  <c r="AB12" i="1"/>
  <c r="AC12" i="1" s="1"/>
  <c r="P410" i="1"/>
  <c r="AB408" i="1"/>
  <c r="AC408" i="1" s="1"/>
  <c r="P307" i="1"/>
  <c r="AB307" i="1" s="1"/>
  <c r="AC307" i="1" s="1"/>
  <c r="P88" i="1"/>
  <c r="P454" i="1"/>
  <c r="AB454" i="1" s="1"/>
  <c r="AC454" i="1" s="1"/>
  <c r="P121" i="1"/>
  <c r="AB121" i="1" s="1"/>
  <c r="AC121" i="1" s="1"/>
  <c r="P120" i="1"/>
  <c r="AB120" i="1" s="1"/>
  <c r="AC120" i="1" s="1"/>
  <c r="P122" i="1"/>
  <c r="AB122" i="1" s="1"/>
  <c r="AC122" i="1" s="1"/>
  <c r="P308" i="1"/>
  <c r="P280" i="1"/>
  <c r="AB280" i="1" s="1"/>
  <c r="AC280" i="1" s="1"/>
  <c r="P455" i="1"/>
  <c r="AB455" i="1" s="1"/>
  <c r="AC455" i="1" s="1"/>
  <c r="AB75" i="1"/>
  <c r="AC75" i="1" s="1"/>
  <c r="P279" i="1"/>
  <c r="AB279" i="1" s="1"/>
  <c r="AC279" i="1" s="1"/>
  <c r="Z19" i="2"/>
  <c r="J19" i="2"/>
  <c r="V141" i="2"/>
  <c r="I19" i="2"/>
  <c r="AD141" i="2"/>
  <c r="R19" i="2"/>
  <c r="W19" i="2"/>
  <c r="AF19" i="2"/>
  <c r="AD19" i="2"/>
  <c r="Q19" i="2"/>
  <c r="T141" i="2"/>
  <c r="O19" i="2"/>
  <c r="S19" i="2"/>
  <c r="M141" i="2"/>
  <c r="N141" i="2"/>
  <c r="G19" i="2"/>
  <c r="AB19" i="2"/>
  <c r="O271" i="1"/>
  <c r="O452" i="1"/>
  <c r="O277" i="1"/>
  <c r="O276" i="1"/>
  <c r="O269" i="1"/>
  <c r="O444" i="1"/>
  <c r="O446" i="1"/>
  <c r="O275" i="1"/>
  <c r="O451" i="1"/>
  <c r="O450" i="1"/>
  <c r="AA19" i="2"/>
  <c r="N19" i="2"/>
  <c r="U19" i="2"/>
  <c r="T19" i="2"/>
  <c r="F19" i="2"/>
  <c r="M19" i="2"/>
  <c r="P19" i="2"/>
  <c r="AE19" i="2"/>
  <c r="E210" i="2"/>
  <c r="O99" i="1"/>
  <c r="O274" i="1"/>
  <c r="O445" i="1"/>
  <c r="O449" i="1"/>
  <c r="O448" i="1"/>
  <c r="O273" i="1"/>
  <c r="O270" i="1"/>
  <c r="L19" i="2"/>
  <c r="H19" i="2"/>
  <c r="V19" i="2"/>
  <c r="X19" i="2"/>
  <c r="AC19" i="2"/>
  <c r="N200" i="15"/>
  <c r="N201" i="15" s="1"/>
  <c r="N36" i="15" s="1"/>
  <c r="M200" i="15"/>
  <c r="M201" i="15" s="1"/>
  <c r="M36" i="15" s="1"/>
  <c r="AG140" i="2"/>
  <c r="AH140" i="2" s="1"/>
  <c r="H141" i="2"/>
  <c r="G141" i="2"/>
  <c r="AE141" i="2"/>
  <c r="W141" i="2"/>
  <c r="AC141" i="2"/>
  <c r="AA141" i="2"/>
  <c r="U141" i="2"/>
  <c r="L141" i="2"/>
  <c r="J141" i="2"/>
  <c r="R141" i="2"/>
  <c r="S141" i="2"/>
  <c r="P141" i="2"/>
  <c r="AB141" i="2"/>
  <c r="Y141" i="2"/>
  <c r="AF141" i="2"/>
  <c r="Z141" i="2"/>
  <c r="Q141" i="2"/>
  <c r="O141" i="2"/>
  <c r="AG139" i="2"/>
  <c r="AH139" i="2" s="1"/>
  <c r="F141" i="2"/>
  <c r="AG179" i="2"/>
  <c r="AH179" i="2" s="1"/>
  <c r="AG150" i="2"/>
  <c r="AH150" i="2" s="1"/>
  <c r="AG153" i="2"/>
  <c r="AH153" i="2" s="1"/>
  <c r="AH497" i="2"/>
  <c r="AG185" i="2"/>
  <c r="AH185" i="2" s="1"/>
  <c r="AG147" i="2"/>
  <c r="AH147" i="2" s="1"/>
  <c r="AG261" i="2"/>
  <c r="AH261" i="2" s="1"/>
  <c r="O85" i="15"/>
  <c r="R85" i="15" s="1"/>
  <c r="E49" i="2"/>
  <c r="D10" i="4"/>
  <c r="E238" i="2"/>
  <c r="I324" i="1"/>
  <c r="E276" i="2"/>
  <c r="I283" i="1"/>
  <c r="I457" i="1"/>
  <c r="AG351" i="2"/>
  <c r="AH351" i="2" s="1"/>
  <c r="AH338" i="2"/>
  <c r="AG112" i="2" l="1"/>
  <c r="AH112" i="2" s="1"/>
  <c r="AG102" i="2"/>
  <c r="AH102" i="2" s="1"/>
  <c r="AG106" i="2"/>
  <c r="AH106" i="2" s="1"/>
  <c r="AG115" i="2"/>
  <c r="AH115" i="2" s="1"/>
  <c r="V109" i="2"/>
  <c r="U109" i="2"/>
  <c r="AF109" i="2"/>
  <c r="S109" i="2"/>
  <c r="F109" i="2"/>
  <c r="L109" i="2"/>
  <c r="H109" i="2"/>
  <c r="X109" i="2"/>
  <c r="P109" i="2"/>
  <c r="R109" i="2"/>
  <c r="I109" i="2"/>
  <c r="N109" i="2"/>
  <c r="M109" i="2"/>
  <c r="Z109" i="2"/>
  <c r="Q109" i="2"/>
  <c r="AE109" i="2"/>
  <c r="AA109" i="2"/>
  <c r="AC109" i="2"/>
  <c r="T109" i="2"/>
  <c r="J109" i="2"/>
  <c r="G109" i="2"/>
  <c r="O109" i="2"/>
  <c r="AD109" i="2"/>
  <c r="AB109" i="2"/>
  <c r="Y109" i="2"/>
  <c r="W109" i="2"/>
  <c r="K109" i="2"/>
  <c r="AI147" i="2"/>
  <c r="AI140" i="2"/>
  <c r="AI150" i="2"/>
  <c r="P412" i="1"/>
  <c r="P438" i="1"/>
  <c r="AB410" i="1"/>
  <c r="AC410" i="1" s="1"/>
  <c r="P131" i="1"/>
  <c r="AB131" i="1" s="1"/>
  <c r="AC131" i="1" s="1"/>
  <c r="P130" i="1"/>
  <c r="AB130" i="1" s="1"/>
  <c r="AC130" i="1" s="1"/>
  <c r="AB82" i="1"/>
  <c r="AC82" i="1" s="1"/>
  <c r="E20" i="2"/>
  <c r="P98" i="1"/>
  <c r="P142" i="1"/>
  <c r="AB142" i="1" s="1"/>
  <c r="AC142" i="1" s="1"/>
  <c r="P91" i="1"/>
  <c r="P93" i="1" s="1"/>
  <c r="AB93" i="1" s="1"/>
  <c r="AC93" i="1" s="1"/>
  <c r="AB88" i="1"/>
  <c r="AC88" i="1" s="1"/>
  <c r="P264" i="1"/>
  <c r="AB233" i="1"/>
  <c r="AC233" i="1" s="1"/>
  <c r="P312" i="1"/>
  <c r="AB308" i="1"/>
  <c r="AC308" i="1" s="1"/>
  <c r="N210" i="2"/>
  <c r="T210" i="2"/>
  <c r="F210" i="2"/>
  <c r="U210" i="2"/>
  <c r="AE210" i="2"/>
  <c r="P210" i="2"/>
  <c r="M210" i="2"/>
  <c r="AA210" i="2"/>
  <c r="I210" i="2"/>
  <c r="R210" i="2"/>
  <c r="AC210" i="2"/>
  <c r="X210" i="2"/>
  <c r="V210" i="2"/>
  <c r="H210" i="2"/>
  <c r="L210" i="2"/>
  <c r="G210" i="2"/>
  <c r="J210" i="2"/>
  <c r="Y210" i="2"/>
  <c r="Q210" i="2"/>
  <c r="S210" i="2"/>
  <c r="O210" i="2"/>
  <c r="AD210" i="2"/>
  <c r="AB210" i="2"/>
  <c r="W210" i="2"/>
  <c r="AF210" i="2"/>
  <c r="Z210" i="2"/>
  <c r="O101" i="1"/>
  <c r="AG141" i="2"/>
  <c r="AH141" i="2" s="1"/>
  <c r="I12" i="15"/>
  <c r="T85" i="15"/>
  <c r="K12" i="15" s="1"/>
  <c r="E277" i="2"/>
  <c r="E239" i="2"/>
  <c r="D26" i="4"/>
  <c r="D33" i="4" s="1"/>
  <c r="AG109" i="2" l="1"/>
  <c r="AH109" i="2" s="1"/>
  <c r="AI141" i="2"/>
  <c r="P444" i="1"/>
  <c r="P446" i="1"/>
  <c r="AB446" i="1" s="1"/>
  <c r="AC446" i="1" s="1"/>
  <c r="P452" i="1"/>
  <c r="AB452" i="1" s="1"/>
  <c r="AC452" i="1" s="1"/>
  <c r="P451" i="1"/>
  <c r="AB451" i="1" s="1"/>
  <c r="AC451" i="1" s="1"/>
  <c r="P275" i="1"/>
  <c r="AB275" i="1" s="1"/>
  <c r="AC275" i="1" s="1"/>
  <c r="P276" i="1"/>
  <c r="AB276" i="1" s="1"/>
  <c r="AC276" i="1" s="1"/>
  <c r="P269" i="1"/>
  <c r="P271" i="1"/>
  <c r="AB271" i="1" s="1"/>
  <c r="AC271" i="1" s="1"/>
  <c r="P277" i="1"/>
  <c r="AB277" i="1" s="1"/>
  <c r="AC277" i="1" s="1"/>
  <c r="P450" i="1"/>
  <c r="AB450" i="1" s="1"/>
  <c r="AC450" i="1" s="1"/>
  <c r="AB264" i="1"/>
  <c r="AC264" i="1" s="1"/>
  <c r="E211" i="2"/>
  <c r="AB312" i="1"/>
  <c r="AC312" i="1" s="1"/>
  <c r="AB98" i="1"/>
  <c r="AC98" i="1" s="1"/>
  <c r="W20" i="2"/>
  <c r="W21" i="2" s="1"/>
  <c r="F20" i="2"/>
  <c r="I20" i="2"/>
  <c r="I21" i="2" s="1"/>
  <c r="T20" i="2"/>
  <c r="T21" i="2" s="1"/>
  <c r="P20" i="2"/>
  <c r="P21" i="2" s="1"/>
  <c r="L20" i="2"/>
  <c r="L21" i="2" s="1"/>
  <c r="N20" i="2"/>
  <c r="N21" i="2" s="1"/>
  <c r="V20" i="2"/>
  <c r="V21" i="2" s="1"/>
  <c r="X20" i="2"/>
  <c r="X21" i="2" s="1"/>
  <c r="AE20" i="2"/>
  <c r="AE21" i="2" s="1"/>
  <c r="S20" i="2"/>
  <c r="S21" i="2" s="1"/>
  <c r="AA20" i="2"/>
  <c r="AA21" i="2" s="1"/>
  <c r="H20" i="2"/>
  <c r="H21" i="2" s="1"/>
  <c r="M20" i="2"/>
  <c r="M21" i="2" s="1"/>
  <c r="Y20" i="2"/>
  <c r="Y21" i="2" s="1"/>
  <c r="Z20" i="2"/>
  <c r="Z21" i="2" s="1"/>
  <c r="O20" i="2"/>
  <c r="O21" i="2" s="1"/>
  <c r="K20" i="2"/>
  <c r="G20" i="2"/>
  <c r="G21" i="2" s="1"/>
  <c r="J20" i="2"/>
  <c r="J21" i="2" s="1"/>
  <c r="Q20" i="2"/>
  <c r="Q21" i="2" s="1"/>
  <c r="E21" i="2"/>
  <c r="E40" i="2" s="1"/>
  <c r="AD20" i="2"/>
  <c r="AD21" i="2" s="1"/>
  <c r="R20" i="2"/>
  <c r="R21" i="2" s="1"/>
  <c r="AB20" i="2"/>
  <c r="AB21" i="2" s="1"/>
  <c r="AF20" i="2"/>
  <c r="AF21" i="2" s="1"/>
  <c r="U20" i="2"/>
  <c r="U21" i="2" s="1"/>
  <c r="AC20" i="2"/>
  <c r="AC21" i="2" s="1"/>
  <c r="P448" i="1"/>
  <c r="AB448" i="1" s="1"/>
  <c r="AC448" i="1" s="1"/>
  <c r="P449" i="1"/>
  <c r="AB449" i="1" s="1"/>
  <c r="AC449" i="1" s="1"/>
  <c r="P273" i="1"/>
  <c r="AB273" i="1" s="1"/>
  <c r="AC273" i="1" s="1"/>
  <c r="P445" i="1"/>
  <c r="AB445" i="1" s="1"/>
  <c r="AC445" i="1" s="1"/>
  <c r="P274" i="1"/>
  <c r="AB274" i="1" s="1"/>
  <c r="AC274" i="1" s="1"/>
  <c r="P270" i="1"/>
  <c r="AB270" i="1" s="1"/>
  <c r="AC270" i="1" s="1"/>
  <c r="AB438" i="1"/>
  <c r="AC438" i="1" s="1"/>
  <c r="P99" i="1"/>
  <c r="AB99" i="1" s="1"/>
  <c r="AC99" i="1" s="1"/>
  <c r="AB91" i="1"/>
  <c r="AC91" i="1" s="1"/>
  <c r="D41" i="4"/>
  <c r="D45" i="4"/>
  <c r="D42" i="4"/>
  <c r="D46" i="4"/>
  <c r="D43" i="4"/>
  <c r="D47" i="4"/>
  <c r="D40" i="4"/>
  <c r="D44" i="4"/>
  <c r="D48" i="4"/>
  <c r="D39" i="4"/>
  <c r="D35" i="4"/>
  <c r="D36" i="4"/>
  <c r="D34" i="4"/>
  <c r="D37" i="4"/>
  <c r="D38" i="4"/>
  <c r="O104" i="1"/>
  <c r="J426" i="2"/>
  <c r="J479" i="2" s="1"/>
  <c r="J424" i="2"/>
  <c r="P101" i="1" l="1"/>
  <c r="AB444" i="1"/>
  <c r="AC444" i="1" s="1"/>
  <c r="AG20" i="2"/>
  <c r="AH20" i="2" s="1"/>
  <c r="F21" i="2"/>
  <c r="F211" i="2"/>
  <c r="Q211" i="2"/>
  <c r="Q212" i="2" s="1"/>
  <c r="T211" i="2"/>
  <c r="T212" i="2" s="1"/>
  <c r="X211" i="2"/>
  <c r="X212" i="2" s="1"/>
  <c r="P211" i="2"/>
  <c r="P212" i="2" s="1"/>
  <c r="R211" i="2"/>
  <c r="R212" i="2" s="1"/>
  <c r="M211" i="2"/>
  <c r="M212" i="2" s="1"/>
  <c r="O211" i="2"/>
  <c r="O212" i="2" s="1"/>
  <c r="N211" i="2"/>
  <c r="N212" i="2" s="1"/>
  <c r="H211" i="2"/>
  <c r="H212" i="2" s="1"/>
  <c r="G211" i="2"/>
  <c r="G212" i="2" s="1"/>
  <c r="J211" i="2"/>
  <c r="J212" i="2" s="1"/>
  <c r="S211" i="2"/>
  <c r="S212" i="2" s="1"/>
  <c r="L211" i="2"/>
  <c r="L212" i="2" s="1"/>
  <c r="AD211" i="2"/>
  <c r="AD212" i="2" s="1"/>
  <c r="V211" i="2"/>
  <c r="V212" i="2" s="1"/>
  <c r="AC211" i="2"/>
  <c r="AC212" i="2" s="1"/>
  <c r="AE211" i="2"/>
  <c r="AE212" i="2" s="1"/>
  <c r="K211" i="2"/>
  <c r="Z211" i="2"/>
  <c r="Z212" i="2" s="1"/>
  <c r="AF211" i="2"/>
  <c r="AF212" i="2" s="1"/>
  <c r="Y211" i="2"/>
  <c r="Y212" i="2" s="1"/>
  <c r="AB211" i="2"/>
  <c r="AB212" i="2" s="1"/>
  <c r="AA211" i="2"/>
  <c r="AA212" i="2" s="1"/>
  <c r="W211" i="2"/>
  <c r="W212" i="2" s="1"/>
  <c r="U211" i="2"/>
  <c r="U212" i="2" s="1"/>
  <c r="I211" i="2"/>
  <c r="I212" i="2" s="1"/>
  <c r="E212" i="2"/>
  <c r="E231" i="2" s="1"/>
  <c r="AB269" i="1"/>
  <c r="AC269" i="1" s="1"/>
  <c r="O124" i="1"/>
  <c r="J432" i="2"/>
  <c r="E320" i="2" l="1"/>
  <c r="E232" i="2"/>
  <c r="AG211" i="2"/>
  <c r="AH211" i="2" s="1"/>
  <c r="F212" i="2"/>
  <c r="P104" i="1"/>
  <c r="AB101" i="1"/>
  <c r="AC101" i="1" s="1"/>
  <c r="O126" i="1"/>
  <c r="J439" i="2"/>
  <c r="J435" i="2"/>
  <c r="P124" i="1" l="1"/>
  <c r="AB104" i="1"/>
  <c r="AC104" i="1" s="1"/>
  <c r="O318" i="1"/>
  <c r="O447" i="1"/>
  <c r="O272" i="1"/>
  <c r="O314" i="1"/>
  <c r="O320" i="1"/>
  <c r="O278" i="1"/>
  <c r="O453" i="1"/>
  <c r="O316" i="1"/>
  <c r="O281" i="1"/>
  <c r="E58" i="2"/>
  <c r="O322" i="1"/>
  <c r="J436" i="2"/>
  <c r="J460" i="2"/>
  <c r="J442" i="2"/>
  <c r="P126" i="1" l="1"/>
  <c r="AB124" i="1"/>
  <c r="AC124" i="1" s="1"/>
  <c r="Z58" i="2"/>
  <c r="J58" i="2"/>
  <c r="U58" i="2"/>
  <c r="L58" i="2"/>
  <c r="R58" i="2"/>
  <c r="V58" i="2"/>
  <c r="N58" i="2"/>
  <c r="AB58" i="2"/>
  <c r="P58" i="2"/>
  <c r="AC58" i="2"/>
  <c r="W58" i="2"/>
  <c r="F58" i="2"/>
  <c r="I58" i="2"/>
  <c r="O58" i="2"/>
  <c r="H58" i="2"/>
  <c r="AA58" i="2"/>
  <c r="S58" i="2"/>
  <c r="T58" i="2"/>
  <c r="Q58" i="2"/>
  <c r="M58" i="2"/>
  <c r="AD58" i="2"/>
  <c r="AF58" i="2"/>
  <c r="AE58" i="2"/>
  <c r="Y58" i="2"/>
  <c r="X58" i="2"/>
  <c r="G58" i="2"/>
  <c r="O283" i="1"/>
  <c r="E286" i="2"/>
  <c r="O457" i="1"/>
  <c r="E248" i="2"/>
  <c r="O324" i="1"/>
  <c r="J443" i="2"/>
  <c r="J467" i="2"/>
  <c r="J463" i="2"/>
  <c r="P316" i="1" l="1"/>
  <c r="P314" i="1"/>
  <c r="P453" i="1"/>
  <c r="AB453" i="1" s="1"/>
  <c r="AC453" i="1" s="1"/>
  <c r="P320" i="1"/>
  <c r="AB320" i="1" s="1"/>
  <c r="AC320" i="1" s="1"/>
  <c r="E59" i="2"/>
  <c r="P447" i="1"/>
  <c r="P278" i="1"/>
  <c r="AB278" i="1" s="1"/>
  <c r="AC278" i="1" s="1"/>
  <c r="P322" i="1"/>
  <c r="AB322" i="1" s="1"/>
  <c r="AC322" i="1" s="1"/>
  <c r="P281" i="1"/>
  <c r="AB281" i="1" s="1"/>
  <c r="AC281" i="1" s="1"/>
  <c r="P318" i="1"/>
  <c r="AB318" i="1" s="1"/>
  <c r="AC318" i="1" s="1"/>
  <c r="P272" i="1"/>
  <c r="AB126" i="1"/>
  <c r="F248" i="2"/>
  <c r="AB248" i="2"/>
  <c r="J248" i="2"/>
  <c r="M248" i="2"/>
  <c r="W248" i="2"/>
  <c r="Y248" i="2"/>
  <c r="V248" i="2"/>
  <c r="P248" i="2"/>
  <c r="S248" i="2"/>
  <c r="Q248" i="2"/>
  <c r="O248" i="2"/>
  <c r="X248" i="2"/>
  <c r="T248" i="2"/>
  <c r="AC248" i="2"/>
  <c r="U248" i="2"/>
  <c r="N248" i="2"/>
  <c r="AE248" i="2"/>
  <c r="Z248" i="2"/>
  <c r="R248" i="2"/>
  <c r="AF248" i="2"/>
  <c r="I248" i="2"/>
  <c r="H248" i="2"/>
  <c r="L248" i="2"/>
  <c r="G248" i="2"/>
  <c r="AA248" i="2"/>
  <c r="AD248" i="2"/>
  <c r="U286" i="2"/>
  <c r="Q286" i="2"/>
  <c r="W286" i="2"/>
  <c r="T286" i="2"/>
  <c r="F286" i="2"/>
  <c r="AF286" i="2"/>
  <c r="P286" i="2"/>
  <c r="Z286" i="2"/>
  <c r="X286" i="2"/>
  <c r="S286" i="2"/>
  <c r="L286" i="2"/>
  <c r="H286" i="2"/>
  <c r="AC286" i="2"/>
  <c r="O286" i="2"/>
  <c r="I286" i="2"/>
  <c r="M286" i="2"/>
  <c r="AD286" i="2"/>
  <c r="V286" i="2"/>
  <c r="N286" i="2"/>
  <c r="G286" i="2"/>
  <c r="Y286" i="2"/>
  <c r="J286" i="2"/>
  <c r="AB286" i="2"/>
  <c r="AA286" i="2"/>
  <c r="AE286" i="2"/>
  <c r="R286" i="2"/>
  <c r="O459" i="1"/>
  <c r="O285" i="1"/>
  <c r="J464" i="2"/>
  <c r="J470" i="2"/>
  <c r="AC126" i="1" l="1"/>
  <c r="E249" i="2"/>
  <c r="P324" i="1"/>
  <c r="AB324" i="1" s="1"/>
  <c r="AC324" i="1" s="1"/>
  <c r="AB314" i="1"/>
  <c r="AC314" i="1" s="1"/>
  <c r="E287" i="2"/>
  <c r="AB316" i="1"/>
  <c r="AC316" i="1" s="1"/>
  <c r="P457" i="1"/>
  <c r="AB447" i="1"/>
  <c r="AC447" i="1" s="1"/>
  <c r="P283" i="1"/>
  <c r="AB272" i="1"/>
  <c r="AC272" i="1" s="1"/>
  <c r="Q59" i="2"/>
  <c r="Q60" i="2" s="1"/>
  <c r="P59" i="2"/>
  <c r="P60" i="2" s="1"/>
  <c r="AB59" i="2"/>
  <c r="AB60" i="2" s="1"/>
  <c r="T59" i="2"/>
  <c r="T60" i="2" s="1"/>
  <c r="J59" i="2"/>
  <c r="J60" i="2" s="1"/>
  <c r="S59" i="2"/>
  <c r="S60" i="2" s="1"/>
  <c r="AC59" i="2"/>
  <c r="AC60" i="2" s="1"/>
  <c r="AF59" i="2"/>
  <c r="AF60" i="2" s="1"/>
  <c r="U59" i="2"/>
  <c r="U60" i="2" s="1"/>
  <c r="W59" i="2"/>
  <c r="W60" i="2" s="1"/>
  <c r="L59" i="2"/>
  <c r="L60" i="2" s="1"/>
  <c r="O59" i="2"/>
  <c r="O60" i="2" s="1"/>
  <c r="M59" i="2"/>
  <c r="M60" i="2" s="1"/>
  <c r="N59" i="2"/>
  <c r="N60" i="2" s="1"/>
  <c r="AE59" i="2"/>
  <c r="AE60" i="2" s="1"/>
  <c r="X59" i="2"/>
  <c r="X60" i="2" s="1"/>
  <c r="F59" i="2"/>
  <c r="R59" i="2"/>
  <c r="R60" i="2" s="1"/>
  <c r="Y59" i="2"/>
  <c r="Y60" i="2" s="1"/>
  <c r="G59" i="2"/>
  <c r="G60" i="2" s="1"/>
  <c r="V59" i="2"/>
  <c r="V60" i="2" s="1"/>
  <c r="AA59" i="2"/>
  <c r="AA60" i="2" s="1"/>
  <c r="H59" i="2"/>
  <c r="H60" i="2" s="1"/>
  <c r="AD59" i="2"/>
  <c r="AD60" i="2" s="1"/>
  <c r="Z59" i="2"/>
  <c r="Z60" i="2" s="1"/>
  <c r="I59" i="2"/>
  <c r="I60" i="2" s="1"/>
  <c r="K59" i="2"/>
  <c r="E60" i="2"/>
  <c r="E79" i="2" s="1"/>
  <c r="O461" i="1"/>
  <c r="O129" i="1"/>
  <c r="E134" i="2"/>
  <c r="E498" i="2" s="1"/>
  <c r="O287" i="1"/>
  <c r="O326" i="1"/>
  <c r="J471" i="2"/>
  <c r="J465" i="2"/>
  <c r="AG59" i="2" l="1"/>
  <c r="AH59" i="2" s="1"/>
  <c r="F60" i="2"/>
  <c r="P285" i="1"/>
  <c r="AB283" i="1"/>
  <c r="AC283" i="1" s="1"/>
  <c r="P459" i="1"/>
  <c r="P461" i="1" s="1"/>
  <c r="E173" i="2" s="1"/>
  <c r="AB457" i="1"/>
  <c r="AC457" i="1" s="1"/>
  <c r="AD287" i="2"/>
  <c r="AD288" i="2" s="1"/>
  <c r="W287" i="2"/>
  <c r="W288" i="2" s="1"/>
  <c r="AB287" i="2"/>
  <c r="AB288" i="2" s="1"/>
  <c r="X287" i="2"/>
  <c r="X288" i="2" s="1"/>
  <c r="V287" i="2"/>
  <c r="V288" i="2" s="1"/>
  <c r="Q287" i="2"/>
  <c r="Q288" i="2" s="1"/>
  <c r="R287" i="2"/>
  <c r="R288" i="2" s="1"/>
  <c r="AC287" i="2"/>
  <c r="AC288" i="2" s="1"/>
  <c r="Z287" i="2"/>
  <c r="Z288" i="2" s="1"/>
  <c r="O287" i="2"/>
  <c r="O288" i="2" s="1"/>
  <c r="U287" i="2"/>
  <c r="U288" i="2" s="1"/>
  <c r="F287" i="2"/>
  <c r="T287" i="2"/>
  <c r="T288" i="2" s="1"/>
  <c r="K287" i="2"/>
  <c r="M287" i="2"/>
  <c r="M288" i="2" s="1"/>
  <c r="AF287" i="2"/>
  <c r="AF288" i="2" s="1"/>
  <c r="N287" i="2"/>
  <c r="N288" i="2" s="1"/>
  <c r="J287" i="2"/>
  <c r="J288" i="2" s="1"/>
  <c r="G287" i="2"/>
  <c r="G288" i="2" s="1"/>
  <c r="H287" i="2"/>
  <c r="H288" i="2" s="1"/>
  <c r="P287" i="2"/>
  <c r="P288" i="2" s="1"/>
  <c r="I287" i="2"/>
  <c r="I288" i="2" s="1"/>
  <c r="Y287" i="2"/>
  <c r="Y288" i="2" s="1"/>
  <c r="L287" i="2"/>
  <c r="L288" i="2" s="1"/>
  <c r="AE287" i="2"/>
  <c r="AE288" i="2" s="1"/>
  <c r="S287" i="2"/>
  <c r="S288" i="2" s="1"/>
  <c r="AA287" i="2"/>
  <c r="AA288" i="2" s="1"/>
  <c r="E288" i="2"/>
  <c r="E307" i="2" s="1"/>
  <c r="X249" i="2"/>
  <c r="X250" i="2" s="1"/>
  <c r="N249" i="2"/>
  <c r="N250" i="2" s="1"/>
  <c r="I249" i="2"/>
  <c r="I250" i="2" s="1"/>
  <c r="AD249" i="2"/>
  <c r="AD250" i="2" s="1"/>
  <c r="O249" i="2"/>
  <c r="O250" i="2" s="1"/>
  <c r="Q249" i="2"/>
  <c r="Q250" i="2" s="1"/>
  <c r="U249" i="2"/>
  <c r="U250" i="2" s="1"/>
  <c r="AF249" i="2"/>
  <c r="AF250" i="2" s="1"/>
  <c r="Y249" i="2"/>
  <c r="Y250" i="2" s="1"/>
  <c r="W249" i="2"/>
  <c r="W250" i="2" s="1"/>
  <c r="J249" i="2"/>
  <c r="J250" i="2" s="1"/>
  <c r="G249" i="2"/>
  <c r="G250" i="2" s="1"/>
  <c r="AC249" i="2"/>
  <c r="AC250" i="2" s="1"/>
  <c r="AE249" i="2"/>
  <c r="AE250" i="2" s="1"/>
  <c r="R249" i="2"/>
  <c r="R250" i="2" s="1"/>
  <c r="AA249" i="2"/>
  <c r="AA250" i="2" s="1"/>
  <c r="H249" i="2"/>
  <c r="H250" i="2" s="1"/>
  <c r="T249" i="2"/>
  <c r="T250" i="2" s="1"/>
  <c r="Z249" i="2"/>
  <c r="Z250" i="2" s="1"/>
  <c r="M249" i="2"/>
  <c r="M250" i="2" s="1"/>
  <c r="P249" i="2"/>
  <c r="P250" i="2" s="1"/>
  <c r="S249" i="2"/>
  <c r="S250" i="2" s="1"/>
  <c r="L249" i="2"/>
  <c r="L250" i="2" s="1"/>
  <c r="V249" i="2"/>
  <c r="V250" i="2" s="1"/>
  <c r="AB249" i="2"/>
  <c r="AB250" i="2" s="1"/>
  <c r="K249" i="2"/>
  <c r="F249" i="2"/>
  <c r="E250" i="2"/>
  <c r="E269" i="2" s="1"/>
  <c r="E321" i="2" s="1"/>
  <c r="AB134" i="2"/>
  <c r="J134" i="2"/>
  <c r="T134" i="2"/>
  <c r="V134" i="2"/>
  <c r="L134" i="2"/>
  <c r="L498" i="2" s="1"/>
  <c r="I134" i="2"/>
  <c r="I498" i="2" s="1"/>
  <c r="G134" i="2"/>
  <c r="G498" i="2" s="1"/>
  <c r="AE134" i="2"/>
  <c r="Q134" i="2"/>
  <c r="M134" i="2"/>
  <c r="M498" i="2" s="1"/>
  <c r="Y134" i="2"/>
  <c r="AF134" i="2"/>
  <c r="X134" i="2"/>
  <c r="U134" i="2"/>
  <c r="H134" i="2"/>
  <c r="H498" i="2" s="1"/>
  <c r="F134" i="2"/>
  <c r="F498" i="2" s="1"/>
  <c r="AA134" i="2"/>
  <c r="S134" i="2"/>
  <c r="AD134" i="2"/>
  <c r="O134" i="2"/>
  <c r="N134" i="2"/>
  <c r="W134" i="2"/>
  <c r="R134" i="2"/>
  <c r="AC134" i="2"/>
  <c r="P134" i="2"/>
  <c r="Z134" i="2"/>
  <c r="O133" i="1"/>
  <c r="E172" i="2"/>
  <c r="J93" i="2"/>
  <c r="J16" i="2"/>
  <c r="J55" i="2"/>
  <c r="J207" i="2"/>
  <c r="J472" i="2"/>
  <c r="E322" i="2" l="1"/>
  <c r="E308" i="2"/>
  <c r="AG249" i="2"/>
  <c r="AH249" i="2" s="1"/>
  <c r="F250" i="2"/>
  <c r="P173" i="2"/>
  <c r="M173" i="2"/>
  <c r="L173" i="2"/>
  <c r="J173" i="2"/>
  <c r="K173" i="2"/>
  <c r="Z173" i="2"/>
  <c r="U173" i="2"/>
  <c r="H173" i="2"/>
  <c r="Q173" i="2"/>
  <c r="AA173" i="2"/>
  <c r="I173" i="2"/>
  <c r="AD173" i="2"/>
  <c r="AC173" i="2"/>
  <c r="X173" i="2"/>
  <c r="N173" i="2"/>
  <c r="G173" i="2"/>
  <c r="W173" i="2"/>
  <c r="T173" i="2"/>
  <c r="AB173" i="2"/>
  <c r="F173" i="2"/>
  <c r="AE173" i="2"/>
  <c r="V173" i="2"/>
  <c r="S173" i="2"/>
  <c r="Y173" i="2"/>
  <c r="AF173" i="2"/>
  <c r="R173" i="2"/>
  <c r="O173" i="2"/>
  <c r="P129" i="1"/>
  <c r="P133" i="1" s="1"/>
  <c r="P144" i="1" s="1"/>
  <c r="P326" i="1"/>
  <c r="E135" i="2"/>
  <c r="E499" i="2" s="1"/>
  <c r="P287" i="1"/>
  <c r="AG287" i="2"/>
  <c r="AH287" i="2" s="1"/>
  <c r="F288" i="2"/>
  <c r="P498" i="2"/>
  <c r="N498" i="2"/>
  <c r="S498" i="2"/>
  <c r="U498" i="2"/>
  <c r="T498" i="2"/>
  <c r="AC172" i="2"/>
  <c r="V172" i="2"/>
  <c r="J172" i="2"/>
  <c r="W172" i="2"/>
  <c r="E174" i="2"/>
  <c r="Z172" i="2"/>
  <c r="U172" i="2"/>
  <c r="P172" i="2"/>
  <c r="O172" i="2"/>
  <c r="AE172" i="2"/>
  <c r="I172" i="2"/>
  <c r="F172" i="2"/>
  <c r="G172" i="2"/>
  <c r="N172" i="2"/>
  <c r="Q172" i="2"/>
  <c r="AB172" i="2"/>
  <c r="M172" i="2"/>
  <c r="X172" i="2"/>
  <c r="T172" i="2"/>
  <c r="AF172" i="2"/>
  <c r="H172" i="2"/>
  <c r="AA172" i="2"/>
  <c r="AD172" i="2"/>
  <c r="L172" i="2"/>
  <c r="R172" i="2"/>
  <c r="S172" i="2"/>
  <c r="Y172" i="2"/>
  <c r="AC498" i="2"/>
  <c r="AA498" i="2"/>
  <c r="X498" i="2"/>
  <c r="R498" i="2"/>
  <c r="O498" i="2"/>
  <c r="AF498" i="2"/>
  <c r="Q498" i="2"/>
  <c r="AB498" i="2"/>
  <c r="O144" i="1"/>
  <c r="Z498" i="2"/>
  <c r="W498" i="2"/>
  <c r="AD498" i="2"/>
  <c r="Y498" i="2"/>
  <c r="AE498" i="2"/>
  <c r="V498" i="2"/>
  <c r="J131" i="2"/>
  <c r="J283" i="2"/>
  <c r="J245" i="2"/>
  <c r="J169" i="2"/>
  <c r="J498" i="2" l="1"/>
  <c r="Z174" i="2"/>
  <c r="I174" i="2"/>
  <c r="U174" i="2"/>
  <c r="E97" i="2"/>
  <c r="F174" i="2"/>
  <c r="S174" i="2"/>
  <c r="AA174" i="2"/>
  <c r="M174" i="2"/>
  <c r="AE174" i="2"/>
  <c r="AC174" i="2"/>
  <c r="N174" i="2"/>
  <c r="T174" i="2"/>
  <c r="R174" i="2"/>
  <c r="H174" i="2"/>
  <c r="Y174" i="2"/>
  <c r="P174" i="2"/>
  <c r="O174" i="2"/>
  <c r="L174" i="2"/>
  <c r="AB174" i="2"/>
  <c r="J174" i="2"/>
  <c r="AD174" i="2"/>
  <c r="X174" i="2"/>
  <c r="V174" i="2"/>
  <c r="AF174" i="2"/>
  <c r="Q174" i="2"/>
  <c r="G174" i="2"/>
  <c r="W174" i="2"/>
  <c r="AG173" i="2"/>
  <c r="AH173" i="2" s="1"/>
  <c r="R135" i="2"/>
  <c r="R499" i="2" s="1"/>
  <c r="S135" i="2"/>
  <c r="S499" i="2" s="1"/>
  <c r="AF135" i="2"/>
  <c r="AF499" i="2" s="1"/>
  <c r="M135" i="2"/>
  <c r="M499" i="2" s="1"/>
  <c r="AC135" i="2"/>
  <c r="AC499" i="2" s="1"/>
  <c r="J135" i="2"/>
  <c r="J499" i="2" s="1"/>
  <c r="Y135" i="2"/>
  <c r="Y499" i="2" s="1"/>
  <c r="N135" i="2"/>
  <c r="N499" i="2" s="1"/>
  <c r="T135" i="2"/>
  <c r="T499" i="2" s="1"/>
  <c r="P135" i="2"/>
  <c r="P499" i="2" s="1"/>
  <c r="AE135" i="2"/>
  <c r="Q135" i="2"/>
  <c r="Q499" i="2" s="1"/>
  <c r="X135" i="2"/>
  <c r="X499" i="2" s="1"/>
  <c r="K135" i="2"/>
  <c r="K499" i="2" s="1"/>
  <c r="Z135" i="2"/>
  <c r="Z499" i="2" s="1"/>
  <c r="O135" i="2"/>
  <c r="O499" i="2" s="1"/>
  <c r="AD135" i="2"/>
  <c r="AD499" i="2" s="1"/>
  <c r="G135" i="2"/>
  <c r="G499" i="2" s="1"/>
  <c r="W135" i="2"/>
  <c r="W499" i="2" s="1"/>
  <c r="AB135" i="2"/>
  <c r="AB499" i="2" s="1"/>
  <c r="U135" i="2"/>
  <c r="U499" i="2" s="1"/>
  <c r="L135" i="2"/>
  <c r="L499" i="2" s="1"/>
  <c r="V135" i="2"/>
  <c r="V499" i="2" s="1"/>
  <c r="H135" i="2"/>
  <c r="H499" i="2" s="1"/>
  <c r="AA135" i="2"/>
  <c r="AA499" i="2" s="1"/>
  <c r="F135" i="2"/>
  <c r="F499" i="2" s="1"/>
  <c r="I135" i="2"/>
  <c r="I499" i="2" s="1"/>
  <c r="E136" i="2"/>
  <c r="V536" i="2"/>
  <c r="Y536" i="2"/>
  <c r="AD536" i="2"/>
  <c r="Z536" i="2"/>
  <c r="AA536" i="2"/>
  <c r="AC536" i="2"/>
  <c r="AB536" i="2"/>
  <c r="W536" i="2"/>
  <c r="X536" i="2"/>
  <c r="T536" i="2"/>
  <c r="U536" i="2"/>
  <c r="E96" i="2"/>
  <c r="AG499" i="2" l="1"/>
  <c r="AE136" i="2"/>
  <c r="G97" i="2"/>
  <c r="G517" i="2" s="1"/>
  <c r="G546" i="2" s="1"/>
  <c r="M97" i="2"/>
  <c r="M517" i="2" s="1"/>
  <c r="K97" i="2"/>
  <c r="K517" i="2" s="1"/>
  <c r="K546" i="2" s="1"/>
  <c r="AA97" i="2"/>
  <c r="AA517" i="2" s="1"/>
  <c r="AA546" i="2" s="1"/>
  <c r="Q97" i="2"/>
  <c r="Q517" i="2" s="1"/>
  <c r="Q546" i="2" s="1"/>
  <c r="P97" i="2"/>
  <c r="P517" i="2" s="1"/>
  <c r="P546" i="2" s="1"/>
  <c r="X97" i="2"/>
  <c r="X517" i="2" s="1"/>
  <c r="X620" i="2" s="1"/>
  <c r="X621" i="2" s="1"/>
  <c r="O97" i="2"/>
  <c r="O517" i="2" s="1"/>
  <c r="O546" i="2" s="1"/>
  <c r="N97" i="2"/>
  <c r="N517" i="2" s="1"/>
  <c r="N546" i="2" s="1"/>
  <c r="Y97" i="2"/>
  <c r="Y517" i="2" s="1"/>
  <c r="Y546" i="2" s="1"/>
  <c r="U97" i="2"/>
  <c r="U517" i="2" s="1"/>
  <c r="U546" i="2" s="1"/>
  <c r="AB97" i="2"/>
  <c r="AB517" i="2" s="1"/>
  <c r="AB546" i="2" s="1"/>
  <c r="AF97" i="2"/>
  <c r="AF517" i="2" s="1"/>
  <c r="AF620" i="2" s="1"/>
  <c r="AF621" i="2" s="1"/>
  <c r="AE97" i="2"/>
  <c r="AD97" i="2"/>
  <c r="AD517" i="2" s="1"/>
  <c r="AD620" i="2" s="1"/>
  <c r="AD621" i="2" s="1"/>
  <c r="S97" i="2"/>
  <c r="S517" i="2" s="1"/>
  <c r="S546" i="2" s="1"/>
  <c r="Z97" i="2"/>
  <c r="Z517" i="2" s="1"/>
  <c r="Z620" i="2" s="1"/>
  <c r="Z621" i="2" s="1"/>
  <c r="R97" i="2"/>
  <c r="R517" i="2" s="1"/>
  <c r="R546" i="2" s="1"/>
  <c r="E517" i="2"/>
  <c r="V97" i="2"/>
  <c r="V517" i="2" s="1"/>
  <c r="V546" i="2" s="1"/>
  <c r="T97" i="2"/>
  <c r="T517" i="2" s="1"/>
  <c r="T620" i="2" s="1"/>
  <c r="T621" i="2" s="1"/>
  <c r="I97" i="2"/>
  <c r="I517" i="2" s="1"/>
  <c r="AC97" i="2"/>
  <c r="AC517" i="2" s="1"/>
  <c r="AC546" i="2" s="1"/>
  <c r="H97" i="2"/>
  <c r="H517" i="2" s="1"/>
  <c r="H546" i="2" s="1"/>
  <c r="J97" i="2"/>
  <c r="J517" i="2" s="1"/>
  <c r="J546" i="2" s="1"/>
  <c r="F97" i="2"/>
  <c r="F517" i="2" s="1"/>
  <c r="W97" i="2"/>
  <c r="W517" i="2" s="1"/>
  <c r="W546" i="2" s="1"/>
  <c r="L97" i="2"/>
  <c r="L517" i="2" s="1"/>
  <c r="I136" i="2"/>
  <c r="AG135" i="2"/>
  <c r="F136" i="2"/>
  <c r="G136" i="2"/>
  <c r="P136" i="2"/>
  <c r="AF136" i="2"/>
  <c r="AA136" i="2"/>
  <c r="AD136" i="2"/>
  <c r="D498" i="2"/>
  <c r="E507" i="2" s="1"/>
  <c r="D499" i="2"/>
  <c r="E508" i="2" s="1"/>
  <c r="S136" i="2"/>
  <c r="H136" i="2"/>
  <c r="O136" i="2"/>
  <c r="T136" i="2"/>
  <c r="R136" i="2"/>
  <c r="V136" i="2"/>
  <c r="Z136" i="2"/>
  <c r="N136" i="2"/>
  <c r="L136" i="2"/>
  <c r="Y136" i="2"/>
  <c r="U136" i="2"/>
  <c r="X136" i="2"/>
  <c r="J136" i="2"/>
  <c r="AB136" i="2"/>
  <c r="Q136" i="2"/>
  <c r="AC136" i="2"/>
  <c r="W136" i="2"/>
  <c r="M136" i="2"/>
  <c r="H96" i="2"/>
  <c r="Q96" i="2"/>
  <c r="N96" i="2"/>
  <c r="V96" i="2"/>
  <c r="O96" i="2"/>
  <c r="AF96" i="2"/>
  <c r="AC96" i="2"/>
  <c r="E516" i="2"/>
  <c r="Y96" i="2"/>
  <c r="P96" i="2"/>
  <c r="R96" i="2"/>
  <c r="T96" i="2"/>
  <c r="AB96" i="2"/>
  <c r="AD96" i="2"/>
  <c r="M96" i="2"/>
  <c r="S96" i="2"/>
  <c r="J96" i="2"/>
  <c r="U96" i="2"/>
  <c r="AA96" i="2"/>
  <c r="AE96" i="2"/>
  <c r="E98" i="2"/>
  <c r="L96" i="2"/>
  <c r="G96" i="2"/>
  <c r="Z96" i="2"/>
  <c r="X96" i="2"/>
  <c r="W96" i="2"/>
  <c r="I96" i="2"/>
  <c r="F96" i="2"/>
  <c r="I546" i="2" l="1"/>
  <c r="I620" i="2"/>
  <c r="AH135" i="2"/>
  <c r="L620" i="2"/>
  <c r="L546" i="2"/>
  <c r="AA620" i="2"/>
  <c r="AA621" i="2" s="1"/>
  <c r="AB620" i="2"/>
  <c r="AB621" i="2" s="1"/>
  <c r="U620" i="2"/>
  <c r="U621" i="2" s="1"/>
  <c r="X546" i="2"/>
  <c r="AD546" i="2"/>
  <c r="V620" i="2"/>
  <c r="V621" i="2" s="1"/>
  <c r="T546" i="2"/>
  <c r="Y620" i="2"/>
  <c r="Y621" i="2" s="1"/>
  <c r="W620" i="2"/>
  <c r="W621" i="2" s="1"/>
  <c r="AC620" i="2"/>
  <c r="AC621" i="2" s="1"/>
  <c r="Z546" i="2"/>
  <c r="AG97" i="2"/>
  <c r="AH97" i="2" s="1"/>
  <c r="W537" i="2"/>
  <c r="Y537" i="2"/>
  <c r="AD537" i="2"/>
  <c r="U537" i="2"/>
  <c r="V537" i="2"/>
  <c r="AB537" i="2"/>
  <c r="AC537" i="2"/>
  <c r="X537" i="2"/>
  <c r="Z537" i="2"/>
  <c r="T537" i="2"/>
  <c r="AA537" i="2"/>
  <c r="AI135" i="2"/>
  <c r="AG517" i="2"/>
  <c r="AH517" i="2" s="1"/>
  <c r="F546" i="2"/>
  <c r="F98" i="2"/>
  <c r="F516" i="2"/>
  <c r="S98" i="2"/>
  <c r="S516" i="2"/>
  <c r="AE98" i="2"/>
  <c r="AE516" i="2"/>
  <c r="AE615" i="2" s="1"/>
  <c r="AE616" i="2" s="1"/>
  <c r="V98" i="2"/>
  <c r="V516" i="2"/>
  <c r="Z98" i="2"/>
  <c r="Z516" i="2"/>
  <c r="T98" i="2"/>
  <c r="T516" i="2"/>
  <c r="G98" i="2"/>
  <c r="G516" i="2"/>
  <c r="G615" i="2" s="1"/>
  <c r="AA98" i="2"/>
  <c r="AA516" i="2"/>
  <c r="M98" i="2"/>
  <c r="M516" i="2"/>
  <c r="R98" i="2"/>
  <c r="R516" i="2"/>
  <c r="AC98" i="2"/>
  <c r="AC516" i="2"/>
  <c r="N98" i="2"/>
  <c r="N516" i="2"/>
  <c r="U98" i="2"/>
  <c r="U516" i="2"/>
  <c r="AD98" i="2"/>
  <c r="AD516" i="2"/>
  <c r="P98" i="2"/>
  <c r="P516" i="2"/>
  <c r="AF98" i="2"/>
  <c r="AF516" i="2"/>
  <c r="AF615" i="2" s="1"/>
  <c r="AF616" i="2" s="1"/>
  <c r="Q98" i="2"/>
  <c r="Q516" i="2"/>
  <c r="I98" i="2"/>
  <c r="I516" i="2"/>
  <c r="W98" i="2"/>
  <c r="W516" i="2"/>
  <c r="L98" i="2"/>
  <c r="L516" i="2"/>
  <c r="X98" i="2"/>
  <c r="X516" i="2"/>
  <c r="J98" i="2"/>
  <c r="J516" i="2"/>
  <c r="AB98" i="2"/>
  <c r="AB516" i="2"/>
  <c r="Y98" i="2"/>
  <c r="Y516" i="2"/>
  <c r="O98" i="2"/>
  <c r="O516" i="2"/>
  <c r="H98" i="2"/>
  <c r="H516" i="2"/>
  <c r="I545" i="2" l="1"/>
  <c r="I615" i="2"/>
  <c r="L545" i="2"/>
  <c r="L615" i="2"/>
  <c r="AH499" i="2"/>
  <c r="W545" i="2"/>
  <c r="W615" i="2"/>
  <c r="W616" i="2" s="1"/>
  <c r="Q545" i="2"/>
  <c r="P545" i="2"/>
  <c r="U545" i="2"/>
  <c r="U615" i="2"/>
  <c r="U616" i="2" s="1"/>
  <c r="AC545" i="2"/>
  <c r="AC615" i="2"/>
  <c r="AC616" i="2" s="1"/>
  <c r="G545" i="2"/>
  <c r="Z545" i="2"/>
  <c r="Z615" i="2"/>
  <c r="Z616" i="2" s="1"/>
  <c r="S545" i="2"/>
  <c r="H545" i="2"/>
  <c r="Y615" i="2"/>
  <c r="Y616" i="2" s="1"/>
  <c r="Y545" i="2"/>
  <c r="J545" i="2"/>
  <c r="X615" i="2"/>
  <c r="X616" i="2" s="1"/>
  <c r="X545" i="2"/>
  <c r="AD615" i="2"/>
  <c r="AD616" i="2" s="1"/>
  <c r="AD545" i="2"/>
  <c r="N545" i="2"/>
  <c r="R545" i="2"/>
  <c r="AA615" i="2"/>
  <c r="AA616" i="2" s="1"/>
  <c r="AA545" i="2"/>
  <c r="T545" i="2"/>
  <c r="T615" i="2"/>
  <c r="T616" i="2" s="1"/>
  <c r="V545" i="2"/>
  <c r="V615" i="2"/>
  <c r="V616" i="2" s="1"/>
  <c r="F545" i="2"/>
  <c r="O545" i="2"/>
  <c r="AB545" i="2"/>
  <c r="AB615" i="2"/>
  <c r="AB616" i="2" s="1"/>
  <c r="G600" i="2" l="1"/>
  <c r="C600" i="2"/>
  <c r="F600" i="2"/>
  <c r="Q610" i="2"/>
  <c r="Q611" i="2" s="1"/>
  <c r="F610" i="2"/>
  <c r="F611" i="2" s="1"/>
  <c r="P610" i="2"/>
  <c r="P611" i="2" s="1"/>
  <c r="L524" i="2"/>
  <c r="I524" i="2"/>
  <c r="Q524" i="2"/>
  <c r="J600" i="2"/>
  <c r="K600" i="2"/>
  <c r="K620" i="2" s="1"/>
  <c r="H600" i="2"/>
  <c r="O610" i="2"/>
  <c r="O611" i="2" s="1"/>
  <c r="H610" i="2"/>
  <c r="H611" i="2" s="1"/>
  <c r="R610" i="2"/>
  <c r="R611" i="2" s="1"/>
  <c r="N524" i="2"/>
  <c r="P524" i="2"/>
  <c r="G524" i="2"/>
  <c r="E524" i="2"/>
  <c r="Q600" i="2"/>
  <c r="N600" i="2"/>
  <c r="O600" i="2"/>
  <c r="J610" i="2"/>
  <c r="J611" i="2" s="1"/>
  <c r="G610" i="2"/>
  <c r="G611" i="2" s="1"/>
  <c r="J524" i="2"/>
  <c r="K524" i="2"/>
  <c r="H524" i="2"/>
  <c r="F524" i="2"/>
  <c r="P600" i="2"/>
  <c r="O524" i="2"/>
  <c r="E639" i="2"/>
  <c r="F639" i="2" s="1"/>
  <c r="G639" i="2" s="1"/>
  <c r="H639" i="2" s="1"/>
  <c r="M524" i="2"/>
  <c r="R600" i="2"/>
  <c r="N610" i="2"/>
  <c r="N611" i="2" s="1"/>
  <c r="R524" i="2"/>
  <c r="S600" i="2"/>
  <c r="E526" i="2"/>
  <c r="E525" i="2"/>
  <c r="I639" i="2" l="1"/>
  <c r="J639" i="2" s="1"/>
  <c r="K639" i="2" s="1"/>
  <c r="L639" i="2" s="1"/>
  <c r="N639" i="2"/>
  <c r="O639" i="2" s="1"/>
  <c r="P639" i="2" s="1"/>
  <c r="Q639" i="2" s="1"/>
  <c r="R639" i="2" s="1"/>
  <c r="N615" i="2"/>
  <c r="N620" i="2"/>
  <c r="P615" i="2"/>
  <c r="P620" i="2"/>
  <c r="Q620" i="2"/>
  <c r="Q615" i="2"/>
  <c r="H620" i="2"/>
  <c r="H615" i="2"/>
  <c r="G620" i="2"/>
  <c r="S620" i="2"/>
  <c r="S615" i="2"/>
  <c r="R620" i="2"/>
  <c r="R615" i="2"/>
  <c r="O615" i="2"/>
  <c r="O620" i="2"/>
  <c r="J615" i="2"/>
  <c r="J620" i="2"/>
  <c r="F615" i="2"/>
  <c r="F620" i="2"/>
  <c r="O93" i="15" l="1"/>
  <c r="C200" i="15"/>
  <c r="Q93" i="15"/>
  <c r="H13" i="15" s="1"/>
  <c r="H25" i="15" s="1"/>
  <c r="E427" i="2" s="1"/>
  <c r="P397" i="2" s="1"/>
  <c r="O95" i="15"/>
  <c r="R95" i="15" s="1"/>
  <c r="Y397" i="2" l="1"/>
  <c r="W398" i="2"/>
  <c r="M398" i="2"/>
  <c r="Y398" i="2"/>
  <c r="Q398" i="2"/>
  <c r="V397" i="2"/>
  <c r="AB398" i="2"/>
  <c r="U398" i="2"/>
  <c r="N397" i="2"/>
  <c r="Z398" i="2"/>
  <c r="AC397" i="2"/>
  <c r="I398" i="2"/>
  <c r="L397" i="2"/>
  <c r="F397" i="2"/>
  <c r="AF398" i="2"/>
  <c r="V398" i="2"/>
  <c r="J398" i="2"/>
  <c r="AC398" i="2"/>
  <c r="O397" i="2"/>
  <c r="P398" i="2"/>
  <c r="H398" i="2"/>
  <c r="G397" i="2"/>
  <c r="L398" i="2"/>
  <c r="R397" i="2"/>
  <c r="W397" i="2"/>
  <c r="T397" i="2"/>
  <c r="Z397" i="2"/>
  <c r="O398" i="2"/>
  <c r="N398" i="2"/>
  <c r="AB397" i="2"/>
  <c r="T398" i="2"/>
  <c r="G398" i="2"/>
  <c r="J397" i="2"/>
  <c r="AE397" i="2"/>
  <c r="AD397" i="2"/>
  <c r="AD398" i="2"/>
  <c r="S397" i="2"/>
  <c r="S398" i="2"/>
  <c r="X397" i="2"/>
  <c r="H397" i="2"/>
  <c r="AE398" i="2"/>
  <c r="F398" i="2"/>
  <c r="X398" i="2"/>
  <c r="U397" i="2"/>
  <c r="I397" i="2"/>
  <c r="M397" i="2"/>
  <c r="AA397" i="2"/>
  <c r="R398" i="2"/>
  <c r="AF397" i="2"/>
  <c r="Q397" i="2"/>
  <c r="P97" i="15"/>
  <c r="G13" i="15" s="1"/>
  <c r="G25" i="15" s="1"/>
  <c r="O97" i="15"/>
  <c r="F13" i="15" s="1"/>
  <c r="T95" i="15"/>
  <c r="K13" i="15" s="1"/>
  <c r="I13" i="15"/>
  <c r="AA398" i="2"/>
  <c r="O200" i="15"/>
  <c r="C201" i="15"/>
  <c r="C36" i="15" s="1"/>
  <c r="K427" i="2"/>
  <c r="AG427" i="2" s="1"/>
  <c r="AH427" i="2" s="1"/>
  <c r="K426" i="2" l="1"/>
  <c r="I25" i="15"/>
  <c r="E426" i="2" s="1"/>
  <c r="K424" i="2"/>
  <c r="AG424" i="2" s="1"/>
  <c r="K25" i="15"/>
  <c r="E424" i="2" s="1"/>
  <c r="O201" i="15"/>
  <c r="P200" i="15"/>
  <c r="F25" i="15"/>
  <c r="E428" i="2" s="1"/>
  <c r="K428" i="2"/>
  <c r="K397" i="2"/>
  <c r="AG397" i="2" s="1"/>
  <c r="AH397" i="2" s="1"/>
  <c r="K398" i="2"/>
  <c r="AG398" i="2" s="1"/>
  <c r="AH398" i="2" s="1"/>
  <c r="K481" i="2" l="1"/>
  <c r="L481" i="2"/>
  <c r="AG479" i="2"/>
  <c r="AH479" i="2" s="1"/>
  <c r="K544" i="2"/>
  <c r="K535" i="2"/>
  <c r="K558" i="2" s="1"/>
  <c r="K610" i="2"/>
  <c r="AH424" i="2"/>
  <c r="AG428" i="2"/>
  <c r="AH428" i="2" s="1"/>
  <c r="AC396" i="2"/>
  <c r="V396" i="2"/>
  <c r="N396" i="2"/>
  <c r="W396" i="2"/>
  <c r="S396" i="2"/>
  <c r="K396" i="2"/>
  <c r="AE396" i="2"/>
  <c r="G396" i="2"/>
  <c r="L396" i="2"/>
  <c r="AB396" i="2"/>
  <c r="M396" i="2"/>
  <c r="Y396" i="2"/>
  <c r="F396" i="2"/>
  <c r="AA396" i="2"/>
  <c r="O396" i="2"/>
  <c r="X396" i="2"/>
  <c r="T396" i="2"/>
  <c r="Q396" i="2"/>
  <c r="R396" i="2"/>
  <c r="Z396" i="2"/>
  <c r="U396" i="2"/>
  <c r="H396" i="2"/>
  <c r="AD396" i="2"/>
  <c r="I396" i="2"/>
  <c r="AF396" i="2"/>
  <c r="P396" i="2"/>
  <c r="J396" i="2"/>
  <c r="AG426" i="2"/>
  <c r="AH426" i="2" s="1"/>
  <c r="K432" i="2"/>
  <c r="AG481" i="2" l="1"/>
  <c r="AH481" i="2" s="1"/>
  <c r="K609" i="2"/>
  <c r="K611" i="2" s="1"/>
  <c r="K583" i="2"/>
  <c r="K435" i="2"/>
  <c r="K439" i="2"/>
  <c r="AG432" i="2"/>
  <c r="AH432" i="2" s="1"/>
  <c r="AG396" i="2"/>
  <c r="AH396" i="2" s="1"/>
  <c r="AG446" i="2"/>
  <c r="AH446" i="2" s="1"/>
  <c r="K453" i="2"/>
  <c r="K476" i="2"/>
  <c r="AG453" i="2" l="1"/>
  <c r="AH453" i="2" s="1"/>
  <c r="K449" i="2"/>
  <c r="K456" i="2"/>
  <c r="AG439" i="2"/>
  <c r="AH439" i="2" s="1"/>
  <c r="K460" i="2"/>
  <c r="K442" i="2"/>
  <c r="AG476" i="2"/>
  <c r="AH476" i="2" s="1"/>
  <c r="K477" i="2"/>
  <c r="K436" i="2"/>
  <c r="AG436" i="2" s="1"/>
  <c r="AH436" i="2" s="1"/>
  <c r="AG435" i="2"/>
  <c r="AH435" i="2" s="1"/>
  <c r="K24" i="2" l="1"/>
  <c r="AG477" i="2"/>
  <c r="AH477" i="2" s="1"/>
  <c r="K101" i="2"/>
  <c r="K63" i="2"/>
  <c r="AG456" i="2"/>
  <c r="AH456" i="2" s="1"/>
  <c r="K457" i="2"/>
  <c r="AG442" i="2"/>
  <c r="AH442" i="2" s="1"/>
  <c r="K443" i="2"/>
  <c r="AG443" i="2" s="1"/>
  <c r="AH443" i="2" s="1"/>
  <c r="AG449" i="2"/>
  <c r="AH449" i="2" s="1"/>
  <c r="K450" i="2"/>
  <c r="K463" i="2"/>
  <c r="AG460" i="2"/>
  <c r="AH460" i="2" s="1"/>
  <c r="K467" i="2"/>
  <c r="AG463" i="2" l="1"/>
  <c r="AH463" i="2" s="1"/>
  <c r="K464" i="2"/>
  <c r="K103" i="2"/>
  <c r="AG103" i="2" s="1"/>
  <c r="AH103" i="2" s="1"/>
  <c r="AG101" i="2"/>
  <c r="AH101" i="2" s="1"/>
  <c r="K451" i="2"/>
  <c r="AG450" i="2"/>
  <c r="AH450" i="2" s="1"/>
  <c r="AG457" i="2"/>
  <c r="AH457" i="2" s="1"/>
  <c r="K458" i="2"/>
  <c r="AG63" i="2"/>
  <c r="AH63" i="2" s="1"/>
  <c r="K65" i="2"/>
  <c r="AG65" i="2" s="1"/>
  <c r="AH65" i="2" s="1"/>
  <c r="AG467" i="2"/>
  <c r="AH467" i="2" s="1"/>
  <c r="K470" i="2"/>
  <c r="AG24" i="2"/>
  <c r="AH24" i="2" s="1"/>
  <c r="K26" i="2"/>
  <c r="AG26" i="2" s="1"/>
  <c r="AH26" i="2" s="1"/>
  <c r="AG470" i="2" l="1"/>
  <c r="AH470" i="2" s="1"/>
  <c r="K471" i="2"/>
  <c r="AG458" i="2"/>
  <c r="AH458" i="2" s="1"/>
  <c r="K286" i="2"/>
  <c r="K134" i="2"/>
  <c r="K248" i="2"/>
  <c r="K172" i="2"/>
  <c r="AG464" i="2"/>
  <c r="AH464" i="2" s="1"/>
  <c r="K465" i="2"/>
  <c r="AG451" i="2"/>
  <c r="AH451" i="2" s="1"/>
  <c r="K210" i="2"/>
  <c r="K58" i="2"/>
  <c r="K96" i="2"/>
  <c r="K19" i="2"/>
  <c r="K60" i="2" l="1"/>
  <c r="AG60" i="2" s="1"/>
  <c r="AH60" i="2" s="1"/>
  <c r="AG58" i="2"/>
  <c r="AH58" i="2" s="1"/>
  <c r="K212" i="2"/>
  <c r="AG212" i="2" s="1"/>
  <c r="AH212" i="2" s="1"/>
  <c r="AG210" i="2"/>
  <c r="AH210" i="2" s="1"/>
  <c r="AG172" i="2"/>
  <c r="AH172" i="2" s="1"/>
  <c r="K174" i="2"/>
  <c r="AG174" i="2" s="1"/>
  <c r="AH174" i="2" s="1"/>
  <c r="AG19" i="2"/>
  <c r="AH19" i="2" s="1"/>
  <c r="K21" i="2"/>
  <c r="AG21" i="2" s="1"/>
  <c r="AH21" i="2" s="1"/>
  <c r="AG248" i="2"/>
  <c r="AH248" i="2" s="1"/>
  <c r="K250" i="2"/>
  <c r="AG250" i="2" s="1"/>
  <c r="AH250" i="2" s="1"/>
  <c r="K472" i="2"/>
  <c r="AG471" i="2"/>
  <c r="AH471" i="2" s="1"/>
  <c r="AG286" i="2"/>
  <c r="AH286" i="2" s="1"/>
  <c r="K288" i="2"/>
  <c r="AG288" i="2" s="1"/>
  <c r="AH288" i="2" s="1"/>
  <c r="AG96" i="2"/>
  <c r="AH96" i="2" s="1"/>
  <c r="K98" i="2"/>
  <c r="AG98" i="2" s="1"/>
  <c r="AH98" i="2" s="1"/>
  <c r="AG465" i="2"/>
  <c r="AH465" i="2" s="1"/>
  <c r="K55" i="2"/>
  <c r="K207" i="2"/>
  <c r="K93" i="2"/>
  <c r="K16" i="2"/>
  <c r="AG134" i="2"/>
  <c r="K136" i="2"/>
  <c r="AG136" i="2" s="1"/>
  <c r="AH136" i="2" l="1"/>
  <c r="AI136" i="2"/>
  <c r="AH134" i="2"/>
  <c r="AI134" i="2"/>
  <c r="AG93" i="2"/>
  <c r="AH93" i="2" s="1"/>
  <c r="K516" i="2"/>
  <c r="AG207" i="2"/>
  <c r="AH207" i="2" s="1"/>
  <c r="AG472" i="2"/>
  <c r="AH472" i="2" s="1"/>
  <c r="K283" i="2"/>
  <c r="K169" i="2"/>
  <c r="K245" i="2"/>
  <c r="K131" i="2"/>
  <c r="AG55" i="2"/>
  <c r="AH55" i="2" s="1"/>
  <c r="AG16" i="2"/>
  <c r="AH16" i="2" s="1"/>
  <c r="K498" i="2" l="1"/>
  <c r="K615" i="2"/>
  <c r="K545" i="2"/>
  <c r="AG169" i="2"/>
  <c r="AH169" i="2" s="1"/>
  <c r="AG131" i="2"/>
  <c r="AI131" i="2" s="1"/>
  <c r="AG516" i="2"/>
  <c r="AH516" i="2" s="1"/>
  <c r="AG283" i="2"/>
  <c r="AH283" i="2" s="1"/>
  <c r="AG245" i="2"/>
  <c r="AH245" i="2" s="1"/>
  <c r="AH131" i="2" l="1"/>
  <c r="AG498" i="2"/>
  <c r="AH498" i="2" l="1"/>
  <c r="H178" i="1" l="1"/>
  <c r="H176" i="1"/>
  <c r="H177" i="1"/>
  <c r="H361" i="1"/>
  <c r="H360" i="1"/>
  <c r="H175" i="1"/>
  <c r="H180" i="1" l="1"/>
  <c r="I177" i="1"/>
  <c r="AB177" i="1" s="1"/>
  <c r="AC177" i="1" s="1"/>
  <c r="I176" i="1"/>
  <c r="AB176" i="1" s="1"/>
  <c r="AC176" i="1" s="1"/>
  <c r="I361" i="1"/>
  <c r="AB361" i="1" s="1"/>
  <c r="AC361" i="1" s="1"/>
  <c r="I178" i="1"/>
  <c r="AB178" i="1" s="1"/>
  <c r="AC178" i="1" s="1"/>
  <c r="I360" i="1"/>
  <c r="I175" i="1"/>
  <c r="H363" i="1"/>
  <c r="H515" i="1" s="1"/>
  <c r="AB479" i="1"/>
  <c r="AC479" i="1" s="1"/>
  <c r="H514" i="1" l="1"/>
  <c r="I363" i="1"/>
  <c r="I412" i="1" s="1"/>
  <c r="I459" i="1" s="1"/>
  <c r="I461" i="1" s="1"/>
  <c r="E162" i="2" s="1"/>
  <c r="I180" i="1"/>
  <c r="I237" i="1" s="1"/>
  <c r="I285" i="1" s="1"/>
  <c r="I326" i="1" s="1"/>
  <c r="H237" i="1"/>
  <c r="H412" i="1"/>
  <c r="AB360" i="1"/>
  <c r="AB175" i="1"/>
  <c r="AC175" i="1" s="1"/>
  <c r="I514" i="1" l="1"/>
  <c r="AC360" i="1"/>
  <c r="I515" i="1"/>
  <c r="AB363" i="1"/>
  <c r="AC363" i="1" s="1"/>
  <c r="AB180" i="1"/>
  <c r="AC180" i="1" s="1"/>
  <c r="E124" i="2"/>
  <c r="E487" i="2" s="1"/>
  <c r="I129" i="1"/>
  <c r="I133" i="1" s="1"/>
  <c r="I144" i="1" s="1"/>
  <c r="E86" i="2" s="1"/>
  <c r="E514" i="2" s="1"/>
  <c r="I287" i="1"/>
  <c r="AB237" i="1"/>
  <c r="AC237" i="1" s="1"/>
  <c r="H285" i="1"/>
  <c r="AB412" i="1"/>
  <c r="AC412" i="1" s="1"/>
  <c r="H459" i="1"/>
  <c r="AB514" i="1" l="1"/>
  <c r="AB515" i="1"/>
  <c r="AC515" i="1"/>
  <c r="AC514" i="1"/>
  <c r="E496" i="2"/>
  <c r="E505" i="2" s="1"/>
  <c r="AG487" i="2"/>
  <c r="AH487" i="2" s="1"/>
  <c r="E489" i="2"/>
  <c r="K489" i="2" s="1"/>
  <c r="K490" i="2" s="1"/>
  <c r="AB285" i="1"/>
  <c r="AC285" i="1" s="1"/>
  <c r="H287" i="1"/>
  <c r="AB287" i="1" s="1"/>
  <c r="AC287" i="1" s="1"/>
  <c r="H326" i="1"/>
  <c r="AB326" i="1" s="1"/>
  <c r="AC326" i="1" s="1"/>
  <c r="H129" i="1"/>
  <c r="E123" i="2"/>
  <c r="AB459" i="1"/>
  <c r="AC459" i="1" s="1"/>
  <c r="H461" i="1"/>
  <c r="AB461" i="1" l="1"/>
  <c r="AC461" i="1" s="1"/>
  <c r="E161" i="2"/>
  <c r="AC489" i="2"/>
  <c r="AC490" i="2" s="1"/>
  <c r="T489" i="2"/>
  <c r="T490" i="2" s="1"/>
  <c r="X489" i="2"/>
  <c r="X490" i="2" s="1"/>
  <c r="S489" i="2"/>
  <c r="S490" i="2" s="1"/>
  <c r="O489" i="2"/>
  <c r="O490" i="2" s="1"/>
  <c r="Q489" i="2"/>
  <c r="Q490" i="2" s="1"/>
  <c r="AB489" i="2"/>
  <c r="AB490" i="2" s="1"/>
  <c r="AE489" i="2"/>
  <c r="AE490" i="2" s="1"/>
  <c r="W489" i="2"/>
  <c r="W490" i="2" s="1"/>
  <c r="R489" i="2"/>
  <c r="R490" i="2" s="1"/>
  <c r="AD489" i="2"/>
  <c r="AD490" i="2" s="1"/>
  <c r="Z489" i="2"/>
  <c r="Z490" i="2" s="1"/>
  <c r="I489" i="2"/>
  <c r="I490" i="2" s="1"/>
  <c r="AA489" i="2"/>
  <c r="AA490" i="2" s="1"/>
  <c r="F489" i="2"/>
  <c r="L489" i="2"/>
  <c r="L490" i="2" s="1"/>
  <c r="Y489" i="2"/>
  <c r="Y490" i="2" s="1"/>
  <c r="G489" i="2"/>
  <c r="G490" i="2" s="1"/>
  <c r="P489" i="2"/>
  <c r="P490" i="2" s="1"/>
  <c r="V489" i="2"/>
  <c r="V490" i="2" s="1"/>
  <c r="M489" i="2"/>
  <c r="M490" i="2" s="1"/>
  <c r="AF489" i="2"/>
  <c r="AF490" i="2" s="1"/>
  <c r="J489" i="2"/>
  <c r="J490" i="2" s="1"/>
  <c r="U489" i="2"/>
  <c r="U490" i="2" s="1"/>
  <c r="N489" i="2"/>
  <c r="N490" i="2" s="1"/>
  <c r="H489" i="2"/>
  <c r="H490" i="2" s="1"/>
  <c r="E490" i="2"/>
  <c r="K491" i="2" s="1"/>
  <c r="E480" i="2"/>
  <c r="E125" i="2"/>
  <c r="E495" i="2"/>
  <c r="E504" i="2" s="1"/>
  <c r="AB129" i="1"/>
  <c r="AC129" i="1" s="1"/>
  <c r="H133" i="1"/>
  <c r="D495" i="2" l="1"/>
  <c r="D496" i="2" s="1"/>
  <c r="E523" i="2" s="1"/>
  <c r="E500" i="2"/>
  <c r="F490" i="2"/>
  <c r="AG490" i="2" s="1"/>
  <c r="AH490" i="2" s="1"/>
  <c r="AG489" i="2"/>
  <c r="AH489" i="2" s="1"/>
  <c r="E155" i="2"/>
  <c r="E156" i="2" s="1"/>
  <c r="AG480" i="2"/>
  <c r="AH480" i="2" s="1"/>
  <c r="E482" i="2"/>
  <c r="E163" i="2"/>
  <c r="AB133" i="1"/>
  <c r="H144" i="1"/>
  <c r="AB144" i="1" s="1"/>
  <c r="T491" i="2"/>
  <c r="V491" i="2"/>
  <c r="AC491" i="2"/>
  <c r="AD491" i="2"/>
  <c r="AA491" i="2"/>
  <c r="X491" i="2"/>
  <c r="Y491" i="2"/>
  <c r="Z491" i="2"/>
  <c r="W491" i="2"/>
  <c r="U491" i="2"/>
  <c r="AB491" i="2"/>
  <c r="AF491" i="2"/>
  <c r="O491" i="2"/>
  <c r="M491" i="2"/>
  <c r="AE491" i="2"/>
  <c r="Q491" i="2"/>
  <c r="N491" i="2"/>
  <c r="P491" i="2"/>
  <c r="I491" i="2"/>
  <c r="S491" i="2"/>
  <c r="J491" i="2"/>
  <c r="R491" i="2"/>
  <c r="L491" i="2"/>
  <c r="H491" i="2"/>
  <c r="G491" i="2"/>
  <c r="F491" i="2"/>
  <c r="AC133" i="1" l="1"/>
  <c r="L482" i="2"/>
  <c r="L483" i="2" s="1"/>
  <c r="K482" i="2"/>
  <c r="K483" i="2" s="1"/>
  <c r="H276" i="2"/>
  <c r="H200" i="2"/>
  <c r="H9" i="2"/>
  <c r="H48" i="2"/>
  <c r="H238" i="2"/>
  <c r="H162" i="2"/>
  <c r="H86" i="2"/>
  <c r="H514" i="2" s="1"/>
  <c r="H124" i="2"/>
  <c r="L200" i="2"/>
  <c r="L162" i="2"/>
  <c r="L238" i="2"/>
  <c r="L9" i="2"/>
  <c r="L276" i="2"/>
  <c r="L48" i="2"/>
  <c r="L86" i="2"/>
  <c r="L514" i="2" s="1"/>
  <c r="L124" i="2"/>
  <c r="AE162" i="2"/>
  <c r="AE276" i="2"/>
  <c r="AE200" i="2"/>
  <c r="AE86" i="2"/>
  <c r="AE9" i="2"/>
  <c r="AE48" i="2"/>
  <c r="AE238" i="2"/>
  <c r="AE124" i="2"/>
  <c r="AE496" i="2" s="1"/>
  <c r="AE505" i="2" s="1"/>
  <c r="Y238" i="2"/>
  <c r="Y86" i="2"/>
  <c r="Y276" i="2"/>
  <c r="Y200" i="2"/>
  <c r="Y162" i="2"/>
  <c r="Y9" i="2"/>
  <c r="Y48" i="2"/>
  <c r="Y124" i="2"/>
  <c r="Y496" i="2" s="1"/>
  <c r="Y505" i="2" s="1"/>
  <c r="AC144" i="1"/>
  <c r="AC1" i="1" s="1"/>
  <c r="E85" i="2"/>
  <c r="G9" i="2"/>
  <c r="G48" i="2"/>
  <c r="G200" i="2"/>
  <c r="G238" i="2"/>
  <c r="G276" i="2"/>
  <c r="G162" i="2"/>
  <c r="G86" i="2"/>
  <c r="G514" i="2" s="1"/>
  <c r="G124" i="2"/>
  <c r="R276" i="2"/>
  <c r="R48" i="2"/>
  <c r="R162" i="2"/>
  <c r="R200" i="2"/>
  <c r="R238" i="2"/>
  <c r="R9" i="2"/>
  <c r="R86" i="2"/>
  <c r="R514" i="2" s="1"/>
  <c r="R124" i="2"/>
  <c r="M9" i="2"/>
  <c r="M276" i="2"/>
  <c r="M48" i="2"/>
  <c r="M162" i="2"/>
  <c r="M200" i="2"/>
  <c r="M238" i="2"/>
  <c r="M86" i="2"/>
  <c r="M514" i="2" s="1"/>
  <c r="M124" i="2"/>
  <c r="X9" i="2"/>
  <c r="X238" i="2"/>
  <c r="X86" i="2"/>
  <c r="X276" i="2"/>
  <c r="X48" i="2"/>
  <c r="X200" i="2"/>
  <c r="X162" i="2"/>
  <c r="X124" i="2"/>
  <c r="X496" i="2" s="1"/>
  <c r="X505" i="2" s="1"/>
  <c r="Q9" i="2"/>
  <c r="Q200" i="2"/>
  <c r="Q276" i="2"/>
  <c r="Q162" i="2"/>
  <c r="Q48" i="2"/>
  <c r="Q238" i="2"/>
  <c r="Q86" i="2"/>
  <c r="Q514" i="2" s="1"/>
  <c r="Q124" i="2"/>
  <c r="J9" i="2"/>
  <c r="J48" i="2"/>
  <c r="J200" i="2"/>
  <c r="J162" i="2"/>
  <c r="J276" i="2"/>
  <c r="J238" i="2"/>
  <c r="J86" i="2"/>
  <c r="J514" i="2" s="1"/>
  <c r="J124" i="2"/>
  <c r="O276" i="2"/>
  <c r="O200" i="2"/>
  <c r="O9" i="2"/>
  <c r="O48" i="2"/>
  <c r="O238" i="2"/>
  <c r="O86" i="2"/>
  <c r="O514" i="2" s="1"/>
  <c r="O162" i="2"/>
  <c r="O124" i="2"/>
  <c r="AA276" i="2"/>
  <c r="AA162" i="2"/>
  <c r="AA200" i="2"/>
  <c r="AA9" i="2"/>
  <c r="AA238" i="2"/>
  <c r="AA86" i="2"/>
  <c r="AA48" i="2"/>
  <c r="AA124" i="2"/>
  <c r="AA496" i="2" s="1"/>
  <c r="AA505" i="2" s="1"/>
  <c r="E193" i="2"/>
  <c r="E194" i="2" s="1"/>
  <c r="P162" i="2"/>
  <c r="P276" i="2"/>
  <c r="P238" i="2"/>
  <c r="P200" i="2"/>
  <c r="P9" i="2"/>
  <c r="P48" i="2"/>
  <c r="P86" i="2"/>
  <c r="P514" i="2" s="1"/>
  <c r="P124" i="2"/>
  <c r="Z86" i="2"/>
  <c r="Z48" i="2"/>
  <c r="Z238" i="2"/>
  <c r="Z162" i="2"/>
  <c r="Z9" i="2"/>
  <c r="Z200" i="2"/>
  <c r="Z276" i="2"/>
  <c r="Z124" i="2"/>
  <c r="Z496" i="2" s="1"/>
  <c r="Z505" i="2" s="1"/>
  <c r="E319" i="2"/>
  <c r="S238" i="2"/>
  <c r="S9" i="2"/>
  <c r="S162" i="2"/>
  <c r="S48" i="2"/>
  <c r="S86" i="2"/>
  <c r="S200" i="2"/>
  <c r="S276" i="2"/>
  <c r="S124" i="2"/>
  <c r="S496" i="2" s="1"/>
  <c r="AF276" i="2"/>
  <c r="AF86" i="2"/>
  <c r="AF200" i="2"/>
  <c r="AF238" i="2"/>
  <c r="AF162" i="2"/>
  <c r="AF9" i="2"/>
  <c r="AF48" i="2"/>
  <c r="AF124" i="2"/>
  <c r="AF496" i="2" s="1"/>
  <c r="AF505" i="2" s="1"/>
  <c r="AD276" i="2"/>
  <c r="AD200" i="2"/>
  <c r="AD9" i="2"/>
  <c r="AD48" i="2"/>
  <c r="AD162" i="2"/>
  <c r="AD124" i="2"/>
  <c r="AD496" i="2" s="1"/>
  <c r="AD505" i="2" s="1"/>
  <c r="AD238" i="2"/>
  <c r="AD86" i="2"/>
  <c r="AG491" i="2"/>
  <c r="AH491" i="2" s="1"/>
  <c r="F162" i="2"/>
  <c r="F48" i="2"/>
  <c r="F276" i="2"/>
  <c r="F238" i="2"/>
  <c r="F9" i="2"/>
  <c r="F86" i="2"/>
  <c r="F200" i="2"/>
  <c r="F124" i="2"/>
  <c r="K162" i="2"/>
  <c r="K238" i="2"/>
  <c r="K9" i="2"/>
  <c r="K48" i="2"/>
  <c r="K200" i="2"/>
  <c r="K276" i="2"/>
  <c r="K86" i="2"/>
  <c r="K514" i="2" s="1"/>
  <c r="K124" i="2"/>
  <c r="I162" i="2"/>
  <c r="I48" i="2"/>
  <c r="I200" i="2"/>
  <c r="I276" i="2"/>
  <c r="I9" i="2"/>
  <c r="I238" i="2"/>
  <c r="I124" i="2"/>
  <c r="I86" i="2"/>
  <c r="I514" i="2" s="1"/>
  <c r="AB162" i="2"/>
  <c r="AB238" i="2"/>
  <c r="AB86" i="2"/>
  <c r="AB200" i="2"/>
  <c r="AB9" i="2"/>
  <c r="AB276" i="2"/>
  <c r="AB48" i="2"/>
  <c r="AB124" i="2"/>
  <c r="AB496" i="2" s="1"/>
  <c r="AB505" i="2" s="1"/>
  <c r="AC162" i="2"/>
  <c r="AC238" i="2"/>
  <c r="AC276" i="2"/>
  <c r="AC48" i="2"/>
  <c r="AC86" i="2"/>
  <c r="AC200" i="2"/>
  <c r="AC124" i="2"/>
  <c r="AC496" i="2" s="1"/>
  <c r="AC505" i="2" s="1"/>
  <c r="AC9" i="2"/>
  <c r="H482" i="2"/>
  <c r="H483" i="2" s="1"/>
  <c r="N482" i="2"/>
  <c r="N483" i="2" s="1"/>
  <c r="AD482" i="2"/>
  <c r="AD483" i="2" s="1"/>
  <c r="AF482" i="2"/>
  <c r="AF483" i="2" s="1"/>
  <c r="G482" i="2"/>
  <c r="G483" i="2" s="1"/>
  <c r="Z482" i="2"/>
  <c r="Z483" i="2" s="1"/>
  <c r="P482" i="2"/>
  <c r="P483" i="2" s="1"/>
  <c r="T482" i="2"/>
  <c r="T483" i="2" s="1"/>
  <c r="Q482" i="2"/>
  <c r="Q483" i="2" s="1"/>
  <c r="AA482" i="2"/>
  <c r="AA483" i="2" s="1"/>
  <c r="O482" i="2"/>
  <c r="O483" i="2" s="1"/>
  <c r="J482" i="2"/>
  <c r="J483" i="2" s="1"/>
  <c r="AB482" i="2"/>
  <c r="AB483" i="2" s="1"/>
  <c r="X482" i="2"/>
  <c r="X483" i="2" s="1"/>
  <c r="I482" i="2"/>
  <c r="I483" i="2" s="1"/>
  <c r="AC482" i="2"/>
  <c r="AC483" i="2" s="1"/>
  <c r="S482" i="2"/>
  <c r="S483" i="2" s="1"/>
  <c r="U482" i="2"/>
  <c r="U483" i="2" s="1"/>
  <c r="W482" i="2"/>
  <c r="W483" i="2" s="1"/>
  <c r="AE482" i="2"/>
  <c r="AE483" i="2" s="1"/>
  <c r="R482" i="2"/>
  <c r="R483" i="2" s="1"/>
  <c r="V482" i="2"/>
  <c r="V483" i="2" s="1"/>
  <c r="M482" i="2"/>
  <c r="M483" i="2" s="1"/>
  <c r="Y482" i="2"/>
  <c r="Y483" i="2" s="1"/>
  <c r="F482" i="2"/>
  <c r="E483" i="2"/>
  <c r="V48" i="2"/>
  <c r="V238" i="2"/>
  <c r="V162" i="2"/>
  <c r="V9" i="2"/>
  <c r="V276" i="2"/>
  <c r="V200" i="2"/>
  <c r="V86" i="2"/>
  <c r="V124" i="2"/>
  <c r="V496" i="2" s="1"/>
  <c r="V505" i="2" s="1"/>
  <c r="E509" i="2"/>
  <c r="E510" i="2" s="1"/>
  <c r="E511" i="2" s="1"/>
  <c r="U162" i="2"/>
  <c r="U276" i="2"/>
  <c r="U9" i="2"/>
  <c r="U48" i="2"/>
  <c r="U238" i="2"/>
  <c r="U86" i="2"/>
  <c r="U200" i="2"/>
  <c r="U124" i="2"/>
  <c r="U496" i="2" s="1"/>
  <c r="N200" i="2"/>
  <c r="N238" i="2"/>
  <c r="N48" i="2"/>
  <c r="N162" i="2"/>
  <c r="N9" i="2"/>
  <c r="N276" i="2"/>
  <c r="N86" i="2"/>
  <c r="N514" i="2" s="1"/>
  <c r="N124" i="2"/>
  <c r="W9" i="2"/>
  <c r="W276" i="2"/>
  <c r="W86" i="2"/>
  <c r="W162" i="2"/>
  <c r="W238" i="2"/>
  <c r="W200" i="2"/>
  <c r="W48" i="2"/>
  <c r="W124" i="2"/>
  <c r="W496" i="2" s="1"/>
  <c r="W505" i="2" s="1"/>
  <c r="T162" i="2"/>
  <c r="T86" i="2"/>
  <c r="T238" i="2"/>
  <c r="T276" i="2"/>
  <c r="T200" i="2"/>
  <c r="T48" i="2"/>
  <c r="T9" i="2"/>
  <c r="T124" i="2"/>
  <c r="T496" i="2" s="1"/>
  <c r="I543" i="2" l="1"/>
  <c r="I606" i="2"/>
  <c r="L543" i="2"/>
  <c r="L606" i="2"/>
  <c r="K484" i="2"/>
  <c r="K123" i="2" s="1"/>
  <c r="L484" i="2"/>
  <c r="H496" i="2"/>
  <c r="H505" i="2" s="1"/>
  <c r="K496" i="2"/>
  <c r="K505" i="2" s="1"/>
  <c r="T534" i="2"/>
  <c r="T578" i="2" s="1"/>
  <c r="T604" i="2" s="1"/>
  <c r="W534" i="2"/>
  <c r="W578" i="2" s="1"/>
  <c r="W604" i="2" s="1"/>
  <c r="N496" i="2"/>
  <c r="N505" i="2" s="1"/>
  <c r="U534" i="2"/>
  <c r="U578" i="2" s="1"/>
  <c r="U604" i="2" s="1"/>
  <c r="AB534" i="2"/>
  <c r="AB578" i="2" s="1"/>
  <c r="AB604" i="2" s="1"/>
  <c r="AG124" i="2"/>
  <c r="AH124" i="2" s="1"/>
  <c r="F496" i="2"/>
  <c r="F505" i="2" s="1"/>
  <c r="O606" i="2"/>
  <c r="O543" i="2"/>
  <c r="Y534" i="2"/>
  <c r="Y578" i="2" s="1"/>
  <c r="Y604" i="2" s="1"/>
  <c r="L496" i="2"/>
  <c r="L505" i="2" s="1"/>
  <c r="N543" i="2"/>
  <c r="N606" i="2"/>
  <c r="AC534" i="2"/>
  <c r="AC578" i="2" s="1"/>
  <c r="AC604" i="2" s="1"/>
  <c r="I496" i="2"/>
  <c r="I505" i="2" s="1"/>
  <c r="K606" i="2"/>
  <c r="K543" i="2"/>
  <c r="AG200" i="2"/>
  <c r="AH200" i="2" s="1"/>
  <c r="H606" i="2"/>
  <c r="H543" i="2"/>
  <c r="AG86" i="2"/>
  <c r="AH86" i="2" s="1"/>
  <c r="F514" i="2"/>
  <c r="AG514" i="2" s="1"/>
  <c r="AH514" i="2" s="1"/>
  <c r="E324" i="2"/>
  <c r="E355" i="2" s="1"/>
  <c r="V534" i="2"/>
  <c r="V578" i="2" s="1"/>
  <c r="V604" i="2" s="1"/>
  <c r="AA484" i="2"/>
  <c r="AF484" i="2"/>
  <c r="W484" i="2"/>
  <c r="Y484" i="2"/>
  <c r="U484" i="2"/>
  <c r="AE484" i="2"/>
  <c r="T484" i="2"/>
  <c r="AC484" i="2"/>
  <c r="X484" i="2"/>
  <c r="V484" i="2"/>
  <c r="Z484" i="2"/>
  <c r="O484" i="2"/>
  <c r="S484" i="2"/>
  <c r="Q484" i="2"/>
  <c r="AD484" i="2"/>
  <c r="R484" i="2"/>
  <c r="AB484" i="2"/>
  <c r="N484" i="2"/>
  <c r="I484" i="2"/>
  <c r="H484" i="2"/>
  <c r="P484" i="2"/>
  <c r="M484" i="2"/>
  <c r="G484" i="2"/>
  <c r="J484" i="2"/>
  <c r="AG9" i="2"/>
  <c r="AH9" i="2" s="1"/>
  <c r="F483" i="2"/>
  <c r="AG483" i="2" s="1"/>
  <c r="AH483" i="2" s="1"/>
  <c r="AG482" i="2"/>
  <c r="AH482" i="2" s="1"/>
  <c r="AG238" i="2"/>
  <c r="AH238" i="2" s="1"/>
  <c r="AD534" i="2"/>
  <c r="AD578" i="2" s="1"/>
  <c r="AD604" i="2" s="1"/>
  <c r="Z534" i="2"/>
  <c r="Z578" i="2" s="1"/>
  <c r="Z604" i="2" s="1"/>
  <c r="P496" i="2"/>
  <c r="P505" i="2" s="1"/>
  <c r="AG276" i="2"/>
  <c r="AH276" i="2" s="1"/>
  <c r="P606" i="2"/>
  <c r="P543" i="2"/>
  <c r="AG48" i="2"/>
  <c r="AH48" i="2" s="1"/>
  <c r="AA534" i="2"/>
  <c r="AA578" i="2" s="1"/>
  <c r="AA604" i="2" s="1"/>
  <c r="O496" i="2"/>
  <c r="O505" i="2" s="1"/>
  <c r="J496" i="2"/>
  <c r="J505" i="2" s="1"/>
  <c r="Q496" i="2"/>
  <c r="X534" i="2"/>
  <c r="X578" i="2" s="1"/>
  <c r="X604" i="2" s="1"/>
  <c r="M496" i="2"/>
  <c r="M505" i="2" s="1"/>
  <c r="R496" i="2"/>
  <c r="G496" i="2"/>
  <c r="G505" i="2" s="1"/>
  <c r="E513" i="2"/>
  <c r="E87" i="2"/>
  <c r="AG162" i="2"/>
  <c r="AH162" i="2" s="1"/>
  <c r="J543" i="2"/>
  <c r="J606" i="2"/>
  <c r="Q606" i="2"/>
  <c r="Q543" i="2"/>
  <c r="R606" i="2"/>
  <c r="R543" i="2"/>
  <c r="G606" i="2"/>
  <c r="G543" i="2"/>
  <c r="AI124" i="2" l="1"/>
  <c r="M8" i="2"/>
  <c r="M10" i="2" s="1"/>
  <c r="M40" i="2" s="1"/>
  <c r="M199" i="2"/>
  <c r="M201" i="2" s="1"/>
  <c r="M231" i="2" s="1"/>
  <c r="M161" i="2"/>
  <c r="M163" i="2" s="1"/>
  <c r="M193" i="2" s="1"/>
  <c r="M275" i="2"/>
  <c r="M277" i="2" s="1"/>
  <c r="M307" i="2" s="1"/>
  <c r="M237" i="2"/>
  <c r="M239" i="2" s="1"/>
  <c r="M269" i="2" s="1"/>
  <c r="M321" i="2" s="1"/>
  <c r="M47" i="2"/>
  <c r="M49" i="2" s="1"/>
  <c r="M79" i="2" s="1"/>
  <c r="M85" i="2"/>
  <c r="M123" i="2"/>
  <c r="R8" i="2"/>
  <c r="R10" i="2" s="1"/>
  <c r="R40" i="2" s="1"/>
  <c r="R199" i="2"/>
  <c r="R201" i="2" s="1"/>
  <c r="R231" i="2" s="1"/>
  <c r="R275" i="2"/>
  <c r="R277" i="2" s="1"/>
  <c r="R307" i="2" s="1"/>
  <c r="R322" i="2" s="1"/>
  <c r="R47" i="2"/>
  <c r="R49" i="2" s="1"/>
  <c r="R79" i="2" s="1"/>
  <c r="R237" i="2"/>
  <c r="R239" i="2" s="1"/>
  <c r="R269" i="2" s="1"/>
  <c r="R321" i="2" s="1"/>
  <c r="R161" i="2"/>
  <c r="R163" i="2" s="1"/>
  <c r="R193" i="2" s="1"/>
  <c r="R85" i="2"/>
  <c r="R123" i="2"/>
  <c r="AC237" i="2"/>
  <c r="AC239" i="2" s="1"/>
  <c r="AC269" i="2" s="1"/>
  <c r="AC321" i="2" s="1"/>
  <c r="AC8" i="2"/>
  <c r="AC10" i="2" s="1"/>
  <c r="AC40" i="2" s="1"/>
  <c r="AC275" i="2"/>
  <c r="AC277" i="2" s="1"/>
  <c r="AC307" i="2" s="1"/>
  <c r="AC322" i="2" s="1"/>
  <c r="AC47" i="2"/>
  <c r="AC49" i="2" s="1"/>
  <c r="AC79" i="2" s="1"/>
  <c r="AC161" i="2"/>
  <c r="AC163" i="2" s="1"/>
  <c r="AC193" i="2" s="1"/>
  <c r="AC199" i="2"/>
  <c r="AC201" i="2" s="1"/>
  <c r="AC231" i="2" s="1"/>
  <c r="AC85" i="2"/>
  <c r="AC87" i="2" s="1"/>
  <c r="AC117" i="2" s="1"/>
  <c r="AC123" i="2"/>
  <c r="P47" i="2"/>
  <c r="P49" i="2" s="1"/>
  <c r="P79" i="2" s="1"/>
  <c r="P275" i="2"/>
  <c r="P277" i="2" s="1"/>
  <c r="P307" i="2" s="1"/>
  <c r="P322" i="2" s="1"/>
  <c r="P8" i="2"/>
  <c r="P10" i="2" s="1"/>
  <c r="P40" i="2" s="1"/>
  <c r="P237" i="2"/>
  <c r="P239" i="2" s="1"/>
  <c r="P269" i="2" s="1"/>
  <c r="P321" i="2" s="1"/>
  <c r="P199" i="2"/>
  <c r="P201" i="2" s="1"/>
  <c r="P231" i="2" s="1"/>
  <c r="P161" i="2"/>
  <c r="P163" i="2" s="1"/>
  <c r="P193" i="2" s="1"/>
  <c r="P85" i="2"/>
  <c r="P123" i="2"/>
  <c r="AD8" i="2"/>
  <c r="AD10" i="2" s="1"/>
  <c r="AD40" i="2" s="1"/>
  <c r="AD237" i="2"/>
  <c r="AD239" i="2" s="1"/>
  <c r="AD269" i="2" s="1"/>
  <c r="AD321" i="2" s="1"/>
  <c r="AD47" i="2"/>
  <c r="AD49" i="2" s="1"/>
  <c r="AD79" i="2" s="1"/>
  <c r="AD199" i="2"/>
  <c r="AD201" i="2" s="1"/>
  <c r="AD231" i="2" s="1"/>
  <c r="AD161" i="2"/>
  <c r="AD163" i="2" s="1"/>
  <c r="AD193" i="2" s="1"/>
  <c r="AD275" i="2"/>
  <c r="AD277" i="2" s="1"/>
  <c r="AD307" i="2" s="1"/>
  <c r="AD322" i="2" s="1"/>
  <c r="AD85" i="2"/>
  <c r="AD87" i="2" s="1"/>
  <c r="AD117" i="2" s="1"/>
  <c r="AD123" i="2"/>
  <c r="T47" i="2"/>
  <c r="T49" i="2" s="1"/>
  <c r="T79" i="2" s="1"/>
  <c r="T8" i="2"/>
  <c r="T10" i="2" s="1"/>
  <c r="T40" i="2" s="1"/>
  <c r="T237" i="2"/>
  <c r="T239" i="2" s="1"/>
  <c r="T269" i="2" s="1"/>
  <c r="T321" i="2" s="1"/>
  <c r="T275" i="2"/>
  <c r="T277" i="2" s="1"/>
  <c r="T307" i="2" s="1"/>
  <c r="T322" i="2" s="1"/>
  <c r="T199" i="2"/>
  <c r="T201" i="2" s="1"/>
  <c r="T231" i="2" s="1"/>
  <c r="T161" i="2"/>
  <c r="T163" i="2" s="1"/>
  <c r="T193" i="2" s="1"/>
  <c r="T85" i="2"/>
  <c r="T87" i="2" s="1"/>
  <c r="T117" i="2" s="1"/>
  <c r="T123" i="2"/>
  <c r="F484" i="2"/>
  <c r="Q47" i="2"/>
  <c r="Q49" i="2" s="1"/>
  <c r="Q79" i="2" s="1"/>
  <c r="Q8" i="2"/>
  <c r="Q10" i="2" s="1"/>
  <c r="Q40" i="2" s="1"/>
  <c r="Q161" i="2"/>
  <c r="Q163" i="2" s="1"/>
  <c r="Q193" i="2" s="1"/>
  <c r="Q275" i="2"/>
  <c r="Q277" i="2" s="1"/>
  <c r="Q307" i="2" s="1"/>
  <c r="Q322" i="2" s="1"/>
  <c r="Q237" i="2"/>
  <c r="Q239" i="2" s="1"/>
  <c r="Q269" i="2" s="1"/>
  <c r="Q321" i="2" s="1"/>
  <c r="Q199" i="2"/>
  <c r="Q201" i="2" s="1"/>
  <c r="Q231" i="2" s="1"/>
  <c r="Q85" i="2"/>
  <c r="Q123" i="2"/>
  <c r="AE8" i="2"/>
  <c r="AE10" i="2" s="1"/>
  <c r="AE40" i="2" s="1"/>
  <c r="AE199" i="2"/>
  <c r="AE201" i="2" s="1"/>
  <c r="AE231" i="2" s="1"/>
  <c r="AE275" i="2"/>
  <c r="AE277" i="2" s="1"/>
  <c r="AE307" i="2" s="1"/>
  <c r="AE322" i="2" s="1"/>
  <c r="AE47" i="2"/>
  <c r="AE49" i="2" s="1"/>
  <c r="AE79" i="2" s="1"/>
  <c r="AE237" i="2"/>
  <c r="AE239" i="2" s="1"/>
  <c r="AE269" i="2" s="1"/>
  <c r="AE321" i="2" s="1"/>
  <c r="AE161" i="2"/>
  <c r="AE163" i="2" s="1"/>
  <c r="AE193" i="2" s="1"/>
  <c r="AE85" i="2"/>
  <c r="AE87" i="2" s="1"/>
  <c r="AE117" i="2" s="1"/>
  <c r="AE123" i="2"/>
  <c r="E117" i="2"/>
  <c r="E518" i="2"/>
  <c r="E522" i="2"/>
  <c r="E527" i="2" s="1"/>
  <c r="E529" i="2" s="1"/>
  <c r="S8" i="2"/>
  <c r="S10" i="2" s="1"/>
  <c r="S40" i="2" s="1"/>
  <c r="S47" i="2"/>
  <c r="S49" i="2" s="1"/>
  <c r="S79" i="2" s="1"/>
  <c r="S237" i="2"/>
  <c r="S239" i="2" s="1"/>
  <c r="S269" i="2" s="1"/>
  <c r="S321" i="2" s="1"/>
  <c r="S161" i="2"/>
  <c r="S163" i="2" s="1"/>
  <c r="S193" i="2" s="1"/>
  <c r="S275" i="2"/>
  <c r="S277" i="2" s="1"/>
  <c r="S307" i="2" s="1"/>
  <c r="S322" i="2" s="1"/>
  <c r="S199" i="2"/>
  <c r="S201" i="2" s="1"/>
  <c r="S231" i="2" s="1"/>
  <c r="S85" i="2"/>
  <c r="S87" i="2" s="1"/>
  <c r="S117" i="2" s="1"/>
  <c r="S123" i="2"/>
  <c r="U8" i="2"/>
  <c r="U10" i="2" s="1"/>
  <c r="U40" i="2" s="1"/>
  <c r="U47" i="2"/>
  <c r="U49" i="2" s="1"/>
  <c r="U79" i="2" s="1"/>
  <c r="U199" i="2"/>
  <c r="U201" i="2" s="1"/>
  <c r="U231" i="2" s="1"/>
  <c r="U275" i="2"/>
  <c r="U277" i="2" s="1"/>
  <c r="U307" i="2" s="1"/>
  <c r="U322" i="2" s="1"/>
  <c r="U161" i="2"/>
  <c r="U163" i="2" s="1"/>
  <c r="U193" i="2" s="1"/>
  <c r="U237" i="2"/>
  <c r="U239" i="2" s="1"/>
  <c r="U269" i="2" s="1"/>
  <c r="U321" i="2" s="1"/>
  <c r="U123" i="2"/>
  <c r="U85" i="2"/>
  <c r="U87" i="2" s="1"/>
  <c r="U117" i="2" s="1"/>
  <c r="E326" i="2"/>
  <c r="H8" i="2"/>
  <c r="H10" i="2" s="1"/>
  <c r="H40" i="2" s="1"/>
  <c r="H47" i="2"/>
  <c r="H49" i="2" s="1"/>
  <c r="H79" i="2" s="1"/>
  <c r="H199" i="2"/>
  <c r="H201" i="2" s="1"/>
  <c r="H231" i="2" s="1"/>
  <c r="H275" i="2"/>
  <c r="H277" i="2" s="1"/>
  <c r="H307" i="2" s="1"/>
  <c r="H161" i="2"/>
  <c r="H163" i="2" s="1"/>
  <c r="H193" i="2" s="1"/>
  <c r="H237" i="2"/>
  <c r="H239" i="2" s="1"/>
  <c r="H269" i="2" s="1"/>
  <c r="H321" i="2" s="1"/>
  <c r="H85" i="2"/>
  <c r="H123" i="2"/>
  <c r="O8" i="2"/>
  <c r="O10" i="2" s="1"/>
  <c r="O40" i="2" s="1"/>
  <c r="O47" i="2"/>
  <c r="O49" i="2" s="1"/>
  <c r="O79" i="2" s="1"/>
  <c r="O275" i="2"/>
  <c r="O277" i="2" s="1"/>
  <c r="O307" i="2" s="1"/>
  <c r="O322" i="2" s="1"/>
  <c r="O161" i="2"/>
  <c r="O163" i="2" s="1"/>
  <c r="O193" i="2" s="1"/>
  <c r="O237" i="2"/>
  <c r="O239" i="2" s="1"/>
  <c r="O269" i="2" s="1"/>
  <c r="O321" i="2" s="1"/>
  <c r="O199" i="2"/>
  <c r="O201" i="2" s="1"/>
  <c r="O231" i="2" s="1"/>
  <c r="O85" i="2"/>
  <c r="O123" i="2"/>
  <c r="Y8" i="2"/>
  <c r="Y10" i="2" s="1"/>
  <c r="Y40" i="2" s="1"/>
  <c r="Y47" i="2"/>
  <c r="Y49" i="2" s="1"/>
  <c r="Y79" i="2" s="1"/>
  <c r="Y275" i="2"/>
  <c r="Y277" i="2" s="1"/>
  <c r="Y307" i="2" s="1"/>
  <c r="Y322" i="2" s="1"/>
  <c r="Y199" i="2"/>
  <c r="Y201" i="2" s="1"/>
  <c r="Y231" i="2" s="1"/>
  <c r="Y161" i="2"/>
  <c r="Y163" i="2" s="1"/>
  <c r="Y193" i="2" s="1"/>
  <c r="Y237" i="2"/>
  <c r="Y239" i="2" s="1"/>
  <c r="Y269" i="2" s="1"/>
  <c r="Y321" i="2" s="1"/>
  <c r="Y123" i="2"/>
  <c r="Y85" i="2"/>
  <c r="Y87" i="2" s="1"/>
  <c r="Y117" i="2" s="1"/>
  <c r="J161" i="2"/>
  <c r="J163" i="2" s="1"/>
  <c r="J193" i="2" s="1"/>
  <c r="J47" i="2"/>
  <c r="J49" i="2" s="1"/>
  <c r="J79" i="2" s="1"/>
  <c r="J199" i="2"/>
  <c r="J201" i="2" s="1"/>
  <c r="J231" i="2" s="1"/>
  <c r="J237" i="2"/>
  <c r="J239" i="2" s="1"/>
  <c r="J269" i="2" s="1"/>
  <c r="J321" i="2" s="1"/>
  <c r="J8" i="2"/>
  <c r="J10" i="2" s="1"/>
  <c r="J40" i="2" s="1"/>
  <c r="J275" i="2"/>
  <c r="J277" i="2" s="1"/>
  <c r="J307" i="2" s="1"/>
  <c r="J85" i="2"/>
  <c r="J123" i="2"/>
  <c r="I8" i="2"/>
  <c r="I10" i="2" s="1"/>
  <c r="I40" i="2" s="1"/>
  <c r="I47" i="2"/>
  <c r="I49" i="2" s="1"/>
  <c r="I79" i="2" s="1"/>
  <c r="I237" i="2"/>
  <c r="I239" i="2" s="1"/>
  <c r="I269" i="2" s="1"/>
  <c r="I321" i="2" s="1"/>
  <c r="I161" i="2"/>
  <c r="I163" i="2" s="1"/>
  <c r="I193" i="2" s="1"/>
  <c r="I199" i="2"/>
  <c r="I201" i="2" s="1"/>
  <c r="I231" i="2" s="1"/>
  <c r="I275" i="2"/>
  <c r="I277" i="2" s="1"/>
  <c r="I307" i="2" s="1"/>
  <c r="I85" i="2"/>
  <c r="I123" i="2"/>
  <c r="Z8" i="2"/>
  <c r="Z10" i="2" s="1"/>
  <c r="Z40" i="2" s="1"/>
  <c r="Z47" i="2"/>
  <c r="Z49" i="2" s="1"/>
  <c r="Z79" i="2" s="1"/>
  <c r="Z199" i="2"/>
  <c r="Z201" i="2" s="1"/>
  <c r="Z231" i="2" s="1"/>
  <c r="Z275" i="2"/>
  <c r="Z277" i="2" s="1"/>
  <c r="Z307" i="2" s="1"/>
  <c r="Z322" i="2" s="1"/>
  <c r="Z237" i="2"/>
  <c r="Z239" i="2" s="1"/>
  <c r="Z269" i="2" s="1"/>
  <c r="Z321" i="2" s="1"/>
  <c r="Z85" i="2"/>
  <c r="Z87" i="2" s="1"/>
  <c r="Z117" i="2" s="1"/>
  <c r="Z161" i="2"/>
  <c r="Z163" i="2" s="1"/>
  <c r="Z193" i="2" s="1"/>
  <c r="Z123" i="2"/>
  <c r="W47" i="2"/>
  <c r="W49" i="2" s="1"/>
  <c r="W79" i="2" s="1"/>
  <c r="W8" i="2"/>
  <c r="W10" i="2" s="1"/>
  <c r="W40" i="2" s="1"/>
  <c r="W199" i="2"/>
  <c r="W201" i="2" s="1"/>
  <c r="W231" i="2" s="1"/>
  <c r="W237" i="2"/>
  <c r="W239" i="2" s="1"/>
  <c r="W269" i="2" s="1"/>
  <c r="W321" i="2" s="1"/>
  <c r="W275" i="2"/>
  <c r="W277" i="2" s="1"/>
  <c r="W307" i="2" s="1"/>
  <c r="W322" i="2" s="1"/>
  <c r="W161" i="2"/>
  <c r="W163" i="2" s="1"/>
  <c r="W193" i="2" s="1"/>
  <c r="W85" i="2"/>
  <c r="W87" i="2" s="1"/>
  <c r="W117" i="2" s="1"/>
  <c r="W123" i="2"/>
  <c r="K237" i="2"/>
  <c r="K239" i="2" s="1"/>
  <c r="K269" i="2" s="1"/>
  <c r="K321" i="2" s="1"/>
  <c r="K47" i="2"/>
  <c r="K49" i="2" s="1"/>
  <c r="K79" i="2" s="1"/>
  <c r="K8" i="2"/>
  <c r="K10" i="2" s="1"/>
  <c r="K40" i="2" s="1"/>
  <c r="K85" i="2"/>
  <c r="K275" i="2"/>
  <c r="K277" i="2" s="1"/>
  <c r="K307" i="2" s="1"/>
  <c r="K161" i="2"/>
  <c r="K163" i="2" s="1"/>
  <c r="K193" i="2" s="1"/>
  <c r="K199" i="2"/>
  <c r="K201" i="2" s="1"/>
  <c r="K231" i="2" s="1"/>
  <c r="N8" i="2"/>
  <c r="N10" i="2" s="1"/>
  <c r="N40" i="2" s="1"/>
  <c r="N47" i="2"/>
  <c r="N49" i="2" s="1"/>
  <c r="N79" i="2" s="1"/>
  <c r="N199" i="2"/>
  <c r="N201" i="2" s="1"/>
  <c r="N231" i="2" s="1"/>
  <c r="N275" i="2"/>
  <c r="N277" i="2" s="1"/>
  <c r="N307" i="2" s="1"/>
  <c r="N322" i="2" s="1"/>
  <c r="N237" i="2"/>
  <c r="N239" i="2" s="1"/>
  <c r="N269" i="2" s="1"/>
  <c r="N321" i="2" s="1"/>
  <c r="N161" i="2"/>
  <c r="N163" i="2" s="1"/>
  <c r="N193" i="2" s="1"/>
  <c r="N85" i="2"/>
  <c r="N123" i="2"/>
  <c r="V8" i="2"/>
  <c r="V10" i="2" s="1"/>
  <c r="V40" i="2" s="1"/>
  <c r="V47" i="2"/>
  <c r="V49" i="2" s="1"/>
  <c r="V79" i="2" s="1"/>
  <c r="V237" i="2"/>
  <c r="V239" i="2" s="1"/>
  <c r="V269" i="2" s="1"/>
  <c r="V321" i="2" s="1"/>
  <c r="V275" i="2"/>
  <c r="V277" i="2" s="1"/>
  <c r="V307" i="2" s="1"/>
  <c r="V322" i="2" s="1"/>
  <c r="V199" i="2"/>
  <c r="V201" i="2" s="1"/>
  <c r="V231" i="2" s="1"/>
  <c r="V161" i="2"/>
  <c r="V163" i="2" s="1"/>
  <c r="V193" i="2" s="1"/>
  <c r="V85" i="2"/>
  <c r="V87" i="2" s="1"/>
  <c r="V117" i="2" s="1"/>
  <c r="V123" i="2"/>
  <c r="AF8" i="2"/>
  <c r="AF10" i="2" s="1"/>
  <c r="AF40" i="2" s="1"/>
  <c r="AF47" i="2"/>
  <c r="AF49" i="2" s="1"/>
  <c r="AF79" i="2" s="1"/>
  <c r="AF275" i="2"/>
  <c r="AF277" i="2" s="1"/>
  <c r="AF307" i="2" s="1"/>
  <c r="AF322" i="2" s="1"/>
  <c r="AF199" i="2"/>
  <c r="AF201" i="2" s="1"/>
  <c r="AF231" i="2" s="1"/>
  <c r="AF237" i="2"/>
  <c r="AF239" i="2" s="1"/>
  <c r="AF269" i="2" s="1"/>
  <c r="AF321" i="2" s="1"/>
  <c r="AF161" i="2"/>
  <c r="AF163" i="2" s="1"/>
  <c r="AF193" i="2" s="1"/>
  <c r="AF85" i="2"/>
  <c r="AF87" i="2" s="1"/>
  <c r="AF117" i="2" s="1"/>
  <c r="AF123" i="2"/>
  <c r="G8" i="2"/>
  <c r="G10" i="2" s="1"/>
  <c r="G40" i="2" s="1"/>
  <c r="G47" i="2"/>
  <c r="G49" i="2" s="1"/>
  <c r="G79" i="2" s="1"/>
  <c r="G237" i="2"/>
  <c r="G239" i="2" s="1"/>
  <c r="G269" i="2" s="1"/>
  <c r="G321" i="2" s="1"/>
  <c r="G199" i="2"/>
  <c r="G201" i="2" s="1"/>
  <c r="G231" i="2" s="1"/>
  <c r="G275" i="2"/>
  <c r="G277" i="2" s="1"/>
  <c r="G307" i="2" s="1"/>
  <c r="G161" i="2"/>
  <c r="G163" i="2" s="1"/>
  <c r="G193" i="2" s="1"/>
  <c r="G85" i="2"/>
  <c r="G123" i="2"/>
  <c r="AB8" i="2"/>
  <c r="AB10" i="2" s="1"/>
  <c r="AB40" i="2" s="1"/>
  <c r="AB47" i="2"/>
  <c r="AB49" i="2" s="1"/>
  <c r="AB79" i="2" s="1"/>
  <c r="AB199" i="2"/>
  <c r="AB201" i="2" s="1"/>
  <c r="AB231" i="2" s="1"/>
  <c r="AB237" i="2"/>
  <c r="AB239" i="2" s="1"/>
  <c r="AB269" i="2" s="1"/>
  <c r="AB321" i="2" s="1"/>
  <c r="AB161" i="2"/>
  <c r="AB163" i="2" s="1"/>
  <c r="AB193" i="2" s="1"/>
  <c r="AB275" i="2"/>
  <c r="AB277" i="2" s="1"/>
  <c r="AB307" i="2" s="1"/>
  <c r="AB322" i="2" s="1"/>
  <c r="AB85" i="2"/>
  <c r="AB87" i="2" s="1"/>
  <c r="AB117" i="2" s="1"/>
  <c r="AB123" i="2"/>
  <c r="X47" i="2"/>
  <c r="X49" i="2" s="1"/>
  <c r="X79" i="2" s="1"/>
  <c r="X8" i="2"/>
  <c r="X10" i="2" s="1"/>
  <c r="X40" i="2" s="1"/>
  <c r="X237" i="2"/>
  <c r="X239" i="2" s="1"/>
  <c r="X269" i="2" s="1"/>
  <c r="X321" i="2" s="1"/>
  <c r="X199" i="2"/>
  <c r="X201" i="2" s="1"/>
  <c r="X231" i="2" s="1"/>
  <c r="X275" i="2"/>
  <c r="X277" i="2" s="1"/>
  <c r="X307" i="2" s="1"/>
  <c r="X322" i="2" s="1"/>
  <c r="X161" i="2"/>
  <c r="X163" i="2" s="1"/>
  <c r="X193" i="2" s="1"/>
  <c r="X85" i="2"/>
  <c r="X87" i="2" s="1"/>
  <c r="X117" i="2" s="1"/>
  <c r="X123" i="2"/>
  <c r="AA47" i="2"/>
  <c r="AA49" i="2" s="1"/>
  <c r="AA79" i="2" s="1"/>
  <c r="AA8" i="2"/>
  <c r="AA10" i="2" s="1"/>
  <c r="AA40" i="2" s="1"/>
  <c r="AA275" i="2"/>
  <c r="AA277" i="2" s="1"/>
  <c r="AA307" i="2" s="1"/>
  <c r="AA322" i="2" s="1"/>
  <c r="AA237" i="2"/>
  <c r="AA239" i="2" s="1"/>
  <c r="AA269" i="2" s="1"/>
  <c r="AA321" i="2" s="1"/>
  <c r="AA199" i="2"/>
  <c r="AA201" i="2" s="1"/>
  <c r="AA231" i="2" s="1"/>
  <c r="AA161" i="2"/>
  <c r="AA163" i="2" s="1"/>
  <c r="AA193" i="2" s="1"/>
  <c r="AA85" i="2"/>
  <c r="AA87" i="2" s="1"/>
  <c r="AA117" i="2" s="1"/>
  <c r="AA123" i="2"/>
  <c r="F543" i="2"/>
  <c r="F606" i="2"/>
  <c r="AG496" i="2"/>
  <c r="AH496" i="2" s="1"/>
  <c r="E118" i="2" l="1"/>
  <c r="T360" i="2"/>
  <c r="AD360" i="2"/>
  <c r="AC360" i="2"/>
  <c r="U360" i="2"/>
  <c r="S360" i="2"/>
  <c r="AE360" i="2"/>
  <c r="W372" i="2"/>
  <c r="W360" i="2"/>
  <c r="AA372" i="2"/>
  <c r="AA360" i="2"/>
  <c r="X372" i="2"/>
  <c r="X360" i="2"/>
  <c r="AB372" i="2"/>
  <c r="AB360" i="2"/>
  <c r="AF372" i="2"/>
  <c r="AF360" i="2"/>
  <c r="V372" i="2"/>
  <c r="V360" i="2"/>
  <c r="Z372" i="2"/>
  <c r="Z360" i="2"/>
  <c r="Y372" i="2"/>
  <c r="Y360" i="2"/>
  <c r="K495" i="2"/>
  <c r="K504" i="2" s="1"/>
  <c r="U372" i="2"/>
  <c r="S372" i="2"/>
  <c r="AE372" i="2"/>
  <c r="T372" i="2"/>
  <c r="AD372" i="2"/>
  <c r="AC372" i="2"/>
  <c r="T369" i="2"/>
  <c r="AA369" i="2"/>
  <c r="X369" i="2"/>
  <c r="AF369" i="2"/>
  <c r="V369" i="2"/>
  <c r="Y369" i="2"/>
  <c r="U369" i="2"/>
  <c r="S369" i="2"/>
  <c r="AD369" i="2"/>
  <c r="AE369" i="2"/>
  <c r="Z369" i="2"/>
  <c r="AC369" i="2"/>
  <c r="W369" i="2"/>
  <c r="AB369" i="2"/>
  <c r="T328" i="2"/>
  <c r="T381" i="2" s="1"/>
  <c r="AD328" i="2"/>
  <c r="AD381" i="2" s="1"/>
  <c r="AC328" i="2"/>
  <c r="AC381" i="2" s="1"/>
  <c r="AF328" i="2"/>
  <c r="AF381" i="2" s="1"/>
  <c r="V328" i="2"/>
  <c r="V381" i="2" s="1"/>
  <c r="Y328" i="2"/>
  <c r="Y381" i="2" s="1"/>
  <c r="W328" i="2"/>
  <c r="W381" i="2" s="1"/>
  <c r="AA328" i="2"/>
  <c r="AA381" i="2" s="1"/>
  <c r="X328" i="2"/>
  <c r="X381" i="2" s="1"/>
  <c r="AB328" i="2"/>
  <c r="AB381" i="2" s="1"/>
  <c r="Z328" i="2"/>
  <c r="Z381" i="2" s="1"/>
  <c r="U328" i="2"/>
  <c r="U381" i="2" s="1"/>
  <c r="AE328" i="2"/>
  <c r="AE381" i="2" s="1"/>
  <c r="S328" i="2"/>
  <c r="S381" i="2" s="1"/>
  <c r="AA370" i="2"/>
  <c r="X370" i="2"/>
  <c r="G194" i="2"/>
  <c r="AF320" i="2"/>
  <c r="AF367" i="2"/>
  <c r="K513" i="2"/>
  <c r="K87" i="2"/>
  <c r="K117" i="2" s="1"/>
  <c r="K369" i="2" s="1"/>
  <c r="W370" i="2"/>
  <c r="I308" i="2"/>
  <c r="I322" i="2"/>
  <c r="J308" i="2"/>
  <c r="J322" i="2"/>
  <c r="O320" i="2"/>
  <c r="O367" i="2"/>
  <c r="Q366" i="2"/>
  <c r="Q505" i="2" s="1"/>
  <c r="T366" i="2"/>
  <c r="T505" i="2" s="1"/>
  <c r="T370" i="2"/>
  <c r="AC125" i="2"/>
  <c r="AC155" i="2" s="1"/>
  <c r="AC319" i="2" s="1"/>
  <c r="AC495" i="2"/>
  <c r="AC504" i="2" s="1"/>
  <c r="R125" i="2"/>
  <c r="R155" i="2" s="1"/>
  <c r="R319" i="2" s="1"/>
  <c r="R495" i="2"/>
  <c r="R504" i="2" s="1"/>
  <c r="M495" i="2"/>
  <c r="M504" i="2" s="1"/>
  <c r="M125" i="2"/>
  <c r="AA367" i="2"/>
  <c r="AA320" i="2"/>
  <c r="AB370" i="2"/>
  <c r="G308" i="2"/>
  <c r="G322" i="2"/>
  <c r="N320" i="2"/>
  <c r="N367" i="2"/>
  <c r="I232" i="2"/>
  <c r="I367" i="2"/>
  <c r="I320" i="2"/>
  <c r="Y370" i="2"/>
  <c r="H194" i="2"/>
  <c r="S125" i="2"/>
  <c r="S155" i="2" s="1"/>
  <c r="S319" i="2" s="1"/>
  <c r="S495" i="2"/>
  <c r="S504" i="2" s="1"/>
  <c r="AE320" i="2"/>
  <c r="AE367" i="2"/>
  <c r="T320" i="2"/>
  <c r="T367" i="2"/>
  <c r="AD370" i="2"/>
  <c r="P367" i="2"/>
  <c r="P320" i="2"/>
  <c r="R513" i="2"/>
  <c r="R87" i="2"/>
  <c r="R117" i="2" s="1"/>
  <c r="R369" i="2" s="1"/>
  <c r="M513" i="2"/>
  <c r="M87" i="2"/>
  <c r="M117" i="2" s="1"/>
  <c r="M369" i="2" s="1"/>
  <c r="X367" i="2"/>
  <c r="X320" i="2"/>
  <c r="G320" i="2"/>
  <c r="G367" i="2"/>
  <c r="G232" i="2"/>
  <c r="I194" i="2"/>
  <c r="Y367" i="2"/>
  <c r="Y320" i="2"/>
  <c r="H322" i="2"/>
  <c r="H308" i="2"/>
  <c r="U495" i="2"/>
  <c r="U504" i="2" s="1"/>
  <c r="U125" i="2"/>
  <c r="U155" i="2" s="1"/>
  <c r="U319" i="2" s="1"/>
  <c r="AD367" i="2"/>
  <c r="AD320" i="2"/>
  <c r="AC367" i="2"/>
  <c r="AC320" i="2"/>
  <c r="R366" i="2"/>
  <c r="R505" i="2" s="1"/>
  <c r="AB320" i="2"/>
  <c r="AB367" i="2"/>
  <c r="W367" i="2"/>
  <c r="W320" i="2"/>
  <c r="Z320" i="2"/>
  <c r="Z367" i="2"/>
  <c r="J232" i="2"/>
  <c r="J367" i="2"/>
  <c r="J320" i="2"/>
  <c r="H232" i="2"/>
  <c r="H367" i="2"/>
  <c r="H320" i="2"/>
  <c r="S367" i="2"/>
  <c r="S320" i="2"/>
  <c r="AE125" i="2"/>
  <c r="AE155" i="2" s="1"/>
  <c r="AE319" i="2" s="1"/>
  <c r="AE495" i="2"/>
  <c r="AE504" i="2" s="1"/>
  <c r="Q125" i="2"/>
  <c r="Q155" i="2" s="1"/>
  <c r="Q319" i="2" s="1"/>
  <c r="Q495" i="2"/>
  <c r="Q504" i="2" s="1"/>
  <c r="F161" i="2"/>
  <c r="F275" i="2"/>
  <c r="F85" i="2"/>
  <c r="F199" i="2"/>
  <c r="F47" i="2"/>
  <c r="F237" i="2"/>
  <c r="F8" i="2"/>
  <c r="F123" i="2"/>
  <c r="AC370" i="2"/>
  <c r="AF125" i="2"/>
  <c r="AF155" i="2" s="1"/>
  <c r="AF319" i="2" s="1"/>
  <c r="AF495" i="2"/>
  <c r="AF504" i="2" s="1"/>
  <c r="V495" i="2"/>
  <c r="V504" i="2" s="1"/>
  <c r="V125" i="2"/>
  <c r="V155" i="2" s="1"/>
  <c r="V319" i="2" s="1"/>
  <c r="N125" i="2"/>
  <c r="N155" i="2" s="1"/>
  <c r="N319" i="2" s="1"/>
  <c r="N495" i="2"/>
  <c r="N504" i="2" s="1"/>
  <c r="K232" i="2"/>
  <c r="K320" i="2"/>
  <c r="K367" i="2"/>
  <c r="U366" i="2"/>
  <c r="U505" i="2" s="1"/>
  <c r="U370" i="2"/>
  <c r="Q513" i="2"/>
  <c r="Q87" i="2"/>
  <c r="Q117" i="2" s="1"/>
  <c r="Q369" i="2" s="1"/>
  <c r="M322" i="2"/>
  <c r="M308" i="2"/>
  <c r="N87" i="2"/>
  <c r="N117" i="2" s="1"/>
  <c r="N369" i="2" s="1"/>
  <c r="N513" i="2"/>
  <c r="K194" i="2"/>
  <c r="J194" i="2"/>
  <c r="S370" i="2"/>
  <c r="S366" i="2"/>
  <c r="S505" i="2" s="1"/>
  <c r="AE370" i="2"/>
  <c r="Q320" i="2"/>
  <c r="Q367" i="2"/>
  <c r="M194" i="2"/>
  <c r="AA495" i="2"/>
  <c r="AA504" i="2" s="1"/>
  <c r="AA125" i="2"/>
  <c r="AA155" i="2" s="1"/>
  <c r="AA319" i="2" s="1"/>
  <c r="X495" i="2"/>
  <c r="X504" i="2" s="1"/>
  <c r="X125" i="2"/>
  <c r="X155" i="2" s="1"/>
  <c r="X319" i="2" s="1"/>
  <c r="AB125" i="2"/>
  <c r="AB155" i="2" s="1"/>
  <c r="AB319" i="2" s="1"/>
  <c r="AB495" i="2"/>
  <c r="AB504" i="2" s="1"/>
  <c r="G495" i="2"/>
  <c r="G504" i="2" s="1"/>
  <c r="G125" i="2"/>
  <c r="G155" i="2" s="1"/>
  <c r="AF370" i="2"/>
  <c r="V370" i="2"/>
  <c r="K125" i="2"/>
  <c r="K155" i="2" s="1"/>
  <c r="W125" i="2"/>
  <c r="W155" i="2" s="1"/>
  <c r="W319" i="2" s="1"/>
  <c r="W495" i="2"/>
  <c r="W504" i="2" s="1"/>
  <c r="Z125" i="2"/>
  <c r="Z155" i="2" s="1"/>
  <c r="Z319" i="2" s="1"/>
  <c r="Z495" i="2"/>
  <c r="Z504" i="2" s="1"/>
  <c r="I495" i="2"/>
  <c r="I504" i="2" s="1"/>
  <c r="I125" i="2"/>
  <c r="I155" i="2" s="1"/>
  <c r="J495" i="2"/>
  <c r="J504" i="2" s="1"/>
  <c r="J125" i="2"/>
  <c r="J155" i="2" s="1"/>
  <c r="O125" i="2"/>
  <c r="O155" i="2" s="1"/>
  <c r="O319" i="2" s="1"/>
  <c r="O495" i="2"/>
  <c r="O504" i="2" s="1"/>
  <c r="H495" i="2"/>
  <c r="H504" i="2" s="1"/>
  <c r="H125" i="2"/>
  <c r="H155" i="2" s="1"/>
  <c r="E377" i="2"/>
  <c r="U320" i="2"/>
  <c r="U367" i="2"/>
  <c r="W362" i="2"/>
  <c r="V363" i="2"/>
  <c r="Y374" i="2"/>
  <c r="V383" i="2"/>
  <c r="T364" i="2"/>
  <c r="U365" i="2"/>
  <c r="AA364" i="2"/>
  <c r="AC362" i="2"/>
  <c r="V371" i="2"/>
  <c r="V364" i="2"/>
  <c r="AB363" i="2"/>
  <c r="X362" i="2"/>
  <c r="AD363" i="2"/>
  <c r="T373" i="2"/>
  <c r="AC373" i="2"/>
  <c r="U364" i="2"/>
  <c r="AE383" i="2"/>
  <c r="AF383" i="2"/>
  <c r="AE362" i="2"/>
  <c r="X374" i="2"/>
  <c r="W371" i="2"/>
  <c r="AC383" i="2"/>
  <c r="S374" i="2"/>
  <c r="X365" i="2"/>
  <c r="U373" i="2"/>
  <c r="AF362" i="2"/>
  <c r="S383" i="2"/>
  <c r="AE364" i="2"/>
  <c r="Z364" i="2"/>
  <c r="T365" i="2"/>
  <c r="AA362" i="2"/>
  <c r="AB374" i="2"/>
  <c r="V362" i="2"/>
  <c r="Y383" i="2"/>
  <c r="X364" i="2"/>
  <c r="AA363" i="2"/>
  <c r="X371" i="2"/>
  <c r="AC371" i="2"/>
  <c r="U374" i="2"/>
  <c r="AD362" i="2"/>
  <c r="T374" i="2"/>
  <c r="Y371" i="2"/>
  <c r="X368" i="2"/>
  <c r="Y368" i="2"/>
  <c r="W361" i="2"/>
  <c r="U363" i="2"/>
  <c r="AB362" i="2"/>
  <c r="AA365" i="2"/>
  <c r="AE371" i="2"/>
  <c r="AD365" i="2"/>
  <c r="U371" i="2"/>
  <c r="Z371" i="2"/>
  <c r="AD374" i="2"/>
  <c r="Z373" i="2"/>
  <c r="V361" i="2"/>
  <c r="Y361" i="2"/>
  <c r="AF361" i="2"/>
  <c r="AD373" i="2"/>
  <c r="Y373" i="2"/>
  <c r="S363" i="2"/>
  <c r="Z363" i="2"/>
  <c r="Y362" i="2"/>
  <c r="U383" i="2"/>
  <c r="AC365" i="2"/>
  <c r="AC374" i="2"/>
  <c r="S371" i="2"/>
  <c r="W383" i="2"/>
  <c r="T383" i="2"/>
  <c r="W368" i="2"/>
  <c r="U361" i="2"/>
  <c r="AE361" i="2"/>
  <c r="AD371" i="2"/>
  <c r="X363" i="2"/>
  <c r="AE365" i="2"/>
  <c r="AB364" i="2"/>
  <c r="S373" i="2"/>
  <c r="AF364" i="2"/>
  <c r="AB383" i="2"/>
  <c r="S364" i="2"/>
  <c r="AB365" i="2"/>
  <c r="AC368" i="2"/>
  <c r="X383" i="2"/>
  <c r="AF373" i="2"/>
  <c r="AC363" i="2"/>
  <c r="W363" i="2"/>
  <c r="AB371" i="2"/>
  <c r="AA383" i="2"/>
  <c r="Z365" i="2"/>
  <c r="V374" i="2"/>
  <c r="AD364" i="2"/>
  <c r="Y363" i="2"/>
  <c r="T371" i="2"/>
  <c r="AA374" i="2"/>
  <c r="AD383" i="2"/>
  <c r="AF363" i="2"/>
  <c r="Z374" i="2"/>
  <c r="S365" i="2"/>
  <c r="W373" i="2"/>
  <c r="AE373" i="2"/>
  <c r="Y364" i="2"/>
  <c r="S362" i="2"/>
  <c r="Y365" i="2"/>
  <c r="X373" i="2"/>
  <c r="S368" i="2"/>
  <c r="AD368" i="2"/>
  <c r="AD361" i="2"/>
  <c r="AE363" i="2"/>
  <c r="T362" i="2"/>
  <c r="W364" i="2"/>
  <c r="AF371" i="2"/>
  <c r="AE374" i="2"/>
  <c r="AA373" i="2"/>
  <c r="U362" i="2"/>
  <c r="AF365" i="2"/>
  <c r="T368" i="2"/>
  <c r="V368" i="2"/>
  <c r="U368" i="2"/>
  <c r="T361" i="2"/>
  <c r="W374" i="2"/>
  <c r="T363" i="2"/>
  <c r="W365" i="2"/>
  <c r="AB373" i="2"/>
  <c r="V365" i="2"/>
  <c r="AC364" i="2"/>
  <c r="AF374" i="2"/>
  <c r="Z383" i="2"/>
  <c r="Z362" i="2"/>
  <c r="AA371" i="2"/>
  <c r="V373" i="2"/>
  <c r="AB368" i="2"/>
  <c r="AF368" i="2"/>
  <c r="Z368" i="2"/>
  <c r="AC361" i="2"/>
  <c r="AE368" i="2"/>
  <c r="AB361" i="2"/>
  <c r="X361" i="2"/>
  <c r="AA361" i="2"/>
  <c r="Z361" i="2"/>
  <c r="AA368" i="2"/>
  <c r="S361" i="2"/>
  <c r="E328" i="2"/>
  <c r="T495" i="2"/>
  <c r="T504" i="2" s="1"/>
  <c r="T125" i="2"/>
  <c r="T155" i="2" s="1"/>
  <c r="T319" i="2" s="1"/>
  <c r="AD125" i="2"/>
  <c r="AD155" i="2" s="1"/>
  <c r="AD319" i="2" s="1"/>
  <c r="AD495" i="2"/>
  <c r="AD504" i="2" s="1"/>
  <c r="P495" i="2"/>
  <c r="P504" i="2" s="1"/>
  <c r="P125" i="2"/>
  <c r="P155" i="2" s="1"/>
  <c r="P319" i="2" s="1"/>
  <c r="R320" i="2"/>
  <c r="R367" i="2"/>
  <c r="M320" i="2"/>
  <c r="M367" i="2"/>
  <c r="M232" i="2"/>
  <c r="G513" i="2"/>
  <c r="G87" i="2"/>
  <c r="G117" i="2" s="1"/>
  <c r="G369" i="2" s="1"/>
  <c r="V367" i="2"/>
  <c r="V320" i="2"/>
  <c r="K308" i="2"/>
  <c r="K322" i="2"/>
  <c r="Z370" i="2"/>
  <c r="I513" i="2"/>
  <c r="I87" i="2"/>
  <c r="I117" i="2" s="1"/>
  <c r="I369" i="2" s="1"/>
  <c r="J513" i="2"/>
  <c r="J87" i="2"/>
  <c r="J117" i="2" s="1"/>
  <c r="J369" i="2" s="1"/>
  <c r="Y495" i="2"/>
  <c r="Y504" i="2" s="1"/>
  <c r="Y125" i="2"/>
  <c r="Y155" i="2" s="1"/>
  <c r="Y319" i="2" s="1"/>
  <c r="O513" i="2"/>
  <c r="O87" i="2"/>
  <c r="O117" i="2" s="1"/>
  <c r="O369" i="2" s="1"/>
  <c r="H513" i="2"/>
  <c r="H87" i="2"/>
  <c r="H117" i="2" s="1"/>
  <c r="H369" i="2" s="1"/>
  <c r="P513" i="2"/>
  <c r="P87" i="2"/>
  <c r="P117" i="2" s="1"/>
  <c r="P369" i="2" s="1"/>
  <c r="Z507" i="2" l="1"/>
  <c r="Y508" i="2"/>
  <c r="AB508" i="2"/>
  <c r="AE508" i="2"/>
  <c r="AC507" i="2"/>
  <c r="S508" i="2"/>
  <c r="AF507" i="2"/>
  <c r="Z508" i="2"/>
  <c r="X508" i="2"/>
  <c r="U508" i="2"/>
  <c r="AE507" i="2"/>
  <c r="AD507" i="2"/>
  <c r="Y507" i="2"/>
  <c r="AB507" i="2"/>
  <c r="X507" i="2"/>
  <c r="AC508" i="2"/>
  <c r="T507" i="2"/>
  <c r="AA507" i="2"/>
  <c r="V508" i="2"/>
  <c r="AA508" i="2"/>
  <c r="AD508" i="2"/>
  <c r="S507" i="2"/>
  <c r="W507" i="2"/>
  <c r="T508" i="2"/>
  <c r="V507" i="2"/>
  <c r="U507" i="2"/>
  <c r="AF508" i="2"/>
  <c r="W508" i="2"/>
  <c r="P360" i="2"/>
  <c r="R360" i="2"/>
  <c r="G360" i="2"/>
  <c r="O360" i="2"/>
  <c r="H360" i="2"/>
  <c r="I360" i="2"/>
  <c r="N360" i="2"/>
  <c r="Q360" i="2"/>
  <c r="J360" i="2"/>
  <c r="M360" i="2"/>
  <c r="K360" i="2"/>
  <c r="I542" i="2"/>
  <c r="I604" i="2"/>
  <c r="AD324" i="2"/>
  <c r="AD326" i="2" s="1"/>
  <c r="AD330" i="2" s="1"/>
  <c r="H370" i="2"/>
  <c r="H372" i="2"/>
  <c r="I370" i="2"/>
  <c r="I372" i="2"/>
  <c r="Q370" i="2"/>
  <c r="Q372" i="2"/>
  <c r="M370" i="2"/>
  <c r="M372" i="2"/>
  <c r="O370" i="2"/>
  <c r="O372" i="2"/>
  <c r="K365" i="2"/>
  <c r="K372" i="2"/>
  <c r="R370" i="2"/>
  <c r="R372" i="2"/>
  <c r="N370" i="2"/>
  <c r="N372" i="2"/>
  <c r="P370" i="2"/>
  <c r="P372" i="2"/>
  <c r="J370" i="2"/>
  <c r="J372" i="2"/>
  <c r="G370" i="2"/>
  <c r="G372" i="2"/>
  <c r="S385" i="2"/>
  <c r="T385" i="2"/>
  <c r="AF324" i="2"/>
  <c r="AF326" i="2" s="1"/>
  <c r="AF330" i="2" s="1"/>
  <c r="K371" i="2"/>
  <c r="N368" i="2"/>
  <c r="U385" i="2"/>
  <c r="K383" i="2"/>
  <c r="K370" i="2"/>
  <c r="K373" i="2"/>
  <c r="AG366" i="2"/>
  <c r="AH366" i="2" s="1"/>
  <c r="M368" i="2"/>
  <c r="P324" i="2"/>
  <c r="P355" i="2" s="1"/>
  <c r="M361" i="2"/>
  <c r="M374" i="2"/>
  <c r="I383" i="2"/>
  <c r="G373" i="2"/>
  <c r="M362" i="2"/>
  <c r="M373" i="2"/>
  <c r="Q328" i="2"/>
  <c r="Q381" i="2" s="1"/>
  <c r="O328" i="2"/>
  <c r="O381" i="2" s="1"/>
  <c r="R328" i="2"/>
  <c r="R381" i="2" s="1"/>
  <c r="H373" i="2"/>
  <c r="M364" i="2"/>
  <c r="S534" i="2"/>
  <c r="S523" i="2"/>
  <c r="K362" i="2"/>
  <c r="P328" i="2"/>
  <c r="P381" i="2" s="1"/>
  <c r="J374" i="2"/>
  <c r="N328" i="2"/>
  <c r="N381" i="2" s="1"/>
  <c r="M155" i="2"/>
  <c r="M156" i="2" s="1"/>
  <c r="R383" i="2"/>
  <c r="R374" i="2"/>
  <c r="R365" i="2"/>
  <c r="T324" i="2"/>
  <c r="T355" i="2" s="1"/>
  <c r="T377" i="2" s="1"/>
  <c r="T379" i="2" s="1"/>
  <c r="T387" i="2" s="1"/>
  <c r="Z324" i="2"/>
  <c r="Z326" i="2" s="1"/>
  <c r="Z330" i="2" s="1"/>
  <c r="O324" i="2"/>
  <c r="O355" i="2" s="1"/>
  <c r="AB324" i="2"/>
  <c r="AB326" i="2" s="1"/>
  <c r="AB330" i="2" s="1"/>
  <c r="N361" i="2"/>
  <c r="M383" i="2"/>
  <c r="M371" i="2"/>
  <c r="M365" i="2"/>
  <c r="M363" i="2"/>
  <c r="N324" i="2"/>
  <c r="N326" i="2" s="1"/>
  <c r="K368" i="2"/>
  <c r="K361" i="2"/>
  <c r="K374" i="2"/>
  <c r="K363" i="2"/>
  <c r="K364" i="2"/>
  <c r="AA324" i="2"/>
  <c r="AA326" i="2" s="1"/>
  <c r="AA330" i="2" s="1"/>
  <c r="Y324" i="2"/>
  <c r="Y326" i="2" s="1"/>
  <c r="Y330" i="2" s="1"/>
  <c r="N362" i="2"/>
  <c r="N383" i="2"/>
  <c r="N364" i="2"/>
  <c r="N371" i="2"/>
  <c r="N374" i="2"/>
  <c r="W324" i="2"/>
  <c r="W326" i="2" s="1"/>
  <c r="W330" i="2" s="1"/>
  <c r="N363" i="2"/>
  <c r="N373" i="2"/>
  <c r="N365" i="2"/>
  <c r="R364" i="2"/>
  <c r="R371" i="2"/>
  <c r="R362" i="2"/>
  <c r="R363" i="2"/>
  <c r="R373" i="2"/>
  <c r="R361" i="2"/>
  <c r="R368" i="2"/>
  <c r="X324" i="2"/>
  <c r="X326" i="2" s="1"/>
  <c r="X330" i="2" s="1"/>
  <c r="Q361" i="2"/>
  <c r="Q362" i="2"/>
  <c r="Q363" i="2"/>
  <c r="Q365" i="2"/>
  <c r="Q373" i="2"/>
  <c r="Q368" i="2"/>
  <c r="Q383" i="2"/>
  <c r="AE324" i="2"/>
  <c r="AE326" i="2" s="1"/>
  <c r="AE330" i="2" s="1"/>
  <c r="Q374" i="2"/>
  <c r="O361" i="2"/>
  <c r="J361" i="2"/>
  <c r="J373" i="2"/>
  <c r="H383" i="2"/>
  <c r="P383" i="2"/>
  <c r="J368" i="2"/>
  <c r="O374" i="2"/>
  <c r="H156" i="2"/>
  <c r="H319" i="2"/>
  <c r="H324" i="2" s="1"/>
  <c r="H355" i="2" s="1"/>
  <c r="Z500" i="2"/>
  <c r="Z533" i="2"/>
  <c r="Z577" i="2" s="1"/>
  <c r="Z603" i="2" s="1"/>
  <c r="AB533" i="2"/>
  <c r="AB577" i="2" s="1"/>
  <c r="AB603" i="2" s="1"/>
  <c r="AB500" i="2"/>
  <c r="F513" i="2"/>
  <c r="F87" i="2"/>
  <c r="S500" i="2"/>
  <c r="AC324" i="2"/>
  <c r="P363" i="2"/>
  <c r="H363" i="2"/>
  <c r="O363" i="2"/>
  <c r="G383" i="2"/>
  <c r="P365" i="2"/>
  <c r="J371" i="2"/>
  <c r="I362" i="2"/>
  <c r="H500" i="2"/>
  <c r="F277" i="2"/>
  <c r="S324" i="2"/>
  <c r="J363" i="2"/>
  <c r="J383" i="2"/>
  <c r="J364" i="2"/>
  <c r="H371" i="2"/>
  <c r="I368" i="2"/>
  <c r="H364" i="2"/>
  <c r="H368" i="2"/>
  <c r="H374" i="2"/>
  <c r="O500" i="2"/>
  <c r="W533" i="2"/>
  <c r="W577" i="2" s="1"/>
  <c r="W603" i="2" s="1"/>
  <c r="W500" i="2"/>
  <c r="Q518" i="2"/>
  <c r="Q542" i="2"/>
  <c r="Q604" i="2"/>
  <c r="F163" i="2"/>
  <c r="U324" i="2"/>
  <c r="M328" i="2"/>
  <c r="M118" i="2"/>
  <c r="K118" i="2"/>
  <c r="K328" i="2"/>
  <c r="K381" i="2" s="1"/>
  <c r="P500" i="2"/>
  <c r="P604" i="2"/>
  <c r="P542" i="2"/>
  <c r="P518" i="2"/>
  <c r="AD533" i="2"/>
  <c r="AD577" i="2" s="1"/>
  <c r="AD603" i="2" s="1"/>
  <c r="AD500" i="2"/>
  <c r="P361" i="2"/>
  <c r="G363" i="2"/>
  <c r="G362" i="2"/>
  <c r="P371" i="2"/>
  <c r="O362" i="2"/>
  <c r="O364" i="2"/>
  <c r="G365" i="2"/>
  <c r="O373" i="2"/>
  <c r="X533" i="2"/>
  <c r="X577" i="2" s="1"/>
  <c r="X603" i="2" s="1"/>
  <c r="X500" i="2"/>
  <c r="N500" i="2"/>
  <c r="F495" i="2"/>
  <c r="F504" i="2" s="1"/>
  <c r="F125" i="2"/>
  <c r="U533" i="2"/>
  <c r="U577" i="2" s="1"/>
  <c r="U603" i="2" s="1"/>
  <c r="U500" i="2"/>
  <c r="M518" i="2"/>
  <c r="K542" i="2"/>
  <c r="K604" i="2"/>
  <c r="K518" i="2"/>
  <c r="O368" i="2"/>
  <c r="G364" i="2"/>
  <c r="I363" i="2"/>
  <c r="O383" i="2"/>
  <c r="P364" i="2"/>
  <c r="I374" i="2"/>
  <c r="Q364" i="2"/>
  <c r="J156" i="2"/>
  <c r="J319" i="2"/>
  <c r="J324" i="2" s="1"/>
  <c r="J355" i="2" s="1"/>
  <c r="K319" i="2"/>
  <c r="K324" i="2" s="1"/>
  <c r="K355" i="2" s="1"/>
  <c r="K156" i="2"/>
  <c r="F10" i="2"/>
  <c r="Q500" i="2"/>
  <c r="M500" i="2"/>
  <c r="E381" i="2"/>
  <c r="E330" i="2"/>
  <c r="J118" i="2"/>
  <c r="J328" i="2"/>
  <c r="J381" i="2" s="1"/>
  <c r="H361" i="2"/>
  <c r="P373" i="2"/>
  <c r="P368" i="2"/>
  <c r="G368" i="2"/>
  <c r="I364" i="2"/>
  <c r="E379" i="2"/>
  <c r="J500" i="2"/>
  <c r="K500" i="2"/>
  <c r="AA533" i="2"/>
  <c r="AA577" i="2" s="1"/>
  <c r="AA603" i="2" s="1"/>
  <c r="AA500" i="2"/>
  <c r="N604" i="2"/>
  <c r="N542" i="2"/>
  <c r="N518" i="2"/>
  <c r="V324" i="2"/>
  <c r="F239" i="2"/>
  <c r="Q324" i="2"/>
  <c r="R604" i="2"/>
  <c r="R542" i="2"/>
  <c r="R518" i="2"/>
  <c r="R500" i="2"/>
  <c r="J604" i="2"/>
  <c r="J542" i="2"/>
  <c r="J518" i="2"/>
  <c r="T533" i="2"/>
  <c r="T577" i="2" s="1"/>
  <c r="T603" i="2" s="1"/>
  <c r="T500" i="2"/>
  <c r="I361" i="2"/>
  <c r="G374" i="2"/>
  <c r="O371" i="2"/>
  <c r="O365" i="2"/>
  <c r="I371" i="2"/>
  <c r="P362" i="2"/>
  <c r="J362" i="2"/>
  <c r="J365" i="2"/>
  <c r="P374" i="2"/>
  <c r="H362" i="2"/>
  <c r="I156" i="2"/>
  <c r="I319" i="2"/>
  <c r="I324" i="2" s="1"/>
  <c r="I355" i="2" s="1"/>
  <c r="G156" i="2"/>
  <c r="G319" i="2"/>
  <c r="G324" i="2" s="1"/>
  <c r="G355" i="2" s="1"/>
  <c r="V533" i="2"/>
  <c r="V577" i="2" s="1"/>
  <c r="V603" i="2" s="1"/>
  <c r="V500" i="2"/>
  <c r="F49" i="2"/>
  <c r="AE500" i="2"/>
  <c r="R324" i="2"/>
  <c r="H604" i="2"/>
  <c r="H542" i="2"/>
  <c r="H518" i="2"/>
  <c r="I518" i="2"/>
  <c r="G518" i="2"/>
  <c r="G604" i="2"/>
  <c r="G542" i="2"/>
  <c r="O542" i="2"/>
  <c r="O518" i="2"/>
  <c r="O604" i="2"/>
  <c r="Y500" i="2"/>
  <c r="Y533" i="2"/>
  <c r="Y577" i="2" s="1"/>
  <c r="Y603" i="2" s="1"/>
  <c r="H328" i="2"/>
  <c r="H381" i="2" s="1"/>
  <c r="H118" i="2"/>
  <c r="I118" i="2"/>
  <c r="I328" i="2"/>
  <c r="I381" i="2" s="1"/>
  <c r="G118" i="2"/>
  <c r="G328" i="2"/>
  <c r="G381" i="2" s="1"/>
  <c r="G361" i="2"/>
  <c r="I373" i="2"/>
  <c r="H365" i="2"/>
  <c r="I365" i="2"/>
  <c r="Q371" i="2"/>
  <c r="G371" i="2"/>
  <c r="I500" i="2"/>
  <c r="I533" i="2"/>
  <c r="I552" i="2" s="1"/>
  <c r="G500" i="2"/>
  <c r="AF500" i="2"/>
  <c r="F201" i="2"/>
  <c r="AC533" i="2"/>
  <c r="AC577" i="2" s="1"/>
  <c r="AC603" i="2" s="1"/>
  <c r="AC500" i="2"/>
  <c r="K508" i="2" l="1"/>
  <c r="M508" i="2"/>
  <c r="G508" i="2"/>
  <c r="J508" i="2"/>
  <c r="I508" i="2"/>
  <c r="I537" i="2" s="1"/>
  <c r="H508" i="2"/>
  <c r="Q507" i="2"/>
  <c r="O508" i="2"/>
  <c r="O526" i="2" s="1"/>
  <c r="R508" i="2"/>
  <c r="R537" i="2" s="1"/>
  <c r="P508" i="2"/>
  <c r="Q508" i="2"/>
  <c r="Q526" i="2" s="1"/>
  <c r="R507" i="2"/>
  <c r="R525" i="2" s="1"/>
  <c r="P507" i="2"/>
  <c r="O507" i="2"/>
  <c r="O525" i="2" s="1"/>
  <c r="N507" i="2"/>
  <c r="N536" i="2" s="1"/>
  <c r="N508" i="2"/>
  <c r="Q385" i="2"/>
  <c r="N330" i="2"/>
  <c r="N331" i="2" s="1"/>
  <c r="G507" i="2"/>
  <c r="K507" i="2"/>
  <c r="K525" i="2" s="1"/>
  <c r="J507" i="2"/>
  <c r="I507" i="2"/>
  <c r="I536" i="2" s="1"/>
  <c r="H507" i="2"/>
  <c r="M507" i="2"/>
  <c r="M525" i="2" s="1"/>
  <c r="P534" i="2"/>
  <c r="P554" i="2" s="1"/>
  <c r="R523" i="2"/>
  <c r="M523" i="2"/>
  <c r="O523" i="2"/>
  <c r="Q534" i="2"/>
  <c r="Q554" i="2" s="1"/>
  <c r="G534" i="2"/>
  <c r="G554" i="2" s="1"/>
  <c r="I534" i="2"/>
  <c r="I554" i="2" s="1"/>
  <c r="J523" i="2"/>
  <c r="H534" i="2"/>
  <c r="H554" i="2" s="1"/>
  <c r="AD355" i="2"/>
  <c r="AD377" i="2" s="1"/>
  <c r="AD379" i="2" s="1"/>
  <c r="AD387" i="2" s="1"/>
  <c r="I603" i="2"/>
  <c r="I577" i="2"/>
  <c r="K385" i="2"/>
  <c r="G15" i="4" s="1"/>
  <c r="T326" i="2"/>
  <c r="T330" i="2" s="1"/>
  <c r="T564" i="2" s="1"/>
  <c r="T565" i="2" s="1"/>
  <c r="P326" i="2"/>
  <c r="P330" i="2" s="1"/>
  <c r="P331" i="2" s="1"/>
  <c r="AF355" i="2"/>
  <c r="AF377" i="2" s="1"/>
  <c r="AF379" i="2" s="1"/>
  <c r="AF387" i="2" s="1"/>
  <c r="I385" i="2"/>
  <c r="G13" i="4" s="1"/>
  <c r="O385" i="2"/>
  <c r="N385" i="2"/>
  <c r="R385" i="2"/>
  <c r="P385" i="2"/>
  <c r="Y355" i="2"/>
  <c r="Y377" i="2" s="1"/>
  <c r="Y379" i="2" s="1"/>
  <c r="Y387" i="2" s="1"/>
  <c r="O326" i="2"/>
  <c r="O330" i="2" s="1"/>
  <c r="O331" i="2" s="1"/>
  <c r="S554" i="2"/>
  <c r="S578" i="2"/>
  <c r="S604" i="2" s="1"/>
  <c r="M319" i="2"/>
  <c r="M324" i="2" s="1"/>
  <c r="M326" i="2" s="1"/>
  <c r="N355" i="2"/>
  <c r="Z355" i="2"/>
  <c r="Z377" i="2" s="1"/>
  <c r="Z379" i="2" s="1"/>
  <c r="Z387" i="2" s="1"/>
  <c r="AB355" i="2"/>
  <c r="AB377" i="2" s="1"/>
  <c r="AB379" i="2" s="1"/>
  <c r="AB387" i="2" s="1"/>
  <c r="M381" i="2"/>
  <c r="M385" i="2" s="1"/>
  <c r="G17" i="4" s="1"/>
  <c r="M375" i="2"/>
  <c r="K375" i="2"/>
  <c r="G385" i="2"/>
  <c r="G11" i="4" s="1"/>
  <c r="AA355" i="2"/>
  <c r="AA377" i="2" s="1"/>
  <c r="AA379" i="2" s="1"/>
  <c r="AA387" i="2" s="1"/>
  <c r="X355" i="2"/>
  <c r="X377" i="2" s="1"/>
  <c r="X379" i="2" s="1"/>
  <c r="X387" i="2" s="1"/>
  <c r="AF509" i="2"/>
  <c r="N375" i="2"/>
  <c r="R375" i="2"/>
  <c r="H385" i="2"/>
  <c r="G12" i="4" s="1"/>
  <c r="W355" i="2"/>
  <c r="W377" i="2" s="1"/>
  <c r="W379" i="2" s="1"/>
  <c r="W387" i="2" s="1"/>
  <c r="AD509" i="2"/>
  <c r="V509" i="2"/>
  <c r="AE355" i="2"/>
  <c r="AE377" i="2" s="1"/>
  <c r="AE379" i="2" s="1"/>
  <c r="AE387" i="2" s="1"/>
  <c r="X509" i="2"/>
  <c r="AE509" i="2"/>
  <c r="T509" i="2"/>
  <c r="AA509" i="2"/>
  <c r="J385" i="2"/>
  <c r="G14" i="4" s="1"/>
  <c r="O375" i="2"/>
  <c r="O377" i="2" s="1"/>
  <c r="O379" i="2" s="1"/>
  <c r="J375" i="2"/>
  <c r="Y509" i="2"/>
  <c r="AC509" i="2"/>
  <c r="Q375" i="2"/>
  <c r="I522" i="2"/>
  <c r="I326" i="2"/>
  <c r="I330" i="2" s="1"/>
  <c r="I331" i="2" s="1"/>
  <c r="F269" i="2"/>
  <c r="F155" i="2"/>
  <c r="S536" i="2"/>
  <c r="S525" i="2"/>
  <c r="AF331" i="2"/>
  <c r="P375" i="2"/>
  <c r="P377" i="2" s="1"/>
  <c r="P379" i="2" s="1"/>
  <c r="Y331" i="2"/>
  <c r="Y569" i="2"/>
  <c r="Y570" i="2" s="1"/>
  <c r="Y564" i="2"/>
  <c r="Y565" i="2" s="1"/>
  <c r="P522" i="2"/>
  <c r="P533" i="2"/>
  <c r="P552" i="2" s="1"/>
  <c r="H326" i="2"/>
  <c r="H330" i="2" s="1"/>
  <c r="H331" i="2" s="1"/>
  <c r="F79" i="2"/>
  <c r="F500" i="2"/>
  <c r="W331" i="2"/>
  <c r="W564" i="2"/>
  <c r="W565" i="2" s="1"/>
  <c r="W569" i="2"/>
  <c r="W570" i="2" s="1"/>
  <c r="F231" i="2"/>
  <c r="V355" i="2"/>
  <c r="V377" i="2" s="1"/>
  <c r="V379" i="2" s="1"/>
  <c r="V387" i="2" s="1"/>
  <c r="V326" i="2"/>
  <c r="V330" i="2" s="1"/>
  <c r="U355" i="2"/>
  <c r="U377" i="2" s="1"/>
  <c r="U379" i="2" s="1"/>
  <c r="U387" i="2" s="1"/>
  <c r="U326" i="2"/>
  <c r="U330" i="2" s="1"/>
  <c r="Z564" i="2"/>
  <c r="Z565" i="2" s="1"/>
  <c r="Z331" i="2"/>
  <c r="Z569" i="2"/>
  <c r="Z570" i="2" s="1"/>
  <c r="R326" i="2"/>
  <c r="R330" i="2" s="1"/>
  <c r="R331" i="2" s="1"/>
  <c r="R355" i="2"/>
  <c r="K522" i="2"/>
  <c r="K533" i="2"/>
  <c r="K552" i="2" s="1"/>
  <c r="N522" i="2"/>
  <c r="N533" i="2"/>
  <c r="N552" i="2" s="1"/>
  <c r="F193" i="2"/>
  <c r="X331" i="2"/>
  <c r="X569" i="2"/>
  <c r="X570" i="2" s="1"/>
  <c r="X564" i="2"/>
  <c r="X565" i="2" s="1"/>
  <c r="S326" i="2"/>
  <c r="S330" i="2" s="1"/>
  <c r="S331" i="2" s="1"/>
  <c r="S355" i="2"/>
  <c r="S377" i="2" s="1"/>
  <c r="S379" i="2" s="1"/>
  <c r="S387" i="2" s="1"/>
  <c r="H533" i="2"/>
  <c r="H552" i="2" s="1"/>
  <c r="H522" i="2"/>
  <c r="AB509" i="2"/>
  <c r="E331" i="2"/>
  <c r="U589" i="2"/>
  <c r="U590" i="2" s="1"/>
  <c r="AA589" i="2"/>
  <c r="AA590" i="2" s="1"/>
  <c r="AD589" i="2"/>
  <c r="AD590" i="2" s="1"/>
  <c r="X589" i="2"/>
  <c r="X590" i="2" s="1"/>
  <c r="V589" i="2"/>
  <c r="V590" i="2" s="1"/>
  <c r="E627" i="2"/>
  <c r="AE589" i="2"/>
  <c r="AE590" i="2" s="1"/>
  <c r="Z589" i="2"/>
  <c r="Z590" i="2" s="1"/>
  <c r="W589" i="2"/>
  <c r="W590" i="2" s="1"/>
  <c r="AB589" i="2"/>
  <c r="AB590" i="2" s="1"/>
  <c r="AF589" i="2"/>
  <c r="AF590" i="2" s="1"/>
  <c r="T589" i="2"/>
  <c r="T590" i="2" s="1"/>
  <c r="Y589" i="2"/>
  <c r="Y590" i="2" s="1"/>
  <c r="AC589" i="2"/>
  <c r="AC590" i="2" s="1"/>
  <c r="AA564" i="2"/>
  <c r="AA565" i="2" s="1"/>
  <c r="AA331" i="2"/>
  <c r="AA569" i="2"/>
  <c r="AA570" i="2" s="1"/>
  <c r="U509" i="2"/>
  <c r="W509" i="2"/>
  <c r="F307" i="2"/>
  <c r="AC326" i="2"/>
  <c r="AC330" i="2" s="1"/>
  <c r="AC355" i="2"/>
  <c r="AC377" i="2" s="1"/>
  <c r="AC379" i="2" s="1"/>
  <c r="AC387" i="2" s="1"/>
  <c r="F117" i="2"/>
  <c r="R533" i="2"/>
  <c r="R552" i="2" s="1"/>
  <c r="R522" i="2"/>
  <c r="I375" i="2"/>
  <c r="J533" i="2"/>
  <c r="J552" i="2" s="1"/>
  <c r="J522" i="2"/>
  <c r="Q522" i="2"/>
  <c r="Q533" i="2"/>
  <c r="Q552" i="2" s="1"/>
  <c r="S509" i="2"/>
  <c r="S533" i="2"/>
  <c r="S522" i="2"/>
  <c r="F604" i="2"/>
  <c r="F542" i="2"/>
  <c r="F518" i="2"/>
  <c r="M522" i="2"/>
  <c r="G533" i="2"/>
  <c r="G552" i="2" s="1"/>
  <c r="G522" i="2"/>
  <c r="Z509" i="2"/>
  <c r="AE564" i="2"/>
  <c r="AE565" i="2" s="1"/>
  <c r="AE331" i="2"/>
  <c r="AE569" i="2"/>
  <c r="AE570" i="2" s="1"/>
  <c r="G326" i="2"/>
  <c r="G330" i="2" s="1"/>
  <c r="G331" i="2" s="1"/>
  <c r="K326" i="2"/>
  <c r="K330" i="2" s="1"/>
  <c r="K331" i="2" s="1"/>
  <c r="G375" i="2"/>
  <c r="Q326" i="2"/>
  <c r="Q330" i="2" s="1"/>
  <c r="Q331" i="2" s="1"/>
  <c r="Q355" i="2"/>
  <c r="H375" i="2"/>
  <c r="E385" i="2"/>
  <c r="F40" i="2"/>
  <c r="J326" i="2"/>
  <c r="J330" i="2" s="1"/>
  <c r="J331" i="2" s="1"/>
  <c r="AD331" i="2"/>
  <c r="AD569" i="2"/>
  <c r="AD570" i="2" s="1"/>
  <c r="AD564" i="2"/>
  <c r="AD565" i="2" s="1"/>
  <c r="S537" i="2"/>
  <c r="S526" i="2"/>
  <c r="O522" i="2"/>
  <c r="O533" i="2"/>
  <c r="O552" i="2" s="1"/>
  <c r="AB564" i="2"/>
  <c r="AB565" i="2" s="1"/>
  <c r="AB569" i="2"/>
  <c r="AB570" i="2" s="1"/>
  <c r="AB331" i="2"/>
  <c r="N534" i="2" l="1"/>
  <c r="N554" i="2" s="1"/>
  <c r="N579" i="2" s="1"/>
  <c r="AG505" i="2"/>
  <c r="AH505" i="2" s="1"/>
  <c r="R534" i="2"/>
  <c r="R554" i="2" s="1"/>
  <c r="R579" i="2" s="1"/>
  <c r="P523" i="2"/>
  <c r="J534" i="2"/>
  <c r="J554" i="2" s="1"/>
  <c r="J579" i="2" s="1"/>
  <c r="N523" i="2"/>
  <c r="H523" i="2"/>
  <c r="G523" i="2"/>
  <c r="Q523" i="2"/>
  <c r="O534" i="2"/>
  <c r="O554" i="2" s="1"/>
  <c r="O605" i="2" s="1"/>
  <c r="I523" i="2"/>
  <c r="F360" i="2"/>
  <c r="I605" i="2"/>
  <c r="I579" i="2"/>
  <c r="I568" i="2"/>
  <c r="I593" i="2"/>
  <c r="I563" i="2"/>
  <c r="I588" i="2"/>
  <c r="F372" i="2"/>
  <c r="T331" i="2"/>
  <c r="T569" i="2"/>
  <c r="T570" i="2" s="1"/>
  <c r="O387" i="2"/>
  <c r="O627" i="2" s="1"/>
  <c r="M526" i="2"/>
  <c r="M527" i="2" s="1"/>
  <c r="P387" i="2"/>
  <c r="P553" i="2" s="1"/>
  <c r="J509" i="2"/>
  <c r="J537" i="2"/>
  <c r="J526" i="2"/>
  <c r="K537" i="2"/>
  <c r="K526" i="2"/>
  <c r="I526" i="2"/>
  <c r="N377" i="2"/>
  <c r="N379" i="2" s="1"/>
  <c r="N387" i="2" s="1"/>
  <c r="N559" i="2" s="1"/>
  <c r="N560" i="2" s="1"/>
  <c r="F369" i="2"/>
  <c r="G605" i="2"/>
  <c r="G579" i="2"/>
  <c r="P579" i="2"/>
  <c r="P605" i="2"/>
  <c r="K534" i="2"/>
  <c r="K554" i="2" s="1"/>
  <c r="K523" i="2"/>
  <c r="Q605" i="2"/>
  <c r="Q579" i="2"/>
  <c r="H605" i="2"/>
  <c r="H579" i="2"/>
  <c r="K509" i="2"/>
  <c r="K536" i="2"/>
  <c r="K588" i="2" s="1"/>
  <c r="M355" i="2"/>
  <c r="M377" i="2" s="1"/>
  <c r="R526" i="2"/>
  <c r="R527" i="2" s="1"/>
  <c r="M330" i="2"/>
  <c r="M331" i="2" s="1"/>
  <c r="M509" i="2"/>
  <c r="K377" i="2"/>
  <c r="K379" i="2" s="1"/>
  <c r="K387" i="2" s="1"/>
  <c r="Q509" i="2"/>
  <c r="Q537" i="2"/>
  <c r="Q568" i="2" s="1"/>
  <c r="N525" i="2"/>
  <c r="O509" i="2"/>
  <c r="R377" i="2"/>
  <c r="R379" i="2" s="1"/>
  <c r="R387" i="2" s="1"/>
  <c r="R559" i="2" s="1"/>
  <c r="R560" i="2" s="1"/>
  <c r="R536" i="2"/>
  <c r="R563" i="2" s="1"/>
  <c r="N509" i="2"/>
  <c r="N537" i="2"/>
  <c r="N568" i="2" s="1"/>
  <c r="N526" i="2"/>
  <c r="O537" i="2"/>
  <c r="O568" i="2" s="1"/>
  <c r="R509" i="2"/>
  <c r="Q377" i="2"/>
  <c r="Q379" i="2" s="1"/>
  <c r="Q387" i="2" s="1"/>
  <c r="Q564" i="2" s="1"/>
  <c r="P509" i="2"/>
  <c r="O536" i="2"/>
  <c r="O563" i="2" s="1"/>
  <c r="O527" i="2"/>
  <c r="J377" i="2"/>
  <c r="E14" i="4" s="1"/>
  <c r="F14" i="4" s="1"/>
  <c r="G509" i="2"/>
  <c r="S527" i="2"/>
  <c r="H509" i="2"/>
  <c r="S568" i="2"/>
  <c r="S593" i="2"/>
  <c r="S633" i="2"/>
  <c r="G377" i="2"/>
  <c r="G603" i="2"/>
  <c r="G577" i="2"/>
  <c r="AC569" i="2"/>
  <c r="AC570" i="2" s="1"/>
  <c r="AC564" i="2"/>
  <c r="AC565" i="2" s="1"/>
  <c r="AC331" i="2"/>
  <c r="H603" i="2"/>
  <c r="H577" i="2"/>
  <c r="V331" i="2"/>
  <c r="V569" i="2"/>
  <c r="V570" i="2" s="1"/>
  <c r="V564" i="2"/>
  <c r="V565" i="2" s="1"/>
  <c r="P577" i="2"/>
  <c r="P603" i="2"/>
  <c r="G526" i="2"/>
  <c r="G537" i="2"/>
  <c r="R577" i="2"/>
  <c r="R603" i="2"/>
  <c r="F308" i="2"/>
  <c r="F322" i="2"/>
  <c r="K577" i="2"/>
  <c r="K603" i="2"/>
  <c r="S563" i="2"/>
  <c r="S588" i="2"/>
  <c r="I377" i="2"/>
  <c r="G536" i="2"/>
  <c r="G525" i="2"/>
  <c r="N563" i="2"/>
  <c r="N588" i="2"/>
  <c r="S569" i="2"/>
  <c r="S564" i="2"/>
  <c r="R568" i="2"/>
  <c r="R593" i="2"/>
  <c r="U331" i="2"/>
  <c r="U564" i="2"/>
  <c r="U565" i="2" s="1"/>
  <c r="U569" i="2"/>
  <c r="U570" i="2" s="1"/>
  <c r="F232" i="2"/>
  <c r="F320" i="2"/>
  <c r="F367" i="2"/>
  <c r="F80" i="2"/>
  <c r="Q603" i="2"/>
  <c r="Q577" i="2"/>
  <c r="I525" i="2"/>
  <c r="H526" i="2"/>
  <c r="H537" i="2"/>
  <c r="H525" i="2"/>
  <c r="H536" i="2"/>
  <c r="O577" i="2"/>
  <c r="O603" i="2"/>
  <c r="F156" i="2"/>
  <c r="F319" i="2"/>
  <c r="E387" i="2"/>
  <c r="J525" i="2"/>
  <c r="J536" i="2"/>
  <c r="F118" i="2"/>
  <c r="F328" i="2"/>
  <c r="F373" i="2"/>
  <c r="F362" i="2"/>
  <c r="F383" i="2"/>
  <c r="F363" i="2"/>
  <c r="F368" i="2"/>
  <c r="F364" i="2"/>
  <c r="F371" i="2"/>
  <c r="F361" i="2"/>
  <c r="F374" i="2"/>
  <c r="F365" i="2"/>
  <c r="N577" i="2"/>
  <c r="N603" i="2"/>
  <c r="H377" i="2"/>
  <c r="I509" i="2"/>
  <c r="P537" i="2"/>
  <c r="P526" i="2"/>
  <c r="Q525" i="2"/>
  <c r="Q536" i="2"/>
  <c r="S552" i="2"/>
  <c r="S577" i="2"/>
  <c r="J577" i="2"/>
  <c r="J603" i="2"/>
  <c r="F194" i="2"/>
  <c r="F370" i="2"/>
  <c r="F533" i="2"/>
  <c r="F552" i="2" s="1"/>
  <c r="F522" i="2"/>
  <c r="P525" i="2"/>
  <c r="P536" i="2"/>
  <c r="F321" i="2"/>
  <c r="F508" i="2" l="1"/>
  <c r="N605" i="2"/>
  <c r="F507" i="2"/>
  <c r="R605" i="2"/>
  <c r="R642" i="2" s="1"/>
  <c r="Q527" i="2"/>
  <c r="J605" i="2"/>
  <c r="J642" i="2" s="1"/>
  <c r="E13" i="17" s="1"/>
  <c r="O579" i="2"/>
  <c r="F534" i="2"/>
  <c r="F554" i="2" s="1"/>
  <c r="F605" i="2" s="1"/>
  <c r="I584" i="2"/>
  <c r="I585" i="2" s="1"/>
  <c r="I594" i="2"/>
  <c r="I595" i="2" s="1"/>
  <c r="I635" i="2" s="1"/>
  <c r="I589" i="2"/>
  <c r="I590" i="2" s="1"/>
  <c r="I580" i="2"/>
  <c r="I578" i="2"/>
  <c r="I614" i="2"/>
  <c r="I616" i="2" s="1"/>
  <c r="I642" i="2" s="1"/>
  <c r="E12" i="17" s="1"/>
  <c r="I619" i="2"/>
  <c r="I621" i="2" s="1"/>
  <c r="I641" i="2" s="1"/>
  <c r="D12" i="17" s="1"/>
  <c r="L584" i="2"/>
  <c r="L585" i="2" s="1"/>
  <c r="L594" i="2"/>
  <c r="L589" i="2"/>
  <c r="L580" i="2"/>
  <c r="M379" i="2"/>
  <c r="M387" i="2" s="1"/>
  <c r="E17" i="4"/>
  <c r="F17" i="4" s="1"/>
  <c r="H17" i="4" s="1"/>
  <c r="O549" i="2"/>
  <c r="O555" i="2"/>
  <c r="O559" i="2"/>
  <c r="O560" i="2" s="1"/>
  <c r="O569" i="2"/>
  <c r="O570" i="2" s="1"/>
  <c r="O629" i="2" s="1"/>
  <c r="P569" i="2"/>
  <c r="P388" i="2"/>
  <c r="P627" i="2"/>
  <c r="P559" i="2"/>
  <c r="P560" i="2" s="1"/>
  <c r="O553" i="2"/>
  <c r="P555" i="2"/>
  <c r="O564" i="2"/>
  <c r="O565" i="2" s="1"/>
  <c r="P549" i="2"/>
  <c r="P564" i="2"/>
  <c r="J527" i="2"/>
  <c r="K527" i="2"/>
  <c r="H14" i="4"/>
  <c r="N555" i="2"/>
  <c r="N549" i="2"/>
  <c r="N627" i="2"/>
  <c r="I527" i="2"/>
  <c r="N564" i="2"/>
  <c r="N565" i="2" s="1"/>
  <c r="N553" i="2"/>
  <c r="N569" i="2"/>
  <c r="N570" i="2" s="1"/>
  <c r="N629" i="2" s="1"/>
  <c r="K568" i="2"/>
  <c r="K593" i="2"/>
  <c r="K619" i="2" s="1"/>
  <c r="K621" i="2" s="1"/>
  <c r="K641" i="2" s="1"/>
  <c r="J593" i="2"/>
  <c r="J619" i="2" s="1"/>
  <c r="J621" i="2" s="1"/>
  <c r="J641" i="2" s="1"/>
  <c r="D13" i="17" s="1"/>
  <c r="J568" i="2"/>
  <c r="K605" i="2"/>
  <c r="K642" i="2" s="1"/>
  <c r="K579" i="2"/>
  <c r="K563" i="2"/>
  <c r="E15" i="4"/>
  <c r="F15" i="4" s="1"/>
  <c r="Q593" i="2"/>
  <c r="Q619" i="2" s="1"/>
  <c r="Q621" i="2" s="1"/>
  <c r="Q641" i="2" s="1"/>
  <c r="O593" i="2"/>
  <c r="O619" i="2" s="1"/>
  <c r="O621" i="2" s="1"/>
  <c r="O641" i="2" s="1"/>
  <c r="R627" i="2"/>
  <c r="R588" i="2"/>
  <c r="R614" i="2" s="1"/>
  <c r="R616" i="2" s="1"/>
  <c r="R643" i="2" s="1"/>
  <c r="N593" i="2"/>
  <c r="N619" i="2" s="1"/>
  <c r="N621" i="2" s="1"/>
  <c r="N641" i="2" s="1"/>
  <c r="N527" i="2"/>
  <c r="O588" i="2"/>
  <c r="O614" i="2" s="1"/>
  <c r="O616" i="2" s="1"/>
  <c r="O642" i="2" s="1"/>
  <c r="R553" i="2"/>
  <c r="R555" i="2"/>
  <c r="R630" i="2" s="1"/>
  <c r="R564" i="2"/>
  <c r="R565" i="2" s="1"/>
  <c r="R569" i="2"/>
  <c r="R570" i="2" s="1"/>
  <c r="R629" i="2" s="1"/>
  <c r="R549" i="2"/>
  <c r="Q569" i="2"/>
  <c r="Q570" i="2" s="1"/>
  <c r="Q629" i="2" s="1"/>
  <c r="Q627" i="2"/>
  <c r="Q553" i="2"/>
  <c r="Q559" i="2"/>
  <c r="Q560" i="2" s="1"/>
  <c r="Q555" i="2"/>
  <c r="Q549" i="2"/>
  <c r="J379" i="2"/>
  <c r="J387" i="2" s="1"/>
  <c r="J549" i="2" s="1"/>
  <c r="G527" i="2"/>
  <c r="P527" i="2"/>
  <c r="O388" i="2"/>
  <c r="Q388" i="2"/>
  <c r="S565" i="2"/>
  <c r="S630" i="2" s="1"/>
  <c r="H527" i="2"/>
  <c r="G588" i="2"/>
  <c r="G563" i="2"/>
  <c r="G614" i="2" s="1"/>
  <c r="G616" i="2" s="1"/>
  <c r="Q563" i="2"/>
  <c r="Q565" i="2" s="1"/>
  <c r="Q588" i="2"/>
  <c r="F324" i="2"/>
  <c r="F355" i="2" s="1"/>
  <c r="U388" i="2"/>
  <c r="S388" i="2"/>
  <c r="V388" i="2"/>
  <c r="G379" i="2"/>
  <c r="G387" i="2" s="1"/>
  <c r="E11" i="4"/>
  <c r="F11" i="4" s="1"/>
  <c r="F577" i="2"/>
  <c r="F603" i="2"/>
  <c r="AC388" i="2"/>
  <c r="N614" i="2"/>
  <c r="N616" i="2" s="1"/>
  <c r="J563" i="2"/>
  <c r="J588" i="2"/>
  <c r="R388" i="2"/>
  <c r="I379" i="2"/>
  <c r="I387" i="2" s="1"/>
  <c r="E13" i="4"/>
  <c r="F13" i="4" s="1"/>
  <c r="H588" i="2"/>
  <c r="H563" i="2"/>
  <c r="K614" i="2"/>
  <c r="K616" i="2" s="1"/>
  <c r="K643" i="2" s="1"/>
  <c r="S614" i="2"/>
  <c r="S616" i="2" s="1"/>
  <c r="S619" i="2"/>
  <c r="S621" i="2" s="1"/>
  <c r="S641" i="2" s="1"/>
  <c r="F375" i="2"/>
  <c r="F381" i="2"/>
  <c r="G584" i="2"/>
  <c r="G585" i="2" s="1"/>
  <c r="V594" i="2"/>
  <c r="V595" i="2" s="1"/>
  <c r="R584" i="2"/>
  <c r="R585" i="2" s="1"/>
  <c r="AE594" i="2"/>
  <c r="AE595" i="2" s="1"/>
  <c r="W594" i="2"/>
  <c r="W595" i="2" s="1"/>
  <c r="S589" i="2"/>
  <c r="S590" i="2" s="1"/>
  <c r="H594" i="2"/>
  <c r="J584" i="2"/>
  <c r="J585" i="2" s="1"/>
  <c r="AF594" i="2"/>
  <c r="AF595" i="2" s="1"/>
  <c r="R589" i="2"/>
  <c r="Q594" i="2"/>
  <c r="G594" i="2"/>
  <c r="N594" i="2"/>
  <c r="Q584" i="2"/>
  <c r="Q585" i="2" s="1"/>
  <c r="T594" i="2"/>
  <c r="T595" i="2" s="1"/>
  <c r="Y594" i="2"/>
  <c r="Y595" i="2" s="1"/>
  <c r="G589" i="2"/>
  <c r="Z594" i="2"/>
  <c r="Z595" i="2" s="1"/>
  <c r="P594" i="2"/>
  <c r="F594" i="2"/>
  <c r="H589" i="2"/>
  <c r="O589" i="2"/>
  <c r="R594" i="2"/>
  <c r="R595" i="2" s="1"/>
  <c r="R635" i="2" s="1"/>
  <c r="P589" i="2"/>
  <c r="Q589" i="2"/>
  <c r="F589" i="2"/>
  <c r="F584" i="2"/>
  <c r="F585" i="2" s="1"/>
  <c r="AD594" i="2"/>
  <c r="AD595" i="2" s="1"/>
  <c r="S594" i="2"/>
  <c r="S595" i="2" s="1"/>
  <c r="S635" i="2" s="1"/>
  <c r="O584" i="2"/>
  <c r="O585" i="2" s="1"/>
  <c r="P584" i="2"/>
  <c r="P585" i="2" s="1"/>
  <c r="U594" i="2"/>
  <c r="U595" i="2" s="1"/>
  <c r="AA594" i="2"/>
  <c r="AA595" i="2" s="1"/>
  <c r="H584" i="2"/>
  <c r="H585" i="2" s="1"/>
  <c r="J589" i="2"/>
  <c r="E388" i="2"/>
  <c r="E633" i="2"/>
  <c r="F633" i="2" s="1"/>
  <c r="G633" i="2" s="1"/>
  <c r="H633" i="2" s="1"/>
  <c r="X594" i="2"/>
  <c r="X595" i="2" s="1"/>
  <c r="AB594" i="2"/>
  <c r="AB595" i="2" s="1"/>
  <c r="N589" i="2"/>
  <c r="N590" i="2" s="1"/>
  <c r="K589" i="2"/>
  <c r="K590" i="2" s="1"/>
  <c r="N584" i="2"/>
  <c r="N585" i="2" s="1"/>
  <c r="O594" i="2"/>
  <c r="C574" i="2"/>
  <c r="AC594" i="2"/>
  <c r="AC595" i="2" s="1"/>
  <c r="J594" i="2"/>
  <c r="K584" i="2"/>
  <c r="K585" i="2" s="1"/>
  <c r="K594" i="2"/>
  <c r="J580" i="2"/>
  <c r="J636" i="2" s="1"/>
  <c r="O580" i="2"/>
  <c r="N580" i="2"/>
  <c r="Q580" i="2"/>
  <c r="K580" i="2"/>
  <c r="R580" i="2"/>
  <c r="R636" i="2" s="1"/>
  <c r="G580" i="2"/>
  <c r="H580" i="2"/>
  <c r="P580" i="2"/>
  <c r="F580" i="2"/>
  <c r="Q578" i="2"/>
  <c r="J578" i="2"/>
  <c r="G578" i="2"/>
  <c r="P578" i="2"/>
  <c r="O578" i="2"/>
  <c r="H578" i="2"/>
  <c r="N578" i="2"/>
  <c r="K578" i="2"/>
  <c r="R578" i="2"/>
  <c r="AB388" i="2"/>
  <c r="Z388" i="2"/>
  <c r="AF388" i="2"/>
  <c r="AE388" i="2"/>
  <c r="N388" i="2"/>
  <c r="AD388" i="2"/>
  <c r="W388" i="2"/>
  <c r="T388" i="2"/>
  <c r="Y388" i="2"/>
  <c r="F578" i="2"/>
  <c r="X388" i="2"/>
  <c r="AA388" i="2"/>
  <c r="R619" i="2"/>
  <c r="R621" i="2" s="1"/>
  <c r="R641" i="2" s="1"/>
  <c r="G568" i="2"/>
  <c r="G593" i="2"/>
  <c r="S570" i="2"/>
  <c r="S603" i="2"/>
  <c r="P593" i="2"/>
  <c r="P568" i="2"/>
  <c r="H568" i="2"/>
  <c r="H593" i="2"/>
  <c r="K388" i="2"/>
  <c r="K549" i="2"/>
  <c r="K627" i="2"/>
  <c r="K564" i="2"/>
  <c r="K559" i="2"/>
  <c r="K560" i="2" s="1"/>
  <c r="K569" i="2"/>
  <c r="K555" i="2"/>
  <c r="K630" i="2" s="1"/>
  <c r="K553" i="2"/>
  <c r="H379" i="2"/>
  <c r="H387" i="2" s="1"/>
  <c r="E12" i="4"/>
  <c r="F12" i="4" s="1"/>
  <c r="P563" i="2"/>
  <c r="P588" i="2"/>
  <c r="N642" i="2" l="1"/>
  <c r="F579" i="2"/>
  <c r="F523" i="2"/>
  <c r="I636" i="2"/>
  <c r="L574" i="2"/>
  <c r="I574" i="2"/>
  <c r="I633" i="2"/>
  <c r="J633" i="2" s="1"/>
  <c r="K633" i="2" s="1"/>
  <c r="L633" i="2" s="1"/>
  <c r="I627" i="2"/>
  <c r="I549" i="2"/>
  <c r="I559" i="2"/>
  <c r="I560" i="2" s="1"/>
  <c r="I569" i="2"/>
  <c r="I570" i="2" s="1"/>
  <c r="I629" i="2" s="1"/>
  <c r="I564" i="2"/>
  <c r="I565" i="2" s="1"/>
  <c r="I555" i="2"/>
  <c r="I553" i="2"/>
  <c r="M388" i="2"/>
  <c r="K636" i="2"/>
  <c r="P570" i="2"/>
  <c r="P629" i="2" s="1"/>
  <c r="O630" i="2"/>
  <c r="P565" i="2"/>
  <c r="P630" i="2" s="1"/>
  <c r="K595" i="2"/>
  <c r="K635" i="2" s="1"/>
  <c r="H13" i="4"/>
  <c r="H15" i="4"/>
  <c r="H11" i="4"/>
  <c r="H12" i="4"/>
  <c r="N630" i="2"/>
  <c r="K565" i="2"/>
  <c r="K631" i="2" s="1"/>
  <c r="K570" i="2"/>
  <c r="K629" i="2" s="1"/>
  <c r="J595" i="2"/>
  <c r="J635" i="2" s="1"/>
  <c r="O595" i="2"/>
  <c r="O635" i="2" s="1"/>
  <c r="Q595" i="2"/>
  <c r="Q635" i="2" s="1"/>
  <c r="R590" i="2"/>
  <c r="R637" i="2" s="1"/>
  <c r="O590" i="2"/>
  <c r="O636" i="2" s="1"/>
  <c r="N595" i="2"/>
  <c r="N635" i="2" s="1"/>
  <c r="R631" i="2"/>
  <c r="J388" i="2"/>
  <c r="Q630" i="2"/>
  <c r="J627" i="2"/>
  <c r="J553" i="2"/>
  <c r="J555" i="2"/>
  <c r="J630" i="2" s="1"/>
  <c r="J559" i="2"/>
  <c r="J560" i="2" s="1"/>
  <c r="J564" i="2"/>
  <c r="J565" i="2" s="1"/>
  <c r="J569" i="2"/>
  <c r="J570" i="2" s="1"/>
  <c r="J629" i="2" s="1"/>
  <c r="S636" i="2"/>
  <c r="N636" i="2"/>
  <c r="K637" i="2"/>
  <c r="P590" i="2"/>
  <c r="P636" i="2" s="1"/>
  <c r="P614" i="2"/>
  <c r="P616" i="2" s="1"/>
  <c r="P642" i="2" s="1"/>
  <c r="G595" i="2"/>
  <c r="G635" i="2" s="1"/>
  <c r="G619" i="2"/>
  <c r="G621" i="2" s="1"/>
  <c r="G641" i="2" s="1"/>
  <c r="D10" i="17" s="1"/>
  <c r="F326" i="2"/>
  <c r="G574" i="2"/>
  <c r="J574" i="2"/>
  <c r="O574" i="2"/>
  <c r="R574" i="2"/>
  <c r="H574" i="2"/>
  <c r="Q574" i="2"/>
  <c r="K574" i="2"/>
  <c r="N574" i="2"/>
  <c r="F574" i="2"/>
  <c r="P574" i="2"/>
  <c r="F537" i="2"/>
  <c r="F526" i="2"/>
  <c r="G642" i="2"/>
  <c r="E10" i="17" s="1"/>
  <c r="H388" i="2"/>
  <c r="H549" i="2"/>
  <c r="H569" i="2"/>
  <c r="H570" i="2" s="1"/>
  <c r="H629" i="2" s="1"/>
  <c r="H564" i="2"/>
  <c r="H565" i="2" s="1"/>
  <c r="H627" i="2"/>
  <c r="H559" i="2"/>
  <c r="H560" i="2" s="1"/>
  <c r="H555" i="2"/>
  <c r="H553" i="2"/>
  <c r="F525" i="2"/>
  <c r="F536" i="2"/>
  <c r="F509" i="2"/>
  <c r="G590" i="2"/>
  <c r="G636" i="2" s="1"/>
  <c r="I388" i="2"/>
  <c r="P595" i="2"/>
  <c r="P635" i="2" s="1"/>
  <c r="P619" i="2"/>
  <c r="P621" i="2" s="1"/>
  <c r="P641" i="2" s="1"/>
  <c r="H614" i="2"/>
  <c r="H616" i="2" s="1"/>
  <c r="H642" i="2" s="1"/>
  <c r="E11" i="17" s="1"/>
  <c r="F12" i="17"/>
  <c r="S642" i="2"/>
  <c r="H590" i="2"/>
  <c r="H636" i="2" s="1"/>
  <c r="G569" i="2"/>
  <c r="G570" i="2" s="1"/>
  <c r="G629" i="2" s="1"/>
  <c r="G564" i="2"/>
  <c r="G565" i="2" s="1"/>
  <c r="G549" i="2"/>
  <c r="G627" i="2"/>
  <c r="G388" i="2"/>
  <c r="G559" i="2"/>
  <c r="G560" i="2" s="1"/>
  <c r="G555" i="2"/>
  <c r="G553" i="2"/>
  <c r="Q614" i="2"/>
  <c r="Q616" i="2" s="1"/>
  <c r="Q642" i="2" s="1"/>
  <c r="Q590" i="2"/>
  <c r="Q636" i="2" s="1"/>
  <c r="H595" i="2"/>
  <c r="H635" i="2" s="1"/>
  <c r="H619" i="2"/>
  <c r="H621" i="2" s="1"/>
  <c r="H641" i="2" s="1"/>
  <c r="D11" i="17" s="1"/>
  <c r="F385" i="2"/>
  <c r="J590" i="2"/>
  <c r="J637" i="2" s="1"/>
  <c r="J614" i="2"/>
  <c r="J616" i="2" s="1"/>
  <c r="J643" i="2" s="1"/>
  <c r="F13" i="17" s="1"/>
  <c r="I630" i="2" l="1"/>
  <c r="J631" i="2"/>
  <c r="F588" i="2"/>
  <c r="F590" i="2" s="1"/>
  <c r="F636" i="2" s="1"/>
  <c r="F563" i="2"/>
  <c r="F568" i="2"/>
  <c r="F593" i="2"/>
  <c r="F377" i="2"/>
  <c r="G10" i="4"/>
  <c r="G630" i="2"/>
  <c r="F330" i="2"/>
  <c r="F331" i="2" s="1"/>
  <c r="F527" i="2"/>
  <c r="H630" i="2"/>
  <c r="F614" i="2" l="1"/>
  <c r="F616" i="2" s="1"/>
  <c r="F642" i="2" s="1"/>
  <c r="E9" i="17" s="1"/>
  <c r="F379" i="2"/>
  <c r="E10" i="4"/>
  <c r="F595" i="2"/>
  <c r="F635" i="2" s="1"/>
  <c r="F619" i="2"/>
  <c r="F621" i="2" s="1"/>
  <c r="F641" i="2" s="1"/>
  <c r="D9" i="17" s="1"/>
  <c r="F387" i="2" l="1"/>
  <c r="F10" i="4"/>
  <c r="H10" i="4" l="1"/>
  <c r="F569" i="2"/>
  <c r="F570" i="2" s="1"/>
  <c r="F629" i="2" s="1"/>
  <c r="F564" i="2"/>
  <c r="F565" i="2" s="1"/>
  <c r="F388" i="2"/>
  <c r="F549" i="2"/>
  <c r="F627" i="2"/>
  <c r="F559" i="2"/>
  <c r="F560" i="2" s="1"/>
  <c r="F555" i="2"/>
  <c r="F553" i="2"/>
  <c r="F630" i="2" l="1"/>
  <c r="L8" i="2" l="1"/>
  <c r="AG8" i="2" s="1"/>
  <c r="AH8" i="2" s="1"/>
  <c r="L47" i="2"/>
  <c r="L49" i="2" s="1"/>
  <c r="L237" i="2"/>
  <c r="L239" i="2" s="1"/>
  <c r="L123" i="2"/>
  <c r="L275" i="2"/>
  <c r="AG275" i="2" s="1"/>
  <c r="AH275" i="2" s="1"/>
  <c r="L85" i="2"/>
  <c r="AG85" i="2" s="1"/>
  <c r="AH85" i="2" s="1"/>
  <c r="L161" i="2"/>
  <c r="L163" i="2" s="1"/>
  <c r="AG484" i="2"/>
  <c r="AH484" i="2" s="1"/>
  <c r="L199" i="2"/>
  <c r="AG199" i="2" s="1"/>
  <c r="AH199" i="2" s="1"/>
  <c r="L495" i="2" l="1"/>
  <c r="L504" i="2" s="1"/>
  <c r="AG239" i="2"/>
  <c r="AH239" i="2" s="1"/>
  <c r="L269" i="2"/>
  <c r="AG49" i="2"/>
  <c r="AH49" i="2" s="1"/>
  <c r="L79" i="2"/>
  <c r="AG79" i="2" s="1"/>
  <c r="AH79" i="2" s="1"/>
  <c r="L193" i="2"/>
  <c r="AG163" i="2"/>
  <c r="AH163" i="2" s="1"/>
  <c r="AG161" i="2"/>
  <c r="AH161" i="2" s="1"/>
  <c r="L201" i="2"/>
  <c r="L513" i="2"/>
  <c r="L125" i="2"/>
  <c r="AG47" i="2"/>
  <c r="AH47" i="2" s="1"/>
  <c r="L10" i="2"/>
  <c r="L87" i="2"/>
  <c r="AG237" i="2"/>
  <c r="AH237" i="2" s="1"/>
  <c r="L277" i="2"/>
  <c r="AG123" i="2"/>
  <c r="L533" i="2" l="1"/>
  <c r="L552" i="2" s="1"/>
  <c r="L578" i="2"/>
  <c r="L604" i="2"/>
  <c r="L542" i="2"/>
  <c r="AG495" i="2"/>
  <c r="AH495" i="2" s="1"/>
  <c r="L500" i="2"/>
  <c r="AH123" i="2"/>
  <c r="AI123" i="2"/>
  <c r="AG125" i="2"/>
  <c r="L155" i="2"/>
  <c r="AG513" i="2"/>
  <c r="AH513" i="2" s="1"/>
  <c r="L518" i="2"/>
  <c r="AG518" i="2" s="1"/>
  <c r="AH518" i="2" s="1"/>
  <c r="AG10" i="2"/>
  <c r="AH10" i="2" s="1"/>
  <c r="L40" i="2"/>
  <c r="AG40" i="2" s="1"/>
  <c r="AH40" i="2" s="1"/>
  <c r="AG201" i="2"/>
  <c r="AH201" i="2" s="1"/>
  <c r="L231" i="2"/>
  <c r="L307" i="2"/>
  <c r="AG277" i="2"/>
  <c r="AH277" i="2" s="1"/>
  <c r="AG269" i="2"/>
  <c r="AH269" i="2" s="1"/>
  <c r="L321" i="2"/>
  <c r="AG321" i="2" s="1"/>
  <c r="L117" i="2"/>
  <c r="AG87" i="2"/>
  <c r="AH87" i="2" s="1"/>
  <c r="AG193" i="2"/>
  <c r="AH193" i="2" s="1"/>
  <c r="L194" i="2"/>
  <c r="L522" i="2" l="1"/>
  <c r="AG504" i="2"/>
  <c r="AH504" i="2" s="1"/>
  <c r="L603" i="2"/>
  <c r="L577" i="2"/>
  <c r="L369" i="2"/>
  <c r="AG369" i="2" s="1"/>
  <c r="AH369" i="2" s="1"/>
  <c r="L360" i="2"/>
  <c r="L372" i="2"/>
  <c r="AG372" i="2" s="1"/>
  <c r="AH372" i="2" s="1"/>
  <c r="L370" i="2"/>
  <c r="AG500" i="2"/>
  <c r="AH500" i="2" s="1"/>
  <c r="AH125" i="2"/>
  <c r="AI125" i="2"/>
  <c r="AH321" i="2"/>
  <c r="L367" i="2"/>
  <c r="AG367" i="2" s="1"/>
  <c r="AH367" i="2" s="1"/>
  <c r="AG231" i="2"/>
  <c r="AH231" i="2" s="1"/>
  <c r="L320" i="2"/>
  <c r="AG320" i="2" s="1"/>
  <c r="L232" i="2"/>
  <c r="L365" i="2"/>
  <c r="AG365" i="2" s="1"/>
  <c r="AH365" i="2" s="1"/>
  <c r="L368" i="2"/>
  <c r="AG368" i="2" s="1"/>
  <c r="AH368" i="2" s="1"/>
  <c r="L362" i="2"/>
  <c r="AG362" i="2" s="1"/>
  <c r="AH362" i="2" s="1"/>
  <c r="L383" i="2"/>
  <c r="AG383" i="2" s="1"/>
  <c r="AH383" i="2" s="1"/>
  <c r="L363" i="2"/>
  <c r="AG363" i="2" s="1"/>
  <c r="AH363" i="2" s="1"/>
  <c r="L371" i="2"/>
  <c r="AG371" i="2" s="1"/>
  <c r="AH371" i="2" s="1"/>
  <c r="L374" i="2"/>
  <c r="AG374" i="2" s="1"/>
  <c r="AH374" i="2" s="1"/>
  <c r="L361" i="2"/>
  <c r="AG117" i="2"/>
  <c r="AH117" i="2" s="1"/>
  <c r="L364" i="2"/>
  <c r="AG364" i="2" s="1"/>
  <c r="AH364" i="2" s="1"/>
  <c r="L328" i="2"/>
  <c r="L373" i="2"/>
  <c r="L118" i="2"/>
  <c r="L322" i="2"/>
  <c r="AG322" i="2" s="1"/>
  <c r="AG307" i="2"/>
  <c r="AH307" i="2" s="1"/>
  <c r="L308" i="2"/>
  <c r="L156" i="2"/>
  <c r="AG155" i="2"/>
  <c r="L319" i="2"/>
  <c r="L508" i="2" l="1"/>
  <c r="L537" i="2" s="1"/>
  <c r="AG370" i="2"/>
  <c r="AH370" i="2" s="1"/>
  <c r="L507" i="2"/>
  <c r="AG507" i="2" s="1"/>
  <c r="AH507" i="2" s="1"/>
  <c r="L534" i="2"/>
  <c r="L554" i="2" s="1"/>
  <c r="L579" i="2" s="1"/>
  <c r="L636" i="2" s="1"/>
  <c r="AG360" i="2"/>
  <c r="AH360" i="2" s="1"/>
  <c r="AG373" i="2"/>
  <c r="AH155" i="2"/>
  <c r="AI155" i="2"/>
  <c r="AH320" i="2"/>
  <c r="AI320" i="2"/>
  <c r="AH322" i="2"/>
  <c r="AI322" i="2"/>
  <c r="AG328" i="2"/>
  <c r="L381" i="2"/>
  <c r="L375" i="2"/>
  <c r="AG375" i="2" s="1"/>
  <c r="AH375" i="2" s="1"/>
  <c r="AG361" i="2"/>
  <c r="AG319" i="2"/>
  <c r="L324" i="2"/>
  <c r="AG508" i="2" l="1"/>
  <c r="AH508" i="2" s="1"/>
  <c r="L568" i="2"/>
  <c r="L536" i="2"/>
  <c r="L563" i="2" s="1"/>
  <c r="L523" i="2"/>
  <c r="L605" i="2"/>
  <c r="L642" i="2" s="1"/>
  <c r="AH361" i="2"/>
  <c r="AH373" i="2"/>
  <c r="L526" i="2"/>
  <c r="AH328" i="2"/>
  <c r="AI328" i="2"/>
  <c r="AH319" i="2"/>
  <c r="AI319" i="2"/>
  <c r="L525" i="2"/>
  <c r="L509" i="2"/>
  <c r="AG509" i="2" s="1"/>
  <c r="AH509" i="2" s="1"/>
  <c r="AG324" i="2"/>
  <c r="L326" i="2"/>
  <c r="L355" i="2"/>
  <c r="L385" i="2"/>
  <c r="AG381" i="2"/>
  <c r="AH381" i="2" s="1"/>
  <c r="L593" i="2" l="1"/>
  <c r="L619" i="2" s="1"/>
  <c r="L621" i="2" s="1"/>
  <c r="L641" i="2" s="1"/>
  <c r="L588" i="2"/>
  <c r="L590" i="2" s="1"/>
  <c r="L637" i="2" s="1"/>
  <c r="L527" i="2"/>
  <c r="AH324" i="2"/>
  <c r="AI324" i="2"/>
  <c r="L377" i="2"/>
  <c r="AG355" i="2"/>
  <c r="AH355" i="2" s="1"/>
  <c r="AG385" i="2"/>
  <c r="AH385" i="2" s="1"/>
  <c r="G16" i="4"/>
  <c r="AG326" i="2"/>
  <c r="AI326" i="2" s="1"/>
  <c r="L330" i="2"/>
  <c r="L331" i="2" s="1"/>
  <c r="G26" i="4" l="1"/>
  <c r="L595" i="2"/>
  <c r="L635" i="2" s="1"/>
  <c r="L614" i="2"/>
  <c r="L616" i="2" s="1"/>
  <c r="L643" i="2" s="1"/>
  <c r="AG330" i="2"/>
  <c r="AH330" i="2" s="1"/>
  <c r="AH326" i="2"/>
  <c r="E16" i="4"/>
  <c r="L379" i="2"/>
  <c r="AG377" i="2"/>
  <c r="AH377" i="2" s="1"/>
  <c r="AG379" i="2" l="1"/>
  <c r="AH379" i="2" s="1"/>
  <c r="L387" i="2"/>
  <c r="F16" i="4"/>
  <c r="E26" i="4"/>
  <c r="F26" i="4" s="1"/>
  <c r="AH1" i="2"/>
  <c r="L627" i="2" l="1"/>
  <c r="L549" i="2"/>
  <c r="L559" i="2"/>
  <c r="L560" i="2" s="1"/>
  <c r="L569" i="2"/>
  <c r="L570" i="2" s="1"/>
  <c r="L629" i="2" s="1"/>
  <c r="L564" i="2"/>
  <c r="L565" i="2" s="1"/>
  <c r="L555" i="2"/>
  <c r="L630" i="2" s="1"/>
  <c r="L553" i="2"/>
  <c r="H26" i="4"/>
  <c r="H16" i="4"/>
  <c r="N633" i="2"/>
  <c r="O633" i="2" s="1"/>
  <c r="P633" i="2" s="1"/>
  <c r="Q633" i="2" s="1"/>
  <c r="R633" i="2" s="1"/>
  <c r="L388" i="2"/>
  <c r="O14" i="4" l="1"/>
  <c r="O17" i="4"/>
  <c r="O15" i="4"/>
  <c r="O12" i="4"/>
  <c r="O11" i="4"/>
  <c r="O13" i="4"/>
  <c r="O10" i="4"/>
  <c r="O16" i="4"/>
  <c r="L631" i="2"/>
  <c r="I15" i="4"/>
  <c r="I17" i="4"/>
  <c r="I26" i="4"/>
  <c r="I13" i="4"/>
  <c r="I10" i="4"/>
  <c r="I12" i="4"/>
  <c r="I11" i="4"/>
  <c r="I14" i="4"/>
  <c r="I16" i="4"/>
  <c r="P16" i="4" l="1"/>
  <c r="S16" i="4" s="1"/>
  <c r="T16" i="4" s="1"/>
  <c r="R16" i="4"/>
  <c r="P15" i="4"/>
  <c r="S15" i="4" s="1"/>
  <c r="T15" i="4" s="1"/>
  <c r="R15" i="4"/>
  <c r="R10" i="4"/>
  <c r="P10" i="4"/>
  <c r="O26" i="4"/>
  <c r="P13" i="4"/>
  <c r="S13" i="4" s="1"/>
  <c r="T13" i="4" s="1"/>
  <c r="R13" i="4"/>
  <c r="R11" i="4"/>
  <c r="P11" i="4"/>
  <c r="S11" i="4" s="1"/>
  <c r="T11" i="4" s="1"/>
  <c r="R12" i="4"/>
  <c r="P12" i="4"/>
  <c r="S12" i="4" s="1"/>
  <c r="T12" i="4" s="1"/>
  <c r="P17" i="4"/>
  <c r="S17" i="4" s="1"/>
  <c r="T17" i="4" s="1"/>
  <c r="R17" i="4"/>
  <c r="R14" i="4"/>
  <c r="P14" i="4"/>
  <c r="S14" i="4" s="1"/>
  <c r="T14" i="4" s="1"/>
  <c r="S10" i="4" l="1"/>
  <c r="T10" i="4" s="1"/>
  <c r="P26" i="4"/>
  <c r="S26" i="4" s="1"/>
  <c r="R26" i="4"/>
</calcChain>
</file>

<file path=xl/sharedStrings.xml><?xml version="1.0" encoding="utf-8"?>
<sst xmlns="http://schemas.openxmlformats.org/spreadsheetml/2006/main" count="2311" uniqueCount="1132">
  <si>
    <t>Total</t>
  </si>
  <si>
    <t>Station Equipment</t>
  </si>
  <si>
    <t>Primary Distribution Plant</t>
  </si>
  <si>
    <t>Customer Services</t>
  </si>
  <si>
    <t>Meters</t>
  </si>
  <si>
    <t>Lighting Systems</t>
  </si>
  <si>
    <t>Description</t>
  </si>
  <si>
    <t>Name</t>
  </si>
  <si>
    <t>Vector</t>
  </si>
  <si>
    <t>System</t>
  </si>
  <si>
    <t>Demand</t>
  </si>
  <si>
    <t>Energy</t>
  </si>
  <si>
    <t>Customer</t>
  </si>
  <si>
    <t>Total Check</t>
  </si>
  <si>
    <t>Status</t>
  </si>
  <si>
    <t>Plant in Service</t>
  </si>
  <si>
    <t>PDIST</t>
  </si>
  <si>
    <t>LAND AND LAND RIGHTS</t>
  </si>
  <si>
    <t>P360</t>
  </si>
  <si>
    <t>Total Intangible Plant</t>
  </si>
  <si>
    <t>PINT</t>
  </si>
  <si>
    <t>Distribution</t>
  </si>
  <si>
    <t>STATION EQUIPMENT</t>
  </si>
  <si>
    <t>P362</t>
  </si>
  <si>
    <t>F001</t>
  </si>
  <si>
    <t>POLES, TOWERS AND FIXTURES</t>
  </si>
  <si>
    <t>P364</t>
  </si>
  <si>
    <t>F002</t>
  </si>
  <si>
    <t>OVERHEAD CONDUCTORS AND DEVICE</t>
  </si>
  <si>
    <t>P365</t>
  </si>
  <si>
    <t>F003</t>
  </si>
  <si>
    <t>UNDERGROUND CONDUIT</t>
  </si>
  <si>
    <t>P366</t>
  </si>
  <si>
    <t>F004</t>
  </si>
  <si>
    <t>UNDERGROUND CONDUCTORS AND DEV</t>
  </si>
  <si>
    <t>P367</t>
  </si>
  <si>
    <t>LINE TRANSFORMERS</t>
  </si>
  <si>
    <t>P368</t>
  </si>
  <si>
    <t>F005</t>
  </si>
  <si>
    <t>SERVICES</t>
  </si>
  <si>
    <t>P369</t>
  </si>
  <si>
    <t>F006</t>
  </si>
  <si>
    <t>METERS</t>
  </si>
  <si>
    <t>P370</t>
  </si>
  <si>
    <t>F007</t>
  </si>
  <si>
    <t>INSTALLATIONS ON CONSUMERS PRE</t>
  </si>
  <si>
    <t>P371</t>
  </si>
  <si>
    <t>STREET LIGHTING AND SIGNAL SYS</t>
  </si>
  <si>
    <t>P373</t>
  </si>
  <si>
    <t>F008</t>
  </si>
  <si>
    <t>Total Distribution Plant</t>
  </si>
  <si>
    <t>General Plant</t>
  </si>
  <si>
    <t>P389</t>
  </si>
  <si>
    <t>STRUCTURES AND IMPROVEMENTS</t>
  </si>
  <si>
    <t>P390</t>
  </si>
  <si>
    <t>OFFICE FURNITURE AND EQUIPMENT</t>
  </si>
  <si>
    <t>P391</t>
  </si>
  <si>
    <t>TRANSPORTATION EQUIPMENT</t>
  </si>
  <si>
    <t>P392</t>
  </si>
  <si>
    <t>STORES EQUIPMENT</t>
  </si>
  <si>
    <t>P393</t>
  </si>
  <si>
    <t>TOOLS, SHOP &amp; GARAGE EQUIPMENT</t>
  </si>
  <si>
    <t>P394</t>
  </si>
  <si>
    <t>LABORATORY EQUIPMENT</t>
  </si>
  <si>
    <t>P395</t>
  </si>
  <si>
    <t>POWER OPERATED EQUIPMENT</t>
  </si>
  <si>
    <t>P396</t>
  </si>
  <si>
    <t>COMMUNICATION EQUIPMENT</t>
  </si>
  <si>
    <t>P397</t>
  </si>
  <si>
    <t>Total General Plant</t>
  </si>
  <si>
    <t>PGP</t>
  </si>
  <si>
    <t>Total Plant in Service</t>
  </si>
  <si>
    <t>TPIS</t>
  </si>
  <si>
    <t>Construction Work in Progress (CWIP)</t>
  </si>
  <si>
    <t xml:space="preserve">  Total Construction Work in Progress</t>
  </si>
  <si>
    <t>TCWIP</t>
  </si>
  <si>
    <t>Rate Base</t>
  </si>
  <si>
    <t>Utility Plant</t>
  </si>
  <si>
    <t xml:space="preserve">    Total Utility Plant</t>
  </si>
  <si>
    <t>TUP</t>
  </si>
  <si>
    <t>Less: Acummulated Provision for Depreciation</t>
  </si>
  <si>
    <t xml:space="preserve">  General Plant</t>
  </si>
  <si>
    <t>TADEPR</t>
  </si>
  <si>
    <t>Net Utility Plant</t>
  </si>
  <si>
    <t>NTPLANT</t>
  </si>
  <si>
    <t>Working Capital</t>
  </si>
  <si>
    <t>Operation and Maintenance Expenses</t>
  </si>
  <si>
    <t>CWC</t>
  </si>
  <si>
    <t>OMLPP</t>
  </si>
  <si>
    <t>PREPAY</t>
  </si>
  <si>
    <t xml:space="preserve">  Total Working Capital</t>
  </si>
  <si>
    <t>TWC</t>
  </si>
  <si>
    <t>CSTDEP</t>
  </si>
  <si>
    <t>Net Rate Base</t>
  </si>
  <si>
    <t>RB</t>
  </si>
  <si>
    <t>Purchased Power</t>
  </si>
  <si>
    <t>OMPP</t>
  </si>
  <si>
    <t>Distribution Operation Expense</t>
  </si>
  <si>
    <t>OPERATION SUPERVISION AND ENGI</t>
  </si>
  <si>
    <t>OM580</t>
  </si>
  <si>
    <t>LOAD DISPATCHING</t>
  </si>
  <si>
    <t>OM581</t>
  </si>
  <si>
    <t>OVERHEAD LINE EXPENSES</t>
  </si>
  <si>
    <t>OM583</t>
  </si>
  <si>
    <t>UNDERGROUND LINE EXPENSES</t>
  </si>
  <si>
    <t>OM584</t>
  </si>
  <si>
    <t>STREET LIGHTING EXPENSE</t>
  </si>
  <si>
    <t>OM585</t>
  </si>
  <si>
    <t>METER EXPENSES</t>
  </si>
  <si>
    <t>OM586</t>
  </si>
  <si>
    <t>CUSTOMER INSTALLATIONS EXPENSE</t>
  </si>
  <si>
    <t>OM587</t>
  </si>
  <si>
    <t>MISCELLANEOUS DISTRIBUTION EXP</t>
  </si>
  <si>
    <t>OM588</t>
  </si>
  <si>
    <t>RENTS</t>
  </si>
  <si>
    <t>OM589</t>
  </si>
  <si>
    <t>Total Distribution Operation Expense</t>
  </si>
  <si>
    <t>OMDO</t>
  </si>
  <si>
    <t>Distribution Maintenance Expense</t>
  </si>
  <si>
    <t>MAINTENANCE SUPERVISION AND EN</t>
  </si>
  <si>
    <t>OM590</t>
  </si>
  <si>
    <t>MAINTENANCE OF STATION EQUIPME</t>
  </si>
  <si>
    <t>OM592</t>
  </si>
  <si>
    <t>MAINTENANCE OF OVERHEAD LINES</t>
  </si>
  <si>
    <t>OM593</t>
  </si>
  <si>
    <t>MAINTENANCE OF UNDERGROUND LIN</t>
  </si>
  <si>
    <t>OM594</t>
  </si>
  <si>
    <t>MAINTENANCE OF LINE TRANSFORME</t>
  </si>
  <si>
    <t>OM595</t>
  </si>
  <si>
    <t>MAINTENANCE OF METERS</t>
  </si>
  <si>
    <t>OM597</t>
  </si>
  <si>
    <t>OM598</t>
  </si>
  <si>
    <t>Total Distribution Maintenance Expense</t>
  </si>
  <si>
    <t>OMDM</t>
  </si>
  <si>
    <t>OMSUB</t>
  </si>
  <si>
    <t>Operation and Maintenance Expenses (Continued)</t>
  </si>
  <si>
    <t>Customer Accounts Expense</t>
  </si>
  <si>
    <t>SUPERVISION/CUSTOMER ACCTS</t>
  </si>
  <si>
    <t>OM901</t>
  </si>
  <si>
    <t>F009</t>
  </si>
  <si>
    <t>METER READING EXPENSES</t>
  </si>
  <si>
    <t>OM902</t>
  </si>
  <si>
    <t>OM903</t>
  </si>
  <si>
    <t>UNCOLLECTIBLE ACCOUNTS</t>
  </si>
  <si>
    <t>OM904</t>
  </si>
  <si>
    <t>Total Customer Accounts Expense</t>
  </si>
  <si>
    <t>OMCA</t>
  </si>
  <si>
    <t>Customer Service Expense</t>
  </si>
  <si>
    <t>OM907</t>
  </si>
  <si>
    <t>F010</t>
  </si>
  <si>
    <t>CUSTOMER ASSISTANCE EXPENSES</t>
  </si>
  <si>
    <t>OM908</t>
  </si>
  <si>
    <t>INFORMATIONAL AND INSTRUCTIONA</t>
  </si>
  <si>
    <t>OM909</t>
  </si>
  <si>
    <t>MISCELLANEOUS CUSTOMER SERVICE</t>
  </si>
  <si>
    <t>OM910</t>
  </si>
  <si>
    <t>Total Customer Service Expense</t>
  </si>
  <si>
    <t>OMCS</t>
  </si>
  <si>
    <t>Administrative and General Expense</t>
  </si>
  <si>
    <t>ADMIN. &amp; GEN. SALARIES-</t>
  </si>
  <si>
    <t>OM920</t>
  </si>
  <si>
    <t>OFFICE SUPPLIES AND EXPENSES</t>
  </si>
  <si>
    <t>OM921</t>
  </si>
  <si>
    <t>OUTSIDE SERVICES EMPLOYED</t>
  </si>
  <si>
    <t>OM923</t>
  </si>
  <si>
    <t>PROPERTY INSURANCE</t>
  </si>
  <si>
    <t>OM924</t>
  </si>
  <si>
    <t>INJURIES AND DAMAGES - INSURAN</t>
  </si>
  <si>
    <t>OM925</t>
  </si>
  <si>
    <t>EMPLOYEE BENEFITS</t>
  </si>
  <si>
    <t>OM926</t>
  </si>
  <si>
    <t>REGULATORY COMMISSION EXPENSES</t>
  </si>
  <si>
    <t>OM928</t>
  </si>
  <si>
    <t>MISCELLANEOUS GENERAL EXPENSES</t>
  </si>
  <si>
    <t>OM930</t>
  </si>
  <si>
    <t>RENTS AND LEASES</t>
  </si>
  <si>
    <t>OM931</t>
  </si>
  <si>
    <t>MAINTENANCE OF GENERAL PLANT</t>
  </si>
  <si>
    <t>Total Administrative and General Expense</t>
  </si>
  <si>
    <t>OMAG</t>
  </si>
  <si>
    <t>Total Operation and Maintenance Expenses</t>
  </si>
  <si>
    <t>TOM</t>
  </si>
  <si>
    <t>Labor Expenses</t>
  </si>
  <si>
    <t>Other Expenses</t>
  </si>
  <si>
    <t>Depreciation Expenses</t>
  </si>
  <si>
    <t>Total Depreciation Expense</t>
  </si>
  <si>
    <t>TDEPR</t>
  </si>
  <si>
    <t>Property Taxes</t>
  </si>
  <si>
    <t>PTAX</t>
  </si>
  <si>
    <t>OT</t>
  </si>
  <si>
    <t>Interest -- LTD</t>
  </si>
  <si>
    <t>INTLTD</t>
  </si>
  <si>
    <t>Interest -- Other</t>
  </si>
  <si>
    <t>INTOTH</t>
  </si>
  <si>
    <t>Other Deductions</t>
  </si>
  <si>
    <t>Total Other Expenses</t>
  </si>
  <si>
    <t>TOE</t>
  </si>
  <si>
    <t>Functional Vectors</t>
  </si>
  <si>
    <t>Poles, Towers and Fixtures</t>
  </si>
  <si>
    <t>Overhead Conductors and Devices</t>
  </si>
  <si>
    <t>Underground Conductors and Devices</t>
  </si>
  <si>
    <t>Line Transformers</t>
  </si>
  <si>
    <t>Services</t>
  </si>
  <si>
    <t>Street Lighting</t>
  </si>
  <si>
    <t>Meter Reading</t>
  </si>
  <si>
    <t>Billing</t>
  </si>
  <si>
    <t>Allocation</t>
  </si>
  <si>
    <t xml:space="preserve">  Demand</t>
  </si>
  <si>
    <t>PLPPD</t>
  </si>
  <si>
    <t>D01</t>
  </si>
  <si>
    <t xml:space="preserve">  Energy</t>
  </si>
  <si>
    <t>PLPPE</t>
  </si>
  <si>
    <t>E01</t>
  </si>
  <si>
    <t>Total Purchase Power</t>
  </si>
  <si>
    <t>PLPPT</t>
  </si>
  <si>
    <t>PLSED</t>
  </si>
  <si>
    <t>D02</t>
  </si>
  <si>
    <t>PLDPD</t>
  </si>
  <si>
    <t>D03</t>
  </si>
  <si>
    <t xml:space="preserve">  Customer</t>
  </si>
  <si>
    <t>PLDPC</t>
  </si>
  <si>
    <t>C01</t>
  </si>
  <si>
    <t>Total Primary Distribution Plant</t>
  </si>
  <si>
    <t>PLCSD</t>
  </si>
  <si>
    <t>PLCSC</t>
  </si>
  <si>
    <t>C02</t>
  </si>
  <si>
    <t>Total Customer Services</t>
  </si>
  <si>
    <t>PLMC</t>
  </si>
  <si>
    <t>C03</t>
  </si>
  <si>
    <t>PLLSC</t>
  </si>
  <si>
    <t>C04</t>
  </si>
  <si>
    <t>PLMRBC</t>
  </si>
  <si>
    <t>C05</t>
  </si>
  <si>
    <t>C06</t>
  </si>
  <si>
    <t>PLT</t>
  </si>
  <si>
    <t>NPPPD</t>
  </si>
  <si>
    <t>NPPPE</t>
  </si>
  <si>
    <t>NPPPT</t>
  </si>
  <si>
    <t>NPSED</t>
  </si>
  <si>
    <t>NPDPD</t>
  </si>
  <si>
    <t>NPDPC</t>
  </si>
  <si>
    <t>NPCSD</t>
  </si>
  <si>
    <t>NPCSC</t>
  </si>
  <si>
    <t>NPMC</t>
  </si>
  <si>
    <t>NPLSC</t>
  </si>
  <si>
    <t>NPMRBC</t>
  </si>
  <si>
    <t>NPT</t>
  </si>
  <si>
    <t>Net Cost Rate Base</t>
  </si>
  <si>
    <t>RBPPD</t>
  </si>
  <si>
    <t>RBPPE</t>
  </si>
  <si>
    <t>RBPPT</t>
  </si>
  <si>
    <t>RBSED</t>
  </si>
  <si>
    <t>RBDPD</t>
  </si>
  <si>
    <t>RBDPC</t>
  </si>
  <si>
    <t>RBCSD</t>
  </si>
  <si>
    <t>RBCSC</t>
  </si>
  <si>
    <t>RBMC</t>
  </si>
  <si>
    <t>RBLSC</t>
  </si>
  <si>
    <t>RBMRBC</t>
  </si>
  <si>
    <t>RBT</t>
  </si>
  <si>
    <t>OMPPD</t>
  </si>
  <si>
    <t>OMPPE</t>
  </si>
  <si>
    <t>OMPPT</t>
  </si>
  <si>
    <t>OMSED</t>
  </si>
  <si>
    <t>OMDPD</t>
  </si>
  <si>
    <t>OMDPC</t>
  </si>
  <si>
    <t>OMCSD</t>
  </si>
  <si>
    <t>OMCSC</t>
  </si>
  <si>
    <t>OMMC</t>
  </si>
  <si>
    <t>OMLSC</t>
  </si>
  <si>
    <t>OMMRBC</t>
  </si>
  <si>
    <t>OMT</t>
  </si>
  <si>
    <t>LBPPD</t>
  </si>
  <si>
    <t>LBPPE</t>
  </si>
  <si>
    <t>LBPPT</t>
  </si>
  <si>
    <t>LBSED</t>
  </si>
  <si>
    <t>LBDPD</t>
  </si>
  <si>
    <t>LBDPC</t>
  </si>
  <si>
    <t>LBCSD</t>
  </si>
  <si>
    <t>LBCSC</t>
  </si>
  <si>
    <t>LBMC</t>
  </si>
  <si>
    <t>LBLSC</t>
  </si>
  <si>
    <t>LBMRBC</t>
  </si>
  <si>
    <t>LBT</t>
  </si>
  <si>
    <t>DPPPD</t>
  </si>
  <si>
    <t>DPPPE</t>
  </si>
  <si>
    <t>DPPPT</t>
  </si>
  <si>
    <t>DPSED</t>
  </si>
  <si>
    <t>DPDPD</t>
  </si>
  <si>
    <t>DPDPC</t>
  </si>
  <si>
    <t>DPCSD</t>
  </si>
  <si>
    <t>DPCSC</t>
  </si>
  <si>
    <t>DPMC</t>
  </si>
  <si>
    <t>DPLSC</t>
  </si>
  <si>
    <t>DPMRBC</t>
  </si>
  <si>
    <t>DPT</t>
  </si>
  <si>
    <t>PTPPD</t>
  </si>
  <si>
    <t>PTPPE</t>
  </si>
  <si>
    <t>PTPPT</t>
  </si>
  <si>
    <t>PTSED</t>
  </si>
  <si>
    <t>PTDPD</t>
  </si>
  <si>
    <t>PTDPC</t>
  </si>
  <si>
    <t>PTCSD</t>
  </si>
  <si>
    <t>PTCSC</t>
  </si>
  <si>
    <t>PTMC</t>
  </si>
  <si>
    <t>PTLSC</t>
  </si>
  <si>
    <t>PTMRBC</t>
  </si>
  <si>
    <t>PTT</t>
  </si>
  <si>
    <t>Other Taxes</t>
  </si>
  <si>
    <t>OTPPD</t>
  </si>
  <si>
    <t>OTPPE</t>
  </si>
  <si>
    <t>OTPPT</t>
  </si>
  <si>
    <t>OTSED</t>
  </si>
  <si>
    <t>OTDPD</t>
  </si>
  <si>
    <t>OTDPC</t>
  </si>
  <si>
    <t>OTCSD</t>
  </si>
  <si>
    <t>OTCSC</t>
  </si>
  <si>
    <t>OTMC</t>
  </si>
  <si>
    <t>OTLSC</t>
  </si>
  <si>
    <t>OTMRBC</t>
  </si>
  <si>
    <t>OTT</t>
  </si>
  <si>
    <t>Operating Revenues</t>
  </si>
  <si>
    <t>REVUC</t>
  </si>
  <si>
    <t>Total Operating Revenues</t>
  </si>
  <si>
    <t>TOR</t>
  </si>
  <si>
    <t>Operating Expenses</t>
  </si>
  <si>
    <t xml:space="preserve">   Operation and Maintenance Expenses</t>
  </si>
  <si>
    <t xml:space="preserve">   Depreciation and Amortization Expenses</t>
  </si>
  <si>
    <t xml:space="preserve">   Property Taxes</t>
  </si>
  <si>
    <t xml:space="preserve">   Other Taxes</t>
  </si>
  <si>
    <t>Total Operating Expenses</t>
  </si>
  <si>
    <t>Utility Operating Margin</t>
  </si>
  <si>
    <t>Rate of Return</t>
  </si>
  <si>
    <t>Energy Allocation Factors</t>
  </si>
  <si>
    <t>Energy Usage by Class</t>
  </si>
  <si>
    <t>Demand Allocation Factors</t>
  </si>
  <si>
    <t>Purchase Power -- Average 12 CP</t>
  </si>
  <si>
    <t>Station Equipment -- Maximum Class Demand</t>
  </si>
  <si>
    <t>Primary Distribution Plant -- Maximum Class Demand</t>
  </si>
  <si>
    <t>Customer Allocation Factors</t>
  </si>
  <si>
    <t>Primary Distribution Plant -- Average Number of Customers</t>
  </si>
  <si>
    <t>Customer Services -- Average Number of Customers</t>
  </si>
  <si>
    <t>Meter Costs -- Weighted Cost of Meters</t>
  </si>
  <si>
    <t>Lighting Systems -- Lighting Customers</t>
  </si>
  <si>
    <t>Meter Reading and Billing -- Weighted Cost</t>
  </si>
  <si>
    <t>Margin</t>
  </si>
  <si>
    <t>Revenue</t>
  </si>
  <si>
    <t>Rev</t>
  </si>
  <si>
    <t>Transmission</t>
  </si>
  <si>
    <t>CONDUCTORS AND DEVICES</t>
  </si>
  <si>
    <t>P350</t>
  </si>
  <si>
    <t>P353</t>
  </si>
  <si>
    <t>P355</t>
  </si>
  <si>
    <t>P356</t>
  </si>
  <si>
    <t>Pri &amp; Sec. Distr Plant</t>
  </si>
  <si>
    <t>Primary &amp; Secondary Distribution Plant</t>
  </si>
  <si>
    <t>Intangible Plant</t>
  </si>
  <si>
    <t>Total Transmission Plant</t>
  </si>
  <si>
    <t>ORGANIZATION</t>
  </si>
  <si>
    <t>P301</t>
  </si>
  <si>
    <t>MISCELLANEOUS EQUIPMENT</t>
  </si>
  <si>
    <t>P398</t>
  </si>
  <si>
    <t>COMPLETED CONSTR NOT CLASSIFIED</t>
  </si>
  <si>
    <t>P106</t>
  </si>
  <si>
    <t>Plant in Service (Continued)</t>
  </si>
  <si>
    <t xml:space="preserve">  Total Utility Plant</t>
  </si>
  <si>
    <t xml:space="preserve">  Transmission</t>
  </si>
  <si>
    <t xml:space="preserve">  Electric Plant Amortization</t>
  </si>
  <si>
    <t xml:space="preserve">  Retirement Work in Progress</t>
  </si>
  <si>
    <t>Transmission Expenses</t>
  </si>
  <si>
    <t>STATION EXPENSES</t>
  </si>
  <si>
    <t>MAINTENACE SUPERVISION AND ENG</t>
  </si>
  <si>
    <t>OPERATION SUPERVISION AND ENG</t>
  </si>
  <si>
    <t>MAINT OF STATION EQUIPMENT</t>
  </si>
  <si>
    <t>MAINT OF OVERHEAD LINES</t>
  </si>
  <si>
    <t>Total Transmission Expenses</t>
  </si>
  <si>
    <t>OM582</t>
  </si>
  <si>
    <t>PURCHASED POWER</t>
  </si>
  <si>
    <t>MAINTENANCE OF ST LIGHTS &amp; SIG SYSTEMS</t>
  </si>
  <si>
    <t>OM596</t>
  </si>
  <si>
    <t>Total Distribution Operation and Maintenance Expenses</t>
  </si>
  <si>
    <t>Transmission and Distribution Expenses</t>
  </si>
  <si>
    <t>MAINTENANCE OF MISC DISTR PLANT</t>
  </si>
  <si>
    <t>SUPERVISION</t>
  </si>
  <si>
    <t>DUPLICATE CHARGES-CR</t>
  </si>
  <si>
    <t>OM929</t>
  </si>
  <si>
    <t>AMORT LIMITED-TERM ELECT PLANT</t>
  </si>
  <si>
    <t>AMORT ELECT PLANT ACQUISIT ADJ</t>
  </si>
  <si>
    <t>Total Cost of Service (O&amp;M + Other Expenses)</t>
  </si>
  <si>
    <t>PTRAN</t>
  </si>
  <si>
    <t>F011</t>
  </si>
  <si>
    <t>PT&amp;D</t>
  </si>
  <si>
    <t>ADEPREPA</t>
  </si>
  <si>
    <t>RWIP</t>
  </si>
  <si>
    <t>ADEPRTP</t>
  </si>
  <si>
    <t>M&amp;S</t>
  </si>
  <si>
    <t>OM555</t>
  </si>
  <si>
    <t>OTHER EXPENSES</t>
  </si>
  <si>
    <t>Total Purchased Power</t>
  </si>
  <si>
    <t>OM557</t>
  </si>
  <si>
    <t>TPP</t>
  </si>
  <si>
    <t>Purchased Power Expenses</t>
  </si>
  <si>
    <t>OM560</t>
  </si>
  <si>
    <t>OM561</t>
  </si>
  <si>
    <t>OM562</t>
  </si>
  <si>
    <t>OM563</t>
  </si>
  <si>
    <t>OM568</t>
  </si>
  <si>
    <t>OM570</t>
  </si>
  <si>
    <t>OM571</t>
  </si>
  <si>
    <t>Sub-Total Transmission, Distribution, Cust Acct and Cust Service</t>
  </si>
  <si>
    <t>OMSUB2</t>
  </si>
  <si>
    <t>Operation and Maintenance Expenses Less Purchase Power</t>
  </si>
  <si>
    <t>Cash Working Capital - Operation and Maintenance Expenses</t>
  </si>
  <si>
    <t>DEPRTP</t>
  </si>
  <si>
    <t>DEPRGP</t>
  </si>
  <si>
    <t>DEPRLTEP</t>
  </si>
  <si>
    <t>DEPRAADJ</t>
  </si>
  <si>
    <t>P352</t>
  </si>
  <si>
    <t>TOWERS AND FIXTURES</t>
  </si>
  <si>
    <t>POLES AND FIXTURES</t>
  </si>
  <si>
    <t>P354</t>
  </si>
  <si>
    <t>ROADS AND TRAILS</t>
  </si>
  <si>
    <t>P359</t>
  </si>
  <si>
    <t>P361</t>
  </si>
  <si>
    <t xml:space="preserve">  CWIP Transmission</t>
  </si>
  <si>
    <t xml:space="preserve">  Dist-Structures</t>
  </si>
  <si>
    <t xml:space="preserve">  Dist-Station</t>
  </si>
  <si>
    <t xml:space="preserve">  Dist-Poles and Fixtures</t>
  </si>
  <si>
    <t xml:space="preserve">  Dist-OH Conductor</t>
  </si>
  <si>
    <t xml:space="preserve">  Dist-UG Conductor</t>
  </si>
  <si>
    <t xml:space="preserve">  Dist-Line Transformers</t>
  </si>
  <si>
    <t xml:space="preserve">  Dist-Services</t>
  </si>
  <si>
    <t xml:space="preserve">  Dist-Meters</t>
  </si>
  <si>
    <t xml:space="preserve">  Dist-Installations on Customer Premises</t>
  </si>
  <si>
    <t xml:space="preserve">  Dist-Lighting &amp; Signal Systems</t>
  </si>
  <si>
    <t>ADEPRD1</t>
  </si>
  <si>
    <t>ADEPRD2</t>
  </si>
  <si>
    <t>ADEPRD3</t>
  </si>
  <si>
    <t>ADEPRD4</t>
  </si>
  <si>
    <t>ADEPRD5</t>
  </si>
  <si>
    <t>ADEPRD6</t>
  </si>
  <si>
    <t>ADEPRD7</t>
  </si>
  <si>
    <t>ADEPRD8</t>
  </si>
  <si>
    <t>ADEPRD9</t>
  </si>
  <si>
    <t>ADEPRD10</t>
  </si>
  <si>
    <t>ADEPRD11</t>
  </si>
  <si>
    <t xml:space="preserve">  Dist-UG Conduit</t>
  </si>
  <si>
    <t>ADEPRD12</t>
  </si>
  <si>
    <t xml:space="preserve">  CWIP General Plant</t>
  </si>
  <si>
    <t>METER EXPENSES - LOAD MANAGEMENT</t>
  </si>
  <si>
    <t>OM586x</t>
  </si>
  <si>
    <t>RECORDS AND COLLECTION</t>
  </si>
  <si>
    <t>MISC CUST ACCOUNTS</t>
  </si>
  <si>
    <t>CUSTOMER ASSISTANCE EXP-LOAD MGMT</t>
  </si>
  <si>
    <t>OM908x</t>
  </si>
  <si>
    <t>INFORM AND INSTRUC -LOAD MGMT</t>
  </si>
  <si>
    <t>OM909x</t>
  </si>
  <si>
    <t>DEPRDP1</t>
  </si>
  <si>
    <t>DEPRDP2</t>
  </si>
  <si>
    <t>DEPRDP3</t>
  </si>
  <si>
    <t>DEPRDP4</t>
  </si>
  <si>
    <t>DEPRDP5</t>
  </si>
  <si>
    <t>DEPRDP6</t>
  </si>
  <si>
    <t>DEPRDP7</t>
  </si>
  <si>
    <t>DEPRDP8</t>
  </si>
  <si>
    <t>DEPRDP9</t>
  </si>
  <si>
    <t>DEPRDP10</t>
  </si>
  <si>
    <t>DEPRDP11</t>
  </si>
  <si>
    <t>DEPRDP12</t>
  </si>
  <si>
    <t>Load Management</t>
  </si>
  <si>
    <t>F012</t>
  </si>
  <si>
    <t>PLD</t>
  </si>
  <si>
    <t>Labor Expenses (Continued)</t>
  </si>
  <si>
    <t>LBPP</t>
  </si>
  <si>
    <t>LB557</t>
  </si>
  <si>
    <t>LB561</t>
  </si>
  <si>
    <t>LB562</t>
  </si>
  <si>
    <t>LB563</t>
  </si>
  <si>
    <t>LB568</t>
  </si>
  <si>
    <t>LB570</t>
  </si>
  <si>
    <t>LB571</t>
  </si>
  <si>
    <t>LB580</t>
  </si>
  <si>
    <t>LB581</t>
  </si>
  <si>
    <t>LB582</t>
  </si>
  <si>
    <t>LB583</t>
  </si>
  <si>
    <t>LB584</t>
  </si>
  <si>
    <t>LB585</t>
  </si>
  <si>
    <t>LB586</t>
  </si>
  <si>
    <t>LB586x</t>
  </si>
  <si>
    <t>LB587</t>
  </si>
  <si>
    <t>LB588</t>
  </si>
  <si>
    <t>LB589</t>
  </si>
  <si>
    <t>LBDO</t>
  </si>
  <si>
    <t>LB590</t>
  </si>
  <si>
    <t>LB592</t>
  </si>
  <si>
    <t>LB593</t>
  </si>
  <si>
    <t>LB594</t>
  </si>
  <si>
    <t>LB595</t>
  </si>
  <si>
    <t>LB596</t>
  </si>
  <si>
    <t>LB597</t>
  </si>
  <si>
    <t>LB598</t>
  </si>
  <si>
    <t>LBDM</t>
  </si>
  <si>
    <t>LBSUB</t>
  </si>
  <si>
    <t>LB901</t>
  </si>
  <si>
    <t>LB902</t>
  </si>
  <si>
    <t>LB903</t>
  </si>
  <si>
    <t>LB904</t>
  </si>
  <si>
    <t>LBCA</t>
  </si>
  <si>
    <t>LB907</t>
  </si>
  <si>
    <t>LB908</t>
  </si>
  <si>
    <t>LB908x</t>
  </si>
  <si>
    <t>LB909</t>
  </si>
  <si>
    <t>LB909x</t>
  </si>
  <si>
    <t>LB910</t>
  </si>
  <si>
    <t>LBCS</t>
  </si>
  <si>
    <t>LBSUB2</t>
  </si>
  <si>
    <t>LB920</t>
  </si>
  <si>
    <t>LB921</t>
  </si>
  <si>
    <t>LB923</t>
  </si>
  <si>
    <t>LB924</t>
  </si>
  <si>
    <t>LB925</t>
  </si>
  <si>
    <t>LB926</t>
  </si>
  <si>
    <t>LB928</t>
  </si>
  <si>
    <t>LB929</t>
  </si>
  <si>
    <t>LB930</t>
  </si>
  <si>
    <t>LB931</t>
  </si>
  <si>
    <t>LBAG</t>
  </si>
  <si>
    <t>TLB</t>
  </si>
  <si>
    <t>LBLPP</t>
  </si>
  <si>
    <t>LB555</t>
  </si>
  <si>
    <t>LB560</t>
  </si>
  <si>
    <t>Total Purchased Power Labor</t>
  </si>
  <si>
    <t>Total Transmission Labor Expenses</t>
  </si>
  <si>
    <t>Transmission Labor Expenses</t>
  </si>
  <si>
    <t>Distribution Operation Labor Expense</t>
  </si>
  <si>
    <t>Total Distribution Operation Labor Expense</t>
  </si>
  <si>
    <t>Distribution Maintenance Labor Expense</t>
  </si>
  <si>
    <t>Total Distribution Maintenance Labor Expense</t>
  </si>
  <si>
    <t>Total Distribution Operation and Maintenance Labor Expenses</t>
  </si>
  <si>
    <t>Transmission and Distribution Labor Expenses</t>
  </si>
  <si>
    <t>Purchased Power, Transmission and Distribution Labor Expenses</t>
  </si>
  <si>
    <t>Total Customer Accounts Labor Expense</t>
  </si>
  <si>
    <t>Total Customer Service Labor Expense</t>
  </si>
  <si>
    <t>Sub-Total Trans, Distr, Cust Acct and Cust Service Labor Exp</t>
  </si>
  <si>
    <t>Meter Reading, Billing and Customer Service</t>
  </si>
  <si>
    <t>F013</t>
  </si>
  <si>
    <t>F014</t>
  </si>
  <si>
    <t>Intallations on Customer Premises - Plant in Service</t>
  </si>
  <si>
    <t>Intallations on Customer Premises - Accum Depr</t>
  </si>
  <si>
    <t>OM588x</t>
  </si>
  <si>
    <t>F015</t>
  </si>
  <si>
    <t>F016</t>
  </si>
  <si>
    <t>CWIP1</t>
  </si>
  <si>
    <t>CWIP2</t>
  </si>
  <si>
    <t>CWIP3</t>
  </si>
  <si>
    <t>CWIP4</t>
  </si>
  <si>
    <t>CWIP5</t>
  </si>
  <si>
    <t>Customers (Monthly Bills)</t>
  </si>
  <si>
    <t>Average Customers (Bills/12)</t>
  </si>
  <si>
    <t>Average Customers (Lighting = Lights)</t>
  </si>
  <si>
    <t>R01</t>
  </si>
  <si>
    <t>Cust01</t>
  </si>
  <si>
    <t>Cust02</t>
  </si>
  <si>
    <t>Cust03</t>
  </si>
  <si>
    <t>Cust04</t>
  </si>
  <si>
    <t>NCP</t>
  </si>
  <si>
    <t>Allocation Factors</t>
  </si>
  <si>
    <t>Total Operating Revenue -- Actual</t>
  </si>
  <si>
    <t>Pro-Forma Adjustments:</t>
  </si>
  <si>
    <t>Total Pro-Forma Operating Revenue</t>
  </si>
  <si>
    <t>Total Operating Expenses -- Actual</t>
  </si>
  <si>
    <t>Total Pro-forma Operating Expenses</t>
  </si>
  <si>
    <t>Utility Operating Margin -- Pro-Forma</t>
  </si>
  <si>
    <t>LEASED PROP. ON CONSUMERS PREMISES</t>
  </si>
  <si>
    <t>P372</t>
  </si>
  <si>
    <t>WATER HEATER - HEAT PUMP PROGRAM</t>
  </si>
  <si>
    <t>OM913</t>
  </si>
  <si>
    <t>ASSOCIATED DUES</t>
  </si>
  <si>
    <t xml:space="preserve">  Dist</t>
  </si>
  <si>
    <t xml:space="preserve">  Distribution Plant</t>
  </si>
  <si>
    <t>Average</t>
  </si>
  <si>
    <t>Cost of Service Summary -- Unadjusted Results</t>
  </si>
  <si>
    <t>Customers</t>
  </si>
  <si>
    <t>OTHER TANGIBLE PROPERTY</t>
  </si>
  <si>
    <t>P399</t>
  </si>
  <si>
    <t>MISC. TRANSMISSION EXPENSES</t>
  </si>
  <si>
    <t>OM566</t>
  </si>
  <si>
    <t>DEMONSTRATION AND SELLING EXP</t>
  </si>
  <si>
    <t>OM912</t>
  </si>
  <si>
    <t>LB566</t>
  </si>
  <si>
    <t>LB912</t>
  </si>
  <si>
    <t>LB913</t>
  </si>
  <si>
    <t>PAYROLL GENERAL LEDGER DEFAULT</t>
  </si>
  <si>
    <t>LB950</t>
  </si>
  <si>
    <t>Customer Specific Assignment</t>
  </si>
  <si>
    <t>Transmission Residual</t>
  </si>
  <si>
    <t xml:space="preserve">Transmission Plant In Service </t>
  </si>
  <si>
    <t>Transmission Residual Demand Allocator</t>
  </si>
  <si>
    <t>TRDA</t>
  </si>
  <si>
    <t>TA1</t>
  </si>
  <si>
    <t>Transmission Total</t>
  </si>
  <si>
    <t>T01</t>
  </si>
  <si>
    <t>Distribution Residual Demand Allocator</t>
  </si>
  <si>
    <t xml:space="preserve">Distribution Plant In Service </t>
  </si>
  <si>
    <t>Distribution Residual</t>
  </si>
  <si>
    <t>Distribution Total</t>
  </si>
  <si>
    <t>DDA</t>
  </si>
  <si>
    <t>DA1</t>
  </si>
  <si>
    <t>DT1</t>
  </si>
  <si>
    <t>Substation Residual Demand Allocator</t>
  </si>
  <si>
    <t xml:space="preserve">Substation Plant In Service </t>
  </si>
  <si>
    <t>Substation Residual</t>
  </si>
  <si>
    <t>Substation Total</t>
  </si>
  <si>
    <t>SDA</t>
  </si>
  <si>
    <t>ST1</t>
  </si>
  <si>
    <t>SA1</t>
  </si>
  <si>
    <t>Cust05</t>
  </si>
  <si>
    <t>Cust06</t>
  </si>
  <si>
    <t>CSA</t>
  </si>
  <si>
    <t>Customer Services Allocator</t>
  </si>
  <si>
    <t>Customer Services Demand</t>
  </si>
  <si>
    <t>CSD</t>
  </si>
  <si>
    <t>Transmission Plant Allocator</t>
  </si>
  <si>
    <t>TOMDA</t>
  </si>
  <si>
    <t>TOMA</t>
  </si>
  <si>
    <t>T02</t>
  </si>
  <si>
    <t>DOMDA</t>
  </si>
  <si>
    <t>DOMA</t>
  </si>
  <si>
    <t>DOM</t>
  </si>
  <si>
    <t>SOMDA</t>
  </si>
  <si>
    <t>STOM</t>
  </si>
  <si>
    <t>SOMA</t>
  </si>
  <si>
    <t>Transmission O&amp;M Allocator</t>
  </si>
  <si>
    <t>Distribution O&amp;M Allocator</t>
  </si>
  <si>
    <t>Distribution Plant Allocator</t>
  </si>
  <si>
    <t>Substation Plant Allocator</t>
  </si>
  <si>
    <t>Substation O&amp;M Allocator</t>
  </si>
  <si>
    <t>ADVERTISING EXPENSES</t>
  </si>
  <si>
    <t>MDSE-JOBBING-CONTRACT</t>
  </si>
  <si>
    <t>MISC SALES EXPENSE</t>
  </si>
  <si>
    <t>OM916</t>
  </si>
  <si>
    <t>LB915</t>
  </si>
  <si>
    <t>LB916</t>
  </si>
  <si>
    <t>Coincident</t>
  </si>
  <si>
    <t>Purchased Power Demand</t>
  </si>
  <si>
    <t>Purchased Power Energy</t>
  </si>
  <si>
    <t>Distribution Demand</t>
  </si>
  <si>
    <t>Distribution Customer</t>
  </si>
  <si>
    <t>Operating Expenses-Unit Costs</t>
  </si>
  <si>
    <t>Rate Base-Unit Costs</t>
  </si>
  <si>
    <t>Purchased Power Residual Demand Allocator</t>
  </si>
  <si>
    <t xml:space="preserve">Purchased Power Demand Costs </t>
  </si>
  <si>
    <t>Purchased Power Demand Residual</t>
  </si>
  <si>
    <t>Purchased Power Demand Total</t>
  </si>
  <si>
    <t>Purchased Power Demand Allocator</t>
  </si>
  <si>
    <t>PPDT</t>
  </si>
  <si>
    <t>PPDA</t>
  </si>
  <si>
    <t>PPDRA</t>
  </si>
  <si>
    <t>Purchased Power Residual Energy Allocator</t>
  </si>
  <si>
    <t xml:space="preserve">Purchased Power Energy Costs </t>
  </si>
  <si>
    <t>Purchased Power Energy Residual</t>
  </si>
  <si>
    <t>Purchased Power Energy Total</t>
  </si>
  <si>
    <t>Purchased Power Energy Allocator</t>
  </si>
  <si>
    <t>PPERA</t>
  </si>
  <si>
    <t>PPET</t>
  </si>
  <si>
    <t>PPEA</t>
  </si>
  <si>
    <t>Unit Revenue Requirement @ Current Class Revenues</t>
  </si>
  <si>
    <t xml:space="preserve">Distribution Demand </t>
  </si>
  <si>
    <t xml:space="preserve">Distribution Customer </t>
  </si>
  <si>
    <t>Distribution Customer (Per Customer Per Month)</t>
  </si>
  <si>
    <t>Distribution Customer Margin (Per Customer Per Month)</t>
  </si>
  <si>
    <t>Total Distribution Customer (Per Customer Per Month)</t>
  </si>
  <si>
    <t>Unit Revenue Requirement @ Total System Rate of Return</t>
  </si>
  <si>
    <t>Expenses</t>
  </si>
  <si>
    <t>Operating</t>
  </si>
  <si>
    <t>Summary of Rates of Return by Class</t>
  </si>
  <si>
    <t>Summary of Billing Determinants and Demand Analysis</t>
  </si>
  <si>
    <t>Meter Costs</t>
  </si>
  <si>
    <t>Kwh's</t>
  </si>
  <si>
    <t>Average Demand</t>
  </si>
  <si>
    <t>Coincidence Factor</t>
  </si>
  <si>
    <t>Coincident Demand</t>
  </si>
  <si>
    <t>Max Demand</t>
  </si>
  <si>
    <t>Individual</t>
  </si>
  <si>
    <t>Sum of</t>
  </si>
  <si>
    <t>Demands</t>
  </si>
  <si>
    <t>Summer</t>
  </si>
  <si>
    <t>Winter</t>
  </si>
  <si>
    <t>SIC</t>
  </si>
  <si>
    <t>Coin Demand</t>
  </si>
  <si>
    <t>Winter CP Demands</t>
  </si>
  <si>
    <t>Summer CP Demands</t>
  </si>
  <si>
    <t>Class Maximum Demands</t>
  </si>
  <si>
    <t>Class Demand</t>
  </si>
  <si>
    <t>During</t>
  </si>
  <si>
    <t>Peak Month</t>
  </si>
  <si>
    <t>Pro-Forma Operating Expenses</t>
  </si>
  <si>
    <t>Unit Revenue Requirement @ Specified Rate of Return</t>
  </si>
  <si>
    <t>Service Costs</t>
  </si>
  <si>
    <t xml:space="preserve">Services </t>
  </si>
  <si>
    <t>SERV</t>
  </si>
  <si>
    <t>Rate 31</t>
  </si>
  <si>
    <t>N/A</t>
  </si>
  <si>
    <t>MISC. INTANGIBLE</t>
  </si>
  <si>
    <t>P303</t>
  </si>
  <si>
    <t>ELECTRIC PLANT PURCHASED OR SOLD</t>
  </si>
  <si>
    <t>P102</t>
  </si>
  <si>
    <t>Mapping</t>
  </si>
  <si>
    <t>MISC DISTR EXP -- MAPPING</t>
  </si>
  <si>
    <t>OM911</t>
  </si>
  <si>
    <t>OM935</t>
  </si>
  <si>
    <t>LB911</t>
  </si>
  <si>
    <t>LB935</t>
  </si>
  <si>
    <t>Residential Service</t>
  </si>
  <si>
    <t>Rate 30</t>
  </si>
  <si>
    <t>Difference</t>
  </si>
  <si>
    <t>Industrial Power - 12KV Distribution</t>
  </si>
  <si>
    <t>Industrial Power - 46 &amp; 115KV Transmission</t>
  </si>
  <si>
    <t>GeoExchange System Residential</t>
  </si>
  <si>
    <t>GeoExchange System Commercial</t>
  </si>
  <si>
    <t>Residential Time of Use Service</t>
  </si>
  <si>
    <t>12 - Month</t>
  </si>
  <si>
    <t xml:space="preserve">Customer </t>
  </si>
  <si>
    <t>Rate 10 &amp; 13</t>
  </si>
  <si>
    <t>Residential SD Time Of Use Service</t>
  </si>
  <si>
    <t>Small Commercial Service</t>
  </si>
  <si>
    <t>Small Commercial Time Of Use Service</t>
  </si>
  <si>
    <t>Large Commercial Service</t>
  </si>
  <si>
    <t>Optional Large Commercial Service</t>
  </si>
  <si>
    <t>Municipal Service</t>
  </si>
  <si>
    <t>Security/Street Lighting</t>
  </si>
  <si>
    <t>Rate 7 &amp; 8</t>
  </si>
  <si>
    <t>Rate 20 &amp; 23</t>
  </si>
  <si>
    <t>Rate 25 &amp; 26</t>
  </si>
  <si>
    <t>Rate 14</t>
  </si>
  <si>
    <t>Rate 11</t>
  </si>
  <si>
    <t>Rate 60 &amp; 63</t>
  </si>
  <si>
    <t>Rate 4</t>
  </si>
  <si>
    <t>Rate 5</t>
  </si>
  <si>
    <t>Rate 1C</t>
  </si>
  <si>
    <t>Rate 2C</t>
  </si>
  <si>
    <t>Sales</t>
  </si>
  <si>
    <t>Loss Factor</t>
  </si>
  <si>
    <t>Energy Including Losses</t>
  </si>
  <si>
    <t>Sum of the Individual Customer Demands</t>
  </si>
  <si>
    <t>Misc. Service Revenue</t>
  </si>
  <si>
    <t>MISCSERV</t>
  </si>
  <si>
    <t>Pro-forma Rate Base</t>
  </si>
  <si>
    <t>Pro-forma Rate Base Adjustments</t>
  </si>
  <si>
    <t xml:space="preserve">  </t>
  </si>
  <si>
    <t>Total Transmission and Distribution Plant</t>
  </si>
  <si>
    <t>Rate</t>
  </si>
  <si>
    <t>Allocation Factor</t>
  </si>
  <si>
    <t>Lighting</t>
  </si>
  <si>
    <t>Diversified Load Factor</t>
  </si>
  <si>
    <t>Non-Coincident Demand</t>
  </si>
  <si>
    <t>Individual Customer Load Factor</t>
  </si>
  <si>
    <t>Sum of Individual Customer Demands</t>
  </si>
  <si>
    <t>Rate     Code</t>
  </si>
  <si>
    <t>Revenue Requirement Calculated at a Rate of Return of</t>
  </si>
  <si>
    <t>Energy Charge ($/kWh)</t>
  </si>
  <si>
    <t>Production &amp; Purchased Power</t>
  </si>
  <si>
    <t xml:space="preserve">  Total Sales of Electric Energy</t>
  </si>
  <si>
    <t xml:space="preserve">  Other Electric Revenues</t>
  </si>
  <si>
    <t xml:space="preserve">  Asset Retirement Costs</t>
  </si>
  <si>
    <t xml:space="preserve">  Steam Prod Plant</t>
  </si>
  <si>
    <t>Steam Production</t>
  </si>
  <si>
    <t>BOILER PLANT EQUIPMENT</t>
  </si>
  <si>
    <t>ENGINES AND ENGINE DRIVEN GENERATORS</t>
  </si>
  <si>
    <t>TURBOGENERATOR UNITS</t>
  </si>
  <si>
    <t>ACCESSORY ELEC EQUIP</t>
  </si>
  <si>
    <t>ASSET RETIREMENT COST FOR STEAM PROD</t>
  </si>
  <si>
    <t>MISC POWER PLANT EQUIPMENT</t>
  </si>
  <si>
    <t>P310</t>
  </si>
  <si>
    <t>P312</t>
  </si>
  <si>
    <t>P313</t>
  </si>
  <si>
    <t>P314</t>
  </si>
  <si>
    <t>P315</t>
  </si>
  <si>
    <t>P316</t>
  </si>
  <si>
    <t>P317</t>
  </si>
  <si>
    <t>P311</t>
  </si>
  <si>
    <t>PPROD</t>
  </si>
  <si>
    <t>Total Steam Production Plant</t>
  </si>
  <si>
    <t>Total Production, Transmission &amp; Distribution Plant</t>
  </si>
  <si>
    <t>PPT&amp;D</t>
  </si>
  <si>
    <t>F017</t>
  </si>
  <si>
    <t xml:space="preserve">  CWIP Production</t>
  </si>
  <si>
    <t>Steam Power Production Operations Expense</t>
  </si>
  <si>
    <t>Steam Power Production Maintenance Expense</t>
  </si>
  <si>
    <t>Total Steam Production Maintenance Expense</t>
  </si>
  <si>
    <t>Total Steam Production Operation and Maintenance Expenses</t>
  </si>
  <si>
    <t>Total Steam Production Operation Expense</t>
  </si>
  <si>
    <t>OPERATION SUPV AND ENGINEERING</t>
  </si>
  <si>
    <t>FUEL</t>
  </si>
  <si>
    <t>STEAM EXPENSES</t>
  </si>
  <si>
    <t>STEAM FROM OTHER SOURCES</t>
  </si>
  <si>
    <t>STEAM TRANSFERRED - CREDIT</t>
  </si>
  <si>
    <t>ELECTRIC EXPENSES</t>
  </si>
  <si>
    <t>MISC STEAM POWER EXPENSES</t>
  </si>
  <si>
    <t>ALLOWANCES</t>
  </si>
  <si>
    <t>MAINENANCE SUPV AND ENGINEERING</t>
  </si>
  <si>
    <t>MAINTENANCE OF STRUCTURES</t>
  </si>
  <si>
    <t>MAINTENANCE OF BOILER PLANT</t>
  </si>
  <si>
    <t>MAINTENANCE OF ELECTRIC PLANT</t>
  </si>
  <si>
    <t>MAINTENANCE OF MISC STEAM PLANT</t>
  </si>
  <si>
    <t>OM500</t>
  </si>
  <si>
    <t>OM501</t>
  </si>
  <si>
    <t>OM502</t>
  </si>
  <si>
    <t>OM503</t>
  </si>
  <si>
    <t>OM504</t>
  </si>
  <si>
    <t>OM505</t>
  </si>
  <si>
    <t>OM506</t>
  </si>
  <si>
    <t>OM507</t>
  </si>
  <si>
    <t>OM509</t>
  </si>
  <si>
    <t>OMPO</t>
  </si>
  <si>
    <t>OMPM</t>
  </si>
  <si>
    <t>OM510</t>
  </si>
  <si>
    <t>OM511</t>
  </si>
  <si>
    <t>OM512</t>
  </si>
  <si>
    <t>OM513</t>
  </si>
  <si>
    <t>OM514</t>
  </si>
  <si>
    <t>Production - Demand</t>
  </si>
  <si>
    <t>Production - Energy</t>
  </si>
  <si>
    <t>OMP</t>
  </si>
  <si>
    <t>Production, Purchased Power, Trans and Distr Expenses</t>
  </si>
  <si>
    <t>Steam Production, Transmission and Distribution Expenses</t>
  </si>
  <si>
    <t>DEPRPP</t>
  </si>
  <si>
    <t>FRANCHISES</t>
  </si>
  <si>
    <t>P302</t>
  </si>
  <si>
    <t>Electric Plant Acquisition Adjustment</t>
  </si>
  <si>
    <t>RENEWABLE ENERGY CR EXP</t>
  </si>
  <si>
    <t>OM559</t>
  </si>
  <si>
    <t xml:space="preserve">  Steam Production</t>
  </si>
  <si>
    <t xml:space="preserve">   Total Accumulated Depreciation &amp; Amort</t>
  </si>
  <si>
    <t xml:space="preserve">  Accum Amtz - Electric Plant Acquisition</t>
  </si>
  <si>
    <t xml:space="preserve">  Accum Amtz - Electric Plant in Service </t>
  </si>
  <si>
    <t xml:space="preserve">  General Plant </t>
  </si>
  <si>
    <t>ADEPRPP</t>
  </si>
  <si>
    <t xml:space="preserve">  CWIP Distribution</t>
  </si>
  <si>
    <t>LB500</t>
  </si>
  <si>
    <t>LB501</t>
  </si>
  <si>
    <t>LB502</t>
  </si>
  <si>
    <t>LB503</t>
  </si>
  <si>
    <t>LB504</t>
  </si>
  <si>
    <t>LB505</t>
  </si>
  <si>
    <t>LB506</t>
  </si>
  <si>
    <t>LB507</t>
  </si>
  <si>
    <t>LB509</t>
  </si>
  <si>
    <t>LBPO</t>
  </si>
  <si>
    <t>LB510</t>
  </si>
  <si>
    <t>LB511</t>
  </si>
  <si>
    <t>LB512</t>
  </si>
  <si>
    <t>LB513</t>
  </si>
  <si>
    <t>LB514</t>
  </si>
  <si>
    <t>LBPM</t>
  </si>
  <si>
    <t>LBP</t>
  </si>
  <si>
    <t>DONAT</t>
  </si>
  <si>
    <t>TOTAL</t>
  </si>
  <si>
    <t>Rate Class</t>
  </si>
  <si>
    <t>Total                         Cost</t>
  </si>
  <si>
    <t>Total             Cost</t>
  </si>
  <si>
    <t>KWH</t>
  </si>
  <si>
    <t>Cost of Service Summary -- Adjusted Results</t>
  </si>
  <si>
    <t>Other Allocation Factors</t>
  </si>
  <si>
    <t>on Rate Base</t>
  </si>
  <si>
    <t>Rate Schedule</t>
  </si>
  <si>
    <t>Code</t>
  </si>
  <si>
    <t>Rate               Code</t>
  </si>
  <si>
    <t>Installed            Meters</t>
  </si>
  <si>
    <t>Avg Meter           Cost</t>
  </si>
  <si>
    <t>Allocation            Factor</t>
  </si>
  <si>
    <t>Average         Service           Cost</t>
  </si>
  <si>
    <t xml:space="preserve">Average             Number               of Services </t>
  </si>
  <si>
    <t>Summary of Cost-Based Charges</t>
  </si>
  <si>
    <t>At Current Class Rate of Return</t>
  </si>
  <si>
    <t>Customer Charge ($/month)</t>
  </si>
  <si>
    <t>Demand Charge ($/kW)</t>
  </si>
  <si>
    <t>At Current Total System Rate of Return</t>
  </si>
  <si>
    <t>At Specified Total System Rate of Return</t>
  </si>
  <si>
    <t>NPTD</t>
  </si>
  <si>
    <t>PLTD</t>
  </si>
  <si>
    <t>RBTD</t>
  </si>
  <si>
    <t>OMTD</t>
  </si>
  <si>
    <t>LBTD</t>
  </si>
  <si>
    <t>DPTD</t>
  </si>
  <si>
    <t>PTTD</t>
  </si>
  <si>
    <t>OTTD</t>
  </si>
  <si>
    <t>12 Month Sum of Coincident Demands</t>
  </si>
  <si>
    <t>SICD</t>
  </si>
  <si>
    <t>Transmission Demand</t>
  </si>
  <si>
    <t>Production &amp; Purchase Power</t>
  </si>
  <si>
    <t>Production &amp; Purchased Power Demand</t>
  </si>
  <si>
    <t>Production &amp; Purchased Power Energy</t>
  </si>
  <si>
    <t>Purchased Power Energy (per KWH)</t>
  </si>
  <si>
    <t>Distribution Customer (per Customer)</t>
  </si>
  <si>
    <t>Production &amp; Purchased Power Energy (Per KWH)</t>
  </si>
  <si>
    <t>Production &amp; Purchased Power Energy Margin (Per KWH)</t>
  </si>
  <si>
    <t>Total Pro Forma Adjustments</t>
  </si>
  <si>
    <t>Average Customers (Lighting =45 Lights per Cust)</t>
  </si>
  <si>
    <t>Allocation Factors (continued)</t>
  </si>
  <si>
    <t>Various</t>
  </si>
  <si>
    <t>%</t>
  </si>
  <si>
    <t xml:space="preserve"> Revenue</t>
  </si>
  <si>
    <t>Pro Forma</t>
  </si>
  <si>
    <t>Power Supply</t>
  </si>
  <si>
    <t>SYSTEM CONTROL &amp; LOAD DISPATCHING</t>
  </si>
  <si>
    <t>OM556</t>
  </si>
  <si>
    <t>TRANSMISION OF ELEC BY OTHERS</t>
  </si>
  <si>
    <t>OM564</t>
  </si>
  <si>
    <t>OM565</t>
  </si>
  <si>
    <t>OM567</t>
  </si>
  <si>
    <t>MAINTENANCE SUPERVISION AND ENG</t>
  </si>
  <si>
    <t>OM569</t>
  </si>
  <si>
    <t>MAINT MISC</t>
  </si>
  <si>
    <t xml:space="preserve">MAINT OF TRANS PLANT </t>
  </si>
  <si>
    <t>OM572</t>
  </si>
  <si>
    <t>OM573</t>
  </si>
  <si>
    <t>OM574</t>
  </si>
  <si>
    <t>MAINT OF UNDERGROUND LINES</t>
  </si>
  <si>
    <t>OM917</t>
  </si>
  <si>
    <t>TRANSPORTATION EXPENSES</t>
  </si>
  <si>
    <t>OM933</t>
  </si>
  <si>
    <t>OM932</t>
  </si>
  <si>
    <t>MAINT OF GENERAL PLANT</t>
  </si>
  <si>
    <t xml:space="preserve">SALES </t>
  </si>
  <si>
    <t>OM914</t>
  </si>
  <si>
    <t>DUPLICATE CHARGES - CREDIT</t>
  </si>
  <si>
    <t xml:space="preserve">  CWIP Other</t>
  </si>
  <si>
    <t>Deferred Debits &amp; Credits</t>
  </si>
  <si>
    <t>DDEB1</t>
  </si>
  <si>
    <t>DDEB2</t>
  </si>
  <si>
    <t>DDEB3</t>
  </si>
  <si>
    <t>DCRED1</t>
  </si>
  <si>
    <t xml:space="preserve">  Total Deferred Debits &amp; Credits</t>
  </si>
  <si>
    <t>Acct 555</t>
  </si>
  <si>
    <t>kWh</t>
  </si>
  <si>
    <t>Unitized Rate of Return</t>
  </si>
  <si>
    <t>beretta12</t>
  </si>
  <si>
    <t xml:space="preserve">Unitized </t>
  </si>
  <si>
    <t>Residential &amp; Commercial Rev</t>
  </si>
  <si>
    <t>RCRev</t>
  </si>
  <si>
    <t>12CP</t>
  </si>
  <si>
    <t>WCP</t>
  </si>
  <si>
    <t>SCP</t>
  </si>
  <si>
    <t>#</t>
  </si>
  <si>
    <t>Item</t>
  </si>
  <si>
    <t>Materials and Supplies (13-Month Avg)</t>
  </si>
  <si>
    <t>Prepayments (13-Month Average)</t>
  </si>
  <si>
    <t>FAC</t>
  </si>
  <si>
    <t>ES</t>
  </si>
  <si>
    <t>YEC</t>
  </si>
  <si>
    <t>$/Month</t>
  </si>
  <si>
    <t>$/KWH</t>
  </si>
  <si>
    <t>$/KW</t>
  </si>
  <si>
    <t>Variance</t>
  </si>
  <si>
    <t>Summary of Cost-Based Rates</t>
  </si>
  <si>
    <t>Actual</t>
  </si>
  <si>
    <t>Linear Regression Inputs</t>
  </si>
  <si>
    <t>Unit Cost</t>
  </si>
  <si>
    <t>Size</t>
  </si>
  <si>
    <t>Cost</t>
  </si>
  <si>
    <t>Quantity</t>
  </si>
  <si>
    <t>($ per Unit)</t>
  </si>
  <si>
    <t>y*n^0.5</t>
  </si>
  <si>
    <t>n^0.5</t>
  </si>
  <si>
    <t>xn^0.5</t>
  </si>
  <si>
    <t>Zero Intercept Linear Regression Results</t>
  </si>
  <si>
    <t>LINEST Array</t>
  </si>
  <si>
    <t>Size Coefficient  ($ per MCM)</t>
  </si>
  <si>
    <t>Zero Intercept ($ per Unit)</t>
  </si>
  <si>
    <t>R-Square</t>
  </si>
  <si>
    <t>Plant Classification</t>
  </si>
  <si>
    <t>Total Number of Units</t>
  </si>
  <si>
    <t>Zero Intercept ($/Unit)</t>
  </si>
  <si>
    <t>Minimum System ($/Unit)</t>
  </si>
  <si>
    <t>Use Min System (M) or Zero Intercept (Z)?</t>
  </si>
  <si>
    <t>Zero Intercept or Min System Cost ($)</t>
  </si>
  <si>
    <t>Total Cost of Sample</t>
  </si>
  <si>
    <t>Percentage of Total</t>
  </si>
  <si>
    <t>Percentage Classified as Customer-Related</t>
  </si>
  <si>
    <t>Percentage Classified as Demand-Related</t>
  </si>
  <si>
    <t>Account 365 - Overhead Conductors and Devices</t>
  </si>
  <si>
    <t>Z</t>
  </si>
  <si>
    <t>Account 367 - Underground Conductors and Devices</t>
  </si>
  <si>
    <t>Account 368 - Line Transformers</t>
  </si>
  <si>
    <t>NARUC CAM</t>
  </si>
  <si>
    <t>Incl?</t>
  </si>
  <si>
    <t>Qty</t>
  </si>
  <si>
    <t>*</t>
  </si>
  <si>
    <t xml:space="preserve">* Only single-phase up to 50 KVA should be included </t>
  </si>
  <si>
    <t>in the Customer-related component per NARUC CAM</t>
  </si>
  <si>
    <t>Descripton</t>
  </si>
  <si>
    <t>Acct</t>
  </si>
  <si>
    <t>Zero Intercept &amp; Minimum System Analyses</t>
  </si>
  <si>
    <t>Meter Reading Billing and Cust Acct Service</t>
  </si>
  <si>
    <t>Production &amp; Purchased Power Demand (per KWH or KW)</t>
  </si>
  <si>
    <t>Transmission Demand (per KWH or KW)</t>
  </si>
  <si>
    <t>Distribution Demand (per KWH or KW)</t>
  </si>
  <si>
    <t>Production &amp; Purchased Power Demand (Per KWH or KW)</t>
  </si>
  <si>
    <t>Production &amp; Purchased Power Demand Margin (Per KWH or KW)</t>
  </si>
  <si>
    <t>Transmission Demand (Per KWH or KW)</t>
  </si>
  <si>
    <t>Transmission Demand Margin (Per KWH or KW)</t>
  </si>
  <si>
    <t>Total Transmission Demand (Per KWH or KW)</t>
  </si>
  <si>
    <t>Distribution Demand (Per KWH or KW)</t>
  </si>
  <si>
    <t>Distribution Demand Margin (Per KWH or KW)</t>
  </si>
  <si>
    <t>Total Distribution Demand (Per KWH or KW)</t>
  </si>
  <si>
    <t>Large Industrial Rate</t>
  </si>
  <si>
    <t>FAC $</t>
  </si>
  <si>
    <t>ES $</t>
  </si>
  <si>
    <t>Other Taxes (PSC Assessment)</t>
  </si>
  <si>
    <t>.</t>
  </si>
  <si>
    <t>Year End Customers</t>
  </si>
  <si>
    <t>401k Contributions</t>
  </si>
  <si>
    <t>Life Insurance</t>
  </si>
  <si>
    <t>Rate Case Costs</t>
  </si>
  <si>
    <t>Wages &amp; Salaries</t>
  </si>
  <si>
    <t>Depreciation Normalization</t>
  </si>
  <si>
    <t>Directors Expenses</t>
  </si>
  <si>
    <t>Reserved</t>
  </si>
  <si>
    <t>reserved</t>
  </si>
  <si>
    <t>Total w/o OL</t>
  </si>
  <si>
    <t>Method</t>
  </si>
  <si>
    <t>After Proposed Rate Revisions</t>
  </si>
  <si>
    <t>Share of</t>
  </si>
  <si>
    <t xml:space="preserve">Share of </t>
  </si>
  <si>
    <t xml:space="preserve">Less: Customer Deposits 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</si>
  <si>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</si>
  <si>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</si>
  <si>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</si>
  <si>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</si>
  <si>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</si>
  <si>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</si>
  <si>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</si>
  <si>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</si>
  <si>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</si>
  <si>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</si>
  <si>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</si>
  <si>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</si>
  <si>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Donations, Promo Ads &amp; Dues</t>
  </si>
  <si>
    <t>Interest Expense</t>
  </si>
  <si>
    <t xml:space="preserve">Right of Way </t>
  </si>
  <si>
    <t>PPA exp</t>
  </si>
  <si>
    <t>Check</t>
  </si>
  <si>
    <t>Average Customers (Lighting = 0)</t>
  </si>
  <si>
    <t>Revenue Increase</t>
  </si>
  <si>
    <t>SHELBY ENERGY</t>
  </si>
  <si>
    <t xml:space="preserve">PRIMARY - 3/0 ACSR </t>
  </si>
  <si>
    <t>PRIMARY - 1/0 ACSR</t>
  </si>
  <si>
    <t>1/0 SOL XLP CONDUCTOR</t>
  </si>
  <si>
    <t>4/0 URD TP</t>
  </si>
  <si>
    <t>PRIMARY URD 1/0</t>
  </si>
  <si>
    <t>PRIMARY URD 4/0</t>
  </si>
  <si>
    <t>OH TRANSFORMER 1.5</t>
  </si>
  <si>
    <t>OH TRANSFORMER 3</t>
  </si>
  <si>
    <t>OH TRANSFORMER 5</t>
  </si>
  <si>
    <t>OH TRANSFORMER 10</t>
  </si>
  <si>
    <t>OH TRANSFORMER 15</t>
  </si>
  <si>
    <t>OH TRANSFORMER 25</t>
  </si>
  <si>
    <t>OH TRANSFORMER 37.5</t>
  </si>
  <si>
    <t>OH TRANSFORMER 50</t>
  </si>
  <si>
    <t>OH TRANSFORMER 75</t>
  </si>
  <si>
    <t>OH TRANSFORMER 100</t>
  </si>
  <si>
    <t>OH TRANSFORMER 167</t>
  </si>
  <si>
    <t>OH TRANSFORMER 250</t>
  </si>
  <si>
    <t>OH TRANSFORMER 500</t>
  </si>
  <si>
    <t>OH TRANSFORMER 1000</t>
  </si>
  <si>
    <t>UG XFMR 3PH 300</t>
  </si>
  <si>
    <t>UG XFMR 3PH 750</t>
  </si>
  <si>
    <t>UG XFMR 3PH 2500</t>
  </si>
  <si>
    <t>UG XFMR 3PH 500</t>
  </si>
  <si>
    <t>UG XFMR 3PH 225</t>
  </si>
  <si>
    <t>UG XFMR 3PH 1500</t>
  </si>
  <si>
    <t>UG XFMR 3PH 2000</t>
  </si>
  <si>
    <t>UG XFMR 3PH 1000</t>
  </si>
  <si>
    <t>Off Peak Retail Marketing (ETS)</t>
  </si>
  <si>
    <t>Prepay Service</t>
  </si>
  <si>
    <t>General Service</t>
  </si>
  <si>
    <t>Large Power Service</t>
  </si>
  <si>
    <t>B1</t>
  </si>
  <si>
    <t>B2</t>
  </si>
  <si>
    <t>Outdoor and Street Lighting</t>
  </si>
  <si>
    <t>Form 7</t>
  </si>
  <si>
    <t>Billing Demand</t>
  </si>
  <si>
    <t>Demand $</t>
  </si>
  <si>
    <t>Energy $</t>
  </si>
  <si>
    <t>Metering $</t>
  </si>
  <si>
    <t>Sub/Wheeling $</t>
  </si>
  <si>
    <t>TOTAL $</t>
  </si>
  <si>
    <t>RATE E2 TOTAL</t>
  </si>
  <si>
    <t>RATE B TOTAL</t>
  </si>
  <si>
    <t>DLC TOTAL</t>
  </si>
  <si>
    <t>DLC $</t>
  </si>
  <si>
    <t>SubTotal Demand $</t>
  </si>
  <si>
    <t>SubTotal Energy $</t>
  </si>
  <si>
    <t>SubTotal $</t>
  </si>
  <si>
    <t>SubTotal Demand %</t>
  </si>
  <si>
    <t>SubTotal Energy %</t>
  </si>
  <si>
    <t>Reconciliation</t>
  </si>
  <si>
    <t>Panel Production Credit $</t>
  </si>
  <si>
    <t>Green Power KWH</t>
  </si>
  <si>
    <t>Green Power $</t>
  </si>
  <si>
    <t>less Panel Prod Credit</t>
  </si>
  <si>
    <t>Metered CP</t>
  </si>
  <si>
    <t>Calculated CP</t>
  </si>
  <si>
    <t>Cost-Based Rates</t>
  </si>
  <si>
    <t>Target &gt;</t>
  </si>
  <si>
    <t>Variance &gt;</t>
  </si>
  <si>
    <t>Non-Recurring Expense</t>
  </si>
  <si>
    <t>Toggle: 1= yes, 0=no</t>
  </si>
  <si>
    <t>&lt; with increase toggle</t>
  </si>
  <si>
    <t>G&amp;T Capital Credits</t>
  </si>
  <si>
    <t xml:space="preserve">Enter Increases here </t>
  </si>
  <si>
    <t>Toggle</t>
  </si>
  <si>
    <t>CP TOD Demand</t>
  </si>
  <si>
    <t>NCP Demand</t>
  </si>
  <si>
    <t>Contract Demand</t>
  </si>
  <si>
    <t>Rate B Substation Data</t>
  </si>
  <si>
    <t>FAC$</t>
  </si>
  <si>
    <t>ES$</t>
  </si>
  <si>
    <t>Subsidies</t>
  </si>
  <si>
    <t>&lt; Total Increase</t>
  </si>
  <si>
    <t>Before Increase</t>
  </si>
  <si>
    <t>After Increase</t>
  </si>
  <si>
    <t>Margins at</t>
  </si>
  <si>
    <t>Current</t>
  </si>
  <si>
    <t>Cost Based</t>
  </si>
  <si>
    <t>Subsidy</t>
  </si>
  <si>
    <t>Change</t>
  </si>
  <si>
    <t>Reduce by</t>
  </si>
  <si>
    <t>Original</t>
  </si>
  <si>
    <t>diff</t>
  </si>
  <si>
    <t>current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</si>
</sst>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_);_(&quot;$&quot;* \(#,##0.0\);_(&quot;$&quot;* &quot;-&quot;??_);_(@_)"/>
    <numFmt numFmtId="165" formatCode="_(&quot;$&quot;* #,##0_);_(&quot;$&quot;* \(#,##0\);_(&quot;$&quot;* &quot;-&quot;??_);_(@_)"/>
    <numFmt numFmtId="166" formatCode="_(* #,##0_);_(* \(#,##0\);_(* &quot;-&quot;??_);_(@_)"/>
    <numFmt numFmtId="167" formatCode="0.000"/>
    <numFmt numFmtId="168" formatCode="0.0000"/>
    <numFmt numFmtId="169" formatCode="0.000000"/>
    <numFmt numFmtId="170" formatCode="_(* #,##0.0000_);_(* \(#,##0.0000\);_(* &quot;-&quot;??_);_(@_)"/>
    <numFmt numFmtId="171" formatCode="_(* #,##0.00000_);_(* \(#,##0.00000\);_(* &quot;-&quot;??_);_(@_)"/>
    <numFmt numFmtId="172" formatCode="_(* #,##0.000000_);_(* \(#,##0.000000\);_(* &quot;-&quot;??_);_(@_)"/>
    <numFmt numFmtId="173" formatCode="0.0000000"/>
    <numFmt numFmtId="174" formatCode="0.00000000"/>
    <numFmt numFmtId="175" formatCode="0.000000000"/>
    <numFmt numFmtId="176" formatCode="_(* #,##0.000000_);_(* \(#,##0.000000\);_(* &quot;-&quot;??????_);_(@_)"/>
    <numFmt numFmtId="177" formatCode="_(* #,##0.000_);_(* \(#,##0.000\);_(* &quot;-&quot;??_);_(@_)"/>
    <numFmt numFmtId="178" formatCode="_(* #,##0.0000000_);_(* \(#,##0.0000000\);_(* &quot;-&quot;??_);_(@_)"/>
    <numFmt numFmtId="179" formatCode="[$-409]mmm\-yy;@"/>
    <numFmt numFmtId="180" formatCode="mmm\ yyyy"/>
    <numFmt numFmtId="181" formatCode="0.0%"/>
    <numFmt numFmtId="182" formatCode="0.0000%"/>
    <numFmt numFmtId="183" formatCode="\(#\)"/>
  </numFmts>
  <fonts count="19" x14ac:knownFonts="1">
    <font>
      <sz val="11"/>
      <name val="Times New Roman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u val="singleAccounting"/>
      <sz val="10"/>
      <name val="Arial"/>
      <family val="2"/>
    </font>
    <font>
      <b/>
      <u val="singleAccounting"/>
      <sz val="10"/>
      <name val="Arial"/>
      <family val="2"/>
    </font>
    <font>
      <sz val="10"/>
      <color rgb="FF000099"/>
      <name val="Arial"/>
      <family val="2"/>
    </font>
    <font>
      <sz val="10"/>
      <color rgb="FFFF0000"/>
      <name val="Arial"/>
      <family val="2"/>
    </font>
    <font>
      <b/>
      <i/>
      <sz val="10"/>
      <name val="Arial"/>
      <family val="2"/>
    </font>
    <font>
      <sz val="8"/>
      <name val="Times New Roman"/>
      <family val="1"/>
    </font>
    <font>
      <i/>
      <sz val="10"/>
      <name val="Arial"/>
      <family val="2"/>
    </font>
    <font>
      <sz val="8"/>
      <name val="Times New Roman"/>
      <family val="1"/>
    </font>
    <font>
      <sz val="10"/>
      <color theme="0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62">
    <xf numFmtId="0" fontId="0" fillId="0" borderId="0" xfId="0"/>
    <xf numFmtId="0" fontId="0" fillId="0" borderId="0" xfId="0" applyAlignment="1">
      <alignment horizontal="centerContinuous"/>
    </xf>
    <xf numFmtId="0" fontId="3" fillId="0" borderId="0" xfId="0" applyFont="1"/>
    <xf numFmtId="169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2" fillId="0" borderId="0" xfId="0" applyFont="1"/>
    <xf numFmtId="167" fontId="0" fillId="0" borderId="0" xfId="0" applyNumberForma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left"/>
    </xf>
    <xf numFmtId="177" fontId="4" fillId="0" borderId="0" xfId="1" applyNumberFormat="1" applyFont="1" applyAlignment="1">
      <alignment horizontal="right"/>
    </xf>
    <xf numFmtId="166" fontId="4" fillId="0" borderId="0" xfId="1" applyNumberFormat="1" applyFont="1" applyAlignment="1">
      <alignment horizontal="center"/>
    </xf>
    <xf numFmtId="177" fontId="4" fillId="0" borderId="2" xfId="1" applyNumberFormat="1" applyFont="1" applyBorder="1" applyAlignment="1">
      <alignment horizontal="left"/>
    </xf>
    <xf numFmtId="177" fontId="4" fillId="0" borderId="2" xfId="1" applyNumberFormat="1" applyFont="1" applyBorder="1" applyAlignment="1">
      <alignment horizontal="right"/>
    </xf>
    <xf numFmtId="166" fontId="4" fillId="0" borderId="2" xfId="1" applyNumberFormat="1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4" fillId="0" borderId="0" xfId="0" applyFont="1" applyAlignment="1">
      <alignment horizontal="right"/>
    </xf>
    <xf numFmtId="166" fontId="5" fillId="0" borderId="0" xfId="1" applyNumberFormat="1" applyFont="1"/>
    <xf numFmtId="43" fontId="5" fillId="0" borderId="0" xfId="1" applyFont="1"/>
    <xf numFmtId="0" fontId="5" fillId="0" borderId="3" xfId="0" applyFont="1" applyBorder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166" fontId="4" fillId="0" borderId="2" xfId="1" applyNumberFormat="1" applyFont="1" applyBorder="1" applyAlignment="1">
      <alignment horizontal="right"/>
    </xf>
    <xf numFmtId="177" fontId="5" fillId="0" borderId="0" xfId="1" applyNumberFormat="1" applyFont="1" applyAlignment="1">
      <alignment horizontal="right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166" fontId="5" fillId="0" borderId="0" xfId="0" applyNumberFormat="1" applyFont="1"/>
    <xf numFmtId="44" fontId="5" fillId="0" borderId="3" xfId="0" applyNumberFormat="1" applyFont="1" applyBorder="1"/>
    <xf numFmtId="166" fontId="5" fillId="0" borderId="3" xfId="1" applyNumberFormat="1" applyFont="1" applyBorder="1"/>
    <xf numFmtId="171" fontId="5" fillId="0" borderId="0" xfId="1" applyNumberFormat="1" applyFont="1"/>
    <xf numFmtId="170" fontId="5" fillId="0" borderId="0" xfId="1" applyNumberFormat="1" applyFont="1"/>
    <xf numFmtId="177" fontId="5" fillId="0" borderId="0" xfId="1" applyNumberFormat="1" applyFont="1"/>
    <xf numFmtId="44" fontId="5" fillId="0" borderId="0" xfId="2" applyFont="1"/>
    <xf numFmtId="165" fontId="5" fillId="0" borderId="0" xfId="2" applyNumberFormat="1" applyFont="1"/>
    <xf numFmtId="168" fontId="5" fillId="0" borderId="0" xfId="0" applyNumberFormat="1" applyFont="1"/>
    <xf numFmtId="10" fontId="5" fillId="0" borderId="4" xfId="3" applyNumberFormat="1" applyFont="1" applyBorder="1"/>
    <xf numFmtId="10" fontId="5" fillId="0" borderId="5" xfId="0" applyNumberFormat="1" applyFont="1" applyBorder="1"/>
    <xf numFmtId="43" fontId="5" fillId="0" borderId="0" xfId="0" applyNumberFormat="1" applyFont="1"/>
    <xf numFmtId="10" fontId="5" fillId="0" borderId="0" xfId="0" applyNumberFormat="1" applyFont="1"/>
    <xf numFmtId="43" fontId="5" fillId="0" borderId="0" xfId="1" applyFont="1" applyFill="1"/>
    <xf numFmtId="172" fontId="5" fillId="0" borderId="0" xfId="1" applyNumberFormat="1" applyFont="1" applyFill="1"/>
    <xf numFmtId="166" fontId="5" fillId="0" borderId="0" xfId="1" applyNumberFormat="1" applyFont="1" applyFill="1"/>
    <xf numFmtId="43" fontId="4" fillId="0" borderId="0" xfId="1" applyFont="1" applyFill="1" applyBorder="1" applyAlignment="1">
      <alignment horizontal="center"/>
    </xf>
    <xf numFmtId="166" fontId="4" fillId="0" borderId="0" xfId="1" applyNumberFormat="1" applyFont="1" applyFill="1" applyBorder="1" applyAlignment="1"/>
    <xf numFmtId="43" fontId="4" fillId="0" borderId="0" xfId="1" applyFont="1" applyFill="1" applyBorder="1" applyAlignment="1">
      <alignment horizontal="right"/>
    </xf>
    <xf numFmtId="172" fontId="5" fillId="0" borderId="0" xfId="1" applyNumberFormat="1" applyFont="1" applyFill="1" applyBorder="1" applyAlignment="1">
      <alignment horizontal="center" wrapText="1"/>
    </xf>
    <xf numFmtId="166" fontId="4" fillId="0" borderId="0" xfId="1" applyNumberFormat="1" applyFont="1" applyFill="1" applyBorder="1" applyAlignment="1">
      <alignment horizontal="right"/>
    </xf>
    <xf numFmtId="43" fontId="4" fillId="0" borderId="0" xfId="1" applyFont="1" applyFill="1" applyBorder="1" applyAlignment="1">
      <alignment horizontal="right" wrapText="1"/>
    </xf>
    <xf numFmtId="172" fontId="5" fillId="0" borderId="0" xfId="1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43" fontId="4" fillId="0" borderId="0" xfId="1" applyFont="1" applyFill="1" applyAlignment="1">
      <alignment horizontal="right"/>
    </xf>
    <xf numFmtId="166" fontId="4" fillId="0" borderId="0" xfId="1" applyNumberFormat="1" applyFont="1" applyFill="1" applyAlignment="1">
      <alignment horizontal="center"/>
    </xf>
    <xf numFmtId="172" fontId="4" fillId="0" borderId="0" xfId="1" applyNumberFormat="1" applyFont="1" applyFill="1" applyAlignment="1">
      <alignment horizontal="center"/>
    </xf>
    <xf numFmtId="172" fontId="4" fillId="0" borderId="0" xfId="1" applyNumberFormat="1" applyFont="1" applyFill="1" applyAlignment="1">
      <alignment horizontal="right"/>
    </xf>
    <xf numFmtId="0" fontId="6" fillId="0" borderId="0" xfId="0" applyFont="1" applyAlignment="1">
      <alignment horizontal="center"/>
    </xf>
    <xf numFmtId="43" fontId="4" fillId="0" borderId="1" xfId="1" applyFont="1" applyFill="1" applyBorder="1" applyAlignment="1">
      <alignment horizontal="center"/>
    </xf>
    <xf numFmtId="43" fontId="4" fillId="0" borderId="1" xfId="1" applyFont="1" applyFill="1" applyBorder="1" applyAlignment="1">
      <alignment horizontal="right"/>
    </xf>
    <xf numFmtId="172" fontId="4" fillId="0" borderId="1" xfId="1" applyNumberFormat="1" applyFont="1" applyFill="1" applyBorder="1" applyAlignment="1">
      <alignment horizontal="right"/>
    </xf>
    <xf numFmtId="165" fontId="5" fillId="0" borderId="0" xfId="2" applyNumberFormat="1" applyFont="1" applyFill="1"/>
    <xf numFmtId="10" fontId="5" fillId="0" borderId="0" xfId="3" applyNumberFormat="1" applyFont="1" applyFill="1"/>
    <xf numFmtId="165" fontId="5" fillId="0" borderId="0" xfId="2" applyNumberFormat="1" applyFont="1" applyFill="1" applyBorder="1"/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65" fontId="5" fillId="0" borderId="6" xfId="2" applyNumberFormat="1" applyFont="1" applyFill="1" applyBorder="1" applyAlignment="1">
      <alignment vertical="center"/>
    </xf>
    <xf numFmtId="10" fontId="5" fillId="0" borderId="6" xfId="3" applyNumberFormat="1" applyFont="1" applyFill="1" applyBorder="1" applyAlignment="1">
      <alignment vertical="center"/>
    </xf>
    <xf numFmtId="43" fontId="5" fillId="0" borderId="6" xfId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44" fontId="5" fillId="0" borderId="0" xfId="2" applyFont="1" applyFill="1" applyBorder="1"/>
    <xf numFmtId="10" fontId="5" fillId="0" borderId="0" xfId="3" applyNumberFormat="1" applyFont="1" applyFill="1" applyBorder="1"/>
    <xf numFmtId="166" fontId="5" fillId="0" borderId="0" xfId="1" applyNumberFormat="1" applyFont="1" applyFill="1" applyAlignment="1">
      <alignment vertical="center"/>
    </xf>
    <xf numFmtId="0" fontId="5" fillId="0" borderId="0" xfId="0" applyFont="1" applyAlignment="1">
      <alignment horizontal="centerContinuous"/>
    </xf>
    <xf numFmtId="0" fontId="4" fillId="0" borderId="1" xfId="0" applyFont="1" applyBorder="1" applyAlignment="1">
      <alignment horizontal="centerContinuous"/>
    </xf>
    <xf numFmtId="0" fontId="4" fillId="0" borderId="1" xfId="0" applyFont="1" applyBorder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6" fillId="0" borderId="1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7" fillId="0" borderId="0" xfId="0" applyFont="1" applyAlignment="1">
      <alignment horizontal="centerContinuous"/>
    </xf>
    <xf numFmtId="2" fontId="5" fillId="0" borderId="0" xfId="0" applyNumberFormat="1" applyFont="1"/>
    <xf numFmtId="165" fontId="5" fillId="0" borderId="0" xfId="0" applyNumberFormat="1" applyFont="1"/>
    <xf numFmtId="2" fontId="5" fillId="0" borderId="0" xfId="0" applyNumberFormat="1" applyFont="1" applyAlignment="1">
      <alignment horizontal="center"/>
    </xf>
    <xf numFmtId="0" fontId="4" fillId="0" borderId="0" xfId="0" quotePrefix="1" applyFont="1"/>
    <xf numFmtId="0" fontId="5" fillId="0" borderId="0" xfId="0" quotePrefix="1" applyFont="1"/>
    <xf numFmtId="169" fontId="5" fillId="0" borderId="0" xfId="0" applyNumberFormat="1" applyFont="1"/>
    <xf numFmtId="169" fontId="5" fillId="0" borderId="0" xfId="1" applyNumberFormat="1" applyFont="1" applyFill="1"/>
    <xf numFmtId="169" fontId="5" fillId="0" borderId="0" xfId="0" applyNumberFormat="1" applyFont="1" applyAlignment="1">
      <alignment horizontal="centerContinuous"/>
    </xf>
    <xf numFmtId="166" fontId="5" fillId="0" borderId="0" xfId="1" applyNumberFormat="1" applyFont="1" applyFill="1" applyAlignment="1">
      <alignment horizontal="centerContinuous"/>
    </xf>
    <xf numFmtId="171" fontId="5" fillId="0" borderId="0" xfId="1" applyNumberFormat="1" applyFont="1" applyFill="1"/>
    <xf numFmtId="165" fontId="5" fillId="0" borderId="3" xfId="2" applyNumberFormat="1" applyFont="1" applyFill="1" applyBorder="1"/>
    <xf numFmtId="10" fontId="4" fillId="0" borderId="9" xfId="3" applyNumberFormat="1" applyFont="1" applyFill="1" applyBorder="1"/>
    <xf numFmtId="164" fontId="5" fillId="0" borderId="0" xfId="2" applyNumberFormat="1" applyFont="1" applyFill="1"/>
    <xf numFmtId="1" fontId="5" fillId="0" borderId="0" xfId="0" applyNumberFormat="1" applyFont="1"/>
    <xf numFmtId="0" fontId="7" fillId="0" borderId="0" xfId="0" applyFont="1"/>
    <xf numFmtId="43" fontId="8" fillId="0" borderId="0" xfId="1" applyFont="1" applyFill="1"/>
    <xf numFmtId="166" fontId="5" fillId="0" borderId="0" xfId="1" applyNumberFormat="1" applyFont="1" applyFill="1" applyAlignment="1">
      <alignment horizontal="right"/>
    </xf>
    <xf numFmtId="0" fontId="4" fillId="0" borderId="2" xfId="0" applyFont="1" applyBorder="1" applyAlignment="1">
      <alignment horizontal="center"/>
    </xf>
    <xf numFmtId="166" fontId="5" fillId="0" borderId="0" xfId="1" applyNumberFormat="1" applyFont="1" applyFill="1" applyAlignment="1"/>
    <xf numFmtId="166" fontId="5" fillId="0" borderId="0" xfId="3" applyNumberFormat="1" applyFont="1" applyFill="1" applyAlignment="1"/>
    <xf numFmtId="165" fontId="5" fillId="0" borderId="0" xfId="2" applyNumberFormat="1" applyFont="1" applyFill="1" applyAlignment="1"/>
    <xf numFmtId="9" fontId="5" fillId="0" borderId="0" xfId="3" applyFont="1" applyFill="1"/>
    <xf numFmtId="166" fontId="5" fillId="0" borderId="3" xfId="1" applyNumberFormat="1" applyFont="1" applyFill="1" applyBorder="1" applyAlignment="1"/>
    <xf numFmtId="165" fontId="5" fillId="0" borderId="3" xfId="2" applyNumberFormat="1" applyFont="1" applyFill="1" applyBorder="1" applyAlignment="1"/>
    <xf numFmtId="10" fontId="5" fillId="0" borderId="3" xfId="3" applyNumberFormat="1" applyFont="1" applyFill="1" applyBorder="1"/>
    <xf numFmtId="44" fontId="5" fillId="0" borderId="0" xfId="2" applyFont="1" applyFill="1"/>
    <xf numFmtId="166" fontId="4" fillId="0" borderId="0" xfId="1" applyNumberFormat="1" applyFont="1" applyFill="1" applyAlignment="1">
      <alignment horizontal="right"/>
    </xf>
    <xf numFmtId="166" fontId="9" fillId="0" borderId="0" xfId="1" applyNumberFormat="1" applyFont="1" applyFill="1" applyAlignment="1">
      <alignment horizontal="left"/>
    </xf>
    <xf numFmtId="166" fontId="9" fillId="0" borderId="0" xfId="1" applyNumberFormat="1" applyFont="1" applyFill="1" applyAlignment="1">
      <alignment horizontal="center"/>
    </xf>
    <xf numFmtId="180" fontId="9" fillId="0" borderId="0" xfId="1" applyNumberFormat="1" applyFont="1" applyFill="1" applyAlignment="1">
      <alignment horizontal="right"/>
    </xf>
    <xf numFmtId="166" fontId="9" fillId="0" borderId="0" xfId="1" applyNumberFormat="1" applyFont="1" applyFill="1" applyAlignment="1">
      <alignment horizontal="right"/>
    </xf>
    <xf numFmtId="166" fontId="5" fillId="0" borderId="0" xfId="3" applyNumberFormat="1" applyFont="1" applyFill="1" applyAlignment="1">
      <alignment horizontal="right"/>
    </xf>
    <xf numFmtId="179" fontId="6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5" fillId="0" borderId="0" xfId="1" applyNumberFormat="1" applyFont="1" applyFill="1" applyAlignment="1">
      <alignment horizontal="center"/>
    </xf>
    <xf numFmtId="165" fontId="5" fillId="0" borderId="0" xfId="2" applyNumberFormat="1" applyFont="1" applyFill="1" applyAlignment="1">
      <alignment horizontal="right"/>
    </xf>
    <xf numFmtId="10" fontId="5" fillId="0" borderId="0" xfId="3" applyNumberFormat="1" applyFont="1" applyFill="1" applyAlignment="1">
      <alignment horizontal="right"/>
    </xf>
    <xf numFmtId="0" fontId="5" fillId="0" borderId="6" xfId="0" applyFont="1" applyBorder="1"/>
    <xf numFmtId="166" fontId="5" fillId="0" borderId="6" xfId="1" applyNumberFormat="1" applyFont="1" applyFill="1" applyBorder="1" applyAlignment="1">
      <alignment horizontal="center"/>
    </xf>
    <xf numFmtId="166" fontId="5" fillId="0" borderId="6" xfId="1" applyNumberFormat="1" applyFont="1" applyFill="1" applyBorder="1"/>
    <xf numFmtId="44" fontId="5" fillId="0" borderId="6" xfId="2" applyFont="1" applyFill="1" applyBorder="1"/>
    <xf numFmtId="165" fontId="5" fillId="0" borderId="6" xfId="0" applyNumberFormat="1" applyFont="1" applyBorder="1"/>
    <xf numFmtId="10" fontId="5" fillId="0" borderId="6" xfId="0" applyNumberFormat="1" applyFont="1" applyBorder="1"/>
    <xf numFmtId="166" fontId="5" fillId="0" borderId="0" xfId="1" applyNumberFormat="1" applyFont="1" applyFill="1" applyAlignment="1">
      <alignment horizontal="center"/>
    </xf>
    <xf numFmtId="166" fontId="5" fillId="0" borderId="0" xfId="1" applyNumberFormat="1" applyFont="1" applyFill="1" applyBorder="1" applyAlignment="1">
      <alignment horizontal="center"/>
    </xf>
    <xf numFmtId="166" fontId="5" fillId="0" borderId="0" xfId="1" applyNumberFormat="1" applyFont="1" applyFill="1" applyBorder="1"/>
    <xf numFmtId="165" fontId="5" fillId="0" borderId="0" xfId="2" applyNumberFormat="1" applyFont="1" applyFill="1" applyAlignment="1">
      <alignment horizontal="center"/>
    </xf>
    <xf numFmtId="166" fontId="5" fillId="0" borderId="6" xfId="1" applyNumberFormat="1" applyFont="1" applyFill="1" applyBorder="1" applyAlignment="1">
      <alignment horizontal="right"/>
    </xf>
    <xf numFmtId="44" fontId="5" fillId="0" borderId="6" xfId="2" applyFont="1" applyFill="1" applyBorder="1" applyAlignment="1">
      <alignment horizontal="right"/>
    </xf>
    <xf numFmtId="165" fontId="5" fillId="0" borderId="6" xfId="0" applyNumberFormat="1" applyFont="1" applyBorder="1" applyAlignment="1">
      <alignment horizontal="right"/>
    </xf>
    <xf numFmtId="166" fontId="5" fillId="0" borderId="0" xfId="1" applyNumberFormat="1" applyFont="1" applyFill="1" applyBorder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170" fontId="5" fillId="0" borderId="0" xfId="1" applyNumberFormat="1" applyFont="1" applyFill="1"/>
    <xf numFmtId="10" fontId="4" fillId="0" borderId="4" xfId="3" applyNumberFormat="1" applyFont="1" applyFill="1" applyBorder="1"/>
    <xf numFmtId="43" fontId="8" fillId="0" borderId="0" xfId="1" applyFont="1" applyFill="1" applyAlignment="1">
      <alignment vertical="center"/>
    </xf>
    <xf numFmtId="10" fontId="5" fillId="0" borderId="0" xfId="3" applyNumberFormat="1" applyFont="1" applyFill="1" applyAlignment="1"/>
    <xf numFmtId="166" fontId="5" fillId="0" borderId="0" xfId="1" applyNumberFormat="1" applyFont="1" applyFill="1" applyBorder="1" applyAlignment="1"/>
    <xf numFmtId="165" fontId="5" fillId="0" borderId="0" xfId="2" applyNumberFormat="1" applyFont="1" applyFill="1" applyBorder="1" applyAlignment="1"/>
    <xf numFmtId="165" fontId="10" fillId="0" borderId="0" xfId="2" applyNumberFormat="1" applyFont="1" applyFill="1" applyAlignment="1">
      <alignment horizontal="right"/>
    </xf>
    <xf numFmtId="170" fontId="5" fillId="0" borderId="0" xfId="0" applyNumberFormat="1" applyFont="1"/>
    <xf numFmtId="44" fontId="5" fillId="0" borderId="0" xfId="0" applyNumberFormat="1" applyFont="1"/>
    <xf numFmtId="0" fontId="5" fillId="0" borderId="0" xfId="0" quotePrefix="1" applyFont="1" applyAlignment="1">
      <alignment horizontal="left"/>
    </xf>
    <xf numFmtId="44" fontId="5" fillId="0" borderId="0" xfId="2" applyFont="1" applyAlignment="1">
      <alignment horizontal="right"/>
    </xf>
    <xf numFmtId="43" fontId="5" fillId="0" borderId="13" xfId="1" applyFont="1" applyFill="1" applyBorder="1"/>
    <xf numFmtId="166" fontId="5" fillId="0" borderId="0" xfId="1" applyNumberFormat="1" applyFont="1" applyFill="1" applyAlignment="1">
      <alignment horizontal="left"/>
    </xf>
    <xf numFmtId="44" fontId="5" fillId="0" borderId="0" xfId="0" applyNumberFormat="1" applyFont="1" applyAlignment="1">
      <alignment horizontal="center"/>
    </xf>
    <xf numFmtId="165" fontId="5" fillId="0" borderId="0" xfId="2" applyNumberFormat="1" applyFont="1" applyFill="1" applyBorder="1" applyAlignment="1">
      <alignment vertical="center"/>
    </xf>
    <xf numFmtId="10" fontId="12" fillId="0" borderId="10" xfId="3" applyNumberFormat="1" applyFont="1" applyFill="1" applyBorder="1" applyAlignment="1">
      <alignment vertical="center"/>
    </xf>
    <xf numFmtId="10" fontId="5" fillId="0" borderId="3" xfId="3" applyNumberFormat="1" applyFont="1" applyFill="1" applyBorder="1" applyAlignment="1">
      <alignment vertical="center"/>
    </xf>
    <xf numFmtId="43" fontId="5" fillId="0" borderId="3" xfId="1" applyFont="1" applyFill="1" applyBorder="1" applyAlignment="1">
      <alignment vertical="center"/>
    </xf>
    <xf numFmtId="10" fontId="11" fillId="0" borderId="0" xfId="3" applyNumberFormat="1" applyFont="1" applyFill="1"/>
    <xf numFmtId="181" fontId="5" fillId="0" borderId="0" xfId="3" applyNumberFormat="1" applyFont="1" applyFill="1"/>
    <xf numFmtId="181" fontId="5" fillId="0" borderId="0" xfId="1" applyNumberFormat="1" applyFont="1" applyFill="1"/>
    <xf numFmtId="181" fontId="5" fillId="0" borderId="6" xfId="3" applyNumberFormat="1" applyFont="1" applyFill="1" applyBorder="1" applyAlignment="1">
      <alignment vertical="center"/>
    </xf>
    <xf numFmtId="181" fontId="5" fillId="0" borderId="6" xfId="1" applyNumberFormat="1" applyFont="1" applyFill="1" applyBorder="1"/>
    <xf numFmtId="166" fontId="5" fillId="0" borderId="0" xfId="1" quotePrefix="1" applyNumberFormat="1" applyFont="1" applyFill="1" applyAlignment="1">
      <alignment horizontal="left"/>
    </xf>
    <xf numFmtId="165" fontId="5" fillId="0" borderId="0" xfId="0" applyNumberFormat="1" applyFont="1" applyAlignment="1">
      <alignment vertical="center"/>
    </xf>
    <xf numFmtId="182" fontId="5" fillId="0" borderId="0" xfId="3" applyNumberFormat="1" applyFont="1" applyFill="1"/>
    <xf numFmtId="166" fontId="5" fillId="0" borderId="2" xfId="1" applyNumberFormat="1" applyFont="1" applyFill="1" applyBorder="1"/>
    <xf numFmtId="166" fontId="14" fillId="0" borderId="0" xfId="1" applyNumberFormat="1" applyFont="1" applyFill="1" applyAlignment="1">
      <alignment horizontal="right"/>
    </xf>
    <xf numFmtId="10" fontId="5" fillId="0" borderId="3" xfId="3" applyNumberFormat="1" applyFont="1" applyFill="1" applyBorder="1" applyAlignment="1">
      <alignment horizontal="right"/>
    </xf>
    <xf numFmtId="43" fontId="5" fillId="0" borderId="0" xfId="1" applyFont="1" applyFill="1" applyAlignment="1"/>
    <xf numFmtId="0" fontId="5" fillId="0" borderId="0" xfId="0" applyFont="1" applyAlignment="1">
      <alignment horizontal="left" indent="2"/>
    </xf>
    <xf numFmtId="0" fontId="7" fillId="0" borderId="0" xfId="0" applyFont="1" applyAlignment="1">
      <alignment horizontal="left"/>
    </xf>
    <xf numFmtId="166" fontId="5" fillId="0" borderId="4" xfId="1" applyNumberFormat="1" applyFont="1" applyFill="1" applyBorder="1" applyAlignment="1">
      <alignment horizontal="center"/>
    </xf>
    <xf numFmtId="165" fontId="5" fillId="0" borderId="0" xfId="3" applyNumberFormat="1" applyFont="1" applyFill="1"/>
    <xf numFmtId="43" fontId="4" fillId="0" borderId="0" xfId="1" applyFont="1" applyFill="1"/>
    <xf numFmtId="0" fontId="5" fillId="0" borderId="3" xfId="0" applyFont="1" applyBorder="1" applyAlignment="1">
      <alignment horizontal="right"/>
    </xf>
    <xf numFmtId="166" fontId="5" fillId="0" borderId="3" xfId="1" applyNumberFormat="1" applyFont="1" applyFill="1" applyBorder="1"/>
    <xf numFmtId="0" fontId="5" fillId="0" borderId="0" xfId="0" applyFont="1" applyAlignment="1">
      <alignment horizontal="right" indent="2"/>
    </xf>
    <xf numFmtId="177" fontId="5" fillId="0" borderId="0" xfId="1" applyNumberFormat="1" applyFont="1" applyFill="1"/>
    <xf numFmtId="172" fontId="4" fillId="0" borderId="0" xfId="1" applyNumberFormat="1" applyFont="1" applyFill="1" applyBorder="1" applyAlignment="1">
      <alignment horizontal="right"/>
    </xf>
    <xf numFmtId="166" fontId="16" fillId="0" borderId="0" xfId="1" applyNumberFormat="1" applyFont="1" applyFill="1"/>
    <xf numFmtId="171" fontId="17" fillId="0" borderId="0" xfId="1" applyNumberFormat="1" applyFont="1" applyFill="1"/>
    <xf numFmtId="0" fontId="5" fillId="0" borderId="6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166" fontId="5" fillId="0" borderId="0" xfId="1" applyNumberFormat="1" applyFont="1" applyFill="1" applyAlignment="1">
      <alignment wrapText="1"/>
    </xf>
    <xf numFmtId="165" fontId="5" fillId="0" borderId="3" xfId="0" applyNumberFormat="1" applyFont="1" applyBorder="1"/>
    <xf numFmtId="166" fontId="7" fillId="0" borderId="0" xfId="1" applyNumberFormat="1" applyFont="1" applyFill="1" applyAlignment="1">
      <alignment horizontal="right"/>
    </xf>
    <xf numFmtId="43" fontId="5" fillId="0" borderId="0" xfId="1" applyFont="1" applyFill="1" applyAlignment="1">
      <alignment horizontal="right"/>
    </xf>
    <xf numFmtId="0" fontId="4" fillId="0" borderId="7" xfId="0" applyFont="1" applyBorder="1"/>
    <xf numFmtId="0" fontId="4" fillId="0" borderId="8" xfId="0" applyFont="1" applyBorder="1"/>
    <xf numFmtId="166" fontId="4" fillId="0" borderId="0" xfId="1" applyNumberFormat="1" applyFont="1" applyFill="1"/>
    <xf numFmtId="43" fontId="4" fillId="0" borderId="0" xfId="1" applyFont="1" applyFill="1" applyBorder="1"/>
    <xf numFmtId="10" fontId="4" fillId="0" borderId="0" xfId="3" applyNumberFormat="1" applyFont="1" applyFill="1" applyBorder="1"/>
    <xf numFmtId="0" fontId="5" fillId="0" borderId="2" xfId="0" applyFont="1" applyBorder="1"/>
    <xf numFmtId="164" fontId="5" fillId="0" borderId="0" xfId="0" applyNumberFormat="1" applyFont="1"/>
    <xf numFmtId="166" fontId="5" fillId="0" borderId="2" xfId="1" applyNumberFormat="1" applyFont="1" applyFill="1" applyBorder="1" applyAlignment="1">
      <alignment horizontal="right"/>
    </xf>
    <xf numFmtId="172" fontId="5" fillId="0" borderId="0" xfId="0" applyNumberFormat="1" applyFont="1"/>
    <xf numFmtId="167" fontId="5" fillId="0" borderId="0" xfId="0" applyNumberFormat="1" applyFont="1"/>
    <xf numFmtId="43" fontId="5" fillId="0" borderId="0" xfId="1" applyFont="1" applyFill="1" applyAlignment="1">
      <alignment horizontal="left"/>
    </xf>
    <xf numFmtId="165" fontId="5" fillId="0" borderId="4" xfId="0" applyNumberFormat="1" applyFont="1" applyBorder="1"/>
    <xf numFmtId="0" fontId="5" fillId="0" borderId="3" xfId="0" applyFont="1" applyBorder="1"/>
    <xf numFmtId="0" fontId="2" fillId="0" borderId="0" xfId="0" applyFont="1" applyAlignment="1">
      <alignment horizontal="right"/>
    </xf>
    <xf numFmtId="175" fontId="5" fillId="0" borderId="0" xfId="0" applyNumberFormat="1" applyFont="1"/>
    <xf numFmtId="174" fontId="5" fillId="0" borderId="0" xfId="0" applyNumberFormat="1" applyFont="1"/>
    <xf numFmtId="173" fontId="5" fillId="0" borderId="0" xfId="0" applyNumberFormat="1" applyFont="1"/>
    <xf numFmtId="172" fontId="5" fillId="0" borderId="0" xfId="0" applyNumberFormat="1" applyFont="1" applyAlignment="1">
      <alignment vertical="center"/>
    </xf>
    <xf numFmtId="172" fontId="8" fillId="0" borderId="0" xfId="0" applyNumberFormat="1" applyFont="1" applyAlignment="1">
      <alignment vertical="center"/>
    </xf>
    <xf numFmtId="176" fontId="5" fillId="0" borderId="0" xfId="0" applyNumberFormat="1" applyFont="1"/>
    <xf numFmtId="172" fontId="8" fillId="0" borderId="0" xfId="0" applyNumberFormat="1" applyFont="1"/>
    <xf numFmtId="10" fontId="5" fillId="0" borderId="0" xfId="0" applyNumberFormat="1" applyFont="1" applyAlignment="1">
      <alignment horizontal="left"/>
    </xf>
    <xf numFmtId="178" fontId="5" fillId="0" borderId="0" xfId="0" applyNumberFormat="1" applyFont="1"/>
    <xf numFmtId="171" fontId="5" fillId="0" borderId="0" xfId="0" applyNumberFormat="1" applyFont="1"/>
    <xf numFmtId="10" fontId="5" fillId="0" borderId="0" xfId="0" applyNumberFormat="1" applyFont="1" applyAlignment="1">
      <alignment horizontal="right"/>
    </xf>
    <xf numFmtId="43" fontId="5" fillId="0" borderId="0" xfId="0" applyNumberFormat="1" applyFont="1" applyAlignment="1">
      <alignment horizontal="right"/>
    </xf>
    <xf numFmtId="172" fontId="5" fillId="0" borderId="0" xfId="0" applyNumberFormat="1" applyFont="1" applyAlignment="1">
      <alignment horizontal="right"/>
    </xf>
    <xf numFmtId="0" fontId="4" fillId="0" borderId="2" xfId="0" applyFont="1" applyBorder="1" applyAlignment="1">
      <alignment horizontal="left"/>
    </xf>
    <xf numFmtId="1" fontId="5" fillId="0" borderId="0" xfId="0" applyNumberFormat="1" applyFont="1" applyAlignment="1">
      <alignment horizontal="center"/>
    </xf>
    <xf numFmtId="0" fontId="5" fillId="0" borderId="3" xfId="0" applyFont="1" applyBorder="1" applyAlignment="1">
      <alignment horizontal="center"/>
    </xf>
    <xf numFmtId="166" fontId="5" fillId="0" borderId="3" xfId="0" applyNumberFormat="1" applyFont="1" applyBorder="1"/>
    <xf numFmtId="166" fontId="4" fillId="0" borderId="0" xfId="0" applyNumberFormat="1" applyFont="1" applyAlignment="1">
      <alignment horizontal="right"/>
    </xf>
    <xf numFmtId="0" fontId="8" fillId="0" borderId="0" xfId="0" applyFont="1"/>
    <xf numFmtId="4" fontId="5" fillId="0" borderId="0" xfId="0" applyNumberFormat="1" applyFont="1"/>
    <xf numFmtId="1" fontId="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left"/>
    </xf>
    <xf numFmtId="166" fontId="5" fillId="0" borderId="0" xfId="0" applyNumberFormat="1" applyFont="1" applyAlignment="1">
      <alignment horizontal="center"/>
    </xf>
    <xf numFmtId="166" fontId="4" fillId="0" borderId="0" xfId="1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right"/>
    </xf>
    <xf numFmtId="0" fontId="5" fillId="3" borderId="0" xfId="0" applyFont="1" applyFill="1"/>
    <xf numFmtId="165" fontId="5" fillId="3" borderId="0" xfId="2" applyNumberFormat="1" applyFont="1" applyFill="1"/>
    <xf numFmtId="0" fontId="4" fillId="3" borderId="0" xfId="0" applyFont="1" applyFill="1" applyAlignment="1">
      <alignment horizontal="center"/>
    </xf>
    <xf numFmtId="166" fontId="4" fillId="0" borderId="2" xfId="1" applyNumberFormat="1" applyFont="1" applyFill="1" applyBorder="1" applyAlignment="1"/>
    <xf numFmtId="172" fontId="5" fillId="0" borderId="2" xfId="1" applyNumberFormat="1" applyFont="1" applyFill="1" applyBorder="1"/>
    <xf numFmtId="172" fontId="4" fillId="0" borderId="0" xfId="1" applyNumberFormat="1" applyFont="1" applyFill="1" applyBorder="1" applyAlignment="1">
      <alignment horizontal="center"/>
    </xf>
    <xf numFmtId="183" fontId="4" fillId="0" borderId="2" xfId="0" quotePrefix="1" applyNumberFormat="1" applyFont="1" applyBorder="1" applyAlignment="1">
      <alignment horizontal="center"/>
    </xf>
    <xf numFmtId="9" fontId="5" fillId="0" borderId="6" xfId="3" applyFont="1" applyFill="1" applyBorder="1" applyAlignment="1">
      <alignment vertical="center"/>
    </xf>
    <xf numFmtId="0" fontId="4" fillId="2" borderId="0" xfId="0" applyFont="1" applyFill="1" applyAlignment="1">
      <alignment horizontal="center"/>
    </xf>
    <xf numFmtId="166" fontId="5" fillId="2" borderId="0" xfId="1" applyNumberFormat="1" applyFont="1" applyFill="1"/>
    <xf numFmtId="166" fontId="4" fillId="2" borderId="0" xfId="1" applyNumberFormat="1" applyFont="1" applyFill="1" applyAlignment="1">
      <alignment horizontal="center"/>
    </xf>
    <xf numFmtId="9" fontId="5" fillId="2" borderId="0" xfId="3" applyFont="1" applyFill="1"/>
    <xf numFmtId="182" fontId="5" fillId="2" borderId="0" xfId="3" applyNumberFormat="1" applyFont="1" applyFill="1"/>
    <xf numFmtId="165" fontId="11" fillId="3" borderId="0" xfId="2" applyNumberFormat="1" applyFont="1" applyFill="1"/>
    <xf numFmtId="0" fontId="11" fillId="3" borderId="0" xfId="0" applyFont="1" applyFill="1"/>
    <xf numFmtId="165" fontId="5" fillId="3" borderId="0" xfId="0" applyNumberFormat="1" applyFont="1" applyFill="1"/>
    <xf numFmtId="165" fontId="11" fillId="3" borderId="0" xfId="0" applyNumberFormat="1" applyFont="1" applyFill="1"/>
    <xf numFmtId="9" fontId="4" fillId="3" borderId="0" xfId="0" applyNumberFormat="1" applyFont="1" applyFill="1" applyAlignment="1">
      <alignment horizontal="center"/>
    </xf>
    <xf numFmtId="0" fontId="18" fillId="3" borderId="0" xfId="0" applyFont="1" applyFill="1"/>
    <xf numFmtId="165" fontId="5" fillId="3" borderId="0" xfId="3" applyNumberFormat="1" applyFont="1" applyFill="1"/>
    <xf numFmtId="166" fontId="11" fillId="3" borderId="0" xfId="1" applyNumberFormat="1" applyFont="1" applyFill="1"/>
    <xf numFmtId="165" fontId="5" fillId="0" borderId="0" xfId="2" applyNumberFormat="1" applyFont="1" applyAlignment="1">
      <alignment vertical="center"/>
    </xf>
    <xf numFmtId="166" fontId="11" fillId="0" borderId="0" xfId="1" applyNumberFormat="1" applyFont="1" applyFill="1"/>
    <xf numFmtId="166" fontId="4" fillId="0" borderId="0" xfId="1" applyNumberFormat="1" applyFont="1" applyFill="1" applyBorder="1" applyAlignment="1">
      <alignment horizontal="center"/>
    </xf>
    <xf numFmtId="43" fontId="4" fillId="0" borderId="11" xfId="1" applyFont="1" applyFill="1" applyBorder="1" applyAlignment="1">
      <alignment horizontal="center"/>
    </xf>
    <xf numFmtId="43" fontId="4" fillId="0" borderId="10" xfId="1" applyFont="1" applyFill="1" applyBorder="1" applyAlignment="1">
      <alignment horizontal="center"/>
    </xf>
    <xf numFmtId="43" fontId="4" fillId="0" borderId="12" xfId="1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165" fontId="5" fillId="3" borderId="3" xfId="0" applyNumberFormat="1" applyFont="1" applyFill="1" applyBorder="1"/>
  </cellXfs>
  <cellStyles count="6">
    <cellStyle name="Comma" xfId="1" builtinId="3"/>
    <cellStyle name="Comma 2" xfId="5" xr:uid="{D3E40D1E-9089-4D32-9E0B-9E29F6FAB58A}"/>
    <cellStyle name="Currency" xfId="2" builtinId="4"/>
    <cellStyle name="Normal" xfId="0" builtinId="0"/>
    <cellStyle name="Normal 2" xfId="4" xr:uid="{B7AE1133-55F2-4385-8236-A248A8FE414A}"/>
    <cellStyle name="Percent" xfId="3" builtinId="5"/>
  </cellStyles>
  <dxfs count="14"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006600"/>
      </font>
    </dxf>
    <dxf>
      <font>
        <color rgb="FF9C0006"/>
      </font>
    </dxf>
    <dxf>
      <font>
        <color rgb="FF006600"/>
      </font>
    </dxf>
    <dxf>
      <font>
        <color theme="6" tint="-0.499984740745262"/>
      </font>
    </dxf>
    <dxf>
      <font>
        <condense val="0"/>
        <extend val="0"/>
        <color rgb="FF9C0006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66FFFF"/>
      <color rgb="FF006600"/>
      <color rgb="FFFFFFCC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49"/>
  <sheetViews>
    <sheetView tabSelected="1" topLeftCell="E1" zoomScale="75" zoomScaleNormal="75" zoomScaleSheetLayoutView="100" workbookViewId="0">
      <selection activeCell="K27" sqref="K27"/>
    </sheetView>
  </sheetViews>
  <sheetFormatPr defaultColWidth="9.109375" defaultRowHeight="13.2" x14ac:dyDescent="0.25"/>
  <cols>
    <col min="1" max="1" width="4.44140625" style="14" customWidth="1"/>
    <col min="2" max="2" width="27.33203125" style="28" bestFit="1" customWidth="1"/>
    <col min="3" max="3" width="6.88671875" style="48" bestFit="1" customWidth="1"/>
    <col min="4" max="4" width="13.44140625" style="48" bestFit="1" customWidth="1"/>
    <col min="5" max="5" width="14" style="48" customWidth="1"/>
    <col min="6" max="6" width="14.21875" style="49" bestFit="1" customWidth="1"/>
    <col min="7" max="7" width="13.5546875" style="14" customWidth="1"/>
    <col min="8" max="8" width="13.5546875" style="50" customWidth="1"/>
    <col min="9" max="9" width="14.44140625" style="50" bestFit="1" customWidth="1"/>
    <col min="10" max="10" width="4.44140625" style="14" customWidth="1"/>
    <col min="11" max="11" width="15.77734375" style="50" customWidth="1"/>
    <col min="12" max="12" width="14.6640625" style="50" bestFit="1" customWidth="1"/>
    <col min="13" max="13" width="15.6640625" style="50" customWidth="1"/>
    <col min="14" max="14" width="1.44140625" style="14" customWidth="1"/>
    <col min="15" max="15" width="17.21875" style="14" customWidth="1"/>
    <col min="16" max="16" width="13" style="14" customWidth="1"/>
    <col min="17" max="17" width="1.77734375" style="14" customWidth="1"/>
    <col min="18" max="18" width="14.109375" style="14" bestFit="1" customWidth="1"/>
    <col min="19" max="19" width="15.77734375" style="14" customWidth="1"/>
    <col min="20" max="20" width="9.109375" style="14" customWidth="1"/>
    <col min="21" max="21" width="9.109375" style="14"/>
    <col min="22" max="22" width="12.21875" style="14" bestFit="1" customWidth="1"/>
    <col min="23" max="23" width="11.6640625" style="14" bestFit="1" customWidth="1"/>
    <col min="24" max="24" width="11.77734375" style="14" bestFit="1" customWidth="1"/>
    <col min="25" max="25" width="13.33203125" style="14" bestFit="1" customWidth="1"/>
    <col min="26" max="16384" width="9.109375" style="14"/>
  </cols>
  <sheetData>
    <row r="1" spans="1:39" x14ac:dyDescent="0.25">
      <c r="A1" s="13" t="s">
        <v>1045</v>
      </c>
      <c r="F1" s="55"/>
      <c r="G1" s="105"/>
      <c r="H1" s="105"/>
      <c r="I1" s="169"/>
      <c r="M1" s="14"/>
      <c r="R1" s="48">
        <v>0</v>
      </c>
      <c r="V1" s="175">
        <v>-707909.33703623165</v>
      </c>
      <c r="W1" s="90">
        <v>-323090.76702603692</v>
      </c>
      <c r="X1" s="254">
        <v>831364.94300464494</v>
      </c>
      <c r="Y1" s="254">
        <v>4935052.7930557542</v>
      </c>
    </row>
    <row r="2" spans="1:39" x14ac:dyDescent="0.25">
      <c r="A2" s="13" t="s">
        <v>675</v>
      </c>
      <c r="C2" s="51"/>
      <c r="D2" s="51"/>
      <c r="E2" s="51"/>
      <c r="F2" s="51"/>
      <c r="I2" s="105"/>
      <c r="K2" s="52"/>
      <c r="L2" s="230" t="s">
        <v>1119</v>
      </c>
      <c r="M2" s="52"/>
      <c r="O2" s="67">
        <f>2179595+R1</f>
        <v>2179595</v>
      </c>
      <c r="P2" s="14" t="s">
        <v>1120</v>
      </c>
      <c r="U2" s="232"/>
      <c r="V2" s="233"/>
      <c r="W2" s="233"/>
      <c r="X2" s="245"/>
      <c r="Y2" s="245"/>
    </row>
    <row r="3" spans="1:39" x14ac:dyDescent="0.25">
      <c r="A3" s="13"/>
      <c r="C3" s="13"/>
      <c r="D3" s="53"/>
      <c r="E3" s="53"/>
      <c r="F3" s="54"/>
      <c r="K3" s="55"/>
      <c r="L3" s="146"/>
      <c r="M3" s="14"/>
      <c r="N3" s="58"/>
      <c r="O3" s="58"/>
      <c r="P3" s="58"/>
      <c r="U3" s="232"/>
      <c r="V3" s="232"/>
      <c r="W3" s="232"/>
      <c r="X3" s="246"/>
      <c r="Y3" s="246"/>
    </row>
    <row r="4" spans="1:39" x14ac:dyDescent="0.25">
      <c r="F4" s="57"/>
      <c r="L4" s="235" t="s">
        <v>1121</v>
      </c>
      <c r="M4" s="236"/>
      <c r="N4" s="240"/>
      <c r="O4" s="235" t="s">
        <v>1122</v>
      </c>
      <c r="P4" s="236"/>
      <c r="Q4" s="241"/>
      <c r="R4" s="235" t="s">
        <v>715</v>
      </c>
      <c r="S4" s="236"/>
      <c r="T4" s="236"/>
      <c r="U4" s="232"/>
      <c r="V4" s="247"/>
      <c r="W4" s="247"/>
      <c r="X4" s="248"/>
      <c r="Y4" s="248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</row>
    <row r="5" spans="1:39" x14ac:dyDescent="0.25">
      <c r="A5" s="13"/>
      <c r="B5" s="58"/>
      <c r="C5" s="59"/>
      <c r="D5" s="59"/>
      <c r="E5" s="59"/>
      <c r="F5" s="59"/>
      <c r="G5" s="59"/>
      <c r="I5" s="49"/>
      <c r="L5" s="58"/>
      <c r="M5" s="58"/>
      <c r="N5" s="240"/>
      <c r="O5" s="58"/>
      <c r="P5" s="58"/>
      <c r="Q5" s="241"/>
      <c r="R5" s="58"/>
      <c r="S5" s="58"/>
      <c r="T5" s="58"/>
      <c r="U5" s="234"/>
      <c r="V5" s="234"/>
      <c r="W5" s="234"/>
      <c r="X5" s="234"/>
      <c r="Y5" s="234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</row>
    <row r="6" spans="1:39" s="58" customFormat="1" x14ac:dyDescent="0.25">
      <c r="C6" s="59"/>
      <c r="D6" s="59" t="s">
        <v>903</v>
      </c>
      <c r="E6" s="59" t="s">
        <v>903</v>
      </c>
      <c r="F6" s="59"/>
      <c r="H6" s="59" t="s">
        <v>903</v>
      </c>
      <c r="I6" s="59" t="s">
        <v>938</v>
      </c>
      <c r="K6" s="60"/>
      <c r="L6" s="58" t="s">
        <v>1123</v>
      </c>
      <c r="M6" s="58" t="s">
        <v>1124</v>
      </c>
      <c r="N6" s="240"/>
      <c r="O6" s="58" t="s">
        <v>1123</v>
      </c>
      <c r="P6" s="58" t="s">
        <v>1124</v>
      </c>
      <c r="Q6" s="242"/>
      <c r="R6" s="58" t="s">
        <v>1123</v>
      </c>
      <c r="S6" s="58" t="s">
        <v>1124</v>
      </c>
      <c r="T6" s="58" t="s">
        <v>1127</v>
      </c>
      <c r="U6" s="234"/>
      <c r="V6" s="234" t="s">
        <v>1128</v>
      </c>
      <c r="W6" s="234" t="s">
        <v>1128</v>
      </c>
      <c r="X6" s="234"/>
      <c r="Y6" s="234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</row>
    <row r="7" spans="1:39" s="58" customFormat="1" x14ac:dyDescent="0.25">
      <c r="C7" s="59"/>
      <c r="D7" s="59" t="s">
        <v>674</v>
      </c>
      <c r="E7" s="59" t="s">
        <v>674</v>
      </c>
      <c r="F7" s="62"/>
      <c r="G7" s="22"/>
      <c r="H7" s="22" t="s">
        <v>332</v>
      </c>
      <c r="I7" s="22" t="s">
        <v>332</v>
      </c>
      <c r="K7" s="60"/>
      <c r="L7" s="237" t="s">
        <v>1125</v>
      </c>
      <c r="M7" s="237" t="s">
        <v>1126</v>
      </c>
      <c r="N7" s="240"/>
      <c r="O7" s="237" t="s">
        <v>1125</v>
      </c>
      <c r="P7" s="237" t="s">
        <v>1126</v>
      </c>
      <c r="Q7" s="242"/>
      <c r="R7" s="237" t="s">
        <v>1125</v>
      </c>
      <c r="S7" s="237" t="s">
        <v>1126</v>
      </c>
      <c r="T7" s="237"/>
      <c r="U7" s="234"/>
      <c r="V7" s="249">
        <v>0.05</v>
      </c>
      <c r="W7" s="249">
        <v>0.1</v>
      </c>
      <c r="X7" s="249">
        <v>0.25</v>
      </c>
      <c r="Y7" s="249">
        <v>0.5</v>
      </c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</row>
    <row r="8" spans="1:39" s="58" customFormat="1" ht="15" thickBot="1" x14ac:dyDescent="0.35">
      <c r="A8" s="63" t="s">
        <v>944</v>
      </c>
      <c r="B8" s="64" t="s">
        <v>751</v>
      </c>
      <c r="C8" s="64" t="s">
        <v>866</v>
      </c>
      <c r="D8" s="65" t="s">
        <v>346</v>
      </c>
      <c r="E8" s="65" t="s">
        <v>673</v>
      </c>
      <c r="F8" s="65" t="s">
        <v>345</v>
      </c>
      <c r="G8" s="66" t="s">
        <v>76</v>
      </c>
      <c r="H8" s="65" t="s">
        <v>864</v>
      </c>
      <c r="I8" s="65" t="s">
        <v>864</v>
      </c>
      <c r="J8" s="61"/>
      <c r="L8" s="238"/>
      <c r="M8" s="238"/>
      <c r="N8" s="240"/>
      <c r="O8" s="238"/>
      <c r="P8" s="238"/>
      <c r="Q8" s="240"/>
      <c r="R8" s="238"/>
      <c r="S8" s="238"/>
      <c r="T8" s="238"/>
      <c r="U8" s="250"/>
      <c r="V8" s="250"/>
      <c r="W8" s="250"/>
      <c r="X8" s="250"/>
      <c r="Y8" s="250"/>
    </row>
    <row r="9" spans="1:39" x14ac:dyDescent="0.25">
      <c r="A9" s="28"/>
      <c r="B9" s="13"/>
      <c r="C9" s="58"/>
      <c r="F9" s="48"/>
      <c r="G9" s="49"/>
      <c r="H9" s="14"/>
      <c r="I9" s="60"/>
      <c r="J9" s="61"/>
      <c r="L9" s="146"/>
      <c r="M9" s="49"/>
      <c r="N9" s="240"/>
      <c r="O9" s="146"/>
      <c r="P9" s="49"/>
      <c r="Q9" s="241"/>
      <c r="R9" s="146"/>
      <c r="S9" s="49"/>
      <c r="T9" s="49"/>
      <c r="U9" s="232"/>
      <c r="V9" s="232"/>
      <c r="W9" s="232"/>
      <c r="X9" s="232"/>
      <c r="Y9" s="232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</row>
    <row r="10" spans="1:39" x14ac:dyDescent="0.25">
      <c r="A10" s="28">
        <v>1</v>
      </c>
      <c r="B10" s="14" t="s">
        <v>713</v>
      </c>
      <c r="C10" s="28">
        <v>12</v>
      </c>
      <c r="D10" s="67">
        <f>'Alloc &amp; Returns'!F$351</f>
        <v>24593497.177850146</v>
      </c>
      <c r="E10" s="67">
        <f>'Alloc &amp; Returns'!F$377</f>
        <v>23519230.286484398</v>
      </c>
      <c r="F10" s="67">
        <f>D10-E10</f>
        <v>1074266.8913657479</v>
      </c>
      <c r="G10" s="67">
        <f>'Alloc &amp; Returns'!F$385</f>
        <v>62800668.179839551</v>
      </c>
      <c r="H10" s="68">
        <f>F10/G10</f>
        <v>1.7105978686236527E-2</v>
      </c>
      <c r="I10" s="48">
        <f>IF(H$26&lt;0,-H10/H$26,H10/H$26)</f>
        <v>0.34669139889842526</v>
      </c>
      <c r="J10" s="61"/>
      <c r="K10" s="110"/>
      <c r="L10" s="67">
        <v>1587189.2034450935</v>
      </c>
      <c r="M10" s="67">
        <v>2359336.5599093456</v>
      </c>
      <c r="N10" s="240"/>
      <c r="O10" s="67">
        <f>G10*$H$26</f>
        <v>3098625.7368343016</v>
      </c>
      <c r="P10" s="67">
        <f>O10-F10</f>
        <v>2024358.8454685537</v>
      </c>
      <c r="Q10" s="243"/>
      <c r="R10" s="67">
        <f>O10-L10</f>
        <v>1511436.5333892081</v>
      </c>
      <c r="S10" s="67">
        <f>P10-M10</f>
        <v>-334977.71444079187</v>
      </c>
      <c r="T10" s="110">
        <f>S10/M10</f>
        <v>-0.14197962263326389</v>
      </c>
      <c r="U10" s="232"/>
      <c r="V10" s="251">
        <f>'Alloc &amp; Returns'!AQ348+'Summary of Returns'!V1</f>
        <v>1138504.9107937682</v>
      </c>
      <c r="W10" s="247">
        <f>'Alloc &amp; Returns'!AQ348+'Summary of Returns'!W1</f>
        <v>1523323.480803963</v>
      </c>
      <c r="X10" s="252"/>
      <c r="Y10" s="252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</row>
    <row r="11" spans="1:39" x14ac:dyDescent="0.25">
      <c r="A11" s="28">
        <v>2</v>
      </c>
      <c r="B11" s="14" t="s">
        <v>1074</v>
      </c>
      <c r="C11" s="28">
        <v>9</v>
      </c>
      <c r="D11" s="67">
        <f>'Alloc &amp; Returns'!G$351</f>
        <v>16134.943636153561</v>
      </c>
      <c r="E11" s="67">
        <f>'Alloc &amp; Returns'!G$377</f>
        <v>23468.069941472611</v>
      </c>
      <c r="F11" s="67">
        <f t="shared" ref="F11:F26" si="0">D11-E11</f>
        <v>-7333.1263053190505</v>
      </c>
      <c r="G11" s="67">
        <f>'Alloc &amp; Returns'!G$385</f>
        <v>66720.427183814187</v>
      </c>
      <c r="H11" s="68">
        <f t="shared" ref="H11:H15" si="1">F11/G11</f>
        <v>-0.10990826370335359</v>
      </c>
      <c r="I11" s="48">
        <f t="shared" ref="I11:I16" si="2">IF(H$26&lt;0,-H11/H$26,H11/H$26)</f>
        <v>-2.2275398790524252</v>
      </c>
      <c r="J11" s="61"/>
      <c r="K11" s="110"/>
      <c r="L11" s="67">
        <v>1686.2550151877215</v>
      </c>
      <c r="M11" s="67">
        <v>9019.3813205067727</v>
      </c>
      <c r="N11" s="240"/>
      <c r="O11" s="67">
        <f t="shared" ref="O11:O17" si="3">G11*$H$26</f>
        <v>3292.0291907135215</v>
      </c>
      <c r="P11" s="67">
        <f t="shared" ref="P11:P25" si="4">O11-F11</f>
        <v>10625.155496032572</v>
      </c>
      <c r="Q11" s="243"/>
      <c r="R11" s="67">
        <f t="shared" ref="R11:S26" si="5">O11-L11</f>
        <v>1605.7741755258</v>
      </c>
      <c r="S11" s="67">
        <f t="shared" si="5"/>
        <v>1605.7741755257994</v>
      </c>
      <c r="T11" s="110">
        <f t="shared" ref="T11:T25" si="6">S11/M11</f>
        <v>0.17803595595574348</v>
      </c>
      <c r="U11" s="232"/>
      <c r="V11" s="232"/>
      <c r="W11" s="232"/>
      <c r="X11" s="232"/>
      <c r="Y11" s="232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</row>
    <row r="12" spans="1:39" x14ac:dyDescent="0.25">
      <c r="A12" s="28">
        <v>3</v>
      </c>
      <c r="B12" s="14" t="s">
        <v>1075</v>
      </c>
      <c r="C12" s="28">
        <v>15</v>
      </c>
      <c r="D12" s="67">
        <f>'Alloc &amp; Returns'!H$351</f>
        <v>1651241.3729645852</v>
      </c>
      <c r="E12" s="67">
        <f>'Alloc &amp; Returns'!H$377</f>
        <v>1434652.3944584902</v>
      </c>
      <c r="F12" s="67">
        <f t="shared" si="0"/>
        <v>216588.97850609501</v>
      </c>
      <c r="G12" s="67">
        <f>'Alloc &amp; Returns'!H$385</f>
        <v>2959292.9884449947</v>
      </c>
      <c r="H12" s="68">
        <f t="shared" si="1"/>
        <v>7.3189433878902602E-2</v>
      </c>
      <c r="I12" s="48">
        <f t="shared" si="2"/>
        <v>1.4833496335685596</v>
      </c>
      <c r="J12" s="61"/>
      <c r="K12" s="110"/>
      <c r="L12" s="67">
        <v>74791.527179936791</v>
      </c>
      <c r="M12" s="67">
        <v>-19349.018962824804</v>
      </c>
      <c r="N12" s="240"/>
      <c r="O12" s="67">
        <f t="shared" si="3"/>
        <v>146013.4371591392</v>
      </c>
      <c r="P12" s="67">
        <f t="shared" si="4"/>
        <v>-70575.541346955812</v>
      </c>
      <c r="Q12" s="243"/>
      <c r="R12" s="67">
        <f t="shared" si="5"/>
        <v>71221.909979202406</v>
      </c>
      <c r="S12" s="67">
        <f t="shared" si="5"/>
        <v>-51226.522384131007</v>
      </c>
      <c r="T12" s="110">
        <f t="shared" si="6"/>
        <v>2.6474997250533647</v>
      </c>
      <c r="U12" s="232"/>
      <c r="V12" s="232"/>
      <c r="W12" s="232"/>
      <c r="X12" s="232"/>
      <c r="Y12" s="232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</row>
    <row r="13" spans="1:39" x14ac:dyDescent="0.25">
      <c r="A13" s="28">
        <v>4</v>
      </c>
      <c r="B13" s="14" t="s">
        <v>1076</v>
      </c>
      <c r="C13" s="28">
        <v>11</v>
      </c>
      <c r="D13" s="67">
        <f>'Alloc &amp; Returns'!I$351</f>
        <v>4813295.1110706469</v>
      </c>
      <c r="E13" s="67">
        <f>'Alloc &amp; Returns'!I$377</f>
        <v>3829166.2563615739</v>
      </c>
      <c r="F13" s="67">
        <f t="shared" si="0"/>
        <v>984128.85470907297</v>
      </c>
      <c r="G13" s="67">
        <f>'Alloc &amp; Returns'!I$385</f>
        <v>10253680.408332247</v>
      </c>
      <c r="H13" s="68">
        <f t="shared" si="1"/>
        <v>9.5978108885601668E-2</v>
      </c>
      <c r="I13" s="48">
        <f t="shared" si="2"/>
        <v>1.9452137433064569</v>
      </c>
      <c r="J13" s="61"/>
      <c r="K13" s="110"/>
      <c r="L13" s="67">
        <v>259145.82298832797</v>
      </c>
      <c r="M13" s="67">
        <v>-532534.13172074559</v>
      </c>
      <c r="N13" s="240"/>
      <c r="O13" s="67">
        <f t="shared" si="3"/>
        <v>505923.24781556375</v>
      </c>
      <c r="P13" s="67">
        <f t="shared" si="4"/>
        <v>-478205.60689350922</v>
      </c>
      <c r="Q13" s="243"/>
      <c r="R13" s="67">
        <f t="shared" si="5"/>
        <v>246777.42482723578</v>
      </c>
      <c r="S13" s="67">
        <f t="shared" si="5"/>
        <v>54328.524827236368</v>
      </c>
      <c r="T13" s="110">
        <f t="shared" si="6"/>
        <v>-0.1020188596206742</v>
      </c>
      <c r="U13" s="232"/>
      <c r="V13" s="232"/>
      <c r="W13" s="232"/>
      <c r="X13" s="232"/>
      <c r="Y13" s="232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</row>
    <row r="14" spans="1:39" x14ac:dyDescent="0.25">
      <c r="A14" s="28">
        <v>5</v>
      </c>
      <c r="B14" s="14" t="s">
        <v>1077</v>
      </c>
      <c r="C14" s="28">
        <v>2</v>
      </c>
      <c r="D14" s="67">
        <f>'Alloc &amp; Returns'!J$351</f>
        <v>4938198.3502762988</v>
      </c>
      <c r="E14" s="67">
        <f>'Alloc &amp; Returns'!J$377</f>
        <v>4434312.5879351767</v>
      </c>
      <c r="F14" s="67">
        <f t="shared" si="0"/>
        <v>503885.76234112214</v>
      </c>
      <c r="G14" s="67">
        <f>'Alloc &amp; Returns'!J$385</f>
        <v>4297128.2448560596</v>
      </c>
      <c r="H14" s="68">
        <f t="shared" si="1"/>
        <v>0.11726104822314903</v>
      </c>
      <c r="I14" s="48">
        <f t="shared" si="2"/>
        <v>2.376560709589155</v>
      </c>
      <c r="J14" s="61"/>
      <c r="K14" s="110"/>
      <c r="L14" s="67">
        <v>108603.23231790059</v>
      </c>
      <c r="M14" s="67">
        <v>-395282.53002322157</v>
      </c>
      <c r="N14" s="240"/>
      <c r="O14" s="67">
        <f t="shared" si="3"/>
        <v>212023.09720429181</v>
      </c>
      <c r="P14" s="67">
        <f t="shared" si="4"/>
        <v>-291862.6651368303</v>
      </c>
      <c r="Q14" s="243"/>
      <c r="R14" s="67">
        <f t="shared" si="5"/>
        <v>103419.86488639122</v>
      </c>
      <c r="S14" s="67">
        <f t="shared" si="5"/>
        <v>103419.86488639127</v>
      </c>
      <c r="T14" s="110">
        <f t="shared" si="6"/>
        <v>-0.26163530394403134</v>
      </c>
      <c r="U14" s="232"/>
      <c r="V14" s="232"/>
      <c r="W14" s="232"/>
      <c r="X14" s="232"/>
      <c r="Y14" s="232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</row>
    <row r="15" spans="1:39" x14ac:dyDescent="0.25">
      <c r="A15" s="28">
        <v>6</v>
      </c>
      <c r="B15" s="14" t="s">
        <v>1006</v>
      </c>
      <c r="C15" s="28" t="s">
        <v>1078</v>
      </c>
      <c r="D15" s="67">
        <f>'Alloc &amp; Returns'!K$351</f>
        <v>7655757.5761743048</v>
      </c>
      <c r="E15" s="67">
        <f>'Alloc &amp; Returns'!K$377</f>
        <v>6436992.841873534</v>
      </c>
      <c r="F15" s="67">
        <f t="shared" si="0"/>
        <v>1218764.7343007708</v>
      </c>
      <c r="G15" s="67">
        <f>'Alloc &amp; Returns'!K$385</f>
        <v>5719861.2777235387</v>
      </c>
      <c r="H15" s="68">
        <f t="shared" si="1"/>
        <v>0.21307592529338926</v>
      </c>
      <c r="I15" s="48">
        <f t="shared" si="2"/>
        <v>4.3184661904775181</v>
      </c>
      <c r="J15" s="61"/>
      <c r="K15" s="110"/>
      <c r="L15" s="67">
        <v>144560.59669952467</v>
      </c>
      <c r="M15" s="67">
        <v>-1060956.7376012458</v>
      </c>
      <c r="N15" s="240"/>
      <c r="O15" s="67">
        <f t="shared" si="3"/>
        <v>282221.66865361168</v>
      </c>
      <c r="P15" s="67">
        <f t="shared" si="4"/>
        <v>-936543.06564715912</v>
      </c>
      <c r="Q15" s="243"/>
      <c r="R15" s="67">
        <f t="shared" si="5"/>
        <v>137661.071954087</v>
      </c>
      <c r="S15" s="67">
        <f t="shared" si="5"/>
        <v>124413.67195408663</v>
      </c>
      <c r="T15" s="110">
        <f t="shared" si="6"/>
        <v>-0.11726554678881428</v>
      </c>
      <c r="U15" s="232"/>
      <c r="V15" s="232"/>
      <c r="W15" s="232"/>
      <c r="X15" s="232"/>
      <c r="Y15" s="232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</row>
    <row r="16" spans="1:39" x14ac:dyDescent="0.25">
      <c r="A16" s="28">
        <v>7</v>
      </c>
      <c r="B16" s="14" t="s">
        <v>1006</v>
      </c>
      <c r="C16" s="28" t="s">
        <v>1079</v>
      </c>
      <c r="D16" s="67">
        <f>'Alloc &amp; Returns'!L$351</f>
        <v>1973273.1453130962</v>
      </c>
      <c r="E16" s="67">
        <f>'Alloc &amp; Returns'!L$377</f>
        <v>1816475.5115986778</v>
      </c>
      <c r="F16" s="67">
        <f t="shared" ref="F16" si="7">D16-E16</f>
        <v>156797.63371441839</v>
      </c>
      <c r="G16" s="67">
        <f>'Alloc &amp; Returns'!L$385</f>
        <v>1496439.8088717931</v>
      </c>
      <c r="H16" s="68">
        <f t="shared" ref="H16" si="8">F16/G16</f>
        <v>0.10478044809074707</v>
      </c>
      <c r="I16" s="48">
        <f t="shared" si="2"/>
        <v>2.123613082425575</v>
      </c>
      <c r="J16" s="61"/>
      <c r="K16" s="110"/>
      <c r="L16" s="67">
        <v>37820.188496166687</v>
      </c>
      <c r="M16" s="67">
        <v>-113940.96521825172</v>
      </c>
      <c r="N16" s="240"/>
      <c r="O16" s="67">
        <f t="shared" si="3"/>
        <v>73835.311626223978</v>
      </c>
      <c r="P16" s="67">
        <f t="shared" si="4"/>
        <v>-82962.322088194414</v>
      </c>
      <c r="Q16" s="243"/>
      <c r="R16" s="67">
        <f t="shared" si="5"/>
        <v>36015.123130057291</v>
      </c>
      <c r="S16" s="67">
        <f t="shared" si="5"/>
        <v>30978.643130057302</v>
      </c>
      <c r="T16" s="110">
        <f t="shared" si="6"/>
        <v>-0.27188327807051932</v>
      </c>
      <c r="U16" s="232"/>
      <c r="V16" s="232"/>
      <c r="W16" s="232"/>
      <c r="X16" s="232"/>
      <c r="Y16" s="232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</row>
    <row r="17" spans="1:39" x14ac:dyDescent="0.25">
      <c r="A17" s="28">
        <v>8</v>
      </c>
      <c r="B17" s="14" t="s">
        <v>1080</v>
      </c>
      <c r="C17" s="28">
        <v>3</v>
      </c>
      <c r="D17" s="67">
        <f>'Alloc &amp; Returns'!M$351</f>
        <v>553417.93380373798</v>
      </c>
      <c r="E17" s="67">
        <f>'Alloc &amp; Returns'!M$377</f>
        <v>232086.18043498759</v>
      </c>
      <c r="F17" s="67">
        <f t="shared" ref="F17" si="9">D17-E17</f>
        <v>321331.75336875039</v>
      </c>
      <c r="G17" s="67">
        <f>'Alloc &amp; Returns'!M$385</f>
        <v>2969092.542478492</v>
      </c>
      <c r="H17" s="68">
        <f t="shared" ref="H17" si="10">F17/G17</f>
        <v>0.10822557693015326</v>
      </c>
      <c r="I17" s="48">
        <f t="shared" ref="I17" si="11">IF(H$26&lt;0,-H17/H$26,H17/H$26)</f>
        <v>2.1934364207230819</v>
      </c>
      <c r="J17" s="61"/>
      <c r="K17" s="110"/>
      <c r="L17" s="67">
        <v>75039.195665182895</v>
      </c>
      <c r="M17" s="67">
        <v>-246292.55770356749</v>
      </c>
      <c r="N17" s="240"/>
      <c r="O17" s="67">
        <f t="shared" si="3"/>
        <v>146496.95351681134</v>
      </c>
      <c r="P17" s="67">
        <f t="shared" si="4"/>
        <v>-174834.79985193905</v>
      </c>
      <c r="Q17" s="243"/>
      <c r="R17" s="67">
        <f t="shared" si="5"/>
        <v>71457.757851628441</v>
      </c>
      <c r="S17" s="67">
        <f t="shared" si="5"/>
        <v>71457.757851628441</v>
      </c>
      <c r="T17" s="110">
        <f t="shared" si="6"/>
        <v>-0.29013364641587541</v>
      </c>
      <c r="U17" s="232"/>
      <c r="V17" s="232"/>
      <c r="W17" s="232"/>
      <c r="X17" s="232"/>
      <c r="Y17" s="232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</row>
    <row r="18" spans="1:39" hidden="1" x14ac:dyDescent="0.25">
      <c r="A18" s="28"/>
      <c r="B18" s="14"/>
      <c r="C18" s="28"/>
      <c r="D18" s="67"/>
      <c r="E18" s="67"/>
      <c r="F18" s="67"/>
      <c r="G18" s="67"/>
      <c r="H18" s="68"/>
      <c r="I18" s="68"/>
      <c r="J18" s="61"/>
      <c r="K18" s="110"/>
      <c r="L18" s="67">
        <v>15182.238865265415</v>
      </c>
      <c r="M18" s="67">
        <v>-230572.46615802983</v>
      </c>
      <c r="N18" s="240"/>
      <c r="O18" s="67" t="e">
        <f t="shared" ref="O18:O25" si="12">G18*$H$31</f>
        <v>#VALUE!</v>
      </c>
      <c r="P18" s="67" t="e">
        <f t="shared" si="4"/>
        <v>#VALUE!</v>
      </c>
      <c r="Q18" s="243"/>
      <c r="R18" s="67" t="e">
        <f t="shared" si="5"/>
        <v>#VALUE!</v>
      </c>
      <c r="S18" s="67" t="e">
        <f t="shared" si="5"/>
        <v>#VALUE!</v>
      </c>
      <c r="T18" s="67" t="e">
        <f t="shared" si="6"/>
        <v>#VALUE!</v>
      </c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</row>
    <row r="19" spans="1:39" hidden="1" x14ac:dyDescent="0.25">
      <c r="A19" s="28"/>
      <c r="B19" s="14"/>
      <c r="C19" s="28"/>
      <c r="D19" s="67"/>
      <c r="E19" s="67"/>
      <c r="F19" s="69"/>
      <c r="G19" s="67"/>
      <c r="H19" s="68"/>
      <c r="I19" s="68"/>
      <c r="J19" s="61"/>
      <c r="K19" s="110"/>
      <c r="L19" s="67">
        <v>3227.4956978536688</v>
      </c>
      <c r="M19" s="67">
        <v>-19138.037401517457</v>
      </c>
      <c r="N19" s="240"/>
      <c r="O19" s="67" t="e">
        <f t="shared" si="12"/>
        <v>#VALUE!</v>
      </c>
      <c r="P19" s="67" t="e">
        <f t="shared" si="4"/>
        <v>#VALUE!</v>
      </c>
      <c r="Q19" s="243"/>
      <c r="R19" s="67" t="e">
        <f t="shared" si="5"/>
        <v>#VALUE!</v>
      </c>
      <c r="S19" s="67" t="e">
        <f t="shared" si="5"/>
        <v>#VALUE!</v>
      </c>
      <c r="T19" s="67" t="e">
        <f t="shared" si="6"/>
        <v>#VALUE!</v>
      </c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</row>
    <row r="20" spans="1:39" hidden="1" x14ac:dyDescent="0.25">
      <c r="A20" s="28"/>
      <c r="B20" s="14"/>
      <c r="C20" s="28"/>
      <c r="D20" s="67"/>
      <c r="E20" s="67"/>
      <c r="F20" s="69"/>
      <c r="G20" s="67"/>
      <c r="H20" s="68"/>
      <c r="I20" s="68"/>
      <c r="J20" s="61"/>
      <c r="K20" s="110"/>
      <c r="L20" s="67">
        <v>1160.2884905171129</v>
      </c>
      <c r="M20" s="67">
        <v>-24155.278977872364</v>
      </c>
      <c r="N20" s="240"/>
      <c r="O20" s="67" t="e">
        <f t="shared" si="12"/>
        <v>#VALUE!</v>
      </c>
      <c r="P20" s="67" t="e">
        <f t="shared" si="4"/>
        <v>#VALUE!</v>
      </c>
      <c r="Q20" s="243"/>
      <c r="R20" s="67" t="e">
        <f t="shared" si="5"/>
        <v>#VALUE!</v>
      </c>
      <c r="S20" s="67" t="e">
        <f t="shared" si="5"/>
        <v>#VALUE!</v>
      </c>
      <c r="T20" s="67" t="e">
        <f t="shared" si="6"/>
        <v>#VALUE!</v>
      </c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</row>
    <row r="21" spans="1:39" hidden="1" x14ac:dyDescent="0.25">
      <c r="A21" s="28"/>
      <c r="B21" s="14"/>
      <c r="C21" s="28"/>
      <c r="D21" s="69"/>
      <c r="E21" s="67"/>
      <c r="F21" s="69"/>
      <c r="G21" s="67"/>
      <c r="H21" s="68"/>
      <c r="I21" s="68"/>
      <c r="J21" s="61"/>
      <c r="K21" s="110"/>
      <c r="L21" s="67">
        <v>3351.9481401093135</v>
      </c>
      <c r="M21" s="67">
        <v>80390.882350300046</v>
      </c>
      <c r="N21" s="240"/>
      <c r="O21" s="67" t="e">
        <f t="shared" si="12"/>
        <v>#VALUE!</v>
      </c>
      <c r="P21" s="67" t="e">
        <f t="shared" si="4"/>
        <v>#VALUE!</v>
      </c>
      <c r="Q21" s="243"/>
      <c r="R21" s="67" t="e">
        <f t="shared" si="5"/>
        <v>#VALUE!</v>
      </c>
      <c r="S21" s="67" t="e">
        <f t="shared" si="5"/>
        <v>#VALUE!</v>
      </c>
      <c r="T21" s="67" t="e">
        <f t="shared" si="6"/>
        <v>#VALUE!</v>
      </c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</row>
    <row r="22" spans="1:39" hidden="1" x14ac:dyDescent="0.25">
      <c r="A22" s="28"/>
      <c r="B22" s="14"/>
      <c r="C22" s="28"/>
      <c r="D22" s="69"/>
      <c r="E22" s="67"/>
      <c r="F22" s="69"/>
      <c r="G22" s="69"/>
      <c r="H22" s="68"/>
      <c r="I22" s="68"/>
      <c r="J22" s="61"/>
      <c r="K22" s="110"/>
      <c r="L22" s="67">
        <v>0</v>
      </c>
      <c r="M22" s="67">
        <v>0</v>
      </c>
      <c r="N22" s="240"/>
      <c r="O22" s="67" t="e">
        <f t="shared" si="12"/>
        <v>#VALUE!</v>
      </c>
      <c r="P22" s="67" t="e">
        <f t="shared" si="4"/>
        <v>#VALUE!</v>
      </c>
      <c r="Q22" s="243"/>
      <c r="R22" s="67" t="e">
        <f t="shared" si="5"/>
        <v>#VALUE!</v>
      </c>
      <c r="S22" s="67" t="e">
        <f t="shared" si="5"/>
        <v>#VALUE!</v>
      </c>
      <c r="T22" s="67" t="e">
        <f t="shared" si="6"/>
        <v>#VALUE!</v>
      </c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</row>
    <row r="23" spans="1:39" hidden="1" x14ac:dyDescent="0.25">
      <c r="A23" s="28"/>
      <c r="B23" s="14"/>
      <c r="C23" s="28"/>
      <c r="D23" s="69"/>
      <c r="E23" s="67"/>
      <c r="F23" s="69"/>
      <c r="G23" s="69"/>
      <c r="H23" s="68"/>
      <c r="I23" s="68"/>
      <c r="J23" s="61"/>
      <c r="K23" s="167"/>
      <c r="L23" s="67">
        <v>8550.9003764982408</v>
      </c>
      <c r="M23" s="67">
        <v>-264972.66417788877</v>
      </c>
      <c r="N23" s="240"/>
      <c r="O23" s="67" t="e">
        <f t="shared" si="12"/>
        <v>#VALUE!</v>
      </c>
      <c r="P23" s="67" t="e">
        <f t="shared" si="4"/>
        <v>#VALUE!</v>
      </c>
      <c r="Q23" s="244"/>
      <c r="R23" s="67" t="e">
        <f t="shared" si="5"/>
        <v>#VALUE!</v>
      </c>
      <c r="S23" s="67" t="e">
        <f t="shared" si="5"/>
        <v>#VALUE!</v>
      </c>
      <c r="T23" s="67" t="e">
        <f t="shared" si="6"/>
        <v>#VALUE!</v>
      </c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</row>
    <row r="24" spans="1:39" hidden="1" x14ac:dyDescent="0.25">
      <c r="A24" s="28"/>
      <c r="B24" s="14"/>
      <c r="C24" s="28"/>
      <c r="D24" s="69"/>
      <c r="E24" s="67"/>
      <c r="F24" s="69"/>
      <c r="G24" s="69"/>
      <c r="H24" s="68"/>
      <c r="I24" s="68"/>
      <c r="J24" s="61"/>
      <c r="K24" s="110"/>
      <c r="L24" s="67">
        <v>652.42153518315638</v>
      </c>
      <c r="M24" s="67">
        <v>-9063.8120487070573</v>
      </c>
      <c r="N24" s="240"/>
      <c r="O24" s="67" t="e">
        <f t="shared" si="12"/>
        <v>#VALUE!</v>
      </c>
      <c r="P24" s="67" t="e">
        <f t="shared" si="4"/>
        <v>#VALUE!</v>
      </c>
      <c r="Q24" s="243"/>
      <c r="R24" s="67" t="e">
        <f t="shared" si="5"/>
        <v>#VALUE!</v>
      </c>
      <c r="S24" s="67" t="e">
        <f t="shared" si="5"/>
        <v>#VALUE!</v>
      </c>
      <c r="T24" s="67" t="e">
        <f t="shared" si="6"/>
        <v>#VALUE!</v>
      </c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</row>
    <row r="25" spans="1:39" hidden="1" x14ac:dyDescent="0.25">
      <c r="A25" s="28"/>
      <c r="B25" s="14"/>
      <c r="C25" s="28"/>
      <c r="D25" s="69"/>
      <c r="E25" s="67"/>
      <c r="F25" s="69"/>
      <c r="G25" s="69"/>
      <c r="H25" s="68"/>
      <c r="I25" s="68"/>
      <c r="J25" s="61"/>
      <c r="K25" s="110"/>
      <c r="L25" s="67">
        <v>42666.129157327283</v>
      </c>
      <c r="M25" s="67">
        <v>-722250.21652676701</v>
      </c>
      <c r="N25" s="240"/>
      <c r="O25" s="67" t="e">
        <f t="shared" si="12"/>
        <v>#VALUE!</v>
      </c>
      <c r="P25" s="67" t="e">
        <f t="shared" si="4"/>
        <v>#VALUE!</v>
      </c>
      <c r="Q25" s="243"/>
      <c r="R25" s="67" t="e">
        <f t="shared" si="5"/>
        <v>#VALUE!</v>
      </c>
      <c r="S25" s="67" t="e">
        <f t="shared" si="5"/>
        <v>#VALUE!</v>
      </c>
      <c r="T25" s="67" t="e">
        <f t="shared" si="6"/>
        <v>#VALUE!</v>
      </c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</row>
    <row r="26" spans="1:39" s="75" customFormat="1" ht="26.25" customHeight="1" thickBot="1" x14ac:dyDescent="0.3">
      <c r="A26" s="70">
        <v>9</v>
      </c>
      <c r="B26" s="184" t="s">
        <v>857</v>
      </c>
      <c r="C26" s="71"/>
      <c r="D26" s="72">
        <f>SUM(D10:D25)</f>
        <v>46194815.611088969</v>
      </c>
      <c r="E26" s="72">
        <f>SUM(E10:E25)</f>
        <v>41726384.129088312</v>
      </c>
      <c r="F26" s="72">
        <f t="shared" si="0"/>
        <v>4468431.4820006564</v>
      </c>
      <c r="G26" s="72">
        <f>SUM(G10:G25)</f>
        <v>90562883.877730474</v>
      </c>
      <c r="H26" s="73">
        <f>F26/G26</f>
        <v>4.93406491784594E-2</v>
      </c>
      <c r="I26" s="74">
        <f>H26/H$26</f>
        <v>1</v>
      </c>
      <c r="J26" s="61"/>
      <c r="K26" s="110"/>
      <c r="L26" s="72">
        <f>SUM(L10:L17)</f>
        <v>2288836.0218073209</v>
      </c>
      <c r="M26" s="72">
        <f>SUM(M10:M17)</f>
        <v>-4.3946783989667892E-9</v>
      </c>
      <c r="N26" s="240"/>
      <c r="O26" s="72">
        <f>SUM(O10:O17)</f>
        <v>4468431.4820006564</v>
      </c>
      <c r="P26" s="72">
        <f>SUM(P10:P17)</f>
        <v>-1.6007106751203537E-9</v>
      </c>
      <c r="Q26" s="243"/>
      <c r="R26" s="72">
        <f t="shared" si="5"/>
        <v>2179595.4601933355</v>
      </c>
      <c r="S26" s="72">
        <f t="shared" si="5"/>
        <v>2.7939677238464355E-9</v>
      </c>
      <c r="T26" s="239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</row>
    <row r="27" spans="1:39" s="75" customFormat="1" ht="26.4" customHeight="1" thickTop="1" x14ac:dyDescent="0.25">
      <c r="A27" s="70"/>
      <c r="B27" s="14"/>
      <c r="C27" s="70"/>
      <c r="D27" s="156"/>
      <c r="E27" s="156"/>
      <c r="F27" s="156"/>
      <c r="G27" s="156"/>
      <c r="H27" s="158"/>
      <c r="I27" s="159"/>
      <c r="J27" s="61"/>
    </row>
    <row r="28" spans="1:39" s="75" customFormat="1" ht="26.25" customHeight="1" x14ac:dyDescent="0.25">
      <c r="A28" s="70"/>
      <c r="D28" s="156"/>
      <c r="E28" s="156"/>
      <c r="F28" s="156"/>
      <c r="G28" s="156"/>
      <c r="H28" s="157" t="s">
        <v>1022</v>
      </c>
      <c r="I28" s="157"/>
      <c r="J28" s="61"/>
      <c r="S28" s="253"/>
      <c r="V28" s="166"/>
      <c r="W28" s="166"/>
    </row>
    <row r="29" spans="1:39" x14ac:dyDescent="0.25">
      <c r="A29" s="28"/>
      <c r="B29" s="14"/>
      <c r="C29" s="28"/>
      <c r="D29" s="76"/>
      <c r="E29" s="76"/>
      <c r="F29" s="69"/>
      <c r="G29" s="76"/>
      <c r="H29" s="59" t="s">
        <v>903</v>
      </c>
      <c r="I29" s="59" t="s">
        <v>938</v>
      </c>
      <c r="J29" s="61"/>
      <c r="K29" s="75"/>
      <c r="L29" s="75"/>
      <c r="M29" s="75"/>
      <c r="N29" s="75"/>
      <c r="O29" s="75"/>
      <c r="P29" s="75"/>
      <c r="Q29" s="75"/>
    </row>
    <row r="30" spans="1:39" x14ac:dyDescent="0.25">
      <c r="A30" s="58"/>
      <c r="B30" s="14"/>
      <c r="C30" s="59"/>
      <c r="D30" s="59" t="s">
        <v>1023</v>
      </c>
      <c r="E30" s="59" t="s">
        <v>1024</v>
      </c>
      <c r="F30" s="48"/>
      <c r="G30" s="49"/>
      <c r="H30" s="22" t="s">
        <v>332</v>
      </c>
      <c r="I30" s="22" t="s">
        <v>332</v>
      </c>
      <c r="J30" s="50"/>
      <c r="K30" s="75"/>
      <c r="L30" s="75"/>
      <c r="M30" s="75"/>
      <c r="N30" s="75"/>
      <c r="O30" s="75"/>
      <c r="P30" s="75"/>
      <c r="Q30" s="75"/>
    </row>
    <row r="31" spans="1:39" ht="13.8" thickBot="1" x14ac:dyDescent="0.3">
      <c r="A31" s="63" t="s">
        <v>944</v>
      </c>
      <c r="B31" s="64" t="s">
        <v>751</v>
      </c>
      <c r="C31" s="64" t="s">
        <v>866</v>
      </c>
      <c r="D31" s="65" t="s">
        <v>346</v>
      </c>
      <c r="E31" s="65" t="s">
        <v>11</v>
      </c>
      <c r="F31" s="48"/>
      <c r="G31" s="49"/>
      <c r="H31" s="65" t="s">
        <v>864</v>
      </c>
      <c r="I31" s="65" t="s">
        <v>864</v>
      </c>
      <c r="J31" s="50"/>
      <c r="K31" s="75"/>
      <c r="L31" s="75"/>
      <c r="M31" s="75"/>
      <c r="N31" s="75"/>
      <c r="O31" s="75"/>
      <c r="P31" s="75"/>
      <c r="Q31" s="75"/>
    </row>
    <row r="32" spans="1:39" x14ac:dyDescent="0.25">
      <c r="A32" s="28"/>
      <c r="B32" s="13"/>
      <c r="C32" s="58"/>
      <c r="D32" s="58"/>
      <c r="F32" s="48"/>
      <c r="G32" s="49"/>
      <c r="J32" s="50"/>
      <c r="K32" s="75"/>
      <c r="L32" s="75"/>
      <c r="M32" s="75"/>
      <c r="N32" s="75"/>
      <c r="O32" s="75"/>
      <c r="P32" s="75"/>
      <c r="Q32" s="75"/>
    </row>
    <row r="33" spans="1:17" x14ac:dyDescent="0.25">
      <c r="A33" s="28">
        <f>A26+1</f>
        <v>10</v>
      </c>
      <c r="B33" s="14" t="str">
        <f>B10</f>
        <v>Residential Service</v>
      </c>
      <c r="C33" s="28">
        <f>C10</f>
        <v>12</v>
      </c>
      <c r="D33" s="161">
        <f t="shared" ref="D33:D39" si="13">D10/D$26</f>
        <v>0.53238652113910656</v>
      </c>
      <c r="E33" s="161">
        <f>'Billing Det'!P8</f>
        <v>0.44848389464270294</v>
      </c>
      <c r="F33" s="48"/>
      <c r="G33" s="110"/>
      <c r="H33" s="68">
        <v>1.7105978686236468E-2</v>
      </c>
      <c r="I33" s="48">
        <v>0.3466913988984241</v>
      </c>
      <c r="J33" s="50"/>
      <c r="K33" s="75"/>
      <c r="L33" s="75"/>
      <c r="M33" s="75"/>
      <c r="N33" s="75"/>
      <c r="O33" s="75"/>
      <c r="P33" s="75"/>
      <c r="Q33" s="75"/>
    </row>
    <row r="34" spans="1:17" x14ac:dyDescent="0.25">
      <c r="A34" s="28">
        <f>A33+1</f>
        <v>11</v>
      </c>
      <c r="B34" s="14" t="str">
        <f t="shared" ref="B34:C40" si="14">B11</f>
        <v>Off Peak Retail Marketing (ETS)</v>
      </c>
      <c r="C34" s="28">
        <f t="shared" si="14"/>
        <v>9</v>
      </c>
      <c r="D34" s="161">
        <f t="shared" si="13"/>
        <v>3.4928039916843831E-4</v>
      </c>
      <c r="E34" s="161">
        <f>'Billing Det'!P9</f>
        <v>3.9241104751741807E-4</v>
      </c>
      <c r="F34" s="48"/>
      <c r="G34" s="110"/>
      <c r="H34" s="68">
        <v>-0.10990826370335359</v>
      </c>
      <c r="I34" s="48">
        <v>-2.2275398790524252</v>
      </c>
      <c r="J34" s="50"/>
      <c r="K34" s="14"/>
      <c r="N34" s="50"/>
    </row>
    <row r="35" spans="1:17" x14ac:dyDescent="0.25">
      <c r="A35" s="28">
        <f t="shared" ref="A35:A39" si="15">A34+1</f>
        <v>12</v>
      </c>
      <c r="B35" s="14" t="str">
        <f t="shared" si="14"/>
        <v>Prepay Service</v>
      </c>
      <c r="C35" s="28">
        <f t="shared" si="14"/>
        <v>15</v>
      </c>
      <c r="D35" s="161">
        <f t="shared" si="13"/>
        <v>3.5745166446085094E-2</v>
      </c>
      <c r="E35" s="161">
        <f>'Billing Det'!P10</f>
        <v>3.1834243377114983E-2</v>
      </c>
      <c r="F35" s="48"/>
      <c r="G35" s="110"/>
      <c r="H35" s="68">
        <v>7.3189433878902602E-2</v>
      </c>
      <c r="I35" s="48">
        <v>1.4833496335685596</v>
      </c>
      <c r="J35" s="50"/>
      <c r="K35" s="14"/>
      <c r="N35" s="50"/>
    </row>
    <row r="36" spans="1:17" x14ac:dyDescent="0.25">
      <c r="A36" s="28">
        <f t="shared" si="15"/>
        <v>13</v>
      </c>
      <c r="B36" s="14" t="str">
        <f t="shared" si="14"/>
        <v>General Service</v>
      </c>
      <c r="C36" s="28">
        <f t="shared" si="14"/>
        <v>11</v>
      </c>
      <c r="D36" s="161">
        <f t="shared" si="13"/>
        <v>0.10419556929490645</v>
      </c>
      <c r="E36" s="161">
        <f>'Billing Det'!P11</f>
        <v>7.7906886192601332E-2</v>
      </c>
      <c r="F36" s="48"/>
      <c r="G36" s="110"/>
      <c r="H36" s="68">
        <v>9.5978108885601668E-2</v>
      </c>
      <c r="I36" s="48">
        <v>1.9452137433064569</v>
      </c>
      <c r="J36" s="50"/>
      <c r="K36" s="14"/>
      <c r="N36" s="50"/>
    </row>
    <row r="37" spans="1:17" x14ac:dyDescent="0.25">
      <c r="A37" s="28">
        <f t="shared" si="15"/>
        <v>14</v>
      </c>
      <c r="B37" s="14" t="str">
        <f t="shared" si="14"/>
        <v>Large Power Service</v>
      </c>
      <c r="C37" s="28">
        <f t="shared" si="14"/>
        <v>2</v>
      </c>
      <c r="D37" s="161">
        <f t="shared" si="13"/>
        <v>0.10689940602535698</v>
      </c>
      <c r="E37" s="161">
        <f>'Billing Det'!P12</f>
        <v>0.12838397998537218</v>
      </c>
      <c r="F37" s="48"/>
      <c r="G37" s="110"/>
      <c r="H37" s="68">
        <v>0.11726104822314903</v>
      </c>
      <c r="I37" s="48">
        <v>2.376560709589155</v>
      </c>
      <c r="J37" s="50"/>
      <c r="K37" s="14"/>
      <c r="N37" s="50"/>
    </row>
    <row r="38" spans="1:17" x14ac:dyDescent="0.25">
      <c r="A38" s="28">
        <f t="shared" si="15"/>
        <v>15</v>
      </c>
      <c r="B38" s="14" t="str">
        <f t="shared" si="14"/>
        <v>Large Industrial Rate</v>
      </c>
      <c r="C38" s="28" t="str">
        <f t="shared" si="14"/>
        <v>B1</v>
      </c>
      <c r="D38" s="161">
        <f t="shared" si="13"/>
        <v>0.16572763577254232</v>
      </c>
      <c r="E38" s="161">
        <f>'Billing Det'!P13</f>
        <v>0.23821663026266565</v>
      </c>
      <c r="G38" s="110"/>
      <c r="H38" s="68">
        <v>0.21307592529338926</v>
      </c>
      <c r="I38" s="48">
        <v>4.3184661904775181</v>
      </c>
    </row>
    <row r="39" spans="1:17" x14ac:dyDescent="0.25">
      <c r="A39" s="28">
        <f t="shared" si="15"/>
        <v>16</v>
      </c>
      <c r="B39" s="14" t="str">
        <f t="shared" si="14"/>
        <v>Large Industrial Rate</v>
      </c>
      <c r="C39" s="28" t="str">
        <f t="shared" si="14"/>
        <v>B2</v>
      </c>
      <c r="D39" s="161">
        <f t="shared" si="13"/>
        <v>4.2716333406890281E-2</v>
      </c>
      <c r="E39" s="161">
        <f>'Billing Det'!P14</f>
        <v>7.113880540244101E-2</v>
      </c>
      <c r="G39" s="110"/>
      <c r="H39" s="68">
        <v>0.10478044809074707</v>
      </c>
      <c r="I39" s="48">
        <v>2.123613082425575</v>
      </c>
    </row>
    <row r="40" spans="1:17" x14ac:dyDescent="0.25">
      <c r="A40" s="28">
        <v>17</v>
      </c>
      <c r="B40" s="14" t="str">
        <f t="shared" si="14"/>
        <v>Outdoor and Street Lighting</v>
      </c>
      <c r="C40" s="28">
        <f t="shared" si="14"/>
        <v>3</v>
      </c>
      <c r="D40" s="161">
        <f t="shared" ref="D40:D48" si="16">D18/D$26</f>
        <v>0</v>
      </c>
      <c r="E40" s="162">
        <f>'Billing Det'!P16</f>
        <v>0</v>
      </c>
      <c r="H40" s="68">
        <v>0.10822557693015326</v>
      </c>
      <c r="I40" s="48">
        <v>2.1934364207230819</v>
      </c>
    </row>
    <row r="41" spans="1:17" hidden="1" x14ac:dyDescent="0.25">
      <c r="A41" s="28"/>
      <c r="B41" s="14"/>
      <c r="C41" s="28"/>
      <c r="D41" s="161">
        <f t="shared" si="16"/>
        <v>0</v>
      </c>
      <c r="E41" s="162">
        <f>'Billing Det'!P17</f>
        <v>0</v>
      </c>
      <c r="H41" s="160"/>
      <c r="I41" s="160"/>
    </row>
    <row r="42" spans="1:17" hidden="1" x14ac:dyDescent="0.25">
      <c r="A42" s="28"/>
      <c r="B42" s="14"/>
      <c r="C42" s="28"/>
      <c r="D42" s="161">
        <f t="shared" si="16"/>
        <v>0</v>
      </c>
      <c r="E42" s="162">
        <f>'Billing Det'!P18</f>
        <v>0</v>
      </c>
      <c r="H42" s="160"/>
      <c r="I42" s="160"/>
    </row>
    <row r="43" spans="1:17" hidden="1" x14ac:dyDescent="0.25">
      <c r="A43" s="28"/>
      <c r="B43" s="14"/>
      <c r="C43" s="28"/>
      <c r="D43" s="161">
        <f t="shared" si="16"/>
        <v>0</v>
      </c>
      <c r="E43" s="162">
        <f>'Billing Det'!P19</f>
        <v>0</v>
      </c>
      <c r="H43" s="160"/>
      <c r="I43" s="160"/>
    </row>
    <row r="44" spans="1:17" hidden="1" x14ac:dyDescent="0.25">
      <c r="A44" s="28"/>
      <c r="B44" s="14"/>
      <c r="C44" s="28"/>
      <c r="D44" s="161">
        <f t="shared" si="16"/>
        <v>0</v>
      </c>
      <c r="E44" s="162">
        <f>'Billing Det'!P20</f>
        <v>0</v>
      </c>
      <c r="H44" s="160"/>
      <c r="I44" s="160"/>
    </row>
    <row r="45" spans="1:17" hidden="1" x14ac:dyDescent="0.25">
      <c r="A45" s="28"/>
      <c r="B45" s="14"/>
      <c r="C45" s="28"/>
      <c r="D45" s="161">
        <f t="shared" si="16"/>
        <v>0</v>
      </c>
      <c r="E45" s="162">
        <f>'Billing Det'!P21</f>
        <v>0</v>
      </c>
      <c r="H45" s="160"/>
      <c r="I45" s="160"/>
    </row>
    <row r="46" spans="1:17" hidden="1" x14ac:dyDescent="0.25">
      <c r="A46" s="28"/>
      <c r="B46" s="14"/>
      <c r="C46" s="28"/>
      <c r="D46" s="161">
        <f t="shared" si="16"/>
        <v>0</v>
      </c>
      <c r="E46" s="162">
        <f>'Billing Det'!P22</f>
        <v>0</v>
      </c>
      <c r="H46" s="160"/>
      <c r="I46" s="160"/>
    </row>
    <row r="47" spans="1:17" hidden="1" x14ac:dyDescent="0.25">
      <c r="A47" s="28"/>
      <c r="B47" s="14"/>
      <c r="C47" s="28"/>
      <c r="D47" s="161">
        <f t="shared" si="16"/>
        <v>0</v>
      </c>
      <c r="E47" s="162">
        <f>'Billing Det'!P23</f>
        <v>0</v>
      </c>
      <c r="H47" s="160"/>
      <c r="I47" s="160"/>
    </row>
    <row r="48" spans="1:17" ht="18.600000000000001" customHeight="1" thickBot="1" x14ac:dyDescent="0.3">
      <c r="A48" s="70">
        <v>18</v>
      </c>
      <c r="B48" s="185" t="s">
        <v>857</v>
      </c>
      <c r="C48" s="71"/>
      <c r="D48" s="163">
        <f t="shared" si="16"/>
        <v>1</v>
      </c>
      <c r="E48" s="164">
        <f>SUM(E33:E39)</f>
        <v>0.99635685091041559</v>
      </c>
      <c r="H48" s="73">
        <v>5.084171581495818E-2</v>
      </c>
      <c r="I48" s="74">
        <v>1</v>
      </c>
    </row>
    <row r="49" ht="13.8" thickTop="1" x14ac:dyDescent="0.25"/>
  </sheetData>
  <phoneticPr fontId="0" type="noConversion"/>
  <conditionalFormatting sqref="D41:D44">
    <cfRule type="cellIs" dxfId="13" priority="25" stopIfTrue="1" operator="lessThan">
      <formula>$H$26</formula>
    </cfRule>
    <cfRule type="cellIs" dxfId="12" priority="26" stopIfTrue="1" operator="greaterThan">
      <formula>$H$26</formula>
    </cfRule>
  </conditionalFormatting>
  <conditionalFormatting sqref="I18:I26">
    <cfRule type="cellIs" dxfId="11" priority="3" operator="greaterThan">
      <formula>$I$26</formula>
    </cfRule>
    <cfRule type="cellIs" dxfId="10" priority="4" operator="lessThan">
      <formula>$I$26</formula>
    </cfRule>
  </conditionalFormatting>
  <conditionalFormatting sqref="I48">
    <cfRule type="cellIs" dxfId="9" priority="1" operator="greaterThan">
      <formula>$I$26</formula>
    </cfRule>
    <cfRule type="cellIs" dxfId="8" priority="2" operator="lessThan">
      <formula>$I$26</formula>
    </cfRule>
  </conditionalFormatting>
  <pageMargins left="0.75" right="0.75" top="1" bottom="1" header="0.5" footer="0.5"/>
  <pageSetup scale="95" orientation="landscape" r:id="rId1"/>
  <headerFooter alignWithMargins="0">
    <oddFooter>&amp;RExhibit JW-3
Page &amp;P of &amp;N</oddFooter>
  </headerFooter>
  <ignoredErrors>
    <ignoredError sqref="F26" formula="1"/>
    <ignoredError sqref="L26:M2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515"/>
  <sheetViews>
    <sheetView view="pageBreakPreview" zoomScale="75" zoomScaleNormal="100" zoomScaleSheetLayoutView="75" workbookViewId="0">
      <selection activeCell="F30" sqref="F30"/>
    </sheetView>
  </sheetViews>
  <sheetFormatPr defaultColWidth="9.109375" defaultRowHeight="13.2" x14ac:dyDescent="0.25"/>
  <cols>
    <col min="1" max="1" width="4.44140625" style="14" customWidth="1"/>
    <col min="2" max="2" width="46.44140625" style="28" bestFit="1" customWidth="1"/>
    <col min="3" max="3" width="8" style="28" customWidth="1"/>
    <col min="4" max="4" width="10.77734375" style="14" bestFit="1" customWidth="1"/>
    <col min="5" max="5" width="10.6640625" style="50" bestFit="1" customWidth="1"/>
    <col min="6" max="6" width="9.109375" style="50" bestFit="1" customWidth="1"/>
    <col min="7" max="7" width="9.109375" style="14"/>
    <col min="8" max="8" width="6.88671875" style="50" bestFit="1" customWidth="1"/>
    <col min="9" max="9" width="9.88671875" style="50" bestFit="1" customWidth="1"/>
    <col min="10" max="10" width="2.33203125" style="50" customWidth="1"/>
    <col min="11" max="11" width="7.88671875" style="14" bestFit="1" customWidth="1"/>
    <col min="12" max="12" width="9.88671875" style="14" bestFit="1" customWidth="1"/>
    <col min="13" max="13" width="6.88671875" style="14" bestFit="1" customWidth="1"/>
    <col min="14" max="15" width="0" style="14" hidden="1" customWidth="1"/>
    <col min="16" max="16" width="9.109375" style="14" hidden="1" customWidth="1"/>
    <col min="17" max="32" width="0" style="14" hidden="1" customWidth="1"/>
    <col min="33" max="16384" width="9.109375" style="14"/>
  </cols>
  <sheetData>
    <row r="1" spans="1:13" x14ac:dyDescent="0.25">
      <c r="A1" s="13" t="str">
        <f>'Summary of Returns'!A1</f>
        <v>SHELBY ENERGY</v>
      </c>
    </row>
    <row r="2" spans="1:13" x14ac:dyDescent="0.25">
      <c r="A2" s="13" t="s">
        <v>955</v>
      </c>
      <c r="E2" s="52"/>
      <c r="F2" s="52"/>
      <c r="H2" s="255"/>
      <c r="I2" s="255"/>
      <c r="J2" s="255"/>
      <c r="K2" s="255"/>
    </row>
    <row r="3" spans="1:13" x14ac:dyDescent="0.25">
      <c r="A3" s="13"/>
      <c r="E3" s="55"/>
      <c r="F3" s="56"/>
      <c r="H3" s="55"/>
      <c r="I3" s="55"/>
      <c r="J3" s="55"/>
      <c r="K3" s="56"/>
    </row>
    <row r="4" spans="1:13" x14ac:dyDescent="0.25">
      <c r="A4" s="13"/>
      <c r="B4" s="58"/>
      <c r="C4" s="58"/>
      <c r="D4" s="256" t="s">
        <v>1104</v>
      </c>
      <c r="E4" s="257"/>
      <c r="F4" s="258"/>
    </row>
    <row r="5" spans="1:13" s="58" customFormat="1" x14ac:dyDescent="0.25">
      <c r="I5" s="60"/>
      <c r="J5" s="60"/>
      <c r="K5" s="61"/>
    </row>
    <row r="6" spans="1:13" s="58" customFormat="1" x14ac:dyDescent="0.25">
      <c r="D6" s="53" t="s">
        <v>722</v>
      </c>
      <c r="E6" s="181" t="s">
        <v>11</v>
      </c>
      <c r="F6" s="53" t="s">
        <v>10</v>
      </c>
      <c r="H6" s="60"/>
      <c r="I6" s="60"/>
      <c r="J6" s="60"/>
      <c r="K6" s="61"/>
    </row>
    <row r="7" spans="1:13" s="58" customFormat="1" ht="13.8" thickBot="1" x14ac:dyDescent="0.3">
      <c r="A7" s="63" t="s">
        <v>944</v>
      </c>
      <c r="B7" s="64" t="s">
        <v>751</v>
      </c>
      <c r="C7" s="64" t="s">
        <v>866</v>
      </c>
      <c r="D7" s="65" t="s">
        <v>951</v>
      </c>
      <c r="E7" s="65" t="s">
        <v>952</v>
      </c>
      <c r="F7" s="65" t="s">
        <v>953</v>
      </c>
      <c r="G7" s="61"/>
      <c r="I7" s="60"/>
      <c r="J7" s="60"/>
      <c r="K7" s="60"/>
      <c r="L7" s="61"/>
    </row>
    <row r="8" spans="1:13" x14ac:dyDescent="0.25">
      <c r="A8" s="28"/>
      <c r="B8" s="13"/>
      <c r="C8" s="58"/>
      <c r="D8" s="48"/>
      <c r="E8" s="49"/>
      <c r="F8" s="14"/>
      <c r="G8" s="61"/>
      <c r="H8" s="58"/>
      <c r="I8" s="60"/>
      <c r="J8" s="60"/>
      <c r="K8" s="60"/>
      <c r="L8" s="61"/>
      <c r="M8" s="58"/>
    </row>
    <row r="9" spans="1:13" x14ac:dyDescent="0.25">
      <c r="A9" s="28">
        <v>1</v>
      </c>
      <c r="B9" s="14" t="str">
        <f>'Summary of Returns'!B10</f>
        <v>Residential Service</v>
      </c>
      <c r="C9" s="28">
        <f>'Summary of Returns'!C10</f>
        <v>12</v>
      </c>
      <c r="D9" s="153">
        <f>'Alloc &amp; Returns'!F641</f>
        <v>28.342574611587906</v>
      </c>
      <c r="E9" s="98">
        <f>'Alloc &amp; Returns'!F642</f>
        <v>0.10315526634561113</v>
      </c>
      <c r="F9" s="14"/>
      <c r="G9" s="61"/>
      <c r="H9" s="58"/>
      <c r="I9" s="60"/>
      <c r="J9" s="60"/>
      <c r="K9" s="60"/>
      <c r="L9" s="61"/>
      <c r="M9" s="58"/>
    </row>
    <row r="10" spans="1:13" x14ac:dyDescent="0.25">
      <c r="A10" s="28">
        <v>2</v>
      </c>
      <c r="B10" s="14" t="str">
        <f>'Summary of Returns'!B11</f>
        <v>Off Peak Retail Marketing (ETS)</v>
      </c>
      <c r="C10" s="28">
        <f>'Summary of Returns'!C11</f>
        <v>9</v>
      </c>
      <c r="D10" s="48">
        <f>'Alloc &amp; Returns'!G641</f>
        <v>28.373202617188859</v>
      </c>
      <c r="E10" s="98">
        <f>'Alloc &amp; Returns'!G642</f>
        <v>0.11043285923140755</v>
      </c>
      <c r="F10" s="14"/>
      <c r="G10" s="61"/>
      <c r="H10" s="58"/>
      <c r="I10" s="60"/>
      <c r="J10" s="60"/>
      <c r="K10" s="60"/>
      <c r="L10" s="61"/>
      <c r="M10" s="58"/>
    </row>
    <row r="11" spans="1:13" x14ac:dyDescent="0.25">
      <c r="A11" s="28">
        <v>3</v>
      </c>
      <c r="B11" s="14" t="str">
        <f>'Summary of Returns'!B12</f>
        <v>Prepay Service</v>
      </c>
      <c r="C11" s="28">
        <f>'Summary of Returns'!C12</f>
        <v>15</v>
      </c>
      <c r="D11" s="48">
        <f>'Alloc &amp; Returns'!H641</f>
        <v>28.3772327522118</v>
      </c>
      <c r="E11" s="98">
        <f>'Alloc &amp; Returns'!H642</f>
        <v>8.5333472799607166E-2</v>
      </c>
      <c r="F11" s="46"/>
      <c r="G11" s="61"/>
      <c r="H11" s="58"/>
      <c r="I11" s="60"/>
      <c r="J11" s="60"/>
      <c r="K11" s="60"/>
      <c r="L11" s="61"/>
      <c r="M11" s="58"/>
    </row>
    <row r="12" spans="1:13" x14ac:dyDescent="0.25">
      <c r="A12" s="28">
        <v>4</v>
      </c>
      <c r="B12" s="14" t="str">
        <f>'Summary of Returns'!B13</f>
        <v>General Service</v>
      </c>
      <c r="C12" s="28">
        <f>'Summary of Returns'!C13</f>
        <v>11</v>
      </c>
      <c r="D12" s="48">
        <f>'Alloc &amp; Returns'!I641</f>
        <v>28.899500595011851</v>
      </c>
      <c r="E12" s="183">
        <f>'Alloc &amp; Returns'!I642</f>
        <v>8.1092291080434503E-2</v>
      </c>
      <c r="F12" s="48">
        <f>'Alloc &amp; Returns'!I643</f>
        <v>0</v>
      </c>
      <c r="G12" s="61"/>
      <c r="H12" s="58"/>
      <c r="I12" s="60"/>
      <c r="J12" s="60"/>
      <c r="K12" s="60"/>
      <c r="L12" s="61"/>
      <c r="M12" s="58"/>
    </row>
    <row r="13" spans="1:13" x14ac:dyDescent="0.25">
      <c r="A13" s="28">
        <v>5</v>
      </c>
      <c r="B13" s="14" t="str">
        <f>'Summary of Returns'!B14</f>
        <v>Large Power Service</v>
      </c>
      <c r="C13" s="28">
        <f>'Summary of Returns'!C14</f>
        <v>2</v>
      </c>
      <c r="D13" s="48">
        <f>'Alloc &amp; Returns'!J641</f>
        <v>67.500118411942054</v>
      </c>
      <c r="E13" s="98">
        <f>'Alloc &amp; Returns'!J642</f>
        <v>5.4739177126864109E-2</v>
      </c>
      <c r="F13" s="48">
        <f>'Alloc &amp; Returns'!J643</f>
        <v>7.0707049865451559</v>
      </c>
      <c r="G13" s="61"/>
      <c r="H13" s="58"/>
      <c r="I13" s="60"/>
      <c r="J13" s="60"/>
      <c r="K13" s="60"/>
      <c r="L13" s="61"/>
      <c r="M13" s="58"/>
    </row>
    <row r="14" spans="1:13" x14ac:dyDescent="0.25">
      <c r="A14" s="28"/>
      <c r="B14" s="14"/>
      <c r="D14" s="48"/>
      <c r="E14" s="98"/>
      <c r="F14" s="48"/>
      <c r="G14" s="61"/>
      <c r="H14" s="58"/>
      <c r="I14" s="60"/>
      <c r="J14" s="60"/>
      <c r="K14" s="60"/>
      <c r="L14" s="61"/>
      <c r="M14" s="58"/>
    </row>
    <row r="15" spans="1:13" x14ac:dyDescent="0.25">
      <c r="A15" s="28"/>
      <c r="B15" s="14"/>
      <c r="D15" s="48"/>
      <c r="E15" s="98"/>
      <c r="F15" s="48"/>
      <c r="G15" s="48"/>
      <c r="H15" s="58"/>
      <c r="I15" s="60"/>
      <c r="J15" s="60"/>
      <c r="K15" s="60"/>
      <c r="L15" s="61"/>
      <c r="M15" s="58"/>
    </row>
    <row r="16" spans="1:13" ht="15" customHeight="1" x14ac:dyDescent="0.25">
      <c r="A16" s="28"/>
      <c r="B16" s="14"/>
      <c r="D16" s="13"/>
      <c r="E16" s="13"/>
      <c r="F16" s="13"/>
      <c r="G16" s="13"/>
      <c r="H16" s="58"/>
      <c r="I16" s="60"/>
      <c r="J16" s="60"/>
      <c r="K16" s="60"/>
      <c r="L16" s="61"/>
      <c r="M16" s="58"/>
    </row>
    <row r="17" spans="1:11" ht="15" customHeight="1" x14ac:dyDescent="0.25">
      <c r="A17" s="28"/>
      <c r="B17" s="14"/>
      <c r="G17" s="61"/>
      <c r="K17" s="50"/>
    </row>
    <row r="18" spans="1:11" ht="15" customHeight="1" x14ac:dyDescent="0.25">
      <c r="A18" s="28"/>
      <c r="B18" s="14"/>
      <c r="E18" s="55"/>
      <c r="F18" s="56"/>
      <c r="G18" s="61"/>
      <c r="K18" s="50"/>
    </row>
    <row r="19" spans="1:11" ht="15" customHeight="1" x14ac:dyDescent="0.25">
      <c r="A19" s="28"/>
      <c r="B19" s="14"/>
      <c r="G19" s="61"/>
      <c r="K19" s="50"/>
    </row>
    <row r="20" spans="1:11" ht="15" customHeight="1" x14ac:dyDescent="0.25">
      <c r="A20" s="28"/>
      <c r="B20" s="14"/>
      <c r="E20" s="55"/>
      <c r="F20" s="56"/>
      <c r="G20" s="61"/>
      <c r="K20" s="50"/>
    </row>
    <row r="21" spans="1:11" ht="15" customHeight="1" x14ac:dyDescent="0.25">
      <c r="A21" s="28"/>
      <c r="B21" s="14"/>
      <c r="G21" s="61"/>
      <c r="K21" s="50"/>
    </row>
    <row r="22" spans="1:11" ht="15" customHeight="1" x14ac:dyDescent="0.25">
      <c r="A22" s="28"/>
      <c r="B22" s="14"/>
      <c r="E22" s="55"/>
      <c r="F22" s="56"/>
      <c r="G22" s="61"/>
      <c r="K22" s="50"/>
    </row>
    <row r="23" spans="1:11" ht="15" customHeight="1" x14ac:dyDescent="0.25">
      <c r="A23" s="28"/>
      <c r="B23" s="14"/>
      <c r="G23" s="61"/>
      <c r="K23" s="50"/>
    </row>
    <row r="24" spans="1:11" x14ac:dyDescent="0.25">
      <c r="A24" s="28"/>
      <c r="B24" s="14"/>
      <c r="G24" s="61"/>
      <c r="K24" s="50"/>
    </row>
    <row r="25" spans="1:11" s="75" customFormat="1" ht="26.25" customHeight="1" x14ac:dyDescent="0.25">
      <c r="A25" s="70"/>
      <c r="B25" s="14"/>
      <c r="C25" s="28"/>
      <c r="G25" s="61"/>
      <c r="J25" s="78"/>
      <c r="K25" s="78"/>
    </row>
    <row r="26" spans="1:11" x14ac:dyDescent="0.25">
      <c r="A26" s="70"/>
      <c r="B26" s="14"/>
      <c r="D26" s="75"/>
      <c r="E26" s="75"/>
      <c r="F26" s="75"/>
      <c r="G26" s="61"/>
      <c r="K26" s="50"/>
    </row>
    <row r="27" spans="1:11" x14ac:dyDescent="0.25">
      <c r="A27" s="70"/>
      <c r="B27" s="14"/>
      <c r="D27" s="75"/>
      <c r="E27" s="75"/>
      <c r="F27" s="75"/>
      <c r="G27" s="50"/>
      <c r="H27" s="58"/>
      <c r="I27" s="60"/>
      <c r="K27" s="50"/>
    </row>
    <row r="28" spans="1:11" x14ac:dyDescent="0.25">
      <c r="A28" s="70"/>
      <c r="B28" s="14"/>
      <c r="D28" s="75"/>
      <c r="E28" s="75"/>
      <c r="F28" s="75"/>
      <c r="G28" s="50"/>
      <c r="H28" s="58"/>
      <c r="I28" s="60"/>
      <c r="K28" s="50"/>
    </row>
    <row r="29" spans="1:11" x14ac:dyDescent="0.25">
      <c r="A29" s="70"/>
      <c r="B29" s="14"/>
      <c r="D29" s="75"/>
      <c r="E29" s="75"/>
      <c r="F29" s="75"/>
      <c r="G29" s="50"/>
      <c r="H29" s="58"/>
      <c r="I29" s="60"/>
      <c r="K29" s="50"/>
    </row>
    <row r="30" spans="1:11" x14ac:dyDescent="0.25">
      <c r="A30" s="70"/>
      <c r="B30" s="14"/>
      <c r="D30" s="75"/>
      <c r="E30" s="75"/>
      <c r="F30" s="75"/>
      <c r="G30" s="50"/>
      <c r="H30" s="14"/>
      <c r="K30" s="50"/>
    </row>
    <row r="31" spans="1:11" x14ac:dyDescent="0.25">
      <c r="A31" s="70"/>
      <c r="B31" s="14"/>
      <c r="D31" s="75"/>
      <c r="E31" s="75"/>
      <c r="F31" s="75"/>
      <c r="G31" s="50"/>
      <c r="H31" s="14"/>
      <c r="K31" s="50"/>
    </row>
    <row r="32" spans="1:11" x14ac:dyDescent="0.25">
      <c r="A32" s="70"/>
      <c r="B32" s="14"/>
      <c r="D32" s="75"/>
      <c r="E32" s="75"/>
      <c r="F32" s="75"/>
      <c r="G32" s="50"/>
      <c r="H32" s="14"/>
      <c r="K32" s="50"/>
    </row>
    <row r="33" spans="1:11" x14ac:dyDescent="0.25">
      <c r="A33" s="70"/>
      <c r="B33" s="14"/>
      <c r="D33" s="75"/>
      <c r="E33" s="75"/>
      <c r="F33" s="75"/>
      <c r="G33" s="50"/>
      <c r="H33" s="14"/>
      <c r="K33" s="50"/>
    </row>
    <row r="34" spans="1:11" x14ac:dyDescent="0.25">
      <c r="A34" s="70"/>
      <c r="B34" s="14"/>
      <c r="D34" s="75"/>
      <c r="E34" s="75"/>
      <c r="F34" s="75"/>
      <c r="G34" s="50"/>
      <c r="H34" s="14"/>
      <c r="K34" s="50"/>
    </row>
    <row r="35" spans="1:11" x14ac:dyDescent="0.25">
      <c r="A35" s="70"/>
      <c r="B35" s="14"/>
      <c r="D35" s="75"/>
      <c r="E35" s="75"/>
      <c r="F35" s="75"/>
      <c r="G35" s="50"/>
      <c r="H35" s="14"/>
      <c r="K35" s="50"/>
    </row>
    <row r="36" spans="1:11" x14ac:dyDescent="0.25">
      <c r="A36" s="70"/>
      <c r="B36" s="14"/>
      <c r="D36" s="75"/>
      <c r="E36" s="75"/>
      <c r="F36" s="75"/>
    </row>
    <row r="37" spans="1:11" x14ac:dyDescent="0.25">
      <c r="A37" s="70"/>
      <c r="B37" s="14"/>
      <c r="D37" s="75"/>
      <c r="E37" s="75"/>
      <c r="F37" s="75"/>
    </row>
    <row r="38" spans="1:11" x14ac:dyDescent="0.25">
      <c r="A38" s="70"/>
      <c r="B38" s="14"/>
      <c r="D38" s="75"/>
      <c r="E38" s="75"/>
      <c r="F38" s="75"/>
    </row>
    <row r="39" spans="1:11" x14ac:dyDescent="0.25">
      <c r="A39" s="70"/>
      <c r="B39" s="14"/>
      <c r="D39" s="75"/>
      <c r="E39" s="75"/>
      <c r="F39" s="75"/>
    </row>
    <row r="40" spans="1:11" x14ac:dyDescent="0.25">
      <c r="A40" s="28"/>
      <c r="B40" s="14"/>
      <c r="D40" s="75"/>
      <c r="E40" s="75"/>
      <c r="F40" s="75"/>
    </row>
    <row r="41" spans="1:11" x14ac:dyDescent="0.25">
      <c r="A41" s="28"/>
      <c r="B41" s="14"/>
      <c r="D41" s="75"/>
      <c r="E41" s="75"/>
      <c r="F41" s="75"/>
    </row>
    <row r="42" spans="1:11" x14ac:dyDescent="0.25">
      <c r="A42" s="28"/>
      <c r="B42" s="14"/>
      <c r="D42" s="75"/>
      <c r="E42" s="75"/>
      <c r="F42" s="75"/>
    </row>
    <row r="43" spans="1:11" x14ac:dyDescent="0.25">
      <c r="A43" s="28"/>
      <c r="B43" s="14"/>
      <c r="D43" s="75"/>
      <c r="E43" s="75"/>
      <c r="F43" s="75"/>
    </row>
    <row r="44" spans="1:11" x14ac:dyDescent="0.25">
      <c r="A44" s="28"/>
      <c r="B44" s="14"/>
    </row>
    <row r="45" spans="1:11" x14ac:dyDescent="0.25">
      <c r="A45" s="28"/>
      <c r="B45" s="14"/>
    </row>
    <row r="46" spans="1:11" x14ac:dyDescent="0.25">
      <c r="A46" s="28"/>
      <c r="B46" s="14"/>
    </row>
    <row r="47" spans="1:11" x14ac:dyDescent="0.25">
      <c r="A47" s="70"/>
      <c r="B47" s="75"/>
      <c r="C47" s="70"/>
    </row>
    <row r="48" spans="1:11" x14ac:dyDescent="0.25">
      <c r="A48" s="70"/>
      <c r="B48" s="75"/>
      <c r="C48" s="70"/>
    </row>
    <row r="511" spans="5:13" x14ac:dyDescent="0.25">
      <c r="E511" s="50">
        <f>E502+(E359*'Purchased Power'!$O$44)</f>
        <v>0</v>
      </c>
      <c r="F511" s="50">
        <f>F502+(F359*'Purchased Power'!$O$44)</f>
        <v>0</v>
      </c>
      <c r="G511" s="50">
        <f>G502+(G359*'Purchased Power'!$O$44)</f>
        <v>0</v>
      </c>
      <c r="H511" s="50">
        <f>H502+(H359*'Purchased Power'!$O$44)</f>
        <v>0</v>
      </c>
      <c r="I511" s="50">
        <f>I502+(I359*'Purchased Power'!$O$44)</f>
        <v>0</v>
      </c>
      <c r="J511" s="50">
        <f>J502+(J359*'Purchased Power'!$O$44)</f>
        <v>0</v>
      </c>
      <c r="K511" s="50">
        <f>K502+(K359*'Purchased Power'!$O$44)</f>
        <v>0</v>
      </c>
      <c r="L511" s="50">
        <f>L502+(L359*'Purchased Power'!$O$44)</f>
        <v>0</v>
      </c>
      <c r="M511" s="50">
        <f>M502+(M359*'Purchased Power'!$O$44)</f>
        <v>0</v>
      </c>
    </row>
    <row r="512" spans="5:13" x14ac:dyDescent="0.25">
      <c r="G512" s="50"/>
      <c r="K512" s="50"/>
      <c r="L512" s="50"/>
      <c r="M512" s="50"/>
    </row>
    <row r="513" spans="5:32" x14ac:dyDescent="0.25">
      <c r="G513" s="50"/>
      <c r="K513" s="50"/>
      <c r="L513" s="50"/>
      <c r="M513" s="50"/>
    </row>
    <row r="514" spans="5:32" x14ac:dyDescent="0.25">
      <c r="E514" s="50">
        <f>E505+E375+(E360+E362+E363+E364+E365+E369+E370+E371)*$D$505</f>
        <v>0</v>
      </c>
      <c r="F514" s="50">
        <f t="shared" ref="F514:M514" si="0">F505+F375+(F360+F362+F363+F364+F365+F369+F370+F371)*$D$505</f>
        <v>0</v>
      </c>
      <c r="G514" s="50">
        <f t="shared" si="0"/>
        <v>0</v>
      </c>
      <c r="H514" s="50">
        <f t="shared" si="0"/>
        <v>0</v>
      </c>
      <c r="I514" s="50">
        <f t="shared" si="0"/>
        <v>0</v>
      </c>
      <c r="J514" s="50">
        <f t="shared" si="0"/>
        <v>0</v>
      </c>
      <c r="K514" s="50">
        <f t="shared" si="0"/>
        <v>0</v>
      </c>
      <c r="L514" s="50">
        <f t="shared" si="0"/>
        <v>0</v>
      </c>
      <c r="M514" s="50">
        <f t="shared" si="0"/>
        <v>0</v>
      </c>
      <c r="N514" s="50">
        <f t="shared" ref="N514:AF514" si="1">N505+N375+(N360+N362+N363+N364+N365+N369+N370+N371)*$D$505</f>
        <v>0</v>
      </c>
      <c r="O514" s="50">
        <f t="shared" si="1"/>
        <v>0</v>
      </c>
      <c r="P514" s="50">
        <f t="shared" si="1"/>
        <v>0</v>
      </c>
      <c r="Q514" s="50">
        <f t="shared" si="1"/>
        <v>0</v>
      </c>
      <c r="R514" s="50">
        <f t="shared" si="1"/>
        <v>0</v>
      </c>
      <c r="S514" s="50">
        <f t="shared" si="1"/>
        <v>0</v>
      </c>
      <c r="T514" s="50">
        <f t="shared" si="1"/>
        <v>0</v>
      </c>
      <c r="U514" s="50">
        <f t="shared" si="1"/>
        <v>0</v>
      </c>
      <c r="V514" s="50">
        <f t="shared" si="1"/>
        <v>0</v>
      </c>
      <c r="W514" s="50">
        <f t="shared" si="1"/>
        <v>0</v>
      </c>
      <c r="X514" s="50">
        <f t="shared" si="1"/>
        <v>0</v>
      </c>
      <c r="Y514" s="50">
        <f t="shared" si="1"/>
        <v>0</v>
      </c>
      <c r="Z514" s="50">
        <f t="shared" si="1"/>
        <v>0</v>
      </c>
      <c r="AA514" s="50">
        <f t="shared" si="1"/>
        <v>0</v>
      </c>
      <c r="AB514" s="50">
        <f t="shared" si="1"/>
        <v>0</v>
      </c>
      <c r="AC514" s="50">
        <f t="shared" si="1"/>
        <v>0</v>
      </c>
      <c r="AD514" s="50">
        <f t="shared" si="1"/>
        <v>0</v>
      </c>
      <c r="AE514" s="50">
        <f t="shared" si="1"/>
        <v>0</v>
      </c>
      <c r="AF514" s="50">
        <f t="shared" si="1"/>
        <v>0</v>
      </c>
    </row>
    <row r="515" spans="5:32" x14ac:dyDescent="0.25">
      <c r="E515" s="50">
        <f>E506+(E360+E362+E363+E364+E365+E369+E370+E371)*$D$506</f>
        <v>0</v>
      </c>
      <c r="F515" s="50">
        <f t="shared" ref="F515:M515" si="2">F506+(F360+F362+F363+F364+F365+F369+F370+F371)*$D$506</f>
        <v>0</v>
      </c>
      <c r="G515" s="50">
        <f t="shared" si="2"/>
        <v>0</v>
      </c>
      <c r="H515" s="50">
        <f t="shared" si="2"/>
        <v>0</v>
      </c>
      <c r="I515" s="50">
        <f t="shared" si="2"/>
        <v>0</v>
      </c>
      <c r="J515" s="50">
        <f t="shared" si="2"/>
        <v>0</v>
      </c>
      <c r="K515" s="50">
        <f t="shared" si="2"/>
        <v>0</v>
      </c>
      <c r="L515" s="50">
        <f t="shared" si="2"/>
        <v>0</v>
      </c>
      <c r="M515" s="50">
        <f t="shared" si="2"/>
        <v>0</v>
      </c>
      <c r="N515" s="50">
        <f t="shared" ref="N515:AF515" si="3">N506+(N360+N362+N363+N364+N365+N369+N370+N371)*$D$506</f>
        <v>0</v>
      </c>
      <c r="O515" s="50">
        <f t="shared" si="3"/>
        <v>0</v>
      </c>
      <c r="P515" s="50">
        <f t="shared" si="3"/>
        <v>0</v>
      </c>
      <c r="Q515" s="50">
        <f t="shared" si="3"/>
        <v>0</v>
      </c>
      <c r="R515" s="50">
        <f t="shared" si="3"/>
        <v>0</v>
      </c>
      <c r="S515" s="50">
        <f t="shared" si="3"/>
        <v>0</v>
      </c>
      <c r="T515" s="50">
        <f t="shared" si="3"/>
        <v>0</v>
      </c>
      <c r="U515" s="50">
        <f t="shared" si="3"/>
        <v>0</v>
      </c>
      <c r="V515" s="50">
        <f t="shared" si="3"/>
        <v>0</v>
      </c>
      <c r="W515" s="50">
        <f t="shared" si="3"/>
        <v>0</v>
      </c>
      <c r="X515" s="50">
        <f t="shared" si="3"/>
        <v>0</v>
      </c>
      <c r="Y515" s="50">
        <f t="shared" si="3"/>
        <v>0</v>
      </c>
      <c r="Z515" s="50">
        <f t="shared" si="3"/>
        <v>0</v>
      </c>
      <c r="AA515" s="50">
        <f t="shared" si="3"/>
        <v>0</v>
      </c>
      <c r="AB515" s="50">
        <f t="shared" si="3"/>
        <v>0</v>
      </c>
      <c r="AC515" s="50">
        <f t="shared" si="3"/>
        <v>0</v>
      </c>
      <c r="AD515" s="50">
        <f t="shared" si="3"/>
        <v>0</v>
      </c>
      <c r="AE515" s="50">
        <f t="shared" si="3"/>
        <v>0</v>
      </c>
      <c r="AF515" s="50">
        <f t="shared" si="3"/>
        <v>0</v>
      </c>
    </row>
  </sheetData>
  <mergeCells count="2">
    <mergeCell ref="H2:K2"/>
    <mergeCell ref="D4:F4"/>
  </mergeCells>
  <pageMargins left="0.75" right="0.75" top="1" bottom="1" header="0.5" footer="0.5"/>
  <pageSetup orientation="landscape" r:id="rId1"/>
  <headerFooter alignWithMargins="0">
    <oddFooter>&amp;RExhibit JW-3
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515"/>
  <sheetViews>
    <sheetView view="pageBreakPreview" zoomScale="75" zoomScaleNormal="100" zoomScaleSheetLayoutView="75" workbookViewId="0">
      <pane xSplit="6" ySplit="3" topLeftCell="G220" activePane="bottomRight" state="frozen"/>
      <selection activeCell="A519" sqref="A519"/>
      <selection pane="topRight" activeCell="A519" sqref="A519"/>
      <selection pane="bottomLeft" activeCell="A519" sqref="A519"/>
      <selection pane="bottomRight" activeCell="G220" sqref="G220"/>
    </sheetView>
  </sheetViews>
  <sheetFormatPr defaultColWidth="9.109375" defaultRowHeight="13.2" x14ac:dyDescent="0.25"/>
  <cols>
    <col min="1" max="1" width="7.6640625" style="14" customWidth="1"/>
    <col min="2" max="2" width="47.5546875" style="14" customWidth="1"/>
    <col min="3" max="3" width="12.88671875" style="14" customWidth="1"/>
    <col min="4" max="4" width="12.44140625" style="14" customWidth="1"/>
    <col min="5" max="5" width="2.6640625" style="14" customWidth="1"/>
    <col min="6" max="6" width="18.88671875" style="14" customWidth="1"/>
    <col min="7" max="7" width="2.5546875" style="14" customWidth="1"/>
    <col min="8" max="8" width="17.109375" style="14" customWidth="1"/>
    <col min="9" max="9" width="14.88671875" style="14" customWidth="1"/>
    <col min="10" max="10" width="2.6640625" style="14" customWidth="1"/>
    <col min="11" max="11" width="16.33203125" style="14" customWidth="1"/>
    <col min="12" max="12" width="2.6640625" style="14" customWidth="1"/>
    <col min="13" max="13" width="24.6640625" style="14" bestFit="1" customWidth="1"/>
    <col min="14" max="14" width="3.88671875" style="14" customWidth="1"/>
    <col min="15" max="15" width="16.33203125" style="14" customWidth="1"/>
    <col min="16" max="16" width="15.5546875" style="14" customWidth="1"/>
    <col min="17" max="17" width="1.88671875" style="79" customWidth="1"/>
    <col min="18" max="18" width="13.6640625" style="14" customWidth="1"/>
    <col min="19" max="19" width="15.109375" style="14" customWidth="1"/>
    <col min="20" max="20" width="1.88671875" style="14" customWidth="1"/>
    <col min="21" max="21" width="14.33203125" style="14" customWidth="1"/>
    <col min="22" max="22" width="1.88671875" style="14" customWidth="1"/>
    <col min="23" max="23" width="13.88671875" style="14" customWidth="1"/>
    <col min="24" max="24" width="1.88671875" style="14" customWidth="1"/>
    <col min="25" max="25" width="15" style="14" customWidth="1"/>
    <col min="26" max="26" width="1.88671875" style="14" customWidth="1"/>
    <col min="27" max="27" width="14.109375" style="14" customWidth="1"/>
    <col min="28" max="28" width="16.109375" style="14" customWidth="1"/>
    <col min="29" max="29" width="14.6640625" style="14" customWidth="1"/>
    <col min="30" max="30" width="12.88671875" style="14" customWidth="1"/>
    <col min="31" max="31" width="9.109375" style="14" customWidth="1"/>
    <col min="32" max="32" width="18.109375" style="14" customWidth="1"/>
    <col min="33" max="16384" width="9.109375" style="14"/>
  </cols>
  <sheetData>
    <row r="1" spans="1:30" x14ac:dyDescent="0.25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AC1" s="28" t="str">
        <f>IF(COUNTIF(AC4:AC486,"err"),"err","ok")</f>
        <v>ok</v>
      </c>
    </row>
    <row r="2" spans="1:30" ht="48" customHeight="1" thickBot="1" x14ac:dyDescent="0.3">
      <c r="A2" s="13"/>
      <c r="B2" s="13"/>
      <c r="C2" s="22"/>
      <c r="D2" s="15" t="s">
        <v>206</v>
      </c>
      <c r="E2" s="22"/>
      <c r="F2" s="22" t="s">
        <v>0</v>
      </c>
      <c r="G2" s="22"/>
      <c r="H2" s="80" t="s">
        <v>904</v>
      </c>
      <c r="I2" s="80"/>
      <c r="K2" s="81" t="s">
        <v>348</v>
      </c>
      <c r="L2" s="13"/>
      <c r="M2" s="81" t="s">
        <v>1</v>
      </c>
      <c r="N2" s="82"/>
      <c r="O2" s="80" t="s">
        <v>354</v>
      </c>
      <c r="P2" s="80"/>
      <c r="Q2" s="13"/>
      <c r="R2" s="80" t="s">
        <v>3</v>
      </c>
      <c r="S2" s="80"/>
      <c r="T2" s="13"/>
      <c r="U2" s="83" t="s">
        <v>4</v>
      </c>
      <c r="V2" s="22"/>
      <c r="W2" s="81" t="s">
        <v>753</v>
      </c>
      <c r="X2" s="82"/>
      <c r="Y2" s="81" t="s">
        <v>994</v>
      </c>
      <c r="Z2" s="82"/>
      <c r="AA2" s="81" t="s">
        <v>469</v>
      </c>
      <c r="AB2" s="13"/>
      <c r="AC2" s="13"/>
    </row>
    <row r="3" spans="1:30" ht="13.8" thickBot="1" x14ac:dyDescent="0.3">
      <c r="A3" s="84" t="s">
        <v>6</v>
      </c>
      <c r="B3" s="84"/>
      <c r="C3" s="85" t="s">
        <v>7</v>
      </c>
      <c r="D3" s="85" t="s">
        <v>8</v>
      </c>
      <c r="E3" s="83"/>
      <c r="F3" s="83" t="s">
        <v>9</v>
      </c>
      <c r="G3" s="86"/>
      <c r="H3" s="83" t="s">
        <v>10</v>
      </c>
      <c r="I3" s="83" t="s">
        <v>11</v>
      </c>
      <c r="J3" s="83"/>
      <c r="K3" s="83" t="s">
        <v>10</v>
      </c>
      <c r="L3" s="83"/>
      <c r="M3" s="83" t="s">
        <v>10</v>
      </c>
      <c r="N3" s="83"/>
      <c r="O3" s="83" t="s">
        <v>10</v>
      </c>
      <c r="P3" s="83" t="s">
        <v>12</v>
      </c>
      <c r="Q3" s="80"/>
      <c r="R3" s="83" t="s">
        <v>10</v>
      </c>
      <c r="S3" s="83" t="s">
        <v>12</v>
      </c>
      <c r="T3" s="83"/>
      <c r="U3" s="83" t="s">
        <v>12</v>
      </c>
      <c r="V3" s="83"/>
      <c r="W3" s="83" t="s">
        <v>12</v>
      </c>
      <c r="X3" s="83"/>
      <c r="Y3" s="83" t="s">
        <v>12</v>
      </c>
      <c r="Z3" s="83"/>
      <c r="AA3" s="83" t="s">
        <v>12</v>
      </c>
      <c r="AB3" s="83" t="s">
        <v>13</v>
      </c>
      <c r="AC3" s="87" t="s">
        <v>14</v>
      </c>
    </row>
    <row r="4" spans="1:30" x14ac:dyDescent="0.25">
      <c r="F4" s="27"/>
      <c r="G4" s="32"/>
      <c r="H4" s="32"/>
      <c r="I4" s="32"/>
      <c r="J4" s="32"/>
      <c r="K4" s="32"/>
      <c r="L4" s="32"/>
      <c r="M4" s="32"/>
      <c r="N4" s="32"/>
      <c r="O4" s="32"/>
      <c r="P4" s="32"/>
      <c r="Q4" s="88"/>
      <c r="R4" s="32"/>
      <c r="S4" s="32"/>
      <c r="T4" s="32"/>
      <c r="U4" s="32"/>
      <c r="V4" s="32"/>
      <c r="W4" s="32"/>
      <c r="X4" s="32"/>
      <c r="Y4" s="32"/>
      <c r="Z4" s="32"/>
      <c r="AA4" s="32"/>
      <c r="AC4" s="28"/>
    </row>
    <row r="5" spans="1:30" x14ac:dyDescent="0.25">
      <c r="A5" s="26" t="s">
        <v>15</v>
      </c>
      <c r="F5" s="69"/>
      <c r="G5" s="32"/>
      <c r="H5" s="32"/>
      <c r="I5" s="32"/>
      <c r="J5" s="32"/>
      <c r="K5" s="32"/>
      <c r="L5" s="32"/>
      <c r="M5" s="32"/>
      <c r="N5" s="32"/>
      <c r="O5" s="32"/>
      <c r="P5" s="32"/>
      <c r="Q5" s="88"/>
      <c r="R5" s="32"/>
      <c r="S5" s="32"/>
      <c r="T5" s="32"/>
      <c r="U5" s="32"/>
      <c r="V5" s="32"/>
      <c r="W5" s="32"/>
      <c r="X5" s="32"/>
      <c r="Y5" s="32"/>
      <c r="Z5" s="32"/>
      <c r="AA5" s="32"/>
      <c r="AC5" s="28"/>
    </row>
    <row r="6" spans="1:30" x14ac:dyDescent="0.25">
      <c r="AC6" s="28"/>
    </row>
    <row r="7" spans="1:30" x14ac:dyDescent="0.25">
      <c r="A7" s="26" t="s">
        <v>356</v>
      </c>
      <c r="AC7" s="28"/>
    </row>
    <row r="8" spans="1:30" x14ac:dyDescent="0.25">
      <c r="A8" s="89">
        <v>301</v>
      </c>
      <c r="B8" s="14" t="s">
        <v>358</v>
      </c>
      <c r="C8" s="14" t="s">
        <v>359</v>
      </c>
      <c r="D8" s="14" t="s">
        <v>391</v>
      </c>
      <c r="F8" s="67">
        <v>0</v>
      </c>
      <c r="H8" s="50">
        <f>IF(VLOOKUP($D8,$C$5:$AA$492,6,)=0,0,((VLOOKUP($D8,$C$5:$AA$492,6,)/VLOOKUP($D8,$C$5:$AA$492,4,))*$F8))</f>
        <v>0</v>
      </c>
      <c r="I8" s="50">
        <f>IF(VLOOKUP($D8,$C$5:$AA$492,7,)=0,0,((VLOOKUP($D8,$C$5:$AA$492,7,)/VLOOKUP($D8,$C$5:$AA$492,4,))*$F8))</f>
        <v>0</v>
      </c>
      <c r="J8" s="50"/>
      <c r="K8" s="50">
        <f>IF(VLOOKUP($D8,$C$5:$AA$492,9,)=0,0,((VLOOKUP($D8,$C$5:$AA$492,9,)/VLOOKUP($D8,$C$5:$AA$492,4,))*$F8))</f>
        <v>0</v>
      </c>
      <c r="L8" s="50"/>
      <c r="M8" s="50">
        <f>IF(VLOOKUP($D8,$C$5:$AA$492,11,)=0,0,((VLOOKUP($D8,$C$5:$AA$492,11,)/VLOOKUP($D8,$C$5:$AA$492,4,))*$F8))</f>
        <v>0</v>
      </c>
      <c r="N8" s="50"/>
      <c r="O8" s="50">
        <f>IF(VLOOKUP($D8,$C$5:$AA$492,13,)=0,0,((VLOOKUP($D8,$C$5:$AA$492,13,)/VLOOKUP($D8,$C$5:$AA$492,4,))*$F8))</f>
        <v>0</v>
      </c>
      <c r="P8" s="50">
        <f>IF(VLOOKUP($D8,$C$5:$AA$492,14,)=0,0,((VLOOKUP($D8,$C$5:$AA$492,14,)/VLOOKUP($D8,$C$5:$AA$492,4,))*$F8))</f>
        <v>0</v>
      </c>
      <c r="Q8" s="50"/>
      <c r="R8" s="50">
        <f>IF(VLOOKUP($D8,$C$5:$AA$492,16,)=0,0,((VLOOKUP($D8,$C$5:$AA$492,16,)/VLOOKUP($D8,$C$5:$AA$492,4,))*$F8))</f>
        <v>0</v>
      </c>
      <c r="S8" s="50">
        <f>IF(VLOOKUP($D8,$C$5:$AA$492,17,)=0,0,((VLOOKUP($D8,$C$5:$AA$492,17,)/VLOOKUP($D8,$C$5:$AA$492,4,))*$F8))</f>
        <v>0</v>
      </c>
      <c r="T8" s="50"/>
      <c r="U8" s="50">
        <f>IF(VLOOKUP($D8,$C$5:$AA$492,19,)=0,0,((VLOOKUP($D8,$C$5:$AA$492,19,)/VLOOKUP($D8,$C$5:$AA$492,4,))*$F8))</f>
        <v>0</v>
      </c>
      <c r="V8" s="50"/>
      <c r="W8" s="50">
        <f>IF(VLOOKUP($D8,$C$5:$AA$492,21,)=0,0,((VLOOKUP($D8,$C$5:$AA$492,21,)/VLOOKUP($D8,$C$5:$AA$492,4,))*$F8))</f>
        <v>0</v>
      </c>
      <c r="X8" s="50"/>
      <c r="Y8" s="50">
        <f>IF(VLOOKUP($D8,$C$5:$AA$492,23,)=0,0,((VLOOKUP($D8,$C$5:$AA$492,23,)/VLOOKUP($D8,$C$5:$AA$492,4,))*$F8))</f>
        <v>0</v>
      </c>
      <c r="Z8" s="50"/>
      <c r="AA8" s="50">
        <f>IF(VLOOKUP($D8,$C$5:$AA$492,25,)=0,0,((VLOOKUP($D8,$C$5:$AA$492,25,)/VLOOKUP($D8,$C$5:$AA$492,4,))*$F8))</f>
        <v>0</v>
      </c>
      <c r="AB8" s="50">
        <f>SUM(H8:AA8)</f>
        <v>0</v>
      </c>
      <c r="AC8" s="28" t="str">
        <f>IF(ABS(AB8-F8)&lt;1,"ok","err")</f>
        <v>ok</v>
      </c>
      <c r="AD8" s="35"/>
    </row>
    <row r="9" spans="1:30" x14ac:dyDescent="0.25">
      <c r="A9" s="89">
        <v>302</v>
      </c>
      <c r="B9" s="14" t="s">
        <v>827</v>
      </c>
      <c r="C9" s="14" t="s">
        <v>828</v>
      </c>
      <c r="D9" s="14" t="s">
        <v>391</v>
      </c>
      <c r="F9" s="50">
        <v>0</v>
      </c>
      <c r="H9" s="50">
        <f>IF(VLOOKUP($D9,$C$5:$AA$492,6,)=0,0,((VLOOKUP($D9,$C$5:$AA$492,6,)/VLOOKUP($D9,$C$5:$AA$492,4,))*$F9))</f>
        <v>0</v>
      </c>
      <c r="I9" s="50">
        <f>IF(VLOOKUP($D9,$C$5:$AA$492,7,)=0,0,((VLOOKUP($D9,$C$5:$AA$492,7,)/VLOOKUP($D9,$C$5:$AA$492,4,))*$F9))</f>
        <v>0</v>
      </c>
      <c r="J9" s="50"/>
      <c r="K9" s="50">
        <f>IF(VLOOKUP($D9,$C$5:$AA$492,9,)=0,0,((VLOOKUP($D9,$C$5:$AA$492,9,)/VLOOKUP($D9,$C$5:$AA$492,4,))*$F9))</f>
        <v>0</v>
      </c>
      <c r="L9" s="50"/>
      <c r="M9" s="50">
        <f>IF(VLOOKUP($D9,$C$5:$AA$492,11,)=0,0,((VLOOKUP($D9,$C$5:$AA$492,11,)/VLOOKUP($D9,$C$5:$AA$492,4,))*$F9))</f>
        <v>0</v>
      </c>
      <c r="N9" s="50"/>
      <c r="O9" s="50">
        <f>IF(VLOOKUP($D9,$C$5:$AA$492,13,)=0,0,((VLOOKUP($D9,$C$5:$AA$492,13,)/VLOOKUP($D9,$C$5:$AA$492,4,))*$F9))</f>
        <v>0</v>
      </c>
      <c r="P9" s="50">
        <f>IF(VLOOKUP($D9,$C$5:$AA$492,14,)=0,0,((VLOOKUP($D9,$C$5:$AA$492,14,)/VLOOKUP($D9,$C$5:$AA$492,4,))*$F9))</f>
        <v>0</v>
      </c>
      <c r="Q9" s="50"/>
      <c r="R9" s="50">
        <f>IF(VLOOKUP($D9,$C$5:$AA$492,16,)=0,0,((VLOOKUP($D9,$C$5:$AA$492,16,)/VLOOKUP($D9,$C$5:$AA$492,4,))*$F9))</f>
        <v>0</v>
      </c>
      <c r="S9" s="50">
        <f>IF(VLOOKUP($D9,$C$5:$AA$492,17,)=0,0,((VLOOKUP($D9,$C$5:$AA$492,17,)/VLOOKUP($D9,$C$5:$AA$492,4,))*$F9))</f>
        <v>0</v>
      </c>
      <c r="T9" s="50"/>
      <c r="U9" s="50">
        <f>IF(VLOOKUP($D9,$C$5:$AA$492,19,)=0,0,((VLOOKUP($D9,$C$5:$AA$492,19,)/VLOOKUP($D9,$C$5:$AA$492,4,))*$F9))</f>
        <v>0</v>
      </c>
      <c r="V9" s="50"/>
      <c r="W9" s="50">
        <f>IF(VLOOKUP($D9,$C$5:$AA$492,21,)=0,0,((VLOOKUP($D9,$C$5:$AA$492,21,)/VLOOKUP($D9,$C$5:$AA$492,4,))*$F9))</f>
        <v>0</v>
      </c>
      <c r="X9" s="50"/>
      <c r="Y9" s="50">
        <f>IF(VLOOKUP($D9,$C$5:$AA$492,23,)=0,0,((VLOOKUP($D9,$C$5:$AA$492,23,)/VLOOKUP($D9,$C$5:$AA$492,4,))*$F9))</f>
        <v>0</v>
      </c>
      <c r="Z9" s="50"/>
      <c r="AA9" s="50">
        <f>IF(VLOOKUP($D9,$C$5:$AA$492,25,)=0,0,((VLOOKUP($D9,$C$5:$AA$492,25,)/VLOOKUP($D9,$C$5:$AA$492,4,))*$F9))</f>
        <v>0</v>
      </c>
      <c r="AB9" s="50">
        <f>SUM(H9:AA9)</f>
        <v>0</v>
      </c>
      <c r="AC9" s="28" t="str">
        <f>IF(ABS(AB9-F9)&lt;1,"ok","err")</f>
        <v>ok</v>
      </c>
    </row>
    <row r="10" spans="1:30" x14ac:dyDescent="0.25">
      <c r="A10" s="89">
        <v>303</v>
      </c>
      <c r="B10" s="14" t="s">
        <v>703</v>
      </c>
      <c r="C10" s="14" t="s">
        <v>704</v>
      </c>
      <c r="D10" s="14" t="s">
        <v>391</v>
      </c>
      <c r="F10" s="50">
        <v>0</v>
      </c>
      <c r="H10" s="50">
        <f>IF(VLOOKUP($D10,$C$5:$AA$492,6,)=0,0,((VLOOKUP($D10,$C$5:$AA$492,6,)/VLOOKUP($D10,$C$5:$AA$492,4,))*$F10))</f>
        <v>0</v>
      </c>
      <c r="I10" s="50">
        <f>IF(VLOOKUP($D10,$C$5:$AA$492,7,)=0,0,((VLOOKUP($D10,$C$5:$AA$492,7,)/VLOOKUP($D10,$C$5:$AA$492,4,))*$F10))</f>
        <v>0</v>
      </c>
      <c r="J10" s="50"/>
      <c r="K10" s="50">
        <f>IF(VLOOKUP($D10,$C$5:$AA$492,9,)=0,0,((VLOOKUP($D10,$C$5:$AA$492,9,)/VLOOKUP($D10,$C$5:$AA$492,4,))*$F10))</f>
        <v>0</v>
      </c>
      <c r="L10" s="50"/>
      <c r="M10" s="50">
        <f>IF(VLOOKUP($D10,$C$5:$AA$492,11,)=0,0,((VLOOKUP($D10,$C$5:$AA$492,11,)/VLOOKUP($D10,$C$5:$AA$492,4,))*$F10))</f>
        <v>0</v>
      </c>
      <c r="N10" s="50"/>
      <c r="O10" s="50">
        <f>IF(VLOOKUP($D10,$C$5:$AA$492,13,)=0,0,((VLOOKUP($D10,$C$5:$AA$492,13,)/VLOOKUP($D10,$C$5:$AA$492,4,))*$F10))</f>
        <v>0</v>
      </c>
      <c r="P10" s="50">
        <f>IF(VLOOKUP($D10,$C$5:$AA$492,14,)=0,0,((VLOOKUP($D10,$C$5:$AA$492,14,)/VLOOKUP($D10,$C$5:$AA$492,4,))*$F10))</f>
        <v>0</v>
      </c>
      <c r="Q10" s="50"/>
      <c r="R10" s="50">
        <f>IF(VLOOKUP($D10,$C$5:$AA$492,16,)=0,0,((VLOOKUP($D10,$C$5:$AA$492,16,)/VLOOKUP($D10,$C$5:$AA$492,4,))*$F10))</f>
        <v>0</v>
      </c>
      <c r="S10" s="50">
        <f>IF(VLOOKUP($D10,$C$5:$AA$492,17,)=0,0,((VLOOKUP($D10,$C$5:$AA$492,17,)/VLOOKUP($D10,$C$5:$AA$492,4,))*$F10))</f>
        <v>0</v>
      </c>
      <c r="T10" s="50"/>
      <c r="U10" s="50">
        <f>IF(VLOOKUP($D10,$C$5:$AA$492,19,)=0,0,((VLOOKUP($D10,$C$5:$AA$492,19,)/VLOOKUP($D10,$C$5:$AA$492,4,))*$F10))</f>
        <v>0</v>
      </c>
      <c r="V10" s="50"/>
      <c r="W10" s="50">
        <f>IF(VLOOKUP($D10,$C$5:$AA$492,21,)=0,0,((VLOOKUP($D10,$C$5:$AA$492,21,)/VLOOKUP($D10,$C$5:$AA$492,4,))*$F10))</f>
        <v>0</v>
      </c>
      <c r="X10" s="50"/>
      <c r="Y10" s="50">
        <f>IF(VLOOKUP($D10,$C$5:$AA$492,23,)=0,0,((VLOOKUP($D10,$C$5:$AA$492,23,)/VLOOKUP($D10,$C$5:$AA$492,4,))*$F10))</f>
        <v>0</v>
      </c>
      <c r="Z10" s="50"/>
      <c r="AA10" s="50">
        <f>IF(VLOOKUP($D10,$C$5:$AA$492,25,)=0,0,((VLOOKUP($D10,$C$5:$AA$492,25,)/VLOOKUP($D10,$C$5:$AA$492,4,))*$F10))</f>
        <v>0</v>
      </c>
      <c r="AB10" s="50">
        <f>SUM(H10:AA10)</f>
        <v>0</v>
      </c>
      <c r="AC10" s="28" t="str">
        <f>IF(ABS(AB10-F10)&lt;1,"ok","err")</f>
        <v>ok</v>
      </c>
    </row>
    <row r="11" spans="1:30" x14ac:dyDescent="0.25">
      <c r="AC11" s="28"/>
    </row>
    <row r="12" spans="1:30" x14ac:dyDescent="0.25">
      <c r="B12" s="14" t="s">
        <v>19</v>
      </c>
      <c r="C12" s="14" t="s">
        <v>20</v>
      </c>
      <c r="F12" s="90">
        <f>SUM(F8:F10)</f>
        <v>0</v>
      </c>
      <c r="G12" s="90">
        <f>SUM(G8:G10)</f>
        <v>0</v>
      </c>
      <c r="H12" s="90">
        <f>SUM(H8:H10)</f>
        <v>0</v>
      </c>
      <c r="I12" s="90">
        <f>SUM(I8:I10)</f>
        <v>0</v>
      </c>
      <c r="J12" s="90"/>
      <c r="K12" s="90">
        <f>SUM(K8:K10)</f>
        <v>0</v>
      </c>
      <c r="L12" s="90"/>
      <c r="M12" s="90">
        <f>SUM(M8:M10)</f>
        <v>0</v>
      </c>
      <c r="N12" s="90"/>
      <c r="O12" s="90">
        <f>SUM(O8:O10)</f>
        <v>0</v>
      </c>
      <c r="P12" s="90">
        <f>SUM(P8:P10)</f>
        <v>0</v>
      </c>
      <c r="Q12" s="90"/>
      <c r="R12" s="90">
        <f>SUM(R8:R10)</f>
        <v>0</v>
      </c>
      <c r="S12" s="90">
        <f>SUM(S8:S10)</f>
        <v>0</v>
      </c>
      <c r="T12" s="90"/>
      <c r="U12" s="90">
        <f>SUM(U8:U10)</f>
        <v>0</v>
      </c>
      <c r="V12" s="90"/>
      <c r="W12" s="90">
        <f>SUM(W8:W10)</f>
        <v>0</v>
      </c>
      <c r="X12" s="90"/>
      <c r="Y12" s="90">
        <f>SUM(Y8:Y10)</f>
        <v>0</v>
      </c>
      <c r="Z12" s="90"/>
      <c r="AA12" s="90">
        <f>SUM(AA8:AA10)</f>
        <v>0</v>
      </c>
      <c r="AB12" s="50">
        <f>SUM(H12:AA12)</f>
        <v>0</v>
      </c>
      <c r="AC12" s="28" t="str">
        <f>IF(ABS(AB12-F12)&lt;1,"ok","err")</f>
        <v>ok</v>
      </c>
      <c r="AD12" s="35"/>
    </row>
    <row r="13" spans="1:30" x14ac:dyDescent="0.25">
      <c r="AC13" s="28"/>
    </row>
    <row r="14" spans="1:30" x14ac:dyDescent="0.25">
      <c r="A14" s="26" t="s">
        <v>766</v>
      </c>
      <c r="Q14" s="14"/>
      <c r="AC14" s="28"/>
    </row>
    <row r="15" spans="1:30" x14ac:dyDescent="0.25">
      <c r="A15" s="91">
        <v>310</v>
      </c>
      <c r="B15" s="14" t="s">
        <v>17</v>
      </c>
      <c r="C15" s="14" t="s">
        <v>773</v>
      </c>
      <c r="D15" s="14" t="s">
        <v>551</v>
      </c>
      <c r="F15" s="67">
        <v>0</v>
      </c>
      <c r="G15" s="67"/>
      <c r="H15" s="50">
        <f t="shared" ref="H15:H22" si="0">IF(VLOOKUP($D15,$C$5:$AA$492,6,)=0,0,((VLOOKUP($D15,$C$5:$AA$492,6,)/VLOOKUP($D15,$C$5:$AA$492,4,))*$F15))</f>
        <v>0</v>
      </c>
      <c r="I15" s="50">
        <f t="shared" ref="I15:I22" si="1">IF(VLOOKUP($D15,$C$5:$AA$492,7,)=0,0,((VLOOKUP($D15,$C$5:$AA$492,7,)/VLOOKUP($D15,$C$5:$AA$492,4,))*$F15))</f>
        <v>0</v>
      </c>
      <c r="J15" s="50"/>
      <c r="K15" s="50">
        <f t="shared" ref="K15:K22" si="2">IF(VLOOKUP($D15,$C$5:$AA$492,9,)=0,0,((VLOOKUP($D15,$C$5:$AA$492,9,)/VLOOKUP($D15,$C$5:$AA$492,4,))*$F15))</f>
        <v>0</v>
      </c>
      <c r="L15" s="50"/>
      <c r="M15" s="50">
        <f t="shared" ref="M15:M22" si="3">IF(VLOOKUP($D15,$C$5:$AA$492,11,)=0,0,((VLOOKUP($D15,$C$5:$AA$492,11,)/VLOOKUP($D15,$C$5:$AA$492,4,))*$F15))</f>
        <v>0</v>
      </c>
      <c r="N15" s="50"/>
      <c r="O15" s="50">
        <f t="shared" ref="O15:O22" si="4">IF(VLOOKUP($D15,$C$5:$AA$492,13,)=0,0,((VLOOKUP($D15,$C$5:$AA$492,13,)/VLOOKUP($D15,$C$5:$AA$492,4,))*$F15))</f>
        <v>0</v>
      </c>
      <c r="P15" s="50">
        <f t="shared" ref="P15:P22" si="5">IF(VLOOKUP($D15,$C$5:$AA$492,14,)=0,0,((VLOOKUP($D15,$C$5:$AA$492,14,)/VLOOKUP($D15,$C$5:$AA$492,4,))*$F15))</f>
        <v>0</v>
      </c>
      <c r="Q15" s="50"/>
      <c r="R15" s="50">
        <f t="shared" ref="R15:R22" si="6">IF(VLOOKUP($D15,$C$5:$AA$492,16,)=0,0,((VLOOKUP($D15,$C$5:$AA$492,16,)/VLOOKUP($D15,$C$5:$AA$492,4,))*$F15))</f>
        <v>0</v>
      </c>
      <c r="S15" s="50">
        <f t="shared" ref="S15:S22" si="7">IF(VLOOKUP($D15,$C$5:$AA$492,17,)=0,0,((VLOOKUP($D15,$C$5:$AA$492,17,)/VLOOKUP($D15,$C$5:$AA$492,4,))*$F15))</f>
        <v>0</v>
      </c>
      <c r="T15" s="50"/>
      <c r="U15" s="50">
        <f t="shared" ref="U15:U22" si="8">IF(VLOOKUP($D15,$C$5:$AA$492,19,)=0,0,((VLOOKUP($D15,$C$5:$AA$492,19,)/VLOOKUP($D15,$C$5:$AA$492,4,))*$F15))</f>
        <v>0</v>
      </c>
      <c r="V15" s="50"/>
      <c r="W15" s="50">
        <f t="shared" ref="W15:W22" si="9">IF(VLOOKUP($D15,$C$5:$AA$492,21,)=0,0,((VLOOKUP($D15,$C$5:$AA$492,21,)/VLOOKUP($D15,$C$5:$AA$492,4,))*$F15))</f>
        <v>0</v>
      </c>
      <c r="X15" s="50"/>
      <c r="Y15" s="50">
        <f t="shared" ref="Y15:Y22" si="10">IF(VLOOKUP($D15,$C$5:$AA$492,23,)=0,0,((VLOOKUP($D15,$C$5:$AA$492,23,)/VLOOKUP($D15,$C$5:$AA$492,4,))*$F15))</f>
        <v>0</v>
      </c>
      <c r="Z15" s="50"/>
      <c r="AA15" s="50">
        <f t="shared" ref="AA15:AA22" si="11">IF(VLOOKUP($D15,$C$5:$AA$492,25,)=0,0,((VLOOKUP($D15,$C$5:$AA$492,25,)/VLOOKUP($D15,$C$5:$AA$492,4,))*$F15))</f>
        <v>0</v>
      </c>
      <c r="AB15" s="50">
        <f t="shared" ref="AB15:AB22" si="12">SUM(H15:AA15)</f>
        <v>0</v>
      </c>
      <c r="AC15" s="28" t="str">
        <f t="shared" ref="AC15:AC22" si="13">IF(ABS(AB15-F15)&lt;1,"ok","err")</f>
        <v>ok</v>
      </c>
    </row>
    <row r="16" spans="1:30" x14ac:dyDescent="0.25">
      <c r="A16" s="91">
        <v>311</v>
      </c>
      <c r="B16" s="14" t="s">
        <v>53</v>
      </c>
      <c r="C16" s="14" t="s">
        <v>780</v>
      </c>
      <c r="D16" s="14" t="s">
        <v>551</v>
      </c>
      <c r="F16" s="50">
        <v>0</v>
      </c>
      <c r="G16" s="67"/>
      <c r="H16" s="50">
        <f t="shared" si="0"/>
        <v>0</v>
      </c>
      <c r="I16" s="50">
        <f t="shared" si="1"/>
        <v>0</v>
      </c>
      <c r="J16" s="50"/>
      <c r="K16" s="50">
        <f t="shared" si="2"/>
        <v>0</v>
      </c>
      <c r="L16" s="50"/>
      <c r="M16" s="50">
        <f t="shared" si="3"/>
        <v>0</v>
      </c>
      <c r="N16" s="50"/>
      <c r="O16" s="50">
        <f t="shared" si="4"/>
        <v>0</v>
      </c>
      <c r="P16" s="50">
        <f t="shared" si="5"/>
        <v>0</v>
      </c>
      <c r="Q16" s="50"/>
      <c r="R16" s="50">
        <f t="shared" si="6"/>
        <v>0</v>
      </c>
      <c r="S16" s="50">
        <f t="shared" si="7"/>
        <v>0</v>
      </c>
      <c r="T16" s="50"/>
      <c r="U16" s="50">
        <f t="shared" si="8"/>
        <v>0</v>
      </c>
      <c r="V16" s="50"/>
      <c r="W16" s="50">
        <f t="shared" si="9"/>
        <v>0</v>
      </c>
      <c r="X16" s="50"/>
      <c r="Y16" s="50">
        <f t="shared" si="10"/>
        <v>0</v>
      </c>
      <c r="Z16" s="50"/>
      <c r="AA16" s="50">
        <f t="shared" si="11"/>
        <v>0</v>
      </c>
      <c r="AB16" s="50">
        <f t="shared" si="12"/>
        <v>0</v>
      </c>
      <c r="AC16" s="28" t="str">
        <f t="shared" si="13"/>
        <v>ok</v>
      </c>
    </row>
    <row r="17" spans="1:29" x14ac:dyDescent="0.25">
      <c r="A17" s="91">
        <v>312</v>
      </c>
      <c r="B17" s="14" t="s">
        <v>767</v>
      </c>
      <c r="C17" s="14" t="s">
        <v>774</v>
      </c>
      <c r="D17" s="14" t="s">
        <v>551</v>
      </c>
      <c r="F17" s="50">
        <v>0</v>
      </c>
      <c r="H17" s="50">
        <f t="shared" si="0"/>
        <v>0</v>
      </c>
      <c r="I17" s="50">
        <f t="shared" si="1"/>
        <v>0</v>
      </c>
      <c r="J17" s="50"/>
      <c r="K17" s="50">
        <f t="shared" si="2"/>
        <v>0</v>
      </c>
      <c r="L17" s="50"/>
      <c r="M17" s="50">
        <f t="shared" si="3"/>
        <v>0</v>
      </c>
      <c r="N17" s="50"/>
      <c r="O17" s="50">
        <f t="shared" si="4"/>
        <v>0</v>
      </c>
      <c r="P17" s="50">
        <f t="shared" si="5"/>
        <v>0</v>
      </c>
      <c r="Q17" s="50"/>
      <c r="R17" s="50">
        <f t="shared" si="6"/>
        <v>0</v>
      </c>
      <c r="S17" s="50">
        <f t="shared" si="7"/>
        <v>0</v>
      </c>
      <c r="T17" s="50"/>
      <c r="U17" s="50">
        <f t="shared" si="8"/>
        <v>0</v>
      </c>
      <c r="V17" s="50"/>
      <c r="W17" s="50">
        <f t="shared" si="9"/>
        <v>0</v>
      </c>
      <c r="X17" s="50"/>
      <c r="Y17" s="50">
        <f t="shared" si="10"/>
        <v>0</v>
      </c>
      <c r="Z17" s="50"/>
      <c r="AA17" s="50">
        <f t="shared" si="11"/>
        <v>0</v>
      </c>
      <c r="AB17" s="50">
        <f t="shared" si="12"/>
        <v>0</v>
      </c>
      <c r="AC17" s="28" t="str">
        <f t="shared" si="13"/>
        <v>ok</v>
      </c>
    </row>
    <row r="18" spans="1:29" x14ac:dyDescent="0.25">
      <c r="A18" s="91">
        <v>313</v>
      </c>
      <c r="B18" s="14" t="s">
        <v>768</v>
      </c>
      <c r="C18" s="14" t="s">
        <v>775</v>
      </c>
      <c r="D18" s="14" t="s">
        <v>551</v>
      </c>
      <c r="F18" s="50">
        <v>0</v>
      </c>
      <c r="H18" s="50">
        <f t="shared" si="0"/>
        <v>0</v>
      </c>
      <c r="I18" s="50">
        <f t="shared" si="1"/>
        <v>0</v>
      </c>
      <c r="J18" s="50"/>
      <c r="K18" s="50">
        <f t="shared" si="2"/>
        <v>0</v>
      </c>
      <c r="L18" s="50"/>
      <c r="M18" s="50">
        <f t="shared" si="3"/>
        <v>0</v>
      </c>
      <c r="N18" s="50"/>
      <c r="O18" s="50">
        <f t="shared" si="4"/>
        <v>0</v>
      </c>
      <c r="P18" s="50">
        <f t="shared" si="5"/>
        <v>0</v>
      </c>
      <c r="Q18" s="50"/>
      <c r="R18" s="50">
        <f t="shared" si="6"/>
        <v>0</v>
      </c>
      <c r="S18" s="50">
        <f t="shared" si="7"/>
        <v>0</v>
      </c>
      <c r="T18" s="50"/>
      <c r="U18" s="50">
        <f t="shared" si="8"/>
        <v>0</v>
      </c>
      <c r="V18" s="50"/>
      <c r="W18" s="50">
        <f t="shared" si="9"/>
        <v>0</v>
      </c>
      <c r="X18" s="50"/>
      <c r="Y18" s="50">
        <f t="shared" si="10"/>
        <v>0</v>
      </c>
      <c r="Z18" s="50"/>
      <c r="AA18" s="50">
        <f t="shared" si="11"/>
        <v>0</v>
      </c>
      <c r="AB18" s="50">
        <f t="shared" si="12"/>
        <v>0</v>
      </c>
      <c r="AC18" s="28" t="str">
        <f t="shared" si="13"/>
        <v>ok</v>
      </c>
    </row>
    <row r="19" spans="1:29" x14ac:dyDescent="0.25">
      <c r="A19" s="91">
        <v>314</v>
      </c>
      <c r="B19" s="14" t="s">
        <v>769</v>
      </c>
      <c r="C19" s="14" t="s">
        <v>776</v>
      </c>
      <c r="D19" s="14" t="s">
        <v>551</v>
      </c>
      <c r="F19" s="50">
        <v>0</v>
      </c>
      <c r="H19" s="50">
        <f t="shared" si="0"/>
        <v>0</v>
      </c>
      <c r="I19" s="50">
        <f t="shared" si="1"/>
        <v>0</v>
      </c>
      <c r="J19" s="50"/>
      <c r="K19" s="50">
        <f t="shared" si="2"/>
        <v>0</v>
      </c>
      <c r="L19" s="50"/>
      <c r="M19" s="50">
        <f t="shared" si="3"/>
        <v>0</v>
      </c>
      <c r="N19" s="50"/>
      <c r="O19" s="50">
        <f t="shared" si="4"/>
        <v>0</v>
      </c>
      <c r="P19" s="50">
        <f t="shared" si="5"/>
        <v>0</v>
      </c>
      <c r="Q19" s="50"/>
      <c r="R19" s="50">
        <f t="shared" si="6"/>
        <v>0</v>
      </c>
      <c r="S19" s="50">
        <f t="shared" si="7"/>
        <v>0</v>
      </c>
      <c r="T19" s="50"/>
      <c r="U19" s="50">
        <f t="shared" si="8"/>
        <v>0</v>
      </c>
      <c r="V19" s="50"/>
      <c r="W19" s="50">
        <f t="shared" si="9"/>
        <v>0</v>
      </c>
      <c r="X19" s="50"/>
      <c r="Y19" s="50">
        <f t="shared" si="10"/>
        <v>0</v>
      </c>
      <c r="Z19" s="50"/>
      <c r="AA19" s="50">
        <f t="shared" si="11"/>
        <v>0</v>
      </c>
      <c r="AB19" s="50">
        <f t="shared" si="12"/>
        <v>0</v>
      </c>
      <c r="AC19" s="28" t="str">
        <f t="shared" si="13"/>
        <v>ok</v>
      </c>
    </row>
    <row r="20" spans="1:29" x14ac:dyDescent="0.25">
      <c r="A20" s="91">
        <v>315</v>
      </c>
      <c r="B20" s="14" t="s">
        <v>770</v>
      </c>
      <c r="C20" s="14" t="s">
        <v>777</v>
      </c>
      <c r="D20" s="14" t="s">
        <v>551</v>
      </c>
      <c r="F20" s="50">
        <v>0</v>
      </c>
      <c r="H20" s="50">
        <f t="shared" si="0"/>
        <v>0</v>
      </c>
      <c r="I20" s="50">
        <f t="shared" si="1"/>
        <v>0</v>
      </c>
      <c r="J20" s="50"/>
      <c r="K20" s="50">
        <f t="shared" si="2"/>
        <v>0</v>
      </c>
      <c r="L20" s="50"/>
      <c r="M20" s="50">
        <f t="shared" si="3"/>
        <v>0</v>
      </c>
      <c r="N20" s="50"/>
      <c r="O20" s="50">
        <f t="shared" si="4"/>
        <v>0</v>
      </c>
      <c r="P20" s="50">
        <f t="shared" si="5"/>
        <v>0</v>
      </c>
      <c r="Q20" s="50"/>
      <c r="R20" s="50">
        <f t="shared" si="6"/>
        <v>0</v>
      </c>
      <c r="S20" s="50">
        <f t="shared" si="7"/>
        <v>0</v>
      </c>
      <c r="T20" s="50"/>
      <c r="U20" s="50">
        <f t="shared" si="8"/>
        <v>0</v>
      </c>
      <c r="V20" s="50"/>
      <c r="W20" s="50">
        <f t="shared" si="9"/>
        <v>0</v>
      </c>
      <c r="X20" s="50"/>
      <c r="Y20" s="50">
        <f t="shared" si="10"/>
        <v>0</v>
      </c>
      <c r="Z20" s="50"/>
      <c r="AA20" s="50">
        <f t="shared" si="11"/>
        <v>0</v>
      </c>
      <c r="AB20" s="50">
        <f t="shared" si="12"/>
        <v>0</v>
      </c>
      <c r="AC20" s="28" t="str">
        <f t="shared" si="13"/>
        <v>ok</v>
      </c>
    </row>
    <row r="21" spans="1:29" x14ac:dyDescent="0.25">
      <c r="A21" s="91">
        <v>316</v>
      </c>
      <c r="B21" s="14" t="s">
        <v>772</v>
      </c>
      <c r="C21" s="14" t="s">
        <v>778</v>
      </c>
      <c r="D21" s="14" t="s">
        <v>551</v>
      </c>
      <c r="F21" s="50">
        <v>0</v>
      </c>
      <c r="H21" s="50">
        <f t="shared" si="0"/>
        <v>0</v>
      </c>
      <c r="I21" s="50">
        <f t="shared" si="1"/>
        <v>0</v>
      </c>
      <c r="J21" s="50"/>
      <c r="K21" s="50">
        <f t="shared" si="2"/>
        <v>0</v>
      </c>
      <c r="L21" s="50"/>
      <c r="M21" s="50">
        <f t="shared" si="3"/>
        <v>0</v>
      </c>
      <c r="N21" s="50"/>
      <c r="O21" s="50">
        <f t="shared" si="4"/>
        <v>0</v>
      </c>
      <c r="P21" s="50">
        <f t="shared" si="5"/>
        <v>0</v>
      </c>
      <c r="Q21" s="50"/>
      <c r="R21" s="50">
        <f t="shared" si="6"/>
        <v>0</v>
      </c>
      <c r="S21" s="50">
        <f t="shared" si="7"/>
        <v>0</v>
      </c>
      <c r="T21" s="50"/>
      <c r="U21" s="50">
        <f t="shared" si="8"/>
        <v>0</v>
      </c>
      <c r="V21" s="50"/>
      <c r="W21" s="50">
        <f t="shared" si="9"/>
        <v>0</v>
      </c>
      <c r="X21" s="50"/>
      <c r="Y21" s="50">
        <f t="shared" si="10"/>
        <v>0</v>
      </c>
      <c r="Z21" s="50"/>
      <c r="AA21" s="50">
        <f t="shared" si="11"/>
        <v>0</v>
      </c>
      <c r="AB21" s="50">
        <f>SUM(H21:AA21)</f>
        <v>0</v>
      </c>
      <c r="AC21" s="28" t="str">
        <f>IF(ABS(AB21-F21)&lt;1,"ok","err")</f>
        <v>ok</v>
      </c>
    </row>
    <row r="22" spans="1:29" x14ac:dyDescent="0.25">
      <c r="A22" s="91">
        <v>317</v>
      </c>
      <c r="B22" s="14" t="s">
        <v>771</v>
      </c>
      <c r="C22" s="14" t="s">
        <v>779</v>
      </c>
      <c r="D22" s="14" t="s">
        <v>551</v>
      </c>
      <c r="F22" s="50">
        <v>0</v>
      </c>
      <c r="H22" s="50">
        <f t="shared" si="0"/>
        <v>0</v>
      </c>
      <c r="I22" s="50">
        <f t="shared" si="1"/>
        <v>0</v>
      </c>
      <c r="J22" s="50"/>
      <c r="K22" s="50">
        <f t="shared" si="2"/>
        <v>0</v>
      </c>
      <c r="L22" s="50"/>
      <c r="M22" s="50">
        <f t="shared" si="3"/>
        <v>0</v>
      </c>
      <c r="N22" s="50"/>
      <c r="O22" s="50">
        <f t="shared" si="4"/>
        <v>0</v>
      </c>
      <c r="P22" s="50">
        <f t="shared" si="5"/>
        <v>0</v>
      </c>
      <c r="Q22" s="50"/>
      <c r="R22" s="50">
        <f t="shared" si="6"/>
        <v>0</v>
      </c>
      <c r="S22" s="50">
        <f t="shared" si="7"/>
        <v>0</v>
      </c>
      <c r="T22" s="50"/>
      <c r="U22" s="50">
        <f t="shared" si="8"/>
        <v>0</v>
      </c>
      <c r="V22" s="50"/>
      <c r="W22" s="50">
        <f t="shared" si="9"/>
        <v>0</v>
      </c>
      <c r="X22" s="50"/>
      <c r="Y22" s="50">
        <f t="shared" si="10"/>
        <v>0</v>
      </c>
      <c r="Z22" s="50"/>
      <c r="AA22" s="50">
        <f t="shared" si="11"/>
        <v>0</v>
      </c>
      <c r="AB22" s="50">
        <f t="shared" si="12"/>
        <v>0</v>
      </c>
      <c r="AC22" s="28" t="str">
        <f t="shared" si="13"/>
        <v>ok</v>
      </c>
    </row>
    <row r="23" spans="1:29" x14ac:dyDescent="0.25">
      <c r="Q23" s="14"/>
      <c r="AB23" s="50"/>
      <c r="AC23" s="28"/>
    </row>
    <row r="24" spans="1:29" x14ac:dyDescent="0.25">
      <c r="B24" s="14" t="s">
        <v>782</v>
      </c>
      <c r="C24" s="14" t="s">
        <v>781</v>
      </c>
      <c r="F24" s="90">
        <f>SUM(F15:F23)</f>
        <v>0</v>
      </c>
      <c r="G24" s="90">
        <f>SUM(G15:G23)</f>
        <v>0</v>
      </c>
      <c r="H24" s="90">
        <f>SUM(H15:H23)</f>
        <v>0</v>
      </c>
      <c r="I24" s="90">
        <f>SUM(I15:I23)</f>
        <v>0</v>
      </c>
      <c r="J24" s="90"/>
      <c r="K24" s="90">
        <f>SUM(K15:K23)</f>
        <v>0</v>
      </c>
      <c r="L24" s="90"/>
      <c r="M24" s="90">
        <f>SUM(M15:M23)</f>
        <v>0</v>
      </c>
      <c r="N24" s="90"/>
      <c r="O24" s="90">
        <f>SUM(O15:O23)</f>
        <v>0</v>
      </c>
      <c r="P24" s="90">
        <f>SUM(P15:P23)</f>
        <v>0</v>
      </c>
      <c r="Q24" s="90"/>
      <c r="R24" s="90">
        <f>SUM(R15:R23)</f>
        <v>0</v>
      </c>
      <c r="S24" s="90">
        <f>SUM(S15:S23)</f>
        <v>0</v>
      </c>
      <c r="T24" s="90"/>
      <c r="U24" s="90">
        <f>SUM(U15:U23)</f>
        <v>0</v>
      </c>
      <c r="V24" s="90"/>
      <c r="W24" s="90">
        <f>SUM(W15:W23)</f>
        <v>0</v>
      </c>
      <c r="X24" s="90"/>
      <c r="Y24" s="90">
        <f>SUM(Y15:Y23)</f>
        <v>0</v>
      </c>
      <c r="Z24" s="90"/>
      <c r="AA24" s="90">
        <f>SUM(AA15:AA23)</f>
        <v>0</v>
      </c>
      <c r="AB24" s="50">
        <f>SUM(H24:AA24)</f>
        <v>0</v>
      </c>
      <c r="AC24" s="28" t="str">
        <f>IF(ABS(AB24-F24)&lt;1,"ok","err")</f>
        <v>ok</v>
      </c>
    </row>
    <row r="25" spans="1:29" x14ac:dyDescent="0.25">
      <c r="Q25" s="14"/>
      <c r="AC25" s="28"/>
    </row>
    <row r="26" spans="1:29" x14ac:dyDescent="0.25">
      <c r="A26" s="26" t="s">
        <v>348</v>
      </c>
      <c r="Q26" s="14"/>
      <c r="AC26" s="28"/>
    </row>
    <row r="27" spans="1:29" x14ac:dyDescent="0.25">
      <c r="A27" s="91">
        <v>350</v>
      </c>
      <c r="B27" s="14" t="s">
        <v>17</v>
      </c>
      <c r="C27" s="14" t="s">
        <v>350</v>
      </c>
      <c r="D27" s="14" t="s">
        <v>390</v>
      </c>
      <c r="F27" s="67">
        <v>0</v>
      </c>
      <c r="G27" s="67"/>
      <c r="H27" s="50">
        <f t="shared" ref="H27:H33" si="14">IF(VLOOKUP($D27,$C$5:$AA$492,6,)=0,0,((VLOOKUP($D27,$C$5:$AA$492,6,)/VLOOKUP($D27,$C$5:$AA$492,4,))*$F27))</f>
        <v>0</v>
      </c>
      <c r="I27" s="50">
        <f t="shared" ref="I27:I33" si="15">IF(VLOOKUP($D27,$C$5:$AA$492,7,)=0,0,((VLOOKUP($D27,$C$5:$AA$492,7,)/VLOOKUP($D27,$C$5:$AA$492,4,))*$F27))</f>
        <v>0</v>
      </c>
      <c r="J27" s="50"/>
      <c r="K27" s="50">
        <f t="shared" ref="K27:K33" si="16">IF(VLOOKUP($D27,$C$5:$AA$492,9,)=0,0,((VLOOKUP($D27,$C$5:$AA$492,9,)/VLOOKUP($D27,$C$5:$AA$492,4,))*$F27))</f>
        <v>0</v>
      </c>
      <c r="L27" s="50"/>
      <c r="M27" s="50">
        <f t="shared" ref="M27:M33" si="17">IF(VLOOKUP($D27,$C$5:$AA$492,11,)=0,0,((VLOOKUP($D27,$C$5:$AA$492,11,)/VLOOKUP($D27,$C$5:$AA$492,4,))*$F27))</f>
        <v>0</v>
      </c>
      <c r="N27" s="50"/>
      <c r="O27" s="50">
        <f t="shared" ref="O27:O33" si="18">IF(VLOOKUP($D27,$C$5:$AA$492,13,)=0,0,((VLOOKUP($D27,$C$5:$AA$492,13,)/VLOOKUP($D27,$C$5:$AA$492,4,))*$F27))</f>
        <v>0</v>
      </c>
      <c r="P27" s="50">
        <f t="shared" ref="P27:P33" si="19">IF(VLOOKUP($D27,$C$5:$AA$492,14,)=0,0,((VLOOKUP($D27,$C$5:$AA$492,14,)/VLOOKUP($D27,$C$5:$AA$492,4,))*$F27))</f>
        <v>0</v>
      </c>
      <c r="Q27" s="50"/>
      <c r="R27" s="50">
        <f t="shared" ref="R27:R33" si="20">IF(VLOOKUP($D27,$C$5:$AA$492,16,)=0,0,((VLOOKUP($D27,$C$5:$AA$492,16,)/VLOOKUP($D27,$C$5:$AA$492,4,))*$F27))</f>
        <v>0</v>
      </c>
      <c r="S27" s="50">
        <f t="shared" ref="S27:S33" si="21">IF(VLOOKUP($D27,$C$5:$AA$492,17,)=0,0,((VLOOKUP($D27,$C$5:$AA$492,17,)/VLOOKUP($D27,$C$5:$AA$492,4,))*$F27))</f>
        <v>0</v>
      </c>
      <c r="T27" s="50"/>
      <c r="U27" s="50">
        <f t="shared" ref="U27:U33" si="22">IF(VLOOKUP($D27,$C$5:$AA$492,19,)=0,0,((VLOOKUP($D27,$C$5:$AA$492,19,)/VLOOKUP($D27,$C$5:$AA$492,4,))*$F27))</f>
        <v>0</v>
      </c>
      <c r="V27" s="50"/>
      <c r="W27" s="50">
        <f t="shared" ref="W27:W33" si="23">IF(VLOOKUP($D27,$C$5:$AA$492,21,)=0,0,((VLOOKUP($D27,$C$5:$AA$492,21,)/VLOOKUP($D27,$C$5:$AA$492,4,))*$F27))</f>
        <v>0</v>
      </c>
      <c r="X27" s="50"/>
      <c r="Y27" s="50">
        <f t="shared" ref="Y27:Y33" si="24">IF(VLOOKUP($D27,$C$5:$AA$492,23,)=0,0,((VLOOKUP($D27,$C$5:$AA$492,23,)/VLOOKUP($D27,$C$5:$AA$492,4,))*$F27))</f>
        <v>0</v>
      </c>
      <c r="Z27" s="50"/>
      <c r="AA27" s="50">
        <f t="shared" ref="AA27:AA33" si="25">IF(VLOOKUP($D27,$C$5:$AA$492,25,)=0,0,((VLOOKUP($D27,$C$5:$AA$492,25,)/VLOOKUP($D27,$C$5:$AA$492,4,))*$F27))</f>
        <v>0</v>
      </c>
      <c r="AB27" s="50">
        <f t="shared" ref="AB27:AB33" si="26">SUM(H27:AA27)</f>
        <v>0</v>
      </c>
      <c r="AC27" s="28" t="str">
        <f t="shared" ref="AC27:AC33" si="27">IF(ABS(AB27-F27)&lt;1,"ok","err")</f>
        <v>ok</v>
      </c>
    </row>
    <row r="28" spans="1:29" x14ac:dyDescent="0.25">
      <c r="A28" s="91">
        <v>352</v>
      </c>
      <c r="B28" s="14" t="s">
        <v>53</v>
      </c>
      <c r="C28" s="14" t="s">
        <v>417</v>
      </c>
      <c r="D28" s="14" t="s">
        <v>390</v>
      </c>
      <c r="F28" s="50">
        <v>0</v>
      </c>
      <c r="G28" s="67"/>
      <c r="H28" s="50">
        <f t="shared" si="14"/>
        <v>0</v>
      </c>
      <c r="I28" s="50">
        <f t="shared" si="15"/>
        <v>0</v>
      </c>
      <c r="J28" s="50"/>
      <c r="K28" s="50">
        <f t="shared" si="16"/>
        <v>0</v>
      </c>
      <c r="L28" s="50"/>
      <c r="M28" s="50">
        <f t="shared" si="17"/>
        <v>0</v>
      </c>
      <c r="N28" s="50"/>
      <c r="O28" s="50">
        <f t="shared" si="18"/>
        <v>0</v>
      </c>
      <c r="P28" s="50">
        <f t="shared" si="19"/>
        <v>0</v>
      </c>
      <c r="Q28" s="50"/>
      <c r="R28" s="50">
        <f t="shared" si="20"/>
        <v>0</v>
      </c>
      <c r="S28" s="50">
        <f t="shared" si="21"/>
        <v>0</v>
      </c>
      <c r="T28" s="50"/>
      <c r="U28" s="50">
        <f t="shared" si="22"/>
        <v>0</v>
      </c>
      <c r="V28" s="50"/>
      <c r="W28" s="50">
        <f t="shared" si="23"/>
        <v>0</v>
      </c>
      <c r="X28" s="50"/>
      <c r="Y28" s="50">
        <f t="shared" si="24"/>
        <v>0</v>
      </c>
      <c r="Z28" s="50"/>
      <c r="AA28" s="50">
        <f t="shared" si="25"/>
        <v>0</v>
      </c>
      <c r="AB28" s="50">
        <f t="shared" si="26"/>
        <v>0</v>
      </c>
      <c r="AC28" s="28" t="str">
        <f t="shared" si="27"/>
        <v>ok</v>
      </c>
    </row>
    <row r="29" spans="1:29" x14ac:dyDescent="0.25">
      <c r="A29" s="91">
        <v>353</v>
      </c>
      <c r="B29" s="14" t="s">
        <v>22</v>
      </c>
      <c r="C29" s="14" t="s">
        <v>351</v>
      </c>
      <c r="D29" s="14" t="s">
        <v>390</v>
      </c>
      <c r="F29" s="50">
        <v>0</v>
      </c>
      <c r="H29" s="50">
        <f t="shared" si="14"/>
        <v>0</v>
      </c>
      <c r="I29" s="50">
        <f t="shared" si="15"/>
        <v>0</v>
      </c>
      <c r="J29" s="50"/>
      <c r="K29" s="50">
        <f t="shared" si="16"/>
        <v>0</v>
      </c>
      <c r="L29" s="50"/>
      <c r="M29" s="50">
        <f t="shared" si="17"/>
        <v>0</v>
      </c>
      <c r="N29" s="50"/>
      <c r="O29" s="50">
        <f t="shared" si="18"/>
        <v>0</v>
      </c>
      <c r="P29" s="50">
        <f t="shared" si="19"/>
        <v>0</v>
      </c>
      <c r="Q29" s="50"/>
      <c r="R29" s="50">
        <f t="shared" si="20"/>
        <v>0</v>
      </c>
      <c r="S29" s="50">
        <f t="shared" si="21"/>
        <v>0</v>
      </c>
      <c r="T29" s="50"/>
      <c r="U29" s="50">
        <f t="shared" si="22"/>
        <v>0</v>
      </c>
      <c r="V29" s="50"/>
      <c r="W29" s="50">
        <f t="shared" si="23"/>
        <v>0</v>
      </c>
      <c r="X29" s="50"/>
      <c r="Y29" s="50">
        <f t="shared" si="24"/>
        <v>0</v>
      </c>
      <c r="Z29" s="50"/>
      <c r="AA29" s="50">
        <f t="shared" si="25"/>
        <v>0</v>
      </c>
      <c r="AB29" s="50">
        <f t="shared" si="26"/>
        <v>0</v>
      </c>
      <c r="AC29" s="28" t="str">
        <f t="shared" si="27"/>
        <v>ok</v>
      </c>
    </row>
    <row r="30" spans="1:29" x14ac:dyDescent="0.25">
      <c r="A30" s="91">
        <v>354</v>
      </c>
      <c r="B30" s="14" t="s">
        <v>418</v>
      </c>
      <c r="C30" s="14" t="s">
        <v>420</v>
      </c>
      <c r="D30" s="14" t="s">
        <v>390</v>
      </c>
      <c r="F30" s="50">
        <v>0</v>
      </c>
      <c r="H30" s="50">
        <f t="shared" si="14"/>
        <v>0</v>
      </c>
      <c r="I30" s="50">
        <f t="shared" si="15"/>
        <v>0</v>
      </c>
      <c r="J30" s="50"/>
      <c r="K30" s="50">
        <f t="shared" si="16"/>
        <v>0</v>
      </c>
      <c r="L30" s="50"/>
      <c r="M30" s="50">
        <f t="shared" si="17"/>
        <v>0</v>
      </c>
      <c r="N30" s="50"/>
      <c r="O30" s="50">
        <f t="shared" si="18"/>
        <v>0</v>
      </c>
      <c r="P30" s="50">
        <f t="shared" si="19"/>
        <v>0</v>
      </c>
      <c r="Q30" s="50"/>
      <c r="R30" s="50">
        <f t="shared" si="20"/>
        <v>0</v>
      </c>
      <c r="S30" s="50">
        <f t="shared" si="21"/>
        <v>0</v>
      </c>
      <c r="T30" s="50"/>
      <c r="U30" s="50">
        <f t="shared" si="22"/>
        <v>0</v>
      </c>
      <c r="V30" s="50"/>
      <c r="W30" s="50">
        <f t="shared" si="23"/>
        <v>0</v>
      </c>
      <c r="X30" s="50"/>
      <c r="Y30" s="50">
        <f t="shared" si="24"/>
        <v>0</v>
      </c>
      <c r="Z30" s="50"/>
      <c r="AA30" s="50">
        <f t="shared" si="25"/>
        <v>0</v>
      </c>
      <c r="AB30" s="50">
        <f t="shared" si="26"/>
        <v>0</v>
      </c>
      <c r="AC30" s="28" t="str">
        <f t="shared" si="27"/>
        <v>ok</v>
      </c>
    </row>
    <row r="31" spans="1:29" x14ac:dyDescent="0.25">
      <c r="A31" s="91">
        <v>355</v>
      </c>
      <c r="B31" s="14" t="s">
        <v>419</v>
      </c>
      <c r="C31" s="14" t="s">
        <v>352</v>
      </c>
      <c r="D31" s="14" t="s">
        <v>390</v>
      </c>
      <c r="F31" s="50">
        <v>0</v>
      </c>
      <c r="H31" s="50">
        <f t="shared" si="14"/>
        <v>0</v>
      </c>
      <c r="I31" s="50">
        <f t="shared" si="15"/>
        <v>0</v>
      </c>
      <c r="J31" s="50"/>
      <c r="K31" s="50">
        <f t="shared" si="16"/>
        <v>0</v>
      </c>
      <c r="L31" s="50"/>
      <c r="M31" s="50">
        <f t="shared" si="17"/>
        <v>0</v>
      </c>
      <c r="N31" s="50"/>
      <c r="O31" s="50">
        <f t="shared" si="18"/>
        <v>0</v>
      </c>
      <c r="P31" s="50">
        <f t="shared" si="19"/>
        <v>0</v>
      </c>
      <c r="Q31" s="50"/>
      <c r="R31" s="50">
        <f t="shared" si="20"/>
        <v>0</v>
      </c>
      <c r="S31" s="50">
        <f t="shared" si="21"/>
        <v>0</v>
      </c>
      <c r="T31" s="50"/>
      <c r="U31" s="50">
        <f t="shared" si="22"/>
        <v>0</v>
      </c>
      <c r="V31" s="50"/>
      <c r="W31" s="50">
        <f t="shared" si="23"/>
        <v>0</v>
      </c>
      <c r="X31" s="50"/>
      <c r="Y31" s="50">
        <f t="shared" si="24"/>
        <v>0</v>
      </c>
      <c r="Z31" s="50"/>
      <c r="AA31" s="50">
        <f t="shared" si="25"/>
        <v>0</v>
      </c>
      <c r="AB31" s="50">
        <f t="shared" si="26"/>
        <v>0</v>
      </c>
      <c r="AC31" s="28" t="str">
        <f t="shared" si="27"/>
        <v>ok</v>
      </c>
    </row>
    <row r="32" spans="1:29" x14ac:dyDescent="0.25">
      <c r="A32" s="91">
        <v>356</v>
      </c>
      <c r="B32" s="14" t="s">
        <v>349</v>
      </c>
      <c r="C32" s="14" t="s">
        <v>353</v>
      </c>
      <c r="D32" s="14" t="s">
        <v>390</v>
      </c>
      <c r="F32" s="50">
        <v>0</v>
      </c>
      <c r="H32" s="50">
        <f t="shared" si="14"/>
        <v>0</v>
      </c>
      <c r="I32" s="50">
        <f t="shared" si="15"/>
        <v>0</v>
      </c>
      <c r="J32" s="50"/>
      <c r="K32" s="50">
        <f t="shared" si="16"/>
        <v>0</v>
      </c>
      <c r="L32" s="50"/>
      <c r="M32" s="50">
        <f t="shared" si="17"/>
        <v>0</v>
      </c>
      <c r="N32" s="50"/>
      <c r="O32" s="50">
        <f t="shared" si="18"/>
        <v>0</v>
      </c>
      <c r="P32" s="50">
        <f t="shared" si="19"/>
        <v>0</v>
      </c>
      <c r="Q32" s="50"/>
      <c r="R32" s="50">
        <f t="shared" si="20"/>
        <v>0</v>
      </c>
      <c r="S32" s="50">
        <f t="shared" si="21"/>
        <v>0</v>
      </c>
      <c r="T32" s="50"/>
      <c r="U32" s="50">
        <f t="shared" si="22"/>
        <v>0</v>
      </c>
      <c r="V32" s="50"/>
      <c r="W32" s="50">
        <f t="shared" si="23"/>
        <v>0</v>
      </c>
      <c r="X32" s="50"/>
      <c r="Y32" s="50">
        <f t="shared" si="24"/>
        <v>0</v>
      </c>
      <c r="Z32" s="50"/>
      <c r="AA32" s="50">
        <f t="shared" si="25"/>
        <v>0</v>
      </c>
      <c r="AB32" s="50">
        <f t="shared" si="26"/>
        <v>0</v>
      </c>
      <c r="AC32" s="28" t="str">
        <f t="shared" si="27"/>
        <v>ok</v>
      </c>
    </row>
    <row r="33" spans="1:29" x14ac:dyDescent="0.25">
      <c r="A33" s="91">
        <v>359</v>
      </c>
      <c r="B33" s="14" t="s">
        <v>421</v>
      </c>
      <c r="C33" s="14" t="s">
        <v>422</v>
      </c>
      <c r="D33" s="14" t="s">
        <v>390</v>
      </c>
      <c r="F33" s="50">
        <v>0</v>
      </c>
      <c r="H33" s="50">
        <f t="shared" si="14"/>
        <v>0</v>
      </c>
      <c r="I33" s="50">
        <f t="shared" si="15"/>
        <v>0</v>
      </c>
      <c r="J33" s="50"/>
      <c r="K33" s="50">
        <f t="shared" si="16"/>
        <v>0</v>
      </c>
      <c r="L33" s="50"/>
      <c r="M33" s="50">
        <f t="shared" si="17"/>
        <v>0</v>
      </c>
      <c r="N33" s="50"/>
      <c r="O33" s="50">
        <f t="shared" si="18"/>
        <v>0</v>
      </c>
      <c r="P33" s="50">
        <f t="shared" si="19"/>
        <v>0</v>
      </c>
      <c r="Q33" s="50"/>
      <c r="R33" s="50">
        <f t="shared" si="20"/>
        <v>0</v>
      </c>
      <c r="S33" s="50">
        <f t="shared" si="21"/>
        <v>0</v>
      </c>
      <c r="T33" s="50"/>
      <c r="U33" s="50">
        <f t="shared" si="22"/>
        <v>0</v>
      </c>
      <c r="V33" s="50"/>
      <c r="W33" s="50">
        <f t="shared" si="23"/>
        <v>0</v>
      </c>
      <c r="X33" s="50"/>
      <c r="Y33" s="50">
        <f t="shared" si="24"/>
        <v>0</v>
      </c>
      <c r="Z33" s="50"/>
      <c r="AA33" s="50">
        <f t="shared" si="25"/>
        <v>0</v>
      </c>
      <c r="AB33" s="50">
        <f t="shared" si="26"/>
        <v>0</v>
      </c>
      <c r="AC33" s="28" t="str">
        <f t="shared" si="27"/>
        <v>ok</v>
      </c>
    </row>
    <row r="34" spans="1:29" x14ac:dyDescent="0.25">
      <c r="Q34" s="14"/>
      <c r="AB34" s="50"/>
      <c r="AC34" s="28"/>
    </row>
    <row r="35" spans="1:29" x14ac:dyDescent="0.25">
      <c r="B35" s="14" t="s">
        <v>357</v>
      </c>
      <c r="C35" s="14" t="s">
        <v>389</v>
      </c>
      <c r="F35" s="90">
        <f>SUM(F27:F34)</f>
        <v>0</v>
      </c>
      <c r="G35" s="90">
        <f t="shared" ref="G35:AA35" si="28">SUM(G27:G34)</f>
        <v>0</v>
      </c>
      <c r="H35" s="90">
        <f t="shared" si="28"/>
        <v>0</v>
      </c>
      <c r="I35" s="90">
        <f t="shared" si="28"/>
        <v>0</v>
      </c>
      <c r="J35" s="90"/>
      <c r="K35" s="90">
        <f t="shared" si="28"/>
        <v>0</v>
      </c>
      <c r="L35" s="90"/>
      <c r="M35" s="90">
        <f t="shared" si="28"/>
        <v>0</v>
      </c>
      <c r="N35" s="90"/>
      <c r="O35" s="90">
        <f t="shared" si="28"/>
        <v>0</v>
      </c>
      <c r="P35" s="90">
        <f t="shared" si="28"/>
        <v>0</v>
      </c>
      <c r="Q35" s="90"/>
      <c r="R35" s="90">
        <f t="shared" si="28"/>
        <v>0</v>
      </c>
      <c r="S35" s="90">
        <f t="shared" si="28"/>
        <v>0</v>
      </c>
      <c r="T35" s="90"/>
      <c r="U35" s="90">
        <f t="shared" si="28"/>
        <v>0</v>
      </c>
      <c r="V35" s="90"/>
      <c r="W35" s="90">
        <f t="shared" si="28"/>
        <v>0</v>
      </c>
      <c r="X35" s="90"/>
      <c r="Y35" s="90">
        <f t="shared" si="28"/>
        <v>0</v>
      </c>
      <c r="Z35" s="90"/>
      <c r="AA35" s="90">
        <f t="shared" si="28"/>
        <v>0</v>
      </c>
      <c r="AB35" s="50">
        <f>SUM(H35:AA35)</f>
        <v>0</v>
      </c>
      <c r="AC35" s="28" t="str">
        <f>IF(ABS(AB35-F35)&lt;1,"ok","err")</f>
        <v>ok</v>
      </c>
    </row>
    <row r="36" spans="1:29" x14ac:dyDescent="0.25">
      <c r="Q36" s="14"/>
      <c r="AC36" s="28"/>
    </row>
    <row r="37" spans="1:29" x14ac:dyDescent="0.25">
      <c r="A37" s="26" t="s">
        <v>364</v>
      </c>
      <c r="Q37" s="14"/>
      <c r="AC37" s="28"/>
    </row>
    <row r="38" spans="1:29" x14ac:dyDescent="0.25">
      <c r="Q38" s="14"/>
      <c r="AC38" s="28"/>
    </row>
    <row r="39" spans="1:29" x14ac:dyDescent="0.25">
      <c r="A39" s="26" t="s">
        <v>21</v>
      </c>
      <c r="Q39" s="14"/>
      <c r="AC39" s="28"/>
    </row>
    <row r="40" spans="1:29" x14ac:dyDescent="0.25">
      <c r="A40" s="91">
        <v>360</v>
      </c>
      <c r="B40" s="14" t="s">
        <v>17</v>
      </c>
      <c r="C40" s="14" t="s">
        <v>18</v>
      </c>
      <c r="D40" s="14" t="s">
        <v>24</v>
      </c>
      <c r="F40" s="67">
        <v>0</v>
      </c>
      <c r="H40" s="50">
        <f>IF(VLOOKUP($D40,$C$5:$AA$492,6,)=0,0,((VLOOKUP($D40,$C$5:$AA$492,6,)/VLOOKUP($D40,$C$5:$AA$492,4,))*$F63))</f>
        <v>0</v>
      </c>
      <c r="I40" s="50">
        <f>IF(VLOOKUP($D40,$C$5:$AA$492,7,)=0,0,((VLOOKUP($D40,$C$5:$AA$492,7,)/VLOOKUP($D40,$C$5:$AA$492,4,))*$F63))</f>
        <v>0</v>
      </c>
      <c r="J40" s="50"/>
      <c r="K40" s="50">
        <f>IF(VLOOKUP($D40,$C$5:$AA$492,9,)=0,0,((VLOOKUP($D40,$C$5:$AA$492,9,)/VLOOKUP($D40,$C$5:$AA$492,4,))*$F63))</f>
        <v>0</v>
      </c>
      <c r="L40" s="50"/>
      <c r="M40" s="50">
        <f t="shared" ref="M40:M52" si="29">IF(VLOOKUP($D40,$C$5:$AA$492,11,)=0,0,((VLOOKUP($D40,$C$5:$AA$492,11,)/VLOOKUP($D40,$C$5:$AA$492,4,))*$F40))</f>
        <v>0</v>
      </c>
      <c r="N40" s="50"/>
      <c r="O40" s="50">
        <f>IF(VLOOKUP($D40,$C$5:$AA$492,13,)=0,0,((VLOOKUP($D40,$C$5:$AA$492,13,)/VLOOKUP($D40,$C$5:$AA$492,4,))*$F63))</f>
        <v>0</v>
      </c>
      <c r="P40" s="50">
        <f>IF(VLOOKUP($D40,$C$5:$AA$492,14,)=0,0,((VLOOKUP($D40,$C$5:$AA$492,14,)/VLOOKUP($D40,$C$5:$AA$492,4,))*$F63))</f>
        <v>0</v>
      </c>
      <c r="Q40" s="50"/>
      <c r="R40" s="50">
        <f>IF(VLOOKUP($D40,$C$5:$AA$492,16,)=0,0,((VLOOKUP($D40,$C$5:$AA$492,16,)/VLOOKUP($D40,$C$5:$AA$492,4,))*$F63))</f>
        <v>0</v>
      </c>
      <c r="S40" s="50">
        <f>IF(VLOOKUP($D40,$C$5:$AA$492,17,)=0,0,((VLOOKUP($D40,$C$5:$AA$492,17,)/VLOOKUP($D40,$C$5:$AA$492,4,))*$F63))</f>
        <v>0</v>
      </c>
      <c r="T40" s="50"/>
      <c r="U40" s="50">
        <f>IF(VLOOKUP($D40,$C$5:$AA$492,19,)=0,0,((VLOOKUP($D40,$C$5:$AA$492,19,)/VLOOKUP($D40,$C$5:$AA$492,4,))*$F63))</f>
        <v>0</v>
      </c>
      <c r="V40" s="50"/>
      <c r="W40" s="50">
        <f>IF(VLOOKUP($D40,$C$5:$AA$492,21,)=0,0,((VLOOKUP($D40,$C$5:$AA$492,21,)/VLOOKUP($D40,$C$5:$AA$492,4,))*$F63))</f>
        <v>0</v>
      </c>
      <c r="X40" s="50"/>
      <c r="Y40" s="50">
        <f>IF(VLOOKUP($D40,$C$5:$AA$492,23,)=0,0,((VLOOKUP($D40,$C$5:$AA$492,23,)/VLOOKUP($D40,$C$5:$AA$492,4,))*$F63))</f>
        <v>0</v>
      </c>
      <c r="Z40" s="50"/>
      <c r="AA40" s="50">
        <f>IF(VLOOKUP($D40,$C$5:$AA$492,25,)=0,0,((VLOOKUP($D40,$C$5:$AA$492,25,)/VLOOKUP($D40,$C$5:$AA$492,4,))*$F63))</f>
        <v>0</v>
      </c>
      <c r="AB40" s="50">
        <f t="shared" ref="AB40:AB52" si="30">SUM(H40:AA40)</f>
        <v>0</v>
      </c>
      <c r="AC40" s="28" t="str">
        <f>IF(ABS(AB40-F40)&lt;1,"ok","err")</f>
        <v>ok</v>
      </c>
    </row>
    <row r="41" spans="1:29" x14ac:dyDescent="0.25">
      <c r="A41" s="91">
        <v>361</v>
      </c>
      <c r="B41" s="14" t="s">
        <v>53</v>
      </c>
      <c r="C41" s="14" t="s">
        <v>423</v>
      </c>
      <c r="D41" s="14" t="s">
        <v>24</v>
      </c>
      <c r="F41" s="50">
        <v>0</v>
      </c>
      <c r="H41" s="50">
        <f t="shared" ref="H41:H52" si="31">IF(VLOOKUP($D41,$C$5:$AA$492,6,)=0,0,((VLOOKUP($D41,$C$5:$AA$492,6,)/VLOOKUP($D41,$C$5:$AA$492,4,))*$F41))</f>
        <v>0</v>
      </c>
      <c r="I41" s="50">
        <f t="shared" ref="I41:I52" si="32">IF(VLOOKUP($D41,$C$5:$AA$492,7,)=0,0,((VLOOKUP($D41,$C$5:$AA$492,7,)/VLOOKUP($D41,$C$5:$AA$492,4,))*$F41))</f>
        <v>0</v>
      </c>
      <c r="J41" s="50"/>
      <c r="K41" s="50">
        <f t="shared" ref="K41:K52" si="33">IF(VLOOKUP($D41,$C$5:$AA$492,9,)=0,0,((VLOOKUP($D41,$C$5:$AA$492,9,)/VLOOKUP($D41,$C$5:$AA$492,4,))*$F41))</f>
        <v>0</v>
      </c>
      <c r="L41" s="50"/>
      <c r="M41" s="50">
        <f t="shared" si="29"/>
        <v>0</v>
      </c>
      <c r="N41" s="50"/>
      <c r="O41" s="50">
        <f t="shared" ref="O41:O52" si="34">IF(VLOOKUP($D41,$C$5:$AA$492,13,)=0,0,((VLOOKUP($D41,$C$5:$AA$492,13,)/VLOOKUP($D41,$C$5:$AA$492,4,))*$F41))</f>
        <v>0</v>
      </c>
      <c r="P41" s="50">
        <f t="shared" ref="P41:P52" si="35">IF(VLOOKUP($D41,$C$5:$AA$492,14,)=0,0,((VLOOKUP($D41,$C$5:$AA$492,14,)/VLOOKUP($D41,$C$5:$AA$492,4,))*$F41))</f>
        <v>0</v>
      </c>
      <c r="Q41" s="50"/>
      <c r="R41" s="50">
        <f t="shared" ref="R41:R52" si="36">IF(VLOOKUP($D41,$C$5:$AA$492,16,)=0,0,((VLOOKUP($D41,$C$5:$AA$492,16,)/VLOOKUP($D41,$C$5:$AA$492,4,))*$F41))</f>
        <v>0</v>
      </c>
      <c r="S41" s="50">
        <f t="shared" ref="S41:S52" si="37">IF(VLOOKUP($D41,$C$5:$AA$492,17,)=0,0,((VLOOKUP($D41,$C$5:$AA$492,17,)/VLOOKUP($D41,$C$5:$AA$492,4,))*$F41))</f>
        <v>0</v>
      </c>
      <c r="T41" s="50"/>
      <c r="U41" s="50">
        <f t="shared" ref="U41:U52" si="38">IF(VLOOKUP($D41,$C$5:$AA$492,19,)=0,0,((VLOOKUP($D41,$C$5:$AA$492,19,)/VLOOKUP($D41,$C$5:$AA$492,4,))*$F41))</f>
        <v>0</v>
      </c>
      <c r="V41" s="50"/>
      <c r="W41" s="50">
        <f t="shared" ref="W41:W52" si="39">IF(VLOOKUP($D41,$C$5:$AA$492,21,)=0,0,((VLOOKUP($D41,$C$5:$AA$492,21,)/VLOOKUP($D41,$C$5:$AA$492,4,))*$F41))</f>
        <v>0</v>
      </c>
      <c r="X41" s="50"/>
      <c r="Y41" s="50">
        <f t="shared" ref="Y41:Y52" si="40">IF(VLOOKUP($D41,$C$5:$AA$492,23,)=0,0,((VLOOKUP($D41,$C$5:$AA$492,23,)/VLOOKUP($D41,$C$5:$AA$492,4,))*$F41))</f>
        <v>0</v>
      </c>
      <c r="Z41" s="50"/>
      <c r="AA41" s="50">
        <f t="shared" ref="AA41:AA52" si="41">IF(VLOOKUP($D41,$C$5:$AA$492,25,)=0,0,((VLOOKUP($D41,$C$5:$AA$492,25,)/VLOOKUP($D41,$C$5:$AA$492,4,))*$F41))</f>
        <v>0</v>
      </c>
      <c r="AB41" s="50">
        <f t="shared" si="30"/>
        <v>0</v>
      </c>
      <c r="AC41" s="28" t="str">
        <f t="shared" ref="AC41:AC52" si="42">IF(ABS(AB41-F41)&lt;1,"ok","err")</f>
        <v>ok</v>
      </c>
    </row>
    <row r="42" spans="1:29" x14ac:dyDescent="0.25">
      <c r="A42" s="91">
        <v>362</v>
      </c>
      <c r="B42" s="14" t="s">
        <v>22</v>
      </c>
      <c r="C42" s="14" t="s">
        <v>23</v>
      </c>
      <c r="D42" s="14" t="s">
        <v>24</v>
      </c>
      <c r="F42" s="50">
        <v>922418.64</v>
      </c>
      <c r="G42" s="48"/>
      <c r="H42" s="50">
        <f t="shared" si="31"/>
        <v>0</v>
      </c>
      <c r="I42" s="50">
        <f t="shared" si="32"/>
        <v>0</v>
      </c>
      <c r="J42" s="50"/>
      <c r="K42" s="50">
        <f t="shared" si="33"/>
        <v>0</v>
      </c>
      <c r="L42" s="50"/>
      <c r="M42" s="50">
        <f t="shared" si="29"/>
        <v>922418.64</v>
      </c>
      <c r="N42" s="50"/>
      <c r="O42" s="50">
        <f t="shared" si="34"/>
        <v>0</v>
      </c>
      <c r="P42" s="50">
        <f t="shared" si="35"/>
        <v>0</v>
      </c>
      <c r="Q42" s="50"/>
      <c r="R42" s="50">
        <f t="shared" si="36"/>
        <v>0</v>
      </c>
      <c r="S42" s="50">
        <f t="shared" si="37"/>
        <v>0</v>
      </c>
      <c r="T42" s="50"/>
      <c r="U42" s="50">
        <f t="shared" si="38"/>
        <v>0</v>
      </c>
      <c r="V42" s="50"/>
      <c r="W42" s="50">
        <f t="shared" si="39"/>
        <v>0</v>
      </c>
      <c r="X42" s="50"/>
      <c r="Y42" s="50">
        <f t="shared" si="40"/>
        <v>0</v>
      </c>
      <c r="Z42" s="50"/>
      <c r="AA42" s="50">
        <f t="shared" si="41"/>
        <v>0</v>
      </c>
      <c r="AB42" s="50">
        <f t="shared" si="30"/>
        <v>922418.64</v>
      </c>
      <c r="AC42" s="28" t="str">
        <f t="shared" si="42"/>
        <v>ok</v>
      </c>
    </row>
    <row r="43" spans="1:29" x14ac:dyDescent="0.25">
      <c r="A43" s="91">
        <v>364</v>
      </c>
      <c r="B43" s="14" t="s">
        <v>25</v>
      </c>
      <c r="C43" s="14" t="s">
        <v>26</v>
      </c>
      <c r="D43" s="14" t="s">
        <v>27</v>
      </c>
      <c r="F43" s="50">
        <v>32209045</v>
      </c>
      <c r="G43" s="48"/>
      <c r="H43" s="50">
        <f t="shared" si="31"/>
        <v>0</v>
      </c>
      <c r="I43" s="50">
        <f t="shared" si="32"/>
        <v>0</v>
      </c>
      <c r="J43" s="50"/>
      <c r="K43" s="50">
        <f t="shared" si="33"/>
        <v>0</v>
      </c>
      <c r="L43" s="50"/>
      <c r="M43" s="50">
        <f t="shared" si="29"/>
        <v>0</v>
      </c>
      <c r="N43" s="50"/>
      <c r="O43" s="50">
        <f t="shared" si="34"/>
        <v>26632474.557635441</v>
      </c>
      <c r="P43" s="50">
        <f t="shared" si="35"/>
        <v>5576570.4423645595</v>
      </c>
      <c r="Q43" s="50"/>
      <c r="R43" s="50">
        <f t="shared" si="36"/>
        <v>0</v>
      </c>
      <c r="S43" s="50">
        <f t="shared" si="37"/>
        <v>0</v>
      </c>
      <c r="T43" s="50"/>
      <c r="U43" s="50">
        <f t="shared" si="38"/>
        <v>0</v>
      </c>
      <c r="V43" s="50"/>
      <c r="W43" s="50">
        <f t="shared" si="39"/>
        <v>0</v>
      </c>
      <c r="X43" s="50"/>
      <c r="Y43" s="50">
        <f t="shared" si="40"/>
        <v>0</v>
      </c>
      <c r="Z43" s="50"/>
      <c r="AA43" s="50">
        <f t="shared" si="41"/>
        <v>0</v>
      </c>
      <c r="AB43" s="50">
        <f t="shared" si="30"/>
        <v>32209045</v>
      </c>
      <c r="AC43" s="28" t="str">
        <f t="shared" si="42"/>
        <v>ok</v>
      </c>
    </row>
    <row r="44" spans="1:29" x14ac:dyDescent="0.25">
      <c r="A44" s="91">
        <v>365</v>
      </c>
      <c r="B44" s="14" t="s">
        <v>28</v>
      </c>
      <c r="C44" s="14" t="s">
        <v>29</v>
      </c>
      <c r="D44" s="14" t="s">
        <v>30</v>
      </c>
      <c r="F44" s="50">
        <v>30534127</v>
      </c>
      <c r="G44" s="48"/>
      <c r="H44" s="50">
        <f t="shared" si="31"/>
        <v>0</v>
      </c>
      <c r="I44" s="50">
        <f t="shared" si="32"/>
        <v>0</v>
      </c>
      <c r="J44" s="50"/>
      <c r="K44" s="50">
        <f t="shared" si="33"/>
        <v>0</v>
      </c>
      <c r="L44" s="50"/>
      <c r="M44" s="50">
        <f t="shared" si="29"/>
        <v>0</v>
      </c>
      <c r="N44" s="50"/>
      <c r="O44" s="50">
        <f t="shared" si="34"/>
        <v>25247546.472337484</v>
      </c>
      <c r="P44" s="50">
        <f t="shared" si="35"/>
        <v>5286580.5276625138</v>
      </c>
      <c r="Q44" s="50"/>
      <c r="R44" s="50">
        <f t="shared" si="36"/>
        <v>0</v>
      </c>
      <c r="S44" s="50">
        <f t="shared" si="37"/>
        <v>0</v>
      </c>
      <c r="T44" s="50"/>
      <c r="U44" s="50">
        <f t="shared" si="38"/>
        <v>0</v>
      </c>
      <c r="V44" s="50"/>
      <c r="W44" s="50">
        <f t="shared" si="39"/>
        <v>0</v>
      </c>
      <c r="X44" s="50"/>
      <c r="Y44" s="50">
        <f t="shared" si="40"/>
        <v>0</v>
      </c>
      <c r="Z44" s="50"/>
      <c r="AA44" s="50">
        <f t="shared" si="41"/>
        <v>0</v>
      </c>
      <c r="AB44" s="50">
        <f t="shared" si="30"/>
        <v>30534127</v>
      </c>
      <c r="AC44" s="28" t="str">
        <f t="shared" si="42"/>
        <v>ok</v>
      </c>
    </row>
    <row r="45" spans="1:29" x14ac:dyDescent="0.25">
      <c r="A45" s="91">
        <v>366</v>
      </c>
      <c r="B45" s="14" t="s">
        <v>31</v>
      </c>
      <c r="C45" s="14" t="s">
        <v>32</v>
      </c>
      <c r="D45" s="14" t="s">
        <v>33</v>
      </c>
      <c r="F45" s="50">
        <v>1076893</v>
      </c>
      <c r="G45" s="48"/>
      <c r="H45" s="50">
        <f t="shared" si="31"/>
        <v>0</v>
      </c>
      <c r="I45" s="50">
        <f t="shared" si="32"/>
        <v>0</v>
      </c>
      <c r="J45" s="50"/>
      <c r="K45" s="50">
        <f t="shared" si="33"/>
        <v>0</v>
      </c>
      <c r="L45" s="50"/>
      <c r="M45" s="50">
        <f t="shared" si="29"/>
        <v>0</v>
      </c>
      <c r="N45" s="50"/>
      <c r="O45" s="50">
        <f t="shared" si="34"/>
        <v>484139.78915325279</v>
      </c>
      <c r="P45" s="50">
        <f t="shared" si="35"/>
        <v>592753.21084674727</v>
      </c>
      <c r="Q45" s="50"/>
      <c r="R45" s="50">
        <f t="shared" si="36"/>
        <v>0</v>
      </c>
      <c r="S45" s="50">
        <f t="shared" si="37"/>
        <v>0</v>
      </c>
      <c r="T45" s="50"/>
      <c r="U45" s="50">
        <f t="shared" si="38"/>
        <v>0</v>
      </c>
      <c r="V45" s="50"/>
      <c r="W45" s="50">
        <f t="shared" si="39"/>
        <v>0</v>
      </c>
      <c r="X45" s="50"/>
      <c r="Y45" s="50">
        <f t="shared" si="40"/>
        <v>0</v>
      </c>
      <c r="Z45" s="50"/>
      <c r="AA45" s="50">
        <f t="shared" si="41"/>
        <v>0</v>
      </c>
      <c r="AB45" s="50">
        <f t="shared" si="30"/>
        <v>1076893</v>
      </c>
      <c r="AC45" s="28" t="str">
        <f t="shared" si="42"/>
        <v>ok</v>
      </c>
    </row>
    <row r="46" spans="1:29" x14ac:dyDescent="0.25">
      <c r="A46" s="91">
        <v>367</v>
      </c>
      <c r="B46" s="14" t="s">
        <v>34</v>
      </c>
      <c r="C46" s="14" t="s">
        <v>35</v>
      </c>
      <c r="D46" s="14" t="s">
        <v>33</v>
      </c>
      <c r="F46" s="50">
        <v>10971394</v>
      </c>
      <c r="G46" s="48"/>
      <c r="H46" s="50">
        <f t="shared" si="31"/>
        <v>0</v>
      </c>
      <c r="I46" s="50">
        <f t="shared" si="32"/>
        <v>0</v>
      </c>
      <c r="J46" s="50"/>
      <c r="K46" s="50">
        <f t="shared" si="33"/>
        <v>0</v>
      </c>
      <c r="L46" s="50"/>
      <c r="M46" s="50">
        <f t="shared" si="29"/>
        <v>0</v>
      </c>
      <c r="N46" s="50"/>
      <c r="O46" s="50">
        <f t="shared" si="34"/>
        <v>4932419.8206110196</v>
      </c>
      <c r="P46" s="50">
        <f t="shared" si="35"/>
        <v>6038974.1793889804</v>
      </c>
      <c r="Q46" s="50"/>
      <c r="R46" s="50">
        <f t="shared" si="36"/>
        <v>0</v>
      </c>
      <c r="S46" s="50">
        <f t="shared" si="37"/>
        <v>0</v>
      </c>
      <c r="T46" s="50"/>
      <c r="U46" s="50">
        <f t="shared" si="38"/>
        <v>0</v>
      </c>
      <c r="V46" s="50"/>
      <c r="W46" s="50">
        <f t="shared" si="39"/>
        <v>0</v>
      </c>
      <c r="X46" s="50"/>
      <c r="Y46" s="50">
        <f t="shared" si="40"/>
        <v>0</v>
      </c>
      <c r="Z46" s="50"/>
      <c r="AA46" s="50">
        <f t="shared" si="41"/>
        <v>0</v>
      </c>
      <c r="AB46" s="50">
        <f t="shared" si="30"/>
        <v>10971394</v>
      </c>
      <c r="AC46" s="28" t="str">
        <f t="shared" si="42"/>
        <v>ok</v>
      </c>
    </row>
    <row r="47" spans="1:29" x14ac:dyDescent="0.25">
      <c r="A47" s="91">
        <v>368</v>
      </c>
      <c r="B47" s="14" t="s">
        <v>36</v>
      </c>
      <c r="C47" s="14" t="s">
        <v>37</v>
      </c>
      <c r="D47" s="14" t="s">
        <v>38</v>
      </c>
      <c r="F47" s="50">
        <v>13958447</v>
      </c>
      <c r="G47" s="48"/>
      <c r="H47" s="50">
        <f t="shared" si="31"/>
        <v>0</v>
      </c>
      <c r="I47" s="50">
        <f t="shared" si="32"/>
        <v>0</v>
      </c>
      <c r="J47" s="50"/>
      <c r="K47" s="50">
        <f t="shared" si="33"/>
        <v>0</v>
      </c>
      <c r="L47" s="50"/>
      <c r="M47" s="50">
        <f t="shared" si="29"/>
        <v>0</v>
      </c>
      <c r="N47" s="50"/>
      <c r="O47" s="50">
        <f t="shared" si="34"/>
        <v>5378461.6029524347</v>
      </c>
      <c r="P47" s="50">
        <f t="shared" si="35"/>
        <v>8579985.3970475644</v>
      </c>
      <c r="Q47" s="50"/>
      <c r="R47" s="50">
        <f t="shared" si="36"/>
        <v>0</v>
      </c>
      <c r="S47" s="50">
        <f t="shared" si="37"/>
        <v>0</v>
      </c>
      <c r="T47" s="50"/>
      <c r="U47" s="50">
        <f t="shared" si="38"/>
        <v>0</v>
      </c>
      <c r="V47" s="50"/>
      <c r="W47" s="50">
        <f t="shared" si="39"/>
        <v>0</v>
      </c>
      <c r="X47" s="50"/>
      <c r="Y47" s="50">
        <f t="shared" si="40"/>
        <v>0</v>
      </c>
      <c r="Z47" s="50"/>
      <c r="AA47" s="50">
        <f t="shared" si="41"/>
        <v>0</v>
      </c>
      <c r="AB47" s="50">
        <f t="shared" si="30"/>
        <v>13958447</v>
      </c>
      <c r="AC47" s="28" t="str">
        <f t="shared" si="42"/>
        <v>ok</v>
      </c>
    </row>
    <row r="48" spans="1:29" x14ac:dyDescent="0.25">
      <c r="A48" s="91">
        <v>369</v>
      </c>
      <c r="B48" s="14" t="s">
        <v>39</v>
      </c>
      <c r="C48" s="14" t="s">
        <v>40</v>
      </c>
      <c r="D48" s="14" t="s">
        <v>41</v>
      </c>
      <c r="F48" s="50">
        <v>11492998</v>
      </c>
      <c r="G48" s="48"/>
      <c r="H48" s="50">
        <f t="shared" si="31"/>
        <v>0</v>
      </c>
      <c r="I48" s="50">
        <f t="shared" si="32"/>
        <v>0</v>
      </c>
      <c r="J48" s="50"/>
      <c r="K48" s="50">
        <f t="shared" si="33"/>
        <v>0</v>
      </c>
      <c r="L48" s="50"/>
      <c r="M48" s="50">
        <f t="shared" si="29"/>
        <v>0</v>
      </c>
      <c r="N48" s="50"/>
      <c r="O48" s="50">
        <f t="shared" si="34"/>
        <v>0</v>
      </c>
      <c r="P48" s="50">
        <f t="shared" si="35"/>
        <v>0</v>
      </c>
      <c r="Q48" s="50"/>
      <c r="R48" s="50">
        <f t="shared" si="36"/>
        <v>0</v>
      </c>
      <c r="S48" s="50">
        <f t="shared" si="37"/>
        <v>11492998</v>
      </c>
      <c r="T48" s="50"/>
      <c r="U48" s="50">
        <f t="shared" si="38"/>
        <v>0</v>
      </c>
      <c r="V48" s="50"/>
      <c r="W48" s="50">
        <f t="shared" si="39"/>
        <v>0</v>
      </c>
      <c r="X48" s="50"/>
      <c r="Y48" s="50">
        <f t="shared" si="40"/>
        <v>0</v>
      </c>
      <c r="Z48" s="50"/>
      <c r="AA48" s="50">
        <f t="shared" si="41"/>
        <v>0</v>
      </c>
      <c r="AB48" s="50">
        <f t="shared" si="30"/>
        <v>11492998</v>
      </c>
      <c r="AC48" s="28" t="str">
        <f t="shared" si="42"/>
        <v>ok</v>
      </c>
    </row>
    <row r="49" spans="1:30" x14ac:dyDescent="0.25">
      <c r="A49" s="91">
        <v>370</v>
      </c>
      <c r="B49" s="14" t="s">
        <v>42</v>
      </c>
      <c r="C49" s="14" t="s">
        <v>43</v>
      </c>
      <c r="D49" s="14" t="s">
        <v>44</v>
      </c>
      <c r="F49" s="50">
        <v>4142078</v>
      </c>
      <c r="G49" s="48"/>
      <c r="H49" s="50">
        <f t="shared" si="31"/>
        <v>0</v>
      </c>
      <c r="I49" s="50">
        <f t="shared" si="32"/>
        <v>0</v>
      </c>
      <c r="J49" s="50"/>
      <c r="K49" s="50">
        <f t="shared" si="33"/>
        <v>0</v>
      </c>
      <c r="L49" s="50"/>
      <c r="M49" s="50">
        <f t="shared" si="29"/>
        <v>0</v>
      </c>
      <c r="N49" s="50"/>
      <c r="O49" s="50">
        <f t="shared" si="34"/>
        <v>0</v>
      </c>
      <c r="P49" s="50">
        <f t="shared" si="35"/>
        <v>0</v>
      </c>
      <c r="Q49" s="50"/>
      <c r="R49" s="50">
        <f t="shared" si="36"/>
        <v>0</v>
      </c>
      <c r="S49" s="50">
        <f t="shared" si="37"/>
        <v>0</v>
      </c>
      <c r="T49" s="50"/>
      <c r="U49" s="50">
        <f t="shared" si="38"/>
        <v>4142078</v>
      </c>
      <c r="V49" s="50"/>
      <c r="W49" s="50">
        <f t="shared" si="39"/>
        <v>0</v>
      </c>
      <c r="X49" s="50"/>
      <c r="Y49" s="50">
        <f t="shared" si="40"/>
        <v>0</v>
      </c>
      <c r="Z49" s="50"/>
      <c r="AA49" s="50">
        <f t="shared" si="41"/>
        <v>0</v>
      </c>
      <c r="AB49" s="50">
        <f t="shared" si="30"/>
        <v>4142078</v>
      </c>
      <c r="AC49" s="28" t="str">
        <f t="shared" si="42"/>
        <v>ok</v>
      </c>
    </row>
    <row r="50" spans="1:30" x14ac:dyDescent="0.25">
      <c r="A50" s="91">
        <v>371</v>
      </c>
      <c r="B50" s="14" t="s">
        <v>45</v>
      </c>
      <c r="C50" s="14" t="s">
        <v>46</v>
      </c>
      <c r="D50" s="14" t="s">
        <v>545</v>
      </c>
      <c r="F50" s="50">
        <v>3245169</v>
      </c>
      <c r="G50" s="48"/>
      <c r="H50" s="50">
        <f t="shared" si="31"/>
        <v>0</v>
      </c>
      <c r="I50" s="50">
        <f t="shared" si="32"/>
        <v>0</v>
      </c>
      <c r="J50" s="50"/>
      <c r="K50" s="50">
        <f t="shared" si="33"/>
        <v>0</v>
      </c>
      <c r="L50" s="50"/>
      <c r="M50" s="50">
        <f t="shared" si="29"/>
        <v>0</v>
      </c>
      <c r="N50" s="50"/>
      <c r="O50" s="50">
        <f t="shared" si="34"/>
        <v>0</v>
      </c>
      <c r="P50" s="50">
        <f t="shared" si="35"/>
        <v>0</v>
      </c>
      <c r="Q50" s="50"/>
      <c r="R50" s="50">
        <f t="shared" si="36"/>
        <v>0</v>
      </c>
      <c r="S50" s="50">
        <f t="shared" si="37"/>
        <v>0</v>
      </c>
      <c r="T50" s="50"/>
      <c r="U50" s="50">
        <f t="shared" si="38"/>
        <v>0</v>
      </c>
      <c r="V50" s="50"/>
      <c r="W50" s="50">
        <f t="shared" si="39"/>
        <v>3245169</v>
      </c>
      <c r="X50" s="50"/>
      <c r="Y50" s="50">
        <f t="shared" si="40"/>
        <v>0</v>
      </c>
      <c r="Z50" s="50"/>
      <c r="AA50" s="50">
        <f t="shared" si="41"/>
        <v>0</v>
      </c>
      <c r="AB50" s="50">
        <f t="shared" si="30"/>
        <v>3245169</v>
      </c>
      <c r="AC50" s="28" t="str">
        <f t="shared" si="42"/>
        <v>ok</v>
      </c>
    </row>
    <row r="51" spans="1:30" x14ac:dyDescent="0.25">
      <c r="A51" s="91">
        <v>372</v>
      </c>
      <c r="B51" s="14" t="s">
        <v>573</v>
      </c>
      <c r="C51" s="14" t="s">
        <v>574</v>
      </c>
      <c r="D51" s="14" t="s">
        <v>545</v>
      </c>
      <c r="F51" s="50">
        <v>0</v>
      </c>
      <c r="G51" s="48"/>
      <c r="H51" s="50">
        <f t="shared" si="31"/>
        <v>0</v>
      </c>
      <c r="I51" s="50">
        <f t="shared" si="32"/>
        <v>0</v>
      </c>
      <c r="J51" s="50"/>
      <c r="K51" s="50">
        <f t="shared" si="33"/>
        <v>0</v>
      </c>
      <c r="L51" s="50"/>
      <c r="M51" s="50">
        <f t="shared" si="29"/>
        <v>0</v>
      </c>
      <c r="N51" s="50"/>
      <c r="O51" s="50">
        <f t="shared" si="34"/>
        <v>0</v>
      </c>
      <c r="P51" s="50">
        <f t="shared" si="35"/>
        <v>0</v>
      </c>
      <c r="Q51" s="50"/>
      <c r="R51" s="50">
        <f t="shared" si="36"/>
        <v>0</v>
      </c>
      <c r="S51" s="50">
        <f t="shared" si="37"/>
        <v>0</v>
      </c>
      <c r="T51" s="50"/>
      <c r="U51" s="50">
        <f t="shared" si="38"/>
        <v>0</v>
      </c>
      <c r="V51" s="50"/>
      <c r="W51" s="50">
        <f t="shared" si="39"/>
        <v>0</v>
      </c>
      <c r="X51" s="50"/>
      <c r="Y51" s="50">
        <f t="shared" si="40"/>
        <v>0</v>
      </c>
      <c r="Z51" s="50"/>
      <c r="AA51" s="50">
        <f t="shared" si="41"/>
        <v>0</v>
      </c>
      <c r="AB51" s="50">
        <f t="shared" si="30"/>
        <v>0</v>
      </c>
      <c r="AC51" s="28" t="str">
        <f t="shared" si="42"/>
        <v>ok</v>
      </c>
    </row>
    <row r="52" spans="1:30" x14ac:dyDescent="0.25">
      <c r="A52" s="91">
        <v>373</v>
      </c>
      <c r="B52" s="14" t="s">
        <v>47</v>
      </c>
      <c r="C52" s="14" t="s">
        <v>48</v>
      </c>
      <c r="D52" s="14" t="s">
        <v>49</v>
      </c>
      <c r="F52" s="50">
        <v>197136</v>
      </c>
      <c r="H52" s="50">
        <f t="shared" si="31"/>
        <v>0</v>
      </c>
      <c r="I52" s="50">
        <f t="shared" si="32"/>
        <v>0</v>
      </c>
      <c r="J52" s="50"/>
      <c r="K52" s="50">
        <f t="shared" si="33"/>
        <v>0</v>
      </c>
      <c r="L52" s="50"/>
      <c r="M52" s="50">
        <f t="shared" si="29"/>
        <v>0</v>
      </c>
      <c r="N52" s="50"/>
      <c r="O52" s="50">
        <f t="shared" si="34"/>
        <v>0</v>
      </c>
      <c r="P52" s="50">
        <f t="shared" si="35"/>
        <v>0</v>
      </c>
      <c r="Q52" s="50"/>
      <c r="R52" s="50">
        <f t="shared" si="36"/>
        <v>0</v>
      </c>
      <c r="S52" s="50">
        <f t="shared" si="37"/>
        <v>0</v>
      </c>
      <c r="T52" s="50"/>
      <c r="U52" s="50">
        <f t="shared" si="38"/>
        <v>0</v>
      </c>
      <c r="V52" s="50"/>
      <c r="W52" s="50">
        <f t="shared" si="39"/>
        <v>197136</v>
      </c>
      <c r="X52" s="50"/>
      <c r="Y52" s="50">
        <f t="shared" si="40"/>
        <v>0</v>
      </c>
      <c r="Z52" s="50"/>
      <c r="AA52" s="50">
        <f t="shared" si="41"/>
        <v>0</v>
      </c>
      <c r="AB52" s="50">
        <f t="shared" si="30"/>
        <v>197136</v>
      </c>
      <c r="AC52" s="28" t="str">
        <f t="shared" si="42"/>
        <v>ok</v>
      </c>
    </row>
    <row r="53" spans="1:30" x14ac:dyDescent="0.25">
      <c r="A53" s="91"/>
      <c r="F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28"/>
    </row>
    <row r="54" spans="1:30" x14ac:dyDescent="0.25">
      <c r="B54" s="14" t="s">
        <v>50</v>
      </c>
      <c r="C54" s="14" t="s">
        <v>16</v>
      </c>
      <c r="F54" s="67">
        <f>SUM(F40:F53)</f>
        <v>108749705.64</v>
      </c>
      <c r="G54" s="35">
        <f>SUM(G42:G52)</f>
        <v>0</v>
      </c>
      <c r="H54" s="67">
        <f>SUM(H40:H53)</f>
        <v>0</v>
      </c>
      <c r="I54" s="67">
        <f>SUM(I40:I53)</f>
        <v>0</v>
      </c>
      <c r="J54" s="67"/>
      <c r="K54" s="67"/>
      <c r="L54" s="67">
        <f>SUM(L40:L53)</f>
        <v>0</v>
      </c>
      <c r="M54" s="67">
        <f>SUM(M40:M53)</f>
        <v>922418.64</v>
      </c>
      <c r="N54" s="67"/>
      <c r="O54" s="67">
        <f>SUM(O40:O53)</f>
        <v>62675042.242689639</v>
      </c>
      <c r="P54" s="67">
        <f>SUM(P40:P53)</f>
        <v>26074863.757310368</v>
      </c>
      <c r="Q54" s="67"/>
      <c r="R54" s="67">
        <f>SUM(R40:R52)</f>
        <v>0</v>
      </c>
      <c r="S54" s="67">
        <f>SUM(S40:S52)</f>
        <v>11492998</v>
      </c>
      <c r="T54" s="67"/>
      <c r="U54" s="67">
        <f>SUM(U40:U52)</f>
        <v>4142078</v>
      </c>
      <c r="V54" s="67"/>
      <c r="W54" s="67">
        <f>SUM(W40:W52)</f>
        <v>3442305</v>
      </c>
      <c r="X54" s="67"/>
      <c r="Y54" s="67">
        <f>SUM(Y40:Y52)</f>
        <v>0</v>
      </c>
      <c r="Z54" s="67"/>
      <c r="AA54" s="67">
        <f>SUM(AA40:AA52)</f>
        <v>0</v>
      </c>
      <c r="AB54" s="50">
        <f>SUM(H54:AA54)</f>
        <v>108749705.64000002</v>
      </c>
      <c r="AC54" s="28" t="str">
        <f>IF(ABS(AB54-F54)&lt;1,"ok","err")</f>
        <v>ok</v>
      </c>
      <c r="AD54" s="35"/>
    </row>
    <row r="55" spans="1:30" x14ac:dyDescent="0.25">
      <c r="Q55" s="14"/>
      <c r="AC55" s="28"/>
      <c r="AD55" s="35"/>
    </row>
    <row r="56" spans="1:30" x14ac:dyDescent="0.25">
      <c r="B56" s="14" t="s">
        <v>750</v>
      </c>
      <c r="C56" s="14" t="s">
        <v>391</v>
      </c>
      <c r="F56" s="90">
        <f t="shared" ref="F56:M56" si="43">F35+F54</f>
        <v>108749705.64</v>
      </c>
      <c r="G56" s="90">
        <f t="shared" si="43"/>
        <v>0</v>
      </c>
      <c r="H56" s="90">
        <f t="shared" si="43"/>
        <v>0</v>
      </c>
      <c r="I56" s="90">
        <f t="shared" si="43"/>
        <v>0</v>
      </c>
      <c r="J56" s="90">
        <f t="shared" si="43"/>
        <v>0</v>
      </c>
      <c r="K56" s="90">
        <f t="shared" si="43"/>
        <v>0</v>
      </c>
      <c r="L56" s="90">
        <f t="shared" si="43"/>
        <v>0</v>
      </c>
      <c r="M56" s="90">
        <f t="shared" si="43"/>
        <v>922418.64</v>
      </c>
      <c r="N56" s="90"/>
      <c r="O56" s="90">
        <f t="shared" ref="O56:AA56" si="44">O35+O54</f>
        <v>62675042.242689639</v>
      </c>
      <c r="P56" s="90">
        <f t="shared" si="44"/>
        <v>26074863.757310368</v>
      </c>
      <c r="Q56" s="90">
        <f t="shared" si="44"/>
        <v>0</v>
      </c>
      <c r="R56" s="90">
        <f t="shared" si="44"/>
        <v>0</v>
      </c>
      <c r="S56" s="90">
        <f t="shared" si="44"/>
        <v>11492998</v>
      </c>
      <c r="T56" s="90">
        <f t="shared" si="44"/>
        <v>0</v>
      </c>
      <c r="U56" s="90">
        <f t="shared" si="44"/>
        <v>4142078</v>
      </c>
      <c r="V56" s="90">
        <f t="shared" si="44"/>
        <v>0</v>
      </c>
      <c r="W56" s="90">
        <f t="shared" si="44"/>
        <v>3442305</v>
      </c>
      <c r="X56" s="90">
        <f t="shared" si="44"/>
        <v>0</v>
      </c>
      <c r="Y56" s="90">
        <f t="shared" si="44"/>
        <v>0</v>
      </c>
      <c r="Z56" s="90">
        <f t="shared" si="44"/>
        <v>0</v>
      </c>
      <c r="AA56" s="90">
        <f t="shared" si="44"/>
        <v>0</v>
      </c>
      <c r="AB56" s="50">
        <f>SUM(H56:AA56)</f>
        <v>108749705.64000002</v>
      </c>
      <c r="AC56" s="28" t="str">
        <f>IF(ABS(AB56-F56)&lt;1,"ok","err")</f>
        <v>ok</v>
      </c>
      <c r="AD56" s="35"/>
    </row>
    <row r="57" spans="1:30" x14ac:dyDescent="0.25">
      <c r="Q57" s="14"/>
      <c r="AC57" s="28"/>
    </row>
    <row r="58" spans="1:30" x14ac:dyDescent="0.25">
      <c r="B58" s="14" t="s">
        <v>783</v>
      </c>
      <c r="C58" s="14" t="s">
        <v>784</v>
      </c>
      <c r="F58" s="90">
        <f>F56+F24</f>
        <v>108749705.64</v>
      </c>
      <c r="H58" s="90">
        <f t="shared" ref="H58:Y58" si="45">H56+H24</f>
        <v>0</v>
      </c>
      <c r="I58" s="90">
        <f t="shared" si="45"/>
        <v>0</v>
      </c>
      <c r="J58" s="90">
        <f t="shared" si="45"/>
        <v>0</v>
      </c>
      <c r="K58" s="90">
        <f t="shared" si="45"/>
        <v>0</v>
      </c>
      <c r="L58" s="90">
        <f t="shared" si="45"/>
        <v>0</v>
      </c>
      <c r="M58" s="90">
        <f t="shared" si="45"/>
        <v>922418.64</v>
      </c>
      <c r="N58" s="90"/>
      <c r="O58" s="90">
        <f t="shared" si="45"/>
        <v>62675042.242689639</v>
      </c>
      <c r="P58" s="90">
        <f t="shared" si="45"/>
        <v>26074863.757310368</v>
      </c>
      <c r="Q58" s="90">
        <f t="shared" si="45"/>
        <v>0</v>
      </c>
      <c r="R58" s="90">
        <f t="shared" si="45"/>
        <v>0</v>
      </c>
      <c r="S58" s="90">
        <f t="shared" si="45"/>
        <v>11492998</v>
      </c>
      <c r="T58" s="90">
        <f t="shared" si="45"/>
        <v>0</v>
      </c>
      <c r="U58" s="90">
        <f t="shared" si="45"/>
        <v>4142078</v>
      </c>
      <c r="V58" s="90">
        <f t="shared" si="45"/>
        <v>0</v>
      </c>
      <c r="W58" s="90">
        <f t="shared" si="45"/>
        <v>3442305</v>
      </c>
      <c r="X58" s="90">
        <f t="shared" si="45"/>
        <v>0</v>
      </c>
      <c r="Y58" s="90">
        <f t="shared" si="45"/>
        <v>0</v>
      </c>
      <c r="AA58" s="90">
        <f>AA56+AA24</f>
        <v>0</v>
      </c>
      <c r="AB58" s="50">
        <f>SUM(H58:AA58)</f>
        <v>108749705.64000002</v>
      </c>
      <c r="AC58" s="28" t="str">
        <f>IF(ABS(AB58-F58)&lt;1,"ok","err")</f>
        <v>ok</v>
      </c>
    </row>
    <row r="59" spans="1:30" x14ac:dyDescent="0.25">
      <c r="Q59" s="14"/>
      <c r="AC59" s="28"/>
    </row>
    <row r="60" spans="1:30" x14ac:dyDescent="0.25">
      <c r="A60" s="26" t="s">
        <v>364</v>
      </c>
      <c r="Q60" s="14"/>
      <c r="AC60" s="28"/>
    </row>
    <row r="61" spans="1:30" x14ac:dyDescent="0.25">
      <c r="Q61" s="14"/>
      <c r="AC61" s="28"/>
    </row>
    <row r="62" spans="1:30" x14ac:dyDescent="0.25">
      <c r="A62" s="26" t="s">
        <v>51</v>
      </c>
      <c r="Q62" s="14"/>
      <c r="AC62" s="28"/>
    </row>
    <row r="63" spans="1:30" x14ac:dyDescent="0.25">
      <c r="A63" s="91">
        <v>389</v>
      </c>
      <c r="B63" s="14" t="s">
        <v>17</v>
      </c>
      <c r="C63" s="14" t="s">
        <v>52</v>
      </c>
      <c r="D63" s="14" t="s">
        <v>391</v>
      </c>
      <c r="F63" s="67">
        <v>22085</v>
      </c>
      <c r="H63" s="50">
        <f t="shared" ref="H63:H73" si="46">IF(VLOOKUP($D63,$C$5:$AA$492,6,)=0,0,((VLOOKUP($D63,$C$5:$AA$492,6,)/VLOOKUP($D63,$C$5:$AA$492,4,))*$F63))</f>
        <v>0</v>
      </c>
      <c r="I63" s="50">
        <f t="shared" ref="I63:I73" si="47">IF(VLOOKUP($D63,$C$5:$AA$492,7,)=0,0,((VLOOKUP($D63,$C$5:$AA$492,7,)/VLOOKUP($D63,$C$5:$AA$492,4,))*$F63))</f>
        <v>0</v>
      </c>
      <c r="J63" s="50"/>
      <c r="K63" s="50">
        <f t="shared" ref="K63:K73" si="48">IF(VLOOKUP($D63,$C$5:$AA$492,9,)=0,0,((VLOOKUP($D63,$C$5:$AA$492,9,)/VLOOKUP($D63,$C$5:$AA$492,4,))*$F63))</f>
        <v>0</v>
      </c>
      <c r="L63" s="50"/>
      <c r="M63" s="50">
        <f t="shared" ref="M63:M73" si="49">IF(VLOOKUP($D63,$C$5:$AA$492,11,)=0,0,((VLOOKUP($D63,$C$5:$AA$492,11,)/VLOOKUP($D63,$C$5:$AA$492,4,))*$F63))</f>
        <v>187.32570855720067</v>
      </c>
      <c r="N63" s="50"/>
      <c r="O63" s="50">
        <f t="shared" ref="O63:O73" si="50">IF(VLOOKUP($D63,$C$5:$AA$492,13,)=0,0,((VLOOKUP($D63,$C$5:$AA$492,13,)/VLOOKUP($D63,$C$5:$AA$492,4,))*$F63))</f>
        <v>12728.110846680549</v>
      </c>
      <c r="P63" s="50">
        <f t="shared" ref="P63:P73" si="51">IF(VLOOKUP($D63,$C$5:$AA$492,14,)=0,0,((VLOOKUP($D63,$C$5:$AA$492,14,)/VLOOKUP($D63,$C$5:$AA$492,4,))*$F63))</f>
        <v>5295.30965340275</v>
      </c>
      <c r="Q63" s="50"/>
      <c r="R63" s="50">
        <f t="shared" ref="R63:R73" si="52">IF(VLOOKUP($D63,$C$5:$AA$492,16,)=0,0,((VLOOKUP($D63,$C$5:$AA$492,16,)/VLOOKUP($D63,$C$5:$AA$492,4,))*$F63))</f>
        <v>0</v>
      </c>
      <c r="S63" s="50">
        <f t="shared" ref="S63:S73" si="53">IF(VLOOKUP($D63,$C$5:$AA$492,17,)=0,0,((VLOOKUP($D63,$C$5:$AA$492,17,)/VLOOKUP($D63,$C$5:$AA$492,4,))*$F63))</f>
        <v>2334.0096355777137</v>
      </c>
      <c r="T63" s="50"/>
      <c r="U63" s="50">
        <f t="shared" ref="U63:U73" si="54">IF(VLOOKUP($D63,$C$5:$AA$492,19,)=0,0,((VLOOKUP($D63,$C$5:$AA$492,19,)/VLOOKUP($D63,$C$5:$AA$492,4,))*$F63))</f>
        <v>841.17738150780701</v>
      </c>
      <c r="V63" s="50"/>
      <c r="W63" s="50">
        <f t="shared" ref="W63:W73" si="55">IF(VLOOKUP($D63,$C$5:$AA$492,21,)=0,0,((VLOOKUP($D63,$C$5:$AA$492,21,)/VLOOKUP($D63,$C$5:$AA$492,4,))*$F63))</f>
        <v>699.06677427398324</v>
      </c>
      <c r="X63" s="50"/>
      <c r="Y63" s="50">
        <f t="shared" ref="Y63:Y73" si="56">IF(VLOOKUP($D63,$C$5:$AA$492,23,)=0,0,((VLOOKUP($D63,$C$5:$AA$492,23,)/VLOOKUP($D63,$C$5:$AA$492,4,))*$F63))</f>
        <v>0</v>
      </c>
      <c r="Z63" s="50"/>
      <c r="AA63" s="50">
        <f t="shared" ref="AA63:AA73" si="57">IF(VLOOKUP($D63,$C$5:$AA$492,25,)=0,0,((VLOOKUP($D63,$C$5:$AA$492,25,)/VLOOKUP($D63,$C$5:$AA$492,4,))*$F63))</f>
        <v>0</v>
      </c>
      <c r="AB63" s="50">
        <f>SUM(H63:AA63)</f>
        <v>22085.000000000004</v>
      </c>
      <c r="AC63" s="28" t="str">
        <f>IF(ABS(AB63-F63)&lt;1,"ok","err")</f>
        <v>ok</v>
      </c>
    </row>
    <row r="64" spans="1:30" x14ac:dyDescent="0.25">
      <c r="A64" s="91">
        <v>390</v>
      </c>
      <c r="B64" s="14" t="s">
        <v>53</v>
      </c>
      <c r="C64" s="14" t="s">
        <v>54</v>
      </c>
      <c r="D64" s="14" t="s">
        <v>391</v>
      </c>
      <c r="F64" s="50">
        <v>1532139</v>
      </c>
      <c r="H64" s="50">
        <f t="shared" si="46"/>
        <v>0</v>
      </c>
      <c r="I64" s="50">
        <f t="shared" si="47"/>
        <v>0</v>
      </c>
      <c r="J64" s="50"/>
      <c r="K64" s="50">
        <f t="shared" si="48"/>
        <v>0</v>
      </c>
      <c r="L64" s="50"/>
      <c r="M64" s="50">
        <f t="shared" si="49"/>
        <v>12995.654235142443</v>
      </c>
      <c r="N64" s="50"/>
      <c r="O64" s="50">
        <f t="shared" si="50"/>
        <v>883008.15143863659</v>
      </c>
      <c r="P64" s="50">
        <f t="shared" si="51"/>
        <v>367360.21901991556</v>
      </c>
      <c r="Q64" s="50"/>
      <c r="R64" s="50">
        <f t="shared" si="52"/>
        <v>0</v>
      </c>
      <c r="S64" s="50">
        <f t="shared" si="53"/>
        <v>161921.08621437184</v>
      </c>
      <c r="T64" s="50"/>
      <c r="U64" s="50">
        <f t="shared" si="54"/>
        <v>58356.38089771293</v>
      </c>
      <c r="V64" s="50"/>
      <c r="W64" s="50">
        <f t="shared" si="55"/>
        <v>48497.508194220805</v>
      </c>
      <c r="X64" s="50"/>
      <c r="Y64" s="50">
        <f t="shared" si="56"/>
        <v>0</v>
      </c>
      <c r="Z64" s="50"/>
      <c r="AA64" s="50">
        <f t="shared" si="57"/>
        <v>0</v>
      </c>
      <c r="AB64" s="50">
        <f t="shared" ref="AB64:AB73" si="58">SUM(H64:AA64)</f>
        <v>1532139</v>
      </c>
      <c r="AC64" s="28" t="str">
        <f t="shared" ref="AC64:AC73" si="59">IF(ABS(AB64-F64)&lt;1,"ok","err")</f>
        <v>ok</v>
      </c>
    </row>
    <row r="65" spans="1:29" x14ac:dyDescent="0.25">
      <c r="A65" s="91">
        <v>391</v>
      </c>
      <c r="B65" s="14" t="s">
        <v>55</v>
      </c>
      <c r="C65" s="14" t="s">
        <v>56</v>
      </c>
      <c r="D65" s="14" t="s">
        <v>391</v>
      </c>
      <c r="F65" s="50">
        <v>419911</v>
      </c>
      <c r="H65" s="50">
        <f t="shared" si="46"/>
        <v>0</v>
      </c>
      <c r="I65" s="50">
        <f t="shared" si="47"/>
        <v>0</v>
      </c>
      <c r="J65" s="50"/>
      <c r="K65" s="50">
        <f t="shared" si="48"/>
        <v>0</v>
      </c>
      <c r="L65" s="50"/>
      <c r="M65" s="50">
        <f t="shared" si="49"/>
        <v>3561.6991444855189</v>
      </c>
      <c r="N65" s="50"/>
      <c r="O65" s="50">
        <f t="shared" si="50"/>
        <v>242004.69792802696</v>
      </c>
      <c r="P65" s="50">
        <f t="shared" si="51"/>
        <v>100681.85518994802</v>
      </c>
      <c r="Q65" s="50"/>
      <c r="R65" s="50">
        <f t="shared" si="52"/>
        <v>0</v>
      </c>
      <c r="S65" s="50">
        <f t="shared" si="53"/>
        <v>44377.465251757902</v>
      </c>
      <c r="T65" s="50"/>
      <c r="U65" s="50">
        <f t="shared" si="54"/>
        <v>15993.644348939315</v>
      </c>
      <c r="V65" s="50"/>
      <c r="W65" s="50">
        <f t="shared" si="55"/>
        <v>13291.638136842317</v>
      </c>
      <c r="X65" s="50"/>
      <c r="Y65" s="50">
        <f t="shared" si="56"/>
        <v>0</v>
      </c>
      <c r="Z65" s="50"/>
      <c r="AA65" s="50">
        <f t="shared" si="57"/>
        <v>0</v>
      </c>
      <c r="AB65" s="50">
        <f t="shared" si="58"/>
        <v>419911</v>
      </c>
      <c r="AC65" s="28" t="str">
        <f t="shared" si="59"/>
        <v>ok</v>
      </c>
    </row>
    <row r="66" spans="1:29" x14ac:dyDescent="0.25">
      <c r="A66" s="91">
        <v>392</v>
      </c>
      <c r="B66" s="14" t="s">
        <v>57</v>
      </c>
      <c r="C66" s="14" t="s">
        <v>58</v>
      </c>
      <c r="D66" s="14" t="s">
        <v>391</v>
      </c>
      <c r="F66" s="50">
        <v>2184877</v>
      </c>
      <c r="H66" s="50">
        <f t="shared" si="46"/>
        <v>0</v>
      </c>
      <c r="I66" s="50">
        <f t="shared" si="47"/>
        <v>0</v>
      </c>
      <c r="J66" s="50"/>
      <c r="K66" s="50">
        <f t="shared" si="48"/>
        <v>0</v>
      </c>
      <c r="L66" s="50"/>
      <c r="M66" s="50">
        <f t="shared" si="49"/>
        <v>18532.199779729723</v>
      </c>
      <c r="N66" s="50"/>
      <c r="O66" s="50">
        <f t="shared" si="50"/>
        <v>1259196.5878362171</v>
      </c>
      <c r="P66" s="50">
        <f t="shared" si="51"/>
        <v>523866.89017874753</v>
      </c>
      <c r="Q66" s="50"/>
      <c r="R66" s="50">
        <f t="shared" si="52"/>
        <v>0</v>
      </c>
      <c r="S66" s="50">
        <f t="shared" si="53"/>
        <v>230904.41342776219</v>
      </c>
      <c r="T66" s="50"/>
      <c r="U66" s="50">
        <f t="shared" si="54"/>
        <v>83217.981153571789</v>
      </c>
      <c r="V66" s="50"/>
      <c r="W66" s="50">
        <f t="shared" si="55"/>
        <v>69158.927623971831</v>
      </c>
      <c r="X66" s="50"/>
      <c r="Y66" s="50">
        <f t="shared" si="56"/>
        <v>0</v>
      </c>
      <c r="Z66" s="50"/>
      <c r="AA66" s="50">
        <f t="shared" si="57"/>
        <v>0</v>
      </c>
      <c r="AB66" s="50">
        <f t="shared" si="58"/>
        <v>2184877.0000000005</v>
      </c>
      <c r="AC66" s="28" t="str">
        <f t="shared" si="59"/>
        <v>ok</v>
      </c>
    </row>
    <row r="67" spans="1:29" x14ac:dyDescent="0.25">
      <c r="A67" s="91">
        <v>393</v>
      </c>
      <c r="B67" s="14" t="s">
        <v>59</v>
      </c>
      <c r="C67" s="14" t="s">
        <v>60</v>
      </c>
      <c r="D67" s="14" t="s">
        <v>391</v>
      </c>
      <c r="F67" s="50">
        <v>20403</v>
      </c>
      <c r="H67" s="50">
        <f t="shared" si="46"/>
        <v>0</v>
      </c>
      <c r="I67" s="50">
        <f t="shared" si="47"/>
        <v>0</v>
      </c>
      <c r="J67" s="50"/>
      <c r="K67" s="50">
        <f t="shared" si="48"/>
        <v>0</v>
      </c>
      <c r="L67" s="50"/>
      <c r="M67" s="50">
        <f t="shared" si="49"/>
        <v>173.05892830847023</v>
      </c>
      <c r="N67" s="50"/>
      <c r="O67" s="50">
        <f t="shared" si="50"/>
        <v>11758.734236125118</v>
      </c>
      <c r="P67" s="50">
        <f t="shared" si="51"/>
        <v>4892.0173356747255</v>
      </c>
      <c r="Q67" s="50"/>
      <c r="R67" s="50">
        <f t="shared" si="52"/>
        <v>0</v>
      </c>
      <c r="S67" s="50">
        <f t="shared" si="53"/>
        <v>2156.2507853607467</v>
      </c>
      <c r="T67" s="50"/>
      <c r="U67" s="50">
        <f t="shared" si="54"/>
        <v>777.11306836784183</v>
      </c>
      <c r="V67" s="50"/>
      <c r="W67" s="50">
        <f t="shared" si="55"/>
        <v>645.82564616310083</v>
      </c>
      <c r="X67" s="50"/>
      <c r="Y67" s="50">
        <f t="shared" si="56"/>
        <v>0</v>
      </c>
      <c r="Z67" s="50"/>
      <c r="AA67" s="50">
        <f t="shared" si="57"/>
        <v>0</v>
      </c>
      <c r="AB67" s="50">
        <f t="shared" si="58"/>
        <v>20403</v>
      </c>
      <c r="AC67" s="28" t="str">
        <f t="shared" si="59"/>
        <v>ok</v>
      </c>
    </row>
    <row r="68" spans="1:29" x14ac:dyDescent="0.25">
      <c r="A68" s="91">
        <v>394</v>
      </c>
      <c r="B68" s="14" t="s">
        <v>61</v>
      </c>
      <c r="C68" s="14" t="s">
        <v>62</v>
      </c>
      <c r="D68" s="14" t="s">
        <v>391</v>
      </c>
      <c r="F68" s="50">
        <v>83232</v>
      </c>
      <c r="H68" s="50">
        <f t="shared" si="46"/>
        <v>0</v>
      </c>
      <c r="I68" s="50">
        <f t="shared" si="47"/>
        <v>0</v>
      </c>
      <c r="J68" s="50"/>
      <c r="K68" s="50">
        <f t="shared" si="48"/>
        <v>0</v>
      </c>
      <c r="L68" s="50"/>
      <c r="M68" s="50">
        <f t="shared" si="49"/>
        <v>705.97660740923368</v>
      </c>
      <c r="N68" s="50"/>
      <c r="O68" s="50">
        <f t="shared" si="50"/>
        <v>47968.581480231624</v>
      </c>
      <c r="P68" s="50">
        <f t="shared" si="51"/>
        <v>19956.495950736593</v>
      </c>
      <c r="Q68" s="50"/>
      <c r="R68" s="50">
        <f t="shared" si="52"/>
        <v>0</v>
      </c>
      <c r="S68" s="50">
        <f t="shared" si="53"/>
        <v>8796.2096440300775</v>
      </c>
      <c r="T68" s="50"/>
      <c r="U68" s="50">
        <f t="shared" si="54"/>
        <v>3170.1551196584919</v>
      </c>
      <c r="V68" s="50"/>
      <c r="W68" s="50">
        <f t="shared" si="55"/>
        <v>2634.5811979339901</v>
      </c>
      <c r="X68" s="50"/>
      <c r="Y68" s="50">
        <f t="shared" si="56"/>
        <v>0</v>
      </c>
      <c r="Z68" s="50"/>
      <c r="AA68" s="50">
        <f t="shared" si="57"/>
        <v>0</v>
      </c>
      <c r="AB68" s="50">
        <f t="shared" si="58"/>
        <v>83232.000000000015</v>
      </c>
      <c r="AC68" s="28" t="str">
        <f t="shared" si="59"/>
        <v>ok</v>
      </c>
    </row>
    <row r="69" spans="1:29" x14ac:dyDescent="0.25">
      <c r="A69" s="91">
        <v>395</v>
      </c>
      <c r="B69" s="14" t="s">
        <v>63</v>
      </c>
      <c r="C69" s="14" t="s">
        <v>64</v>
      </c>
      <c r="D69" s="14" t="s">
        <v>391</v>
      </c>
      <c r="F69" s="50">
        <v>58276</v>
      </c>
      <c r="H69" s="50">
        <f t="shared" si="46"/>
        <v>0</v>
      </c>
      <c r="I69" s="50">
        <f t="shared" si="47"/>
        <v>0</v>
      </c>
      <c r="J69" s="50"/>
      <c r="K69" s="50">
        <f t="shared" si="48"/>
        <v>0</v>
      </c>
      <c r="L69" s="50"/>
      <c r="M69" s="50">
        <f t="shared" si="49"/>
        <v>494.29898084126899</v>
      </c>
      <c r="N69" s="50"/>
      <c r="O69" s="50">
        <f t="shared" si="50"/>
        <v>33585.845039671978</v>
      </c>
      <c r="P69" s="50">
        <f t="shared" si="51"/>
        <v>13972.808030867043</v>
      </c>
      <c r="Q69" s="50"/>
      <c r="R69" s="50">
        <f t="shared" si="52"/>
        <v>0</v>
      </c>
      <c r="S69" s="50">
        <f t="shared" si="53"/>
        <v>6158.7840399785746</v>
      </c>
      <c r="T69" s="50"/>
      <c r="U69" s="50">
        <f t="shared" si="54"/>
        <v>2219.6265829635031</v>
      </c>
      <c r="V69" s="50"/>
      <c r="W69" s="50">
        <f t="shared" si="55"/>
        <v>1844.6373256776387</v>
      </c>
      <c r="X69" s="50"/>
      <c r="Y69" s="50">
        <f t="shared" si="56"/>
        <v>0</v>
      </c>
      <c r="Z69" s="50"/>
      <c r="AA69" s="50">
        <f t="shared" si="57"/>
        <v>0</v>
      </c>
      <c r="AB69" s="50">
        <f t="shared" si="58"/>
        <v>58276</v>
      </c>
      <c r="AC69" s="28" t="str">
        <f t="shared" si="59"/>
        <v>ok</v>
      </c>
    </row>
    <row r="70" spans="1:29" x14ac:dyDescent="0.25">
      <c r="A70" s="91">
        <v>396</v>
      </c>
      <c r="B70" s="14" t="s">
        <v>65</v>
      </c>
      <c r="C70" s="14" t="s">
        <v>66</v>
      </c>
      <c r="D70" s="14" t="s">
        <v>391</v>
      </c>
      <c r="F70" s="50">
        <v>151727</v>
      </c>
      <c r="H70" s="50">
        <f t="shared" si="46"/>
        <v>0</v>
      </c>
      <c r="I70" s="50">
        <f t="shared" si="47"/>
        <v>0</v>
      </c>
      <c r="J70" s="50"/>
      <c r="K70" s="50">
        <f t="shared" si="48"/>
        <v>0</v>
      </c>
      <c r="L70" s="50"/>
      <c r="M70" s="50">
        <f t="shared" si="49"/>
        <v>1286.9534879899654</v>
      </c>
      <c r="N70" s="50"/>
      <c r="O70" s="50">
        <f t="shared" si="50"/>
        <v>87443.87930424721</v>
      </c>
      <c r="P70" s="50">
        <f t="shared" si="51"/>
        <v>36379.508615885854</v>
      </c>
      <c r="Q70" s="50"/>
      <c r="R70" s="50">
        <f t="shared" si="52"/>
        <v>0</v>
      </c>
      <c r="S70" s="50">
        <f t="shared" si="53"/>
        <v>16034.968529649072</v>
      </c>
      <c r="T70" s="50"/>
      <c r="U70" s="50">
        <f t="shared" si="54"/>
        <v>5779.0047798974438</v>
      </c>
      <c r="V70" s="50"/>
      <c r="W70" s="50">
        <f t="shared" si="55"/>
        <v>4802.6852823304807</v>
      </c>
      <c r="X70" s="50"/>
      <c r="Y70" s="50">
        <f t="shared" si="56"/>
        <v>0</v>
      </c>
      <c r="Z70" s="50"/>
      <c r="AA70" s="50">
        <f t="shared" si="57"/>
        <v>0</v>
      </c>
      <c r="AB70" s="50">
        <f t="shared" si="58"/>
        <v>151727.00000000006</v>
      </c>
      <c r="AC70" s="28" t="str">
        <f t="shared" si="59"/>
        <v>ok</v>
      </c>
    </row>
    <row r="71" spans="1:29" x14ac:dyDescent="0.25">
      <c r="A71" s="91">
        <v>397</v>
      </c>
      <c r="B71" s="14" t="s">
        <v>67</v>
      </c>
      <c r="C71" s="14" t="s">
        <v>68</v>
      </c>
      <c r="D71" s="14" t="s">
        <v>391</v>
      </c>
      <c r="F71" s="50">
        <v>414401</v>
      </c>
      <c r="H71" s="50">
        <f t="shared" si="46"/>
        <v>0</v>
      </c>
      <c r="I71" s="50">
        <f t="shared" si="47"/>
        <v>0</v>
      </c>
      <c r="J71" s="50"/>
      <c r="K71" s="50">
        <f t="shared" si="48"/>
        <v>0</v>
      </c>
      <c r="L71" s="50"/>
      <c r="M71" s="50">
        <f t="shared" si="49"/>
        <v>3514.9631402224368</v>
      </c>
      <c r="N71" s="50"/>
      <c r="O71" s="50">
        <f t="shared" si="50"/>
        <v>238829.15385896608</v>
      </c>
      <c r="P71" s="50">
        <f t="shared" si="51"/>
        <v>99360.725183597591</v>
      </c>
      <c r="Q71" s="50"/>
      <c r="R71" s="50">
        <f t="shared" si="52"/>
        <v>0</v>
      </c>
      <c r="S71" s="50">
        <f t="shared" si="53"/>
        <v>43795.151776909217</v>
      </c>
      <c r="T71" s="50"/>
      <c r="U71" s="50">
        <f t="shared" si="54"/>
        <v>15783.778495549774</v>
      </c>
      <c r="V71" s="50"/>
      <c r="W71" s="50">
        <f t="shared" si="55"/>
        <v>13117.227544754944</v>
      </c>
      <c r="X71" s="50"/>
      <c r="Y71" s="50">
        <f t="shared" si="56"/>
        <v>0</v>
      </c>
      <c r="Z71" s="50"/>
      <c r="AA71" s="50">
        <f t="shared" si="57"/>
        <v>0</v>
      </c>
      <c r="AB71" s="50">
        <f t="shared" si="58"/>
        <v>414401</v>
      </c>
      <c r="AC71" s="28" t="str">
        <f t="shared" si="59"/>
        <v>ok</v>
      </c>
    </row>
    <row r="72" spans="1:29" x14ac:dyDescent="0.25">
      <c r="A72" s="91">
        <v>398</v>
      </c>
      <c r="B72" s="14" t="s">
        <v>360</v>
      </c>
      <c r="C72" s="14" t="s">
        <v>361</v>
      </c>
      <c r="D72" s="14" t="s">
        <v>391</v>
      </c>
      <c r="F72" s="50">
        <v>66301</v>
      </c>
      <c r="H72" s="50">
        <f t="shared" si="46"/>
        <v>0</v>
      </c>
      <c r="I72" s="50">
        <f t="shared" si="47"/>
        <v>0</v>
      </c>
      <c r="J72" s="50"/>
      <c r="K72" s="50">
        <f t="shared" si="48"/>
        <v>0</v>
      </c>
      <c r="L72" s="50"/>
      <c r="M72" s="50">
        <f t="shared" si="49"/>
        <v>562.36729920991445</v>
      </c>
      <c r="N72" s="50"/>
      <c r="O72" s="50">
        <f t="shared" si="50"/>
        <v>38210.843434266106</v>
      </c>
      <c r="P72" s="50">
        <f t="shared" si="51"/>
        <v>15896.95835772043</v>
      </c>
      <c r="Q72" s="50"/>
      <c r="R72" s="50">
        <f t="shared" si="52"/>
        <v>0</v>
      </c>
      <c r="S72" s="50">
        <f t="shared" si="53"/>
        <v>7006.8903259424033</v>
      </c>
      <c r="T72" s="50"/>
      <c r="U72" s="50">
        <f t="shared" si="54"/>
        <v>2525.2842006497222</v>
      </c>
      <c r="V72" s="50"/>
      <c r="W72" s="50">
        <f t="shared" si="55"/>
        <v>2098.6563822114272</v>
      </c>
      <c r="X72" s="50"/>
      <c r="Y72" s="50">
        <f t="shared" si="56"/>
        <v>0</v>
      </c>
      <c r="Z72" s="50"/>
      <c r="AA72" s="50">
        <f t="shared" si="57"/>
        <v>0</v>
      </c>
      <c r="AB72" s="50">
        <f t="shared" si="58"/>
        <v>66301.000000000015</v>
      </c>
      <c r="AC72" s="28" t="str">
        <f t="shared" si="59"/>
        <v>ok</v>
      </c>
    </row>
    <row r="73" spans="1:29" x14ac:dyDescent="0.25">
      <c r="A73" s="91">
        <v>399</v>
      </c>
      <c r="B73" s="14" t="s">
        <v>583</v>
      </c>
      <c r="C73" s="14" t="s">
        <v>584</v>
      </c>
      <c r="D73" s="14" t="s">
        <v>391</v>
      </c>
      <c r="F73" s="50">
        <v>0</v>
      </c>
      <c r="H73" s="50">
        <f t="shared" si="46"/>
        <v>0</v>
      </c>
      <c r="I73" s="50">
        <f t="shared" si="47"/>
        <v>0</v>
      </c>
      <c r="J73" s="50"/>
      <c r="K73" s="50">
        <f t="shared" si="48"/>
        <v>0</v>
      </c>
      <c r="L73" s="50"/>
      <c r="M73" s="50">
        <f t="shared" si="49"/>
        <v>0</v>
      </c>
      <c r="N73" s="50"/>
      <c r="O73" s="50">
        <f t="shared" si="50"/>
        <v>0</v>
      </c>
      <c r="P73" s="50">
        <f t="shared" si="51"/>
        <v>0</v>
      </c>
      <c r="Q73" s="50"/>
      <c r="R73" s="50">
        <f t="shared" si="52"/>
        <v>0</v>
      </c>
      <c r="S73" s="50">
        <f t="shared" si="53"/>
        <v>0</v>
      </c>
      <c r="T73" s="50"/>
      <c r="U73" s="50">
        <f t="shared" si="54"/>
        <v>0</v>
      </c>
      <c r="V73" s="50"/>
      <c r="W73" s="50">
        <f t="shared" si="55"/>
        <v>0</v>
      </c>
      <c r="X73" s="50"/>
      <c r="Y73" s="50">
        <f t="shared" si="56"/>
        <v>0</v>
      </c>
      <c r="Z73" s="50"/>
      <c r="AA73" s="50">
        <f t="shared" si="57"/>
        <v>0</v>
      </c>
      <c r="AB73" s="50">
        <f t="shared" si="58"/>
        <v>0</v>
      </c>
      <c r="AC73" s="28" t="str">
        <f t="shared" si="59"/>
        <v>ok</v>
      </c>
    </row>
    <row r="74" spans="1:29" x14ac:dyDescent="0.25">
      <c r="Q74" s="14"/>
      <c r="AB74" s="50"/>
      <c r="AC74" s="28"/>
    </row>
    <row r="75" spans="1:29" x14ac:dyDescent="0.25">
      <c r="B75" s="14" t="s">
        <v>69</v>
      </c>
      <c r="C75" s="14" t="s">
        <v>70</v>
      </c>
      <c r="F75" s="67">
        <f>SUM(F63:F74)</f>
        <v>4953352</v>
      </c>
      <c r="G75" s="67">
        <f t="shared" ref="G75:W75" si="60">SUM(G63:G74)</f>
        <v>0</v>
      </c>
      <c r="H75" s="67">
        <f t="shared" si="60"/>
        <v>0</v>
      </c>
      <c r="I75" s="67">
        <f t="shared" si="60"/>
        <v>0</v>
      </c>
      <c r="J75" s="67"/>
      <c r="K75" s="67">
        <f>SUM(K63:K74)</f>
        <v>0</v>
      </c>
      <c r="L75" s="67"/>
      <c r="M75" s="67">
        <f t="shared" si="60"/>
        <v>42014.497311896179</v>
      </c>
      <c r="N75" s="67"/>
      <c r="O75" s="67">
        <f t="shared" si="60"/>
        <v>2854734.5854030694</v>
      </c>
      <c r="P75" s="67">
        <f t="shared" si="60"/>
        <v>1187662.7875164959</v>
      </c>
      <c r="Q75" s="67"/>
      <c r="R75" s="67">
        <f t="shared" si="60"/>
        <v>0</v>
      </c>
      <c r="S75" s="67">
        <f t="shared" si="60"/>
        <v>523485.22963133978</v>
      </c>
      <c r="T75" s="67"/>
      <c r="U75" s="67">
        <f t="shared" si="60"/>
        <v>188664.14602881865</v>
      </c>
      <c r="V75" s="67"/>
      <c r="W75" s="67">
        <f t="shared" si="60"/>
        <v>156790.75410838056</v>
      </c>
      <c r="X75" s="67"/>
      <c r="Y75" s="67">
        <f>SUM(Y63:Y74)</f>
        <v>0</v>
      </c>
      <c r="Z75" s="67"/>
      <c r="AA75" s="67">
        <f>SUM(AA63:AA74)</f>
        <v>0</v>
      </c>
      <c r="AB75" s="50">
        <f>SUM(H75:AA75)</f>
        <v>4953352.0000000009</v>
      </c>
      <c r="AC75" s="28" t="str">
        <f>IF(ABS(AB75-F75)&lt;1,"ok","err")</f>
        <v>ok</v>
      </c>
    </row>
    <row r="76" spans="1:29" x14ac:dyDescent="0.25">
      <c r="D76" s="90"/>
      <c r="Q76" s="14"/>
      <c r="AB76" s="50"/>
      <c r="AC76" s="28"/>
    </row>
    <row r="77" spans="1:29" hidden="1" x14ac:dyDescent="0.25">
      <c r="A77" s="89">
        <v>106</v>
      </c>
      <c r="B77" s="14" t="s">
        <v>362</v>
      </c>
      <c r="C77" s="14" t="s">
        <v>363</v>
      </c>
      <c r="D77" s="14" t="s">
        <v>391</v>
      </c>
      <c r="F77" s="67">
        <v>0</v>
      </c>
      <c r="H77" s="50">
        <f>IF(VLOOKUP($D77,$C$5:$AA$492,6,)=0,0,((VLOOKUP($D77,$C$5:$AA$492,6,)/VLOOKUP($D77,$C$5:$AA$492,4,))*$F77))</f>
        <v>0</v>
      </c>
      <c r="I77" s="50">
        <f>IF(VLOOKUP($D77,$C$5:$AA$492,7,)=0,0,((VLOOKUP($D77,$C$5:$AA$492,7,)/VLOOKUP($D77,$C$5:$AA$492,4,))*$F77))</f>
        <v>0</v>
      </c>
      <c r="J77" s="50"/>
      <c r="K77" s="50">
        <f>IF(VLOOKUP($D77,$C$5:$AA$492,9,)=0,0,((VLOOKUP($D77,$C$5:$AA$492,9,)/VLOOKUP($D77,$C$5:$AA$492,4,))*$F77))</f>
        <v>0</v>
      </c>
      <c r="L77" s="50"/>
      <c r="M77" s="50">
        <f>IF(VLOOKUP($D77,$C$5:$AA$492,11,)=0,0,((VLOOKUP($D77,$C$5:$AA$492,11,)/VLOOKUP($D77,$C$5:$AA$492,4,))*$F77))</f>
        <v>0</v>
      </c>
      <c r="N77" s="50"/>
      <c r="O77" s="50">
        <f>IF(VLOOKUP($D77,$C$5:$AA$492,13,)=0,0,((VLOOKUP($D77,$C$5:$AA$492,13,)/VLOOKUP($D77,$C$5:$AA$492,4,))*$F77))</f>
        <v>0</v>
      </c>
      <c r="P77" s="50">
        <f>IF(VLOOKUP($D77,$C$5:$AA$492,14,)=0,0,((VLOOKUP($D77,$C$5:$AA$492,14,)/VLOOKUP($D77,$C$5:$AA$492,4,))*$F77))</f>
        <v>0</v>
      </c>
      <c r="Q77" s="50"/>
      <c r="R77" s="50">
        <f>IF(VLOOKUP($D77,$C$5:$AA$492,16,)=0,0,((VLOOKUP($D77,$C$5:$AA$492,16,)/VLOOKUP($D77,$C$5:$AA$492,4,))*$F77))</f>
        <v>0</v>
      </c>
      <c r="S77" s="50">
        <f>IF(VLOOKUP($D77,$C$5:$AA$492,17,)=0,0,((VLOOKUP($D77,$C$5:$AA$492,17,)/VLOOKUP($D77,$C$5:$AA$492,4,))*$F77))</f>
        <v>0</v>
      </c>
      <c r="T77" s="50"/>
      <c r="U77" s="50">
        <f>IF(VLOOKUP($D77,$C$5:$AA$492,19,)=0,0,((VLOOKUP($D77,$C$5:$AA$492,19,)/VLOOKUP($D77,$C$5:$AA$492,4,))*$F77))</f>
        <v>0</v>
      </c>
      <c r="V77" s="50"/>
      <c r="W77" s="50">
        <f>IF(VLOOKUP($D77,$C$5:$AA$492,21,)=0,0,((VLOOKUP($D77,$C$5:$AA$492,21,)/VLOOKUP($D77,$C$5:$AA$492,4,))*$F77))</f>
        <v>0</v>
      </c>
      <c r="X77" s="50"/>
      <c r="Y77" s="50">
        <f>IF(VLOOKUP($D77,$C$5:$AA$492,23,)=0,0,((VLOOKUP($D77,$C$5:$AA$492,23,)/VLOOKUP($D77,$C$5:$AA$492,4,))*$F77))</f>
        <v>0</v>
      </c>
      <c r="Z77" s="50"/>
      <c r="AA77" s="50">
        <f>IF(VLOOKUP($D77,$C$5:$AA$492,25,)=0,0,((VLOOKUP($D77,$C$5:$AA$492,25,)/VLOOKUP($D77,$C$5:$AA$492,4,))*$F77))</f>
        <v>0</v>
      </c>
      <c r="AB77" s="50">
        <f>SUM(H77:AA77)</f>
        <v>0</v>
      </c>
      <c r="AC77" s="28" t="str">
        <f>IF(ABS(AB77-F77)&lt;1,"ok","err")</f>
        <v>ok</v>
      </c>
    </row>
    <row r="78" spans="1:29" hidden="1" x14ac:dyDescent="0.25">
      <c r="A78" s="89">
        <v>102</v>
      </c>
      <c r="B78" s="14" t="s">
        <v>705</v>
      </c>
      <c r="C78" s="14" t="s">
        <v>706</v>
      </c>
      <c r="D78" s="14" t="s">
        <v>16</v>
      </c>
      <c r="F78" s="67">
        <v>0</v>
      </c>
      <c r="H78" s="50">
        <f>IF(VLOOKUP($D78,$C$5:$AA$492,6,)=0,0,((VLOOKUP($D78,$C$5:$AA$492,6,)/VLOOKUP($D78,$C$5:$AA$492,4,))*$F78))</f>
        <v>0</v>
      </c>
      <c r="I78" s="50">
        <f>IF(VLOOKUP($D78,$C$5:$AA$492,7,)=0,0,((VLOOKUP($D78,$C$5:$AA$492,7,)/VLOOKUP($D78,$C$5:$AA$492,4,))*$F78))</f>
        <v>0</v>
      </c>
      <c r="J78" s="50"/>
      <c r="K78" s="50">
        <f>IF(VLOOKUP($D78,$C$5:$AA$492,9,)=0,0,((VLOOKUP($D78,$C$5:$AA$492,9,)/VLOOKUP($D78,$C$5:$AA$492,4,))*$F78))</f>
        <v>0</v>
      </c>
      <c r="L78" s="50"/>
      <c r="M78" s="50">
        <f>IF(VLOOKUP($D78,$C$5:$AA$492,11,)=0,0,((VLOOKUP($D78,$C$5:$AA$492,11,)/VLOOKUP($D78,$C$5:$AA$492,4,))*$F78))</f>
        <v>0</v>
      </c>
      <c r="N78" s="50"/>
      <c r="O78" s="50">
        <f>IF(VLOOKUP($D78,$C$5:$AA$492,13,)=0,0,((VLOOKUP($D78,$C$5:$AA$492,13,)/VLOOKUP($D78,$C$5:$AA$492,4,))*$F78))</f>
        <v>0</v>
      </c>
      <c r="P78" s="50">
        <f>IF(VLOOKUP($D78,$C$5:$AA$492,14,)=0,0,((VLOOKUP($D78,$C$5:$AA$492,14,)/VLOOKUP($D78,$C$5:$AA$492,4,))*$F78))</f>
        <v>0</v>
      </c>
      <c r="Q78" s="50"/>
      <c r="R78" s="50">
        <f>IF(VLOOKUP($D78,$C$5:$AA$492,16,)=0,0,((VLOOKUP($D78,$C$5:$AA$492,16,)/VLOOKUP($D78,$C$5:$AA$492,4,))*$F78))</f>
        <v>0</v>
      </c>
      <c r="S78" s="50">
        <f>IF(VLOOKUP($D78,$C$5:$AA$492,17,)=0,0,((VLOOKUP($D78,$C$5:$AA$492,17,)/VLOOKUP($D78,$C$5:$AA$492,4,))*$F78))</f>
        <v>0</v>
      </c>
      <c r="T78" s="50"/>
      <c r="U78" s="50">
        <f>IF(VLOOKUP($D78,$C$5:$AA$492,19,)=0,0,((VLOOKUP($D78,$C$5:$AA$492,19,)/VLOOKUP($D78,$C$5:$AA$492,4,))*$F78))</f>
        <v>0</v>
      </c>
      <c r="V78" s="50"/>
      <c r="W78" s="50">
        <f>IF(VLOOKUP($D78,$C$5:$AA$492,21,)=0,0,((VLOOKUP($D78,$C$5:$AA$492,21,)/VLOOKUP($D78,$C$5:$AA$492,4,))*$F78))</f>
        <v>0</v>
      </c>
      <c r="X78" s="50"/>
      <c r="Y78" s="50">
        <f>IF(VLOOKUP($D78,$C$5:$AA$492,23,)=0,0,((VLOOKUP($D78,$C$5:$AA$492,23,)/VLOOKUP($D78,$C$5:$AA$492,4,))*$F78))</f>
        <v>0</v>
      </c>
      <c r="Z78" s="50"/>
      <c r="AA78" s="50">
        <f>IF(VLOOKUP($D78,$C$5:$AA$492,25,)=0,0,((VLOOKUP($D78,$C$5:$AA$492,25,)/VLOOKUP($D78,$C$5:$AA$492,4,))*$F78))</f>
        <v>0</v>
      </c>
      <c r="AB78" s="50">
        <f>SUM(H78:AA78)</f>
        <v>0</v>
      </c>
      <c r="AC78" s="28" t="str">
        <f>IF(ABS(AB78-F78)&lt;1,"ok","err")</f>
        <v>ok</v>
      </c>
    </row>
    <row r="79" spans="1:29" hidden="1" x14ac:dyDescent="0.25">
      <c r="Q79" s="14"/>
      <c r="AB79" s="50"/>
      <c r="AC79" s="28"/>
    </row>
    <row r="80" spans="1:29" hidden="1" x14ac:dyDescent="0.25">
      <c r="A80" s="89">
        <v>114</v>
      </c>
      <c r="B80" s="14" t="s">
        <v>829</v>
      </c>
      <c r="D80" s="14" t="s">
        <v>781</v>
      </c>
      <c r="F80" s="67">
        <v>0</v>
      </c>
      <c r="H80" s="50">
        <f>IF(VLOOKUP($D80,$C$5:$AA$492,6,)=0,0,((VLOOKUP($D80,$C$5:$AA$492,6,)/VLOOKUP($D80,$C$5:$AA$492,4,))*$F80))</f>
        <v>0</v>
      </c>
      <c r="I80" s="50">
        <f>IF(VLOOKUP($D80,$C$5:$AA$492,7,)=0,0,((VLOOKUP($D80,$C$5:$AA$492,7,)/VLOOKUP($D80,$C$5:$AA$492,4,))*$F80))</f>
        <v>0</v>
      </c>
      <c r="J80" s="50"/>
      <c r="K80" s="50">
        <f>IF(VLOOKUP($D80,$C$5:$AA$492,9,)=0,0,((VLOOKUP($D80,$C$5:$AA$492,9,)/VLOOKUP($D80,$C$5:$AA$492,4,))*$F80))</f>
        <v>0</v>
      </c>
      <c r="L80" s="50"/>
      <c r="M80" s="50">
        <f>IF(VLOOKUP($D80,$C$5:$AA$492,11,)=0,0,((VLOOKUP($D80,$C$5:$AA$492,11,)/VLOOKUP($D80,$C$5:$AA$492,4,))*$F80))</f>
        <v>0</v>
      </c>
      <c r="N80" s="50"/>
      <c r="O80" s="50">
        <f>IF(VLOOKUP($D80,$C$5:$AA$492,13,)=0,0,((VLOOKUP($D80,$C$5:$AA$492,13,)/VLOOKUP($D80,$C$5:$AA$492,4,))*$F80))</f>
        <v>0</v>
      </c>
      <c r="P80" s="50">
        <f>IF(VLOOKUP($D80,$C$5:$AA$492,14,)=0,0,((VLOOKUP($D80,$C$5:$AA$492,14,)/VLOOKUP($D80,$C$5:$AA$492,4,))*$F80))</f>
        <v>0</v>
      </c>
      <c r="Q80" s="50"/>
      <c r="R80" s="50">
        <f>IF(VLOOKUP($D80,$C$5:$AA$492,16,)=0,0,((VLOOKUP($D80,$C$5:$AA$492,16,)/VLOOKUP($D80,$C$5:$AA$492,4,))*$F80))</f>
        <v>0</v>
      </c>
      <c r="S80" s="50">
        <f>IF(VLOOKUP($D80,$C$5:$AA$492,17,)=0,0,((VLOOKUP($D80,$C$5:$AA$492,17,)/VLOOKUP($D80,$C$5:$AA$492,4,))*$F80))</f>
        <v>0</v>
      </c>
      <c r="T80" s="50"/>
      <c r="U80" s="50">
        <f>IF(VLOOKUP($D80,$C$5:$AA$492,19,)=0,0,((VLOOKUP($D80,$C$5:$AA$492,19,)/VLOOKUP($D80,$C$5:$AA$492,4,))*$F80))</f>
        <v>0</v>
      </c>
      <c r="V80" s="50"/>
      <c r="W80" s="50">
        <f>IF(VLOOKUP($D80,$C$5:$AA$492,21,)=0,0,((VLOOKUP($D80,$C$5:$AA$492,21,)/VLOOKUP($D80,$C$5:$AA$492,4,))*$F80))</f>
        <v>0</v>
      </c>
      <c r="X80" s="50"/>
      <c r="Y80" s="50">
        <f>IF(VLOOKUP($D80,$C$5:$AA$492,23,)=0,0,((VLOOKUP($D80,$C$5:$AA$492,23,)/VLOOKUP($D80,$C$5:$AA$492,4,))*$F80))</f>
        <v>0</v>
      </c>
      <c r="Z80" s="50"/>
      <c r="AA80" s="50">
        <f>IF(VLOOKUP($D80,$C$5:$AA$492,25,)=0,0,((VLOOKUP($D80,$C$5:$AA$492,25,)/VLOOKUP($D80,$C$5:$AA$492,4,))*$F80))</f>
        <v>0</v>
      </c>
      <c r="AB80" s="50">
        <f>SUM(H80:AA80)</f>
        <v>0</v>
      </c>
      <c r="AC80" s="28" t="str">
        <f>IF(ABS(AB80-F80)&lt;1,"ok","err")</f>
        <v>ok</v>
      </c>
    </row>
    <row r="81" spans="1:29" hidden="1" x14ac:dyDescent="0.25">
      <c r="Q81" s="14"/>
      <c r="AB81" s="50"/>
      <c r="AC81" s="28"/>
    </row>
    <row r="82" spans="1:29" x14ac:dyDescent="0.25">
      <c r="B82" s="14" t="s">
        <v>71</v>
      </c>
      <c r="C82" s="14" t="s">
        <v>72</v>
      </c>
      <c r="F82" s="90">
        <f>F12+F24+F35+F54+F75+F77+F78+F80</f>
        <v>113703057.64</v>
      </c>
      <c r="G82" s="90">
        <f>G12+G35+G54+G75+G77+G80</f>
        <v>0</v>
      </c>
      <c r="H82" s="90">
        <f>H12+H24+H35+H54+H75+H77+H78+H80</f>
        <v>0</v>
      </c>
      <c r="I82" s="90">
        <f>I12+I24+I35+I54+I75+I77+I78+I80</f>
        <v>0</v>
      </c>
      <c r="J82" s="90"/>
      <c r="K82" s="90">
        <f>K12+K24+K35+K54+K75+K77+K78+K80</f>
        <v>0</v>
      </c>
      <c r="L82" s="90"/>
      <c r="M82" s="90">
        <f>M12+M24+M35+M54+M75+M77+M78+M80</f>
        <v>964433.13731189619</v>
      </c>
      <c r="N82" s="90"/>
      <c r="O82" s="90">
        <f>O12+O24+O35+O54+O75+O77+O78+O80</f>
        <v>65529776.828092709</v>
      </c>
      <c r="P82" s="90">
        <f>P12+P24+P35+P54+P75+P77+P78+P80</f>
        <v>27262526.544826865</v>
      </c>
      <c r="Q82" s="90"/>
      <c r="R82" s="90">
        <f>R12+R24+R35+R54+R75+R77+R78+R80</f>
        <v>0</v>
      </c>
      <c r="S82" s="90">
        <f>S12+S24+S35+S54+S75+S77+S78+S80</f>
        <v>12016483.22963134</v>
      </c>
      <c r="T82" s="90"/>
      <c r="U82" s="90">
        <f>U12+U24+U35+U54+U75+U77+U78+U80</f>
        <v>4330742.1460288186</v>
      </c>
      <c r="V82" s="90"/>
      <c r="W82" s="90">
        <f>W12+W24+W35+W54+W75+W77+W78+W80</f>
        <v>3599095.7541083805</v>
      </c>
      <c r="X82" s="90"/>
      <c r="Y82" s="90">
        <f>Y12+Y24+Y35+Y54+Y75+Y77+Y78+Y80</f>
        <v>0</v>
      </c>
      <c r="Z82" s="90"/>
      <c r="AA82" s="90">
        <f>AA12+AA24+AA35+AA54+AA75+AA77+AA78+AA80</f>
        <v>0</v>
      </c>
      <c r="AB82" s="50">
        <f>SUM(H82:AA82)</f>
        <v>113703057.64</v>
      </c>
      <c r="AC82" s="28" t="str">
        <f>IF(ABS(AB82-F82)&lt;1,"ok","err")</f>
        <v>ok</v>
      </c>
    </row>
    <row r="83" spans="1:29" x14ac:dyDescent="0.25">
      <c r="AC83" s="28"/>
    </row>
    <row r="84" spans="1:29" x14ac:dyDescent="0.25">
      <c r="A84" s="26" t="s">
        <v>73</v>
      </c>
      <c r="AC84" s="28"/>
    </row>
    <row r="85" spans="1:29" x14ac:dyDescent="0.25">
      <c r="B85" s="14" t="s">
        <v>786</v>
      </c>
      <c r="C85" s="14" t="s">
        <v>552</v>
      </c>
      <c r="D85" s="14" t="s">
        <v>781</v>
      </c>
      <c r="F85" s="67">
        <v>0</v>
      </c>
      <c r="H85" s="50">
        <f>IF(VLOOKUP($D85,$C$5:$AA$492,6,)=0,0,((VLOOKUP($D85,$C$5:$AA$492,6,)/VLOOKUP($D85,$C$5:$AA$492,4,))*$F85))</f>
        <v>0</v>
      </c>
      <c r="I85" s="50">
        <f>IF(VLOOKUP($D85,$C$5:$AA$492,7,)=0,0,((VLOOKUP($D85,$C$5:$AA$492,7,)/VLOOKUP($D85,$C$5:$AA$492,4,))*$F85))</f>
        <v>0</v>
      </c>
      <c r="J85" s="50"/>
      <c r="K85" s="50">
        <f>IF(VLOOKUP($D85,$C$5:$AA$492,9,)=0,0,((VLOOKUP($D85,$C$5:$AA$492,9,)/VLOOKUP($D85,$C$5:$AA$492,4,))*$F85))</f>
        <v>0</v>
      </c>
      <c r="L85" s="50"/>
      <c r="M85" s="50">
        <f>IF(VLOOKUP($D85,$C$5:$AA$492,11,)=0,0,((VLOOKUP($D85,$C$5:$AA$492,11,)/VLOOKUP($D85,$C$5:$AA$492,4,))*$F85))</f>
        <v>0</v>
      </c>
      <c r="N85" s="50"/>
      <c r="O85" s="50">
        <f>IF(VLOOKUP($D85,$C$5:$AA$492,13,)=0,0,((VLOOKUP($D85,$C$5:$AA$492,13,)/VLOOKUP($D85,$C$5:$AA$492,4,))*$F85))</f>
        <v>0</v>
      </c>
      <c r="P85" s="50">
        <f>IF(VLOOKUP($D85,$C$5:$AA$492,14,)=0,0,((VLOOKUP($D85,$C$5:$AA$492,14,)/VLOOKUP($D85,$C$5:$AA$492,4,))*$F85))</f>
        <v>0</v>
      </c>
      <c r="Q85" s="50"/>
      <c r="R85" s="50">
        <f>IF(VLOOKUP($D85,$C$5:$AA$492,16,)=0,0,((VLOOKUP($D85,$C$5:$AA$492,16,)/VLOOKUP($D85,$C$5:$AA$492,4,))*$F85))</f>
        <v>0</v>
      </c>
      <c r="S85" s="50">
        <f>IF(VLOOKUP($D85,$C$5:$AA$492,17,)=0,0,((VLOOKUP($D85,$C$5:$AA$492,17,)/VLOOKUP($D85,$C$5:$AA$492,4,))*$F85))</f>
        <v>0</v>
      </c>
      <c r="T85" s="50"/>
      <c r="U85" s="50">
        <f>IF(VLOOKUP($D85,$C$5:$AA$492,19,)=0,0,((VLOOKUP($D85,$C$5:$AA$492,19,)/VLOOKUP($D85,$C$5:$AA$492,4,))*$F85))</f>
        <v>0</v>
      </c>
      <c r="V85" s="50"/>
      <c r="W85" s="50">
        <f>IF(VLOOKUP($D85,$C$5:$AA$492,21,)=0,0,((VLOOKUP($D85,$C$5:$AA$492,21,)/VLOOKUP($D85,$C$5:$AA$492,4,))*$F85))</f>
        <v>0</v>
      </c>
      <c r="X85" s="50"/>
      <c r="Y85" s="50">
        <f>IF(VLOOKUP($D85,$C$5:$AA$492,23,)=0,0,((VLOOKUP($D85,$C$5:$AA$492,23,)/VLOOKUP($D85,$C$5:$AA$492,4,))*$F85))</f>
        <v>0</v>
      </c>
      <c r="Z85" s="50"/>
      <c r="AA85" s="50">
        <f>IF(VLOOKUP($D85,$C$5:$AA$492,25,)=0,0,((VLOOKUP($D85,$C$5:$AA$492,25,)/VLOOKUP($D85,$C$5:$AA$492,4,))*$F85))</f>
        <v>0</v>
      </c>
      <c r="AB85" s="50">
        <f>SUM(H85:AA85)</f>
        <v>0</v>
      </c>
      <c r="AC85" s="28" t="str">
        <f>IF(ABS(AB85-F85)&lt;1,"ok","err")</f>
        <v>ok</v>
      </c>
    </row>
    <row r="86" spans="1:29" x14ac:dyDescent="0.25">
      <c r="B86" s="14" t="s">
        <v>424</v>
      </c>
      <c r="C86" s="14" t="s">
        <v>553</v>
      </c>
      <c r="D86" s="14" t="s">
        <v>389</v>
      </c>
      <c r="F86" s="50">
        <v>0</v>
      </c>
      <c r="H86" s="50">
        <f>IF(VLOOKUP($D86,$C$5:$AA$492,6,)=0,0,((VLOOKUP($D86,$C$5:$AA$492,6,)/VLOOKUP($D86,$C$5:$AA$492,4,))*$F86))</f>
        <v>0</v>
      </c>
      <c r="I86" s="50">
        <f>IF(VLOOKUP($D86,$C$5:$AA$492,7,)=0,0,((VLOOKUP($D86,$C$5:$AA$492,7,)/VLOOKUP($D86,$C$5:$AA$492,4,))*$F86))</f>
        <v>0</v>
      </c>
      <c r="J86" s="50"/>
      <c r="K86" s="50">
        <f>IF(VLOOKUP($D86,$C$5:$AA$492,9,)=0,0,((VLOOKUP($D86,$C$5:$AA$492,9,)/VLOOKUP($D86,$C$5:$AA$492,4,))*$F86))</f>
        <v>0</v>
      </c>
      <c r="L86" s="50"/>
      <c r="M86" s="50">
        <f>IF(VLOOKUP($D86,$C$5:$AA$492,11,)=0,0,((VLOOKUP($D86,$C$5:$AA$492,11,)/VLOOKUP($D86,$C$5:$AA$492,4,))*$F86))</f>
        <v>0</v>
      </c>
      <c r="N86" s="50"/>
      <c r="O86" s="50">
        <f>IF(VLOOKUP($D86,$C$5:$AA$492,13,)=0,0,((VLOOKUP($D86,$C$5:$AA$492,13,)/VLOOKUP($D86,$C$5:$AA$492,4,))*$F86))</f>
        <v>0</v>
      </c>
      <c r="P86" s="50">
        <f>IF(VLOOKUP($D86,$C$5:$AA$492,14,)=0,0,((VLOOKUP($D86,$C$5:$AA$492,14,)/VLOOKUP($D86,$C$5:$AA$492,4,))*$F86))</f>
        <v>0</v>
      </c>
      <c r="Q86" s="50"/>
      <c r="R86" s="50">
        <f>IF(VLOOKUP($D86,$C$5:$AA$492,16,)=0,0,((VLOOKUP($D86,$C$5:$AA$492,16,)/VLOOKUP($D86,$C$5:$AA$492,4,))*$F86))</f>
        <v>0</v>
      </c>
      <c r="S86" s="50">
        <f>IF(VLOOKUP($D86,$C$5:$AA$492,17,)=0,0,((VLOOKUP($D86,$C$5:$AA$492,17,)/VLOOKUP($D86,$C$5:$AA$492,4,))*$F86))</f>
        <v>0</v>
      </c>
      <c r="T86" s="50"/>
      <c r="U86" s="50">
        <f>IF(VLOOKUP($D86,$C$5:$AA$492,19,)=0,0,((VLOOKUP($D86,$C$5:$AA$492,19,)/VLOOKUP($D86,$C$5:$AA$492,4,))*$F86))</f>
        <v>0</v>
      </c>
      <c r="V86" s="50"/>
      <c r="W86" s="50">
        <f>IF(VLOOKUP($D86,$C$5:$AA$492,21,)=0,0,((VLOOKUP($D86,$C$5:$AA$492,21,)/VLOOKUP($D86,$C$5:$AA$492,4,))*$F86))</f>
        <v>0</v>
      </c>
      <c r="X86" s="50"/>
      <c r="Y86" s="50">
        <f>IF(VLOOKUP($D86,$C$5:$AA$492,23,)=0,0,((VLOOKUP($D86,$C$5:$AA$492,23,)/VLOOKUP($D86,$C$5:$AA$492,4,))*$F86))</f>
        <v>0</v>
      </c>
      <c r="Z86" s="50"/>
      <c r="AA86" s="50">
        <f>IF(VLOOKUP($D86,$C$5:$AA$492,25,)=0,0,((VLOOKUP($D86,$C$5:$AA$492,25,)/VLOOKUP($D86,$C$5:$AA$492,4,))*$F86))</f>
        <v>0</v>
      </c>
      <c r="AB86" s="50">
        <f>SUM(H86:AA86)</f>
        <v>0</v>
      </c>
      <c r="AC86" s="28" t="str">
        <f>IF(ABS(AB86-F86)&lt;1,"ok","err")</f>
        <v>ok</v>
      </c>
    </row>
    <row r="87" spans="1:29" x14ac:dyDescent="0.25">
      <c r="B87" s="14" t="s">
        <v>838</v>
      </c>
      <c r="C87" s="14" t="s">
        <v>554</v>
      </c>
      <c r="D87" s="14" t="s">
        <v>16</v>
      </c>
      <c r="F87" s="50">
        <v>3129764.77</v>
      </c>
      <c r="H87" s="50">
        <f>IF(VLOOKUP($D87,$C$5:$AA$492,6,)=0,0,((VLOOKUP($D87,$C$5:$AA$492,6,)/VLOOKUP($D87,$C$5:$AA$492,4,))*$F87))</f>
        <v>0</v>
      </c>
      <c r="I87" s="50">
        <f>IF(VLOOKUP($D87,$C$5:$AA$492,7,)=0,0,((VLOOKUP($D87,$C$5:$AA$492,7,)/VLOOKUP($D87,$C$5:$AA$492,4,))*$F87))</f>
        <v>0</v>
      </c>
      <c r="J87" s="50"/>
      <c r="K87" s="50">
        <f>IF(VLOOKUP($D87,$C$5:$AA$492,9,)=0,0,((VLOOKUP($D87,$C$5:$AA$492,9,)/VLOOKUP($D87,$C$5:$AA$492,4,))*$F87))</f>
        <v>0</v>
      </c>
      <c r="L87" s="50"/>
      <c r="M87" s="50">
        <f>IF(VLOOKUP($D87,$C$5:$AA$492,11,)=0,0,((VLOOKUP($D87,$C$5:$AA$492,11,)/VLOOKUP($D87,$C$5:$AA$492,4,))*$F87))</f>
        <v>26546.769443405668</v>
      </c>
      <c r="N87" s="50"/>
      <c r="O87" s="50">
        <f>IF(VLOOKUP($D87,$C$5:$AA$492,13,)=0,0,((VLOOKUP($D87,$C$5:$AA$492,13,)/VLOOKUP($D87,$C$5:$AA$492,4,))*$F87))</f>
        <v>1803757.8861940526</v>
      </c>
      <c r="P87" s="50">
        <f>IF(VLOOKUP($D87,$C$5:$AA$492,14,)=0,0,((VLOOKUP($D87,$C$5:$AA$492,14,)/VLOOKUP($D87,$C$5:$AA$492,4,))*$F87))</f>
        <v>750422.16886850062</v>
      </c>
      <c r="Q87" s="50"/>
      <c r="R87" s="50">
        <f>IF(VLOOKUP($D87,$C$5:$AA$492,16,)=0,0,((VLOOKUP($D87,$C$5:$AA$492,16,)/VLOOKUP($D87,$C$5:$AA$492,4,))*$F87))</f>
        <v>0</v>
      </c>
      <c r="S87" s="50">
        <f>IF(VLOOKUP($D87,$C$5:$AA$492,17,)=0,0,((VLOOKUP($D87,$C$5:$AA$492,17,)/VLOOKUP($D87,$C$5:$AA$492,4,))*$F87))</f>
        <v>330763.01246419136</v>
      </c>
      <c r="T87" s="50"/>
      <c r="U87" s="50">
        <f>IF(VLOOKUP($D87,$C$5:$AA$492,19,)=0,0,((VLOOKUP($D87,$C$5:$AA$492,19,)/VLOOKUP($D87,$C$5:$AA$492,4,))*$F87))</f>
        <v>119207.03345999475</v>
      </c>
      <c r="V87" s="50"/>
      <c r="W87" s="50">
        <f>IF(VLOOKUP($D87,$C$5:$AA$492,21,)=0,0,((VLOOKUP($D87,$C$5:$AA$492,21,)/VLOOKUP($D87,$C$5:$AA$492,4,))*$F87))</f>
        <v>99067.899569855334</v>
      </c>
      <c r="X87" s="50"/>
      <c r="Y87" s="50">
        <f>IF(VLOOKUP($D87,$C$5:$AA$492,23,)=0,0,((VLOOKUP($D87,$C$5:$AA$492,23,)/VLOOKUP($D87,$C$5:$AA$492,4,))*$F87))</f>
        <v>0</v>
      </c>
      <c r="Z87" s="50"/>
      <c r="AA87" s="50">
        <f>IF(VLOOKUP($D87,$C$5:$AA$492,25,)=0,0,((VLOOKUP($D87,$C$5:$AA$492,25,)/VLOOKUP($D87,$C$5:$AA$492,4,))*$F87))</f>
        <v>0</v>
      </c>
      <c r="AB87" s="50">
        <f>SUM(H87:AA87)</f>
        <v>3129764.7700000005</v>
      </c>
      <c r="AC87" s="28" t="str">
        <f>IF(ABS(AB87-F87)&lt;1,"ok","err")</f>
        <v>ok</v>
      </c>
    </row>
    <row r="88" spans="1:29" x14ac:dyDescent="0.25">
      <c r="B88" s="14" t="s">
        <v>448</v>
      </c>
      <c r="C88" s="14" t="s">
        <v>555</v>
      </c>
      <c r="D88" s="14" t="s">
        <v>70</v>
      </c>
      <c r="F88" s="50">
        <v>0</v>
      </c>
      <c r="H88" s="50">
        <f>IF(VLOOKUP($D88,$C$5:$AA$492,6,)=0,0,((VLOOKUP($D88,$C$5:$AA$492,6,)/VLOOKUP($D88,$C$5:$AA$492,4,))*$F88))</f>
        <v>0</v>
      </c>
      <c r="I88" s="50">
        <f>IF(VLOOKUP($D88,$C$5:$AA$492,7,)=0,0,((VLOOKUP($D88,$C$5:$AA$492,7,)/VLOOKUP($D88,$C$5:$AA$492,4,))*$F88))</f>
        <v>0</v>
      </c>
      <c r="J88" s="50"/>
      <c r="K88" s="50">
        <f>IF(VLOOKUP($D88,$C$5:$AA$492,9,)=0,0,((VLOOKUP($D88,$C$5:$AA$492,9,)/VLOOKUP($D88,$C$5:$AA$492,4,))*$F88))</f>
        <v>0</v>
      </c>
      <c r="L88" s="50"/>
      <c r="M88" s="50">
        <f>IF(VLOOKUP($D88,$C$5:$AA$492,11,)=0,0,((VLOOKUP($D88,$C$5:$AA$492,11,)/VLOOKUP($D88,$C$5:$AA$492,4,))*$F88))</f>
        <v>0</v>
      </c>
      <c r="N88" s="50"/>
      <c r="O88" s="50">
        <f>IF(VLOOKUP($D88,$C$5:$AA$492,13,)=0,0,((VLOOKUP($D88,$C$5:$AA$492,13,)/VLOOKUP($D88,$C$5:$AA$492,4,))*$F88))</f>
        <v>0</v>
      </c>
      <c r="P88" s="50">
        <f>IF(VLOOKUP($D88,$C$5:$AA$492,14,)=0,0,((VLOOKUP($D88,$C$5:$AA$492,14,)/VLOOKUP($D88,$C$5:$AA$492,4,))*$F88))</f>
        <v>0</v>
      </c>
      <c r="Q88" s="50"/>
      <c r="R88" s="50">
        <f>IF(VLOOKUP($D88,$C$5:$AA$492,16,)=0,0,((VLOOKUP($D88,$C$5:$AA$492,16,)/VLOOKUP($D88,$C$5:$AA$492,4,))*$F88))</f>
        <v>0</v>
      </c>
      <c r="S88" s="50">
        <f>IF(VLOOKUP($D88,$C$5:$AA$492,17,)=0,0,((VLOOKUP($D88,$C$5:$AA$492,17,)/VLOOKUP($D88,$C$5:$AA$492,4,))*$F88))</f>
        <v>0</v>
      </c>
      <c r="T88" s="50"/>
      <c r="U88" s="50">
        <f>IF(VLOOKUP($D88,$C$5:$AA$492,19,)=0,0,((VLOOKUP($D88,$C$5:$AA$492,19,)/VLOOKUP($D88,$C$5:$AA$492,4,))*$F88))</f>
        <v>0</v>
      </c>
      <c r="V88" s="50"/>
      <c r="W88" s="50">
        <f>IF(VLOOKUP($D88,$C$5:$AA$492,21,)=0,0,((VLOOKUP($D88,$C$5:$AA$492,21,)/VLOOKUP($D88,$C$5:$AA$492,4,))*$F88))</f>
        <v>0</v>
      </c>
      <c r="X88" s="50"/>
      <c r="Y88" s="50">
        <f>IF(VLOOKUP($D88,$C$5:$AA$492,23,)=0,0,((VLOOKUP($D88,$C$5:$AA$492,23,)/VLOOKUP($D88,$C$5:$AA$492,4,))*$F88))</f>
        <v>0</v>
      </c>
      <c r="Z88" s="50"/>
      <c r="AA88" s="50">
        <f>IF(VLOOKUP($D88,$C$5:$AA$492,25,)=0,0,((VLOOKUP($D88,$C$5:$AA$492,25,)/VLOOKUP($D88,$C$5:$AA$492,4,))*$F88))</f>
        <v>0</v>
      </c>
      <c r="AB88" s="50">
        <f>SUM(H88:AA88)</f>
        <v>0</v>
      </c>
      <c r="AC88" s="28" t="str">
        <f>IF(ABS(AB88-F88)&lt;1,"ok","err")</f>
        <v>ok</v>
      </c>
    </row>
    <row r="89" spans="1:29" x14ac:dyDescent="0.25">
      <c r="B89" s="14" t="s">
        <v>927</v>
      </c>
      <c r="C89" s="14" t="s">
        <v>556</v>
      </c>
      <c r="D89" s="14" t="s">
        <v>16</v>
      </c>
      <c r="F89" s="50">
        <v>0</v>
      </c>
      <c r="H89" s="50">
        <f>IF(VLOOKUP($D89,$C$5:$AA$492,6,)=0,0,((VLOOKUP($D89,$C$5:$AA$492,6,)/VLOOKUP($D89,$C$5:$AA$492,4,))*$F89))</f>
        <v>0</v>
      </c>
      <c r="I89" s="50">
        <f>IF(VLOOKUP($D89,$C$5:$AA$492,7,)=0,0,((VLOOKUP($D89,$C$5:$AA$492,7,)/VLOOKUP($D89,$C$5:$AA$492,4,))*$F89))</f>
        <v>0</v>
      </c>
      <c r="J89" s="50"/>
      <c r="K89" s="50">
        <f>IF(VLOOKUP($D89,$C$5:$AA$492,9,)=0,0,((VLOOKUP($D89,$C$5:$AA$492,9,)/VLOOKUP($D89,$C$5:$AA$492,4,))*$F89))</f>
        <v>0</v>
      </c>
      <c r="L89" s="50"/>
      <c r="M89" s="50">
        <f>IF(VLOOKUP($D89,$C$5:$AA$492,11,)=0,0,((VLOOKUP($D89,$C$5:$AA$492,11,)/VLOOKUP($D89,$C$5:$AA$492,4,))*$F89))</f>
        <v>0</v>
      </c>
      <c r="N89" s="50"/>
      <c r="O89" s="50">
        <f>IF(VLOOKUP($D89,$C$5:$AA$492,13,)=0,0,((VLOOKUP($D89,$C$5:$AA$492,13,)/VLOOKUP($D89,$C$5:$AA$492,4,))*$F89))</f>
        <v>0</v>
      </c>
      <c r="P89" s="50">
        <f>IF(VLOOKUP($D89,$C$5:$AA$492,14,)=0,0,((VLOOKUP($D89,$C$5:$AA$492,14,)/VLOOKUP($D89,$C$5:$AA$492,4,))*$F89))</f>
        <v>0</v>
      </c>
      <c r="Q89" s="50"/>
      <c r="R89" s="50">
        <f>IF(VLOOKUP($D89,$C$5:$AA$492,16,)=0,0,((VLOOKUP($D89,$C$5:$AA$492,16,)/VLOOKUP($D89,$C$5:$AA$492,4,))*$F89))</f>
        <v>0</v>
      </c>
      <c r="S89" s="50">
        <f>IF(VLOOKUP($D89,$C$5:$AA$492,17,)=0,0,((VLOOKUP($D89,$C$5:$AA$492,17,)/VLOOKUP($D89,$C$5:$AA$492,4,))*$F89))</f>
        <v>0</v>
      </c>
      <c r="T89" s="50"/>
      <c r="U89" s="50">
        <f>IF(VLOOKUP($D89,$C$5:$AA$492,19,)=0,0,((VLOOKUP($D89,$C$5:$AA$492,19,)/VLOOKUP($D89,$C$5:$AA$492,4,))*$F89))</f>
        <v>0</v>
      </c>
      <c r="V89" s="50"/>
      <c r="W89" s="50">
        <f>IF(VLOOKUP($D89,$C$5:$AA$492,21,)=0,0,((VLOOKUP($D89,$C$5:$AA$492,21,)/VLOOKUP($D89,$C$5:$AA$492,4,))*$F89))</f>
        <v>0</v>
      </c>
      <c r="X89" s="50"/>
      <c r="Y89" s="50">
        <f>IF(VLOOKUP($D89,$C$5:$AA$492,23,)=0,0,((VLOOKUP($D89,$C$5:$AA$492,23,)/VLOOKUP($D89,$C$5:$AA$492,4,))*$F89))</f>
        <v>0</v>
      </c>
      <c r="Z89" s="50"/>
      <c r="AA89" s="50">
        <f>IF(VLOOKUP($D89,$C$5:$AA$492,25,)=0,0,((VLOOKUP($D89,$C$5:$AA$492,25,)/VLOOKUP($D89,$C$5:$AA$492,4,))*$F89))</f>
        <v>0</v>
      </c>
      <c r="AB89" s="50">
        <f>SUM(H89:AA89)</f>
        <v>0</v>
      </c>
      <c r="AC89" s="28" t="str">
        <f>IF(ABS(AB89-F89)&lt;1,"ok","err")</f>
        <v>ok</v>
      </c>
    </row>
    <row r="90" spans="1:29" x14ac:dyDescent="0.25">
      <c r="D90" s="50"/>
      <c r="F90" s="50"/>
      <c r="AB90" s="50"/>
      <c r="AC90" s="28"/>
    </row>
    <row r="91" spans="1:29" x14ac:dyDescent="0.25">
      <c r="A91" s="92" t="s">
        <v>74</v>
      </c>
      <c r="C91" s="14" t="s">
        <v>75</v>
      </c>
      <c r="F91" s="67">
        <f>SUM(F85:F89)</f>
        <v>3129764.77</v>
      </c>
      <c r="G91" s="67">
        <f>SUM(G85:G89)</f>
        <v>0</v>
      </c>
      <c r="H91" s="67">
        <f>SUM(H85:H89)</f>
        <v>0</v>
      </c>
      <c r="I91" s="67">
        <f>SUM(I85:I89)</f>
        <v>0</v>
      </c>
      <c r="J91" s="67"/>
      <c r="K91" s="67">
        <f>SUM(K85:K89)</f>
        <v>0</v>
      </c>
      <c r="L91" s="67"/>
      <c r="M91" s="67">
        <f>SUM(M85:M89)</f>
        <v>26546.769443405668</v>
      </c>
      <c r="N91" s="67"/>
      <c r="O91" s="67">
        <f>SUM(O85:O89)</f>
        <v>1803757.8861940526</v>
      </c>
      <c r="P91" s="67">
        <f>SUM(P85:P89)</f>
        <v>750422.16886850062</v>
      </c>
      <c r="Q91" s="67"/>
      <c r="R91" s="67">
        <f>SUM(R85:R89)</f>
        <v>0</v>
      </c>
      <c r="S91" s="67">
        <f>SUM(S85:S89)</f>
        <v>330763.01246419136</v>
      </c>
      <c r="T91" s="67"/>
      <c r="U91" s="67">
        <f>SUM(U85:U89)</f>
        <v>119207.03345999475</v>
      </c>
      <c r="V91" s="67"/>
      <c r="W91" s="67">
        <f>SUM(W85:W89)</f>
        <v>99067.899569855334</v>
      </c>
      <c r="X91" s="67"/>
      <c r="Y91" s="67">
        <f>SUM(Y85:Y89)</f>
        <v>0</v>
      </c>
      <c r="Z91" s="67"/>
      <c r="AA91" s="67">
        <f>SUM(AA85:AA89)</f>
        <v>0</v>
      </c>
      <c r="AB91" s="50">
        <f>SUM(H91:AA91)</f>
        <v>3129764.7700000005</v>
      </c>
      <c r="AC91" s="28" t="str">
        <f>IF(ABS(AB91-F91)&lt;1,"ok","err")</f>
        <v>ok</v>
      </c>
    </row>
    <row r="92" spans="1:29" x14ac:dyDescent="0.25">
      <c r="A92" s="92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50"/>
      <c r="AC92" s="28"/>
    </row>
    <row r="93" spans="1:29" x14ac:dyDescent="0.25">
      <c r="A93" s="13" t="s">
        <v>365</v>
      </c>
      <c r="D93" s="50"/>
      <c r="F93" s="67">
        <f>F82+F91</f>
        <v>116832822.41</v>
      </c>
      <c r="G93" s="67">
        <f>G82+G91</f>
        <v>0</v>
      </c>
      <c r="H93" s="67">
        <f>H82+H91</f>
        <v>0</v>
      </c>
      <c r="I93" s="67">
        <f>I82+I91</f>
        <v>0</v>
      </c>
      <c r="J93" s="67"/>
      <c r="K93" s="67">
        <f>K82+K91</f>
        <v>0</v>
      </c>
      <c r="L93" s="67"/>
      <c r="M93" s="67">
        <f>M82+M91</f>
        <v>990979.90675530187</v>
      </c>
      <c r="N93" s="67"/>
      <c r="O93" s="67">
        <f>O82+O91</f>
        <v>67333534.714286759</v>
      </c>
      <c r="P93" s="67">
        <f>P82+P91</f>
        <v>28012948.713695366</v>
      </c>
      <c r="Q93" s="67"/>
      <c r="R93" s="67">
        <f>R82+R91</f>
        <v>0</v>
      </c>
      <c r="S93" s="67">
        <f>S82+S91</f>
        <v>12347246.242095532</v>
      </c>
      <c r="T93" s="67"/>
      <c r="U93" s="67">
        <f>U82+U91</f>
        <v>4449949.1794888135</v>
      </c>
      <c r="V93" s="67"/>
      <c r="W93" s="67">
        <f>W82+W91</f>
        <v>3698163.6536782361</v>
      </c>
      <c r="X93" s="67"/>
      <c r="Y93" s="67">
        <f>Y82+Y91</f>
        <v>0</v>
      </c>
      <c r="Z93" s="67"/>
      <c r="AA93" s="67">
        <f>AA82+AA91</f>
        <v>0</v>
      </c>
      <c r="AB93" s="50">
        <f>SUM(H93:AA93)</f>
        <v>116832822.41</v>
      </c>
      <c r="AC93" s="28" t="str">
        <f>IF(ABS(AB93-F93)&lt;1,"ok","err")</f>
        <v>ok</v>
      </c>
    </row>
    <row r="94" spans="1:29" x14ac:dyDescent="0.25">
      <c r="AC94" s="28"/>
    </row>
    <row r="95" spans="1:29" x14ac:dyDescent="0.25">
      <c r="A95" s="26" t="s">
        <v>76</v>
      </c>
      <c r="AC95" s="28"/>
    </row>
    <row r="96" spans="1:29" x14ac:dyDescent="0.25">
      <c r="AC96" s="28"/>
    </row>
    <row r="97" spans="1:29" x14ac:dyDescent="0.25">
      <c r="A97" s="26" t="s">
        <v>77</v>
      </c>
      <c r="AC97" s="28"/>
    </row>
    <row r="98" spans="1:29" x14ac:dyDescent="0.25">
      <c r="A98" s="14" t="s">
        <v>15</v>
      </c>
      <c r="C98" s="14">
        <v>113703061</v>
      </c>
      <c r="D98" s="90">
        <f>F98-C98</f>
        <v>-3.3599999994039536</v>
      </c>
      <c r="F98" s="90">
        <f>F82</f>
        <v>113703057.64</v>
      </c>
      <c r="G98" s="90"/>
      <c r="H98" s="90">
        <f>H82</f>
        <v>0</v>
      </c>
      <c r="I98" s="90">
        <f>I82</f>
        <v>0</v>
      </c>
      <c r="J98" s="90"/>
      <c r="K98" s="90">
        <f>K82</f>
        <v>0</v>
      </c>
      <c r="L98" s="90"/>
      <c r="M98" s="90">
        <f>M82</f>
        <v>964433.13731189619</v>
      </c>
      <c r="N98" s="90"/>
      <c r="O98" s="90">
        <f>O82</f>
        <v>65529776.828092709</v>
      </c>
      <c r="P98" s="90">
        <f>P82</f>
        <v>27262526.544826865</v>
      </c>
      <c r="Q98" s="90"/>
      <c r="R98" s="90">
        <f>R82</f>
        <v>0</v>
      </c>
      <c r="S98" s="90">
        <f>S82</f>
        <v>12016483.22963134</v>
      </c>
      <c r="T98" s="90"/>
      <c r="U98" s="90">
        <f>U82</f>
        <v>4330742.1460288186</v>
      </c>
      <c r="V98" s="90"/>
      <c r="W98" s="90">
        <f>W82</f>
        <v>3599095.7541083805</v>
      </c>
      <c r="X98" s="90"/>
      <c r="Y98" s="90">
        <f>Y82</f>
        <v>0</v>
      </c>
      <c r="Z98" s="90"/>
      <c r="AA98" s="90">
        <f>AA82</f>
        <v>0</v>
      </c>
      <c r="AB98" s="50">
        <f>SUM(H98:AA98)</f>
        <v>113703057.64</v>
      </c>
      <c r="AC98" s="28" t="str">
        <f>IF(ABS(AB98-F98)&lt;1,"ok","err")</f>
        <v>ok</v>
      </c>
    </row>
    <row r="99" spans="1:29" x14ac:dyDescent="0.25">
      <c r="A99" s="14" t="s">
        <v>73</v>
      </c>
      <c r="F99" s="50">
        <f>F91</f>
        <v>3129764.77</v>
      </c>
      <c r="G99" s="48">
        <f>G91</f>
        <v>0</v>
      </c>
      <c r="H99" s="48">
        <f>H91</f>
        <v>0</v>
      </c>
      <c r="I99" s="48">
        <f>I91</f>
        <v>0</v>
      </c>
      <c r="J99" s="48"/>
      <c r="K99" s="48">
        <f>K91</f>
        <v>0</v>
      </c>
      <c r="L99" s="48"/>
      <c r="M99" s="48">
        <f>M91</f>
        <v>26546.769443405668</v>
      </c>
      <c r="N99" s="48"/>
      <c r="O99" s="48">
        <f>O91</f>
        <v>1803757.8861940526</v>
      </c>
      <c r="P99" s="48">
        <f>P91</f>
        <v>750422.16886850062</v>
      </c>
      <c r="Q99" s="48"/>
      <c r="R99" s="48">
        <f>R91</f>
        <v>0</v>
      </c>
      <c r="S99" s="48">
        <f>S91</f>
        <v>330763.01246419136</v>
      </c>
      <c r="T99" s="48"/>
      <c r="U99" s="48">
        <f>U91</f>
        <v>119207.03345999475</v>
      </c>
      <c r="V99" s="48"/>
      <c r="W99" s="48">
        <f>W91</f>
        <v>99067.899569855334</v>
      </c>
      <c r="X99" s="48"/>
      <c r="Y99" s="48">
        <f>Y91</f>
        <v>0</v>
      </c>
      <c r="Z99" s="48"/>
      <c r="AA99" s="50">
        <f>AA91</f>
        <v>0</v>
      </c>
      <c r="AB99" s="50">
        <f>SUM(H99:AA99)</f>
        <v>3129764.7700000005</v>
      </c>
      <c r="AC99" s="28" t="str">
        <f>IF(ABS(AB99-F99)&lt;1,"ok","err")</f>
        <v>ok</v>
      </c>
    </row>
    <row r="100" spans="1:29" x14ac:dyDescent="0.25">
      <c r="Q100" s="14"/>
      <c r="AB100" s="50"/>
      <c r="AC100" s="28"/>
    </row>
    <row r="101" spans="1:29" x14ac:dyDescent="0.25">
      <c r="A101" s="92" t="s">
        <v>78</v>
      </c>
      <c r="C101" s="14" t="s">
        <v>79</v>
      </c>
      <c r="F101" s="90">
        <f>F98+F99</f>
        <v>116832822.41</v>
      </c>
      <c r="G101" s="90">
        <f t="shared" ref="G101:AA101" si="61">G98+G99</f>
        <v>0</v>
      </c>
      <c r="H101" s="90">
        <f t="shared" si="61"/>
        <v>0</v>
      </c>
      <c r="I101" s="90">
        <f t="shared" si="61"/>
        <v>0</v>
      </c>
      <c r="J101" s="90"/>
      <c r="K101" s="90">
        <f t="shared" si="61"/>
        <v>0</v>
      </c>
      <c r="L101" s="90"/>
      <c r="M101" s="90">
        <f t="shared" si="61"/>
        <v>990979.90675530187</v>
      </c>
      <c r="N101" s="90"/>
      <c r="O101" s="90">
        <f t="shared" si="61"/>
        <v>67333534.714286759</v>
      </c>
      <c r="P101" s="90">
        <f t="shared" si="61"/>
        <v>28012948.713695366</v>
      </c>
      <c r="Q101" s="90"/>
      <c r="R101" s="90">
        <f t="shared" si="61"/>
        <v>0</v>
      </c>
      <c r="S101" s="90">
        <f t="shared" si="61"/>
        <v>12347246.242095532</v>
      </c>
      <c r="T101" s="90"/>
      <c r="U101" s="90">
        <f t="shared" si="61"/>
        <v>4449949.1794888135</v>
      </c>
      <c r="V101" s="90"/>
      <c r="W101" s="90">
        <f t="shared" si="61"/>
        <v>3698163.6536782361</v>
      </c>
      <c r="X101" s="90"/>
      <c r="Y101" s="90">
        <f t="shared" si="61"/>
        <v>0</v>
      </c>
      <c r="Z101" s="90"/>
      <c r="AA101" s="90">
        <f t="shared" si="61"/>
        <v>0</v>
      </c>
      <c r="AB101" s="50">
        <f>SUM(H101:AA101)</f>
        <v>116832822.41</v>
      </c>
      <c r="AC101" s="28" t="str">
        <f>IF(ABS(AB101-F101)&lt;1,"ok","err")</f>
        <v>ok</v>
      </c>
    </row>
    <row r="102" spans="1:29" x14ac:dyDescent="0.25">
      <c r="Q102" s="14"/>
      <c r="AC102" s="28"/>
    </row>
    <row r="103" spans="1:29" x14ac:dyDescent="0.25">
      <c r="A103" s="26" t="s">
        <v>80</v>
      </c>
      <c r="Q103" s="14"/>
      <c r="AC103" s="28"/>
    </row>
    <row r="104" spans="1:29" x14ac:dyDescent="0.25">
      <c r="A104" s="14" t="s">
        <v>367</v>
      </c>
      <c r="C104" s="14" t="s">
        <v>392</v>
      </c>
      <c r="D104" s="14" t="s">
        <v>79</v>
      </c>
      <c r="F104" s="67"/>
      <c r="H104" s="50">
        <f t="shared" ref="H104:H122" si="62">IF(VLOOKUP($D104,$C$5:$AA$492,6,)=0,0,((VLOOKUP($D104,$C$5:$AA$492,6,)/VLOOKUP($D104,$C$5:$AA$492,4,))*$F104))</f>
        <v>0</v>
      </c>
      <c r="I104" s="50">
        <f t="shared" ref="I104:I122" si="63">IF(VLOOKUP($D104,$C$5:$AA$492,7,)=0,0,((VLOOKUP($D104,$C$5:$AA$492,7,)/VLOOKUP($D104,$C$5:$AA$492,4,))*$F104))</f>
        <v>0</v>
      </c>
      <c r="J104" s="50"/>
      <c r="K104" s="50">
        <f t="shared" ref="K104:K122" si="64">IF(VLOOKUP($D104,$C$5:$AA$492,9,)=0,0,((VLOOKUP($D104,$C$5:$AA$492,9,)/VLOOKUP($D104,$C$5:$AA$492,4,))*$F104))</f>
        <v>0</v>
      </c>
      <c r="L104" s="50"/>
      <c r="M104" s="50">
        <f t="shared" ref="M104:M122" si="65">IF(VLOOKUP($D104,$C$5:$AA$492,11,)=0,0,((VLOOKUP($D104,$C$5:$AA$492,11,)/VLOOKUP($D104,$C$5:$AA$492,4,))*$F104))</f>
        <v>0</v>
      </c>
      <c r="N104" s="50"/>
      <c r="O104" s="50">
        <f t="shared" ref="O104:O122" si="66">IF(VLOOKUP($D104,$C$5:$AA$492,13,)=0,0,((VLOOKUP($D104,$C$5:$AA$492,13,)/VLOOKUP($D104,$C$5:$AA$492,4,))*$F104))</f>
        <v>0</v>
      </c>
      <c r="P104" s="50">
        <f t="shared" ref="P104:P122" si="67">IF(VLOOKUP($D104,$C$5:$AA$492,14,)=0,0,((VLOOKUP($D104,$C$5:$AA$492,14,)/VLOOKUP($D104,$C$5:$AA$492,4,))*$F104))</f>
        <v>0</v>
      </c>
      <c r="Q104" s="50"/>
      <c r="R104" s="50">
        <f t="shared" ref="R104:R122" si="68">IF(VLOOKUP($D104,$C$5:$AA$492,16,)=0,0,((VLOOKUP($D104,$C$5:$AA$492,16,)/VLOOKUP($D104,$C$5:$AA$492,4,))*$F104))</f>
        <v>0</v>
      </c>
      <c r="S104" s="50">
        <f t="shared" ref="S104:S122" si="69">IF(VLOOKUP($D104,$C$5:$AA$492,17,)=0,0,((VLOOKUP($D104,$C$5:$AA$492,17,)/VLOOKUP($D104,$C$5:$AA$492,4,))*$F104))</f>
        <v>0</v>
      </c>
      <c r="T104" s="50"/>
      <c r="U104" s="50">
        <f t="shared" ref="U104:U122" si="70">IF(VLOOKUP($D104,$C$5:$AA$492,19,)=0,0,((VLOOKUP($D104,$C$5:$AA$492,19,)/VLOOKUP($D104,$C$5:$AA$492,4,))*$F104))</f>
        <v>0</v>
      </c>
      <c r="V104" s="50"/>
      <c r="W104" s="50">
        <f t="shared" ref="W104:W122" si="71">IF(VLOOKUP($D104,$C$5:$AA$492,21,)=0,0,((VLOOKUP($D104,$C$5:$AA$492,21,)/VLOOKUP($D104,$C$5:$AA$492,4,))*$F104))</f>
        <v>0</v>
      </c>
      <c r="X104" s="50"/>
      <c r="Y104" s="50">
        <f t="shared" ref="Y104:Y122" si="72">IF(VLOOKUP($D104,$C$5:$AA$492,23,)=0,0,((VLOOKUP($D104,$C$5:$AA$492,23,)/VLOOKUP($D104,$C$5:$AA$492,4,))*$F104))</f>
        <v>0</v>
      </c>
      <c r="Z104" s="50"/>
      <c r="AA104" s="50">
        <f t="shared" ref="AA104:AA122" si="73">IF(VLOOKUP($D104,$C$5:$AA$492,25,)=0,0,((VLOOKUP($D104,$C$5:$AA$492,25,)/VLOOKUP($D104,$C$5:$AA$492,4,))*$F104))</f>
        <v>0</v>
      </c>
      <c r="AB104" s="50">
        <f t="shared" ref="AB104:AB122" si="74">SUM(H104:AA104)</f>
        <v>0</v>
      </c>
      <c r="AC104" s="28" t="str">
        <f t="shared" ref="AC104:AC110" si="75">IF(ABS(AB104-F104)&lt;1,"ok","err")</f>
        <v>ok</v>
      </c>
    </row>
    <row r="105" spans="1:29" x14ac:dyDescent="0.25">
      <c r="A105" s="14" t="s">
        <v>368</v>
      </c>
      <c r="C105" s="14" t="s">
        <v>393</v>
      </c>
      <c r="D105" s="14" t="s">
        <v>16</v>
      </c>
      <c r="F105" s="50">
        <v>-165044</v>
      </c>
      <c r="H105" s="50">
        <f t="shared" si="62"/>
        <v>0</v>
      </c>
      <c r="I105" s="50">
        <f t="shared" si="63"/>
        <v>0</v>
      </c>
      <c r="J105" s="50"/>
      <c r="K105" s="50">
        <f t="shared" si="64"/>
        <v>0</v>
      </c>
      <c r="L105" s="50"/>
      <c r="M105" s="50">
        <f t="shared" si="65"/>
        <v>-1399.9087273314299</v>
      </c>
      <c r="N105" s="50"/>
      <c r="O105" s="50">
        <f t="shared" si="66"/>
        <v>-95118.783182229759</v>
      </c>
      <c r="P105" s="50">
        <f t="shared" si="67"/>
        <v>-39572.519195662368</v>
      </c>
      <c r="Q105" s="50"/>
      <c r="R105" s="50">
        <f t="shared" si="68"/>
        <v>0</v>
      </c>
      <c r="S105" s="50">
        <f t="shared" si="69"/>
        <v>-17442.349390730727</v>
      </c>
      <c r="T105" s="50"/>
      <c r="U105" s="50">
        <f t="shared" si="70"/>
        <v>-6286.225028461603</v>
      </c>
      <c r="V105" s="50"/>
      <c r="W105" s="50">
        <f t="shared" si="71"/>
        <v>-5224.21447558412</v>
      </c>
      <c r="X105" s="50"/>
      <c r="Y105" s="50">
        <f t="shared" si="72"/>
        <v>0</v>
      </c>
      <c r="Z105" s="50"/>
      <c r="AA105" s="50">
        <f t="shared" si="73"/>
        <v>0</v>
      </c>
      <c r="AB105" s="50">
        <f t="shared" si="74"/>
        <v>-165044.00000000003</v>
      </c>
      <c r="AC105" s="28" t="str">
        <f t="shared" si="75"/>
        <v>ok</v>
      </c>
    </row>
    <row r="106" spans="1:29" x14ac:dyDescent="0.25">
      <c r="A106" s="14" t="s">
        <v>832</v>
      </c>
      <c r="C106" s="14" t="s">
        <v>837</v>
      </c>
      <c r="D106" s="14" t="s">
        <v>781</v>
      </c>
      <c r="F106" s="50">
        <v>0</v>
      </c>
      <c r="H106" s="50">
        <f t="shared" si="62"/>
        <v>0</v>
      </c>
      <c r="I106" s="50">
        <f t="shared" si="63"/>
        <v>0</v>
      </c>
      <c r="J106" s="50"/>
      <c r="K106" s="50">
        <f t="shared" si="64"/>
        <v>0</v>
      </c>
      <c r="L106" s="50"/>
      <c r="M106" s="50">
        <f t="shared" si="65"/>
        <v>0</v>
      </c>
      <c r="N106" s="50"/>
      <c r="O106" s="50">
        <f t="shared" si="66"/>
        <v>0</v>
      </c>
      <c r="P106" s="50">
        <f t="shared" si="67"/>
        <v>0</v>
      </c>
      <c r="Q106" s="50"/>
      <c r="R106" s="50">
        <f t="shared" si="68"/>
        <v>0</v>
      </c>
      <c r="S106" s="50">
        <f t="shared" si="69"/>
        <v>0</v>
      </c>
      <c r="T106" s="50"/>
      <c r="U106" s="50">
        <f t="shared" si="70"/>
        <v>0</v>
      </c>
      <c r="V106" s="50"/>
      <c r="W106" s="50">
        <f t="shared" si="71"/>
        <v>0</v>
      </c>
      <c r="X106" s="50"/>
      <c r="Y106" s="50">
        <f t="shared" si="72"/>
        <v>0</v>
      </c>
      <c r="Z106" s="50"/>
      <c r="AA106" s="50">
        <f t="shared" si="73"/>
        <v>0</v>
      </c>
      <c r="AB106" s="50">
        <f t="shared" si="74"/>
        <v>0</v>
      </c>
      <c r="AC106" s="28" t="str">
        <f t="shared" si="75"/>
        <v>ok</v>
      </c>
    </row>
    <row r="107" spans="1:29" x14ac:dyDescent="0.25">
      <c r="A107" s="14" t="s">
        <v>366</v>
      </c>
      <c r="C107" s="14" t="s">
        <v>394</v>
      </c>
      <c r="D107" s="14" t="s">
        <v>389</v>
      </c>
      <c r="F107" s="50">
        <v>0</v>
      </c>
      <c r="H107" s="50">
        <f t="shared" si="62"/>
        <v>0</v>
      </c>
      <c r="I107" s="50">
        <f t="shared" si="63"/>
        <v>0</v>
      </c>
      <c r="J107" s="50"/>
      <c r="K107" s="50">
        <f t="shared" si="64"/>
        <v>0</v>
      </c>
      <c r="L107" s="50"/>
      <c r="M107" s="50">
        <f t="shared" si="65"/>
        <v>0</v>
      </c>
      <c r="N107" s="50"/>
      <c r="O107" s="50">
        <f t="shared" si="66"/>
        <v>0</v>
      </c>
      <c r="P107" s="50">
        <f t="shared" si="67"/>
        <v>0</v>
      </c>
      <c r="Q107" s="50"/>
      <c r="R107" s="50">
        <f t="shared" si="68"/>
        <v>0</v>
      </c>
      <c r="S107" s="50">
        <f t="shared" si="69"/>
        <v>0</v>
      </c>
      <c r="T107" s="50"/>
      <c r="U107" s="50">
        <f t="shared" si="70"/>
        <v>0</v>
      </c>
      <c r="V107" s="50"/>
      <c r="W107" s="50">
        <f t="shared" si="71"/>
        <v>0</v>
      </c>
      <c r="X107" s="50"/>
      <c r="Y107" s="50">
        <f t="shared" si="72"/>
        <v>0</v>
      </c>
      <c r="Z107" s="50"/>
      <c r="AA107" s="50">
        <f t="shared" si="73"/>
        <v>0</v>
      </c>
      <c r="AB107" s="50">
        <f t="shared" si="74"/>
        <v>0</v>
      </c>
      <c r="AC107" s="28" t="str">
        <f t="shared" si="75"/>
        <v>ok</v>
      </c>
    </row>
    <row r="108" spans="1:29" x14ac:dyDescent="0.25">
      <c r="A108" s="14" t="s">
        <v>578</v>
      </c>
      <c r="C108" s="14" t="s">
        <v>447</v>
      </c>
      <c r="D108" s="14" t="s">
        <v>16</v>
      </c>
      <c r="F108" s="50">
        <v>22945968</v>
      </c>
      <c r="H108" s="50">
        <f t="shared" si="62"/>
        <v>0</v>
      </c>
      <c r="I108" s="50">
        <f t="shared" si="63"/>
        <v>0</v>
      </c>
      <c r="J108" s="50"/>
      <c r="K108" s="50">
        <f t="shared" si="64"/>
        <v>0</v>
      </c>
      <c r="L108" s="50"/>
      <c r="M108" s="50">
        <f t="shared" si="65"/>
        <v>194628.46792532728</v>
      </c>
      <c r="N108" s="50"/>
      <c r="O108" s="50">
        <f t="shared" si="66"/>
        <v>13224307.185346831</v>
      </c>
      <c r="P108" s="50">
        <f t="shared" si="67"/>
        <v>5501743.5298650935</v>
      </c>
      <c r="Q108" s="50"/>
      <c r="R108" s="50">
        <f t="shared" si="68"/>
        <v>0</v>
      </c>
      <c r="S108" s="50">
        <f t="shared" si="69"/>
        <v>2424999.3393551223</v>
      </c>
      <c r="T108" s="50"/>
      <c r="U108" s="50">
        <f t="shared" si="70"/>
        <v>873970.08278931095</v>
      </c>
      <c r="V108" s="50"/>
      <c r="W108" s="50">
        <f t="shared" si="71"/>
        <v>726319.39471831755</v>
      </c>
      <c r="X108" s="50"/>
      <c r="Y108" s="50">
        <f t="shared" si="72"/>
        <v>0</v>
      </c>
      <c r="Z108" s="50"/>
      <c r="AA108" s="50">
        <f t="shared" si="73"/>
        <v>0</v>
      </c>
      <c r="AB108" s="50">
        <f t="shared" si="74"/>
        <v>22945968.000000004</v>
      </c>
      <c r="AC108" s="28" t="str">
        <f t="shared" si="75"/>
        <v>ok</v>
      </c>
    </row>
    <row r="109" spans="1:29" x14ac:dyDescent="0.25">
      <c r="A109" s="14" t="s">
        <v>425</v>
      </c>
      <c r="C109" s="14" t="s">
        <v>435</v>
      </c>
      <c r="D109" s="14" t="s">
        <v>423</v>
      </c>
      <c r="F109" s="50">
        <v>0</v>
      </c>
      <c r="H109" s="50">
        <f t="shared" si="62"/>
        <v>0</v>
      </c>
      <c r="I109" s="50">
        <f t="shared" si="63"/>
        <v>0</v>
      </c>
      <c r="J109" s="50"/>
      <c r="K109" s="50">
        <f t="shared" si="64"/>
        <v>0</v>
      </c>
      <c r="L109" s="50"/>
      <c r="M109" s="50">
        <f t="shared" si="65"/>
        <v>0</v>
      </c>
      <c r="N109" s="50"/>
      <c r="O109" s="50">
        <f t="shared" si="66"/>
        <v>0</v>
      </c>
      <c r="P109" s="50">
        <f t="shared" si="67"/>
        <v>0</v>
      </c>
      <c r="Q109" s="50"/>
      <c r="R109" s="50">
        <f t="shared" si="68"/>
        <v>0</v>
      </c>
      <c r="S109" s="50">
        <f t="shared" si="69"/>
        <v>0</v>
      </c>
      <c r="T109" s="50"/>
      <c r="U109" s="50">
        <f t="shared" si="70"/>
        <v>0</v>
      </c>
      <c r="V109" s="50"/>
      <c r="W109" s="50">
        <f t="shared" si="71"/>
        <v>0</v>
      </c>
      <c r="X109" s="50"/>
      <c r="Y109" s="50">
        <f t="shared" si="72"/>
        <v>0</v>
      </c>
      <c r="Z109" s="50"/>
      <c r="AA109" s="50">
        <f t="shared" si="73"/>
        <v>0</v>
      </c>
      <c r="AB109" s="50">
        <f t="shared" si="74"/>
        <v>0</v>
      </c>
      <c r="AC109" s="28" t="str">
        <f t="shared" si="75"/>
        <v>ok</v>
      </c>
    </row>
    <row r="110" spans="1:29" x14ac:dyDescent="0.25">
      <c r="A110" s="14" t="s">
        <v>426</v>
      </c>
      <c r="C110" s="14" t="s">
        <v>436</v>
      </c>
      <c r="D110" s="14" t="s">
        <v>23</v>
      </c>
      <c r="F110" s="50">
        <v>0</v>
      </c>
      <c r="H110" s="50">
        <f t="shared" si="62"/>
        <v>0</v>
      </c>
      <c r="I110" s="50">
        <f t="shared" si="63"/>
        <v>0</v>
      </c>
      <c r="J110" s="50"/>
      <c r="K110" s="50">
        <f t="shared" si="64"/>
        <v>0</v>
      </c>
      <c r="L110" s="50"/>
      <c r="M110" s="50">
        <f t="shared" si="65"/>
        <v>0</v>
      </c>
      <c r="N110" s="50"/>
      <c r="O110" s="50">
        <f t="shared" si="66"/>
        <v>0</v>
      </c>
      <c r="P110" s="50">
        <f t="shared" si="67"/>
        <v>0</v>
      </c>
      <c r="Q110" s="50"/>
      <c r="R110" s="50">
        <f t="shared" si="68"/>
        <v>0</v>
      </c>
      <c r="S110" s="50">
        <f t="shared" si="69"/>
        <v>0</v>
      </c>
      <c r="T110" s="50"/>
      <c r="U110" s="50">
        <f t="shared" si="70"/>
        <v>0</v>
      </c>
      <c r="V110" s="50"/>
      <c r="W110" s="50">
        <f t="shared" si="71"/>
        <v>0</v>
      </c>
      <c r="X110" s="50"/>
      <c r="Y110" s="50">
        <f t="shared" si="72"/>
        <v>0</v>
      </c>
      <c r="Z110" s="50"/>
      <c r="AA110" s="50">
        <f t="shared" si="73"/>
        <v>0</v>
      </c>
      <c r="AB110" s="50">
        <f t="shared" si="74"/>
        <v>0</v>
      </c>
      <c r="AC110" s="28" t="str">
        <f t="shared" si="75"/>
        <v>ok</v>
      </c>
    </row>
    <row r="111" spans="1:29" x14ac:dyDescent="0.25">
      <c r="A111" s="14" t="s">
        <v>427</v>
      </c>
      <c r="C111" s="14" t="s">
        <v>437</v>
      </c>
      <c r="D111" s="14" t="s">
        <v>26</v>
      </c>
      <c r="F111" s="50">
        <v>0</v>
      </c>
      <c r="H111" s="50">
        <f t="shared" si="62"/>
        <v>0</v>
      </c>
      <c r="I111" s="50">
        <f t="shared" si="63"/>
        <v>0</v>
      </c>
      <c r="J111" s="50"/>
      <c r="K111" s="50">
        <f t="shared" si="64"/>
        <v>0</v>
      </c>
      <c r="L111" s="50"/>
      <c r="M111" s="50">
        <f t="shared" si="65"/>
        <v>0</v>
      </c>
      <c r="N111" s="50"/>
      <c r="O111" s="50">
        <f t="shared" si="66"/>
        <v>0</v>
      </c>
      <c r="P111" s="50">
        <f t="shared" si="67"/>
        <v>0</v>
      </c>
      <c r="Q111" s="50"/>
      <c r="R111" s="50">
        <f t="shared" si="68"/>
        <v>0</v>
      </c>
      <c r="S111" s="50">
        <f t="shared" si="69"/>
        <v>0</v>
      </c>
      <c r="T111" s="50"/>
      <c r="U111" s="50">
        <f t="shared" si="70"/>
        <v>0</v>
      </c>
      <c r="V111" s="50"/>
      <c r="W111" s="50">
        <f t="shared" si="71"/>
        <v>0</v>
      </c>
      <c r="X111" s="50"/>
      <c r="Y111" s="50">
        <f t="shared" si="72"/>
        <v>0</v>
      </c>
      <c r="Z111" s="50"/>
      <c r="AA111" s="50">
        <f t="shared" si="73"/>
        <v>0</v>
      </c>
      <c r="AB111" s="50">
        <f t="shared" si="74"/>
        <v>0</v>
      </c>
      <c r="AC111" s="28" t="str">
        <f t="shared" ref="AC111:AC119" si="76">IF(ABS(AB111-F111)&lt;1,"ok","err")</f>
        <v>ok</v>
      </c>
    </row>
    <row r="112" spans="1:29" x14ac:dyDescent="0.25">
      <c r="A112" s="14" t="s">
        <v>428</v>
      </c>
      <c r="C112" s="14" t="s">
        <v>438</v>
      </c>
      <c r="D112" s="14" t="s">
        <v>29</v>
      </c>
      <c r="F112" s="50">
        <v>0</v>
      </c>
      <c r="H112" s="50">
        <f t="shared" si="62"/>
        <v>0</v>
      </c>
      <c r="I112" s="50">
        <f t="shared" si="63"/>
        <v>0</v>
      </c>
      <c r="J112" s="50"/>
      <c r="K112" s="50">
        <f t="shared" si="64"/>
        <v>0</v>
      </c>
      <c r="L112" s="50"/>
      <c r="M112" s="50">
        <f t="shared" si="65"/>
        <v>0</v>
      </c>
      <c r="N112" s="50"/>
      <c r="O112" s="50">
        <f t="shared" si="66"/>
        <v>0</v>
      </c>
      <c r="P112" s="50">
        <f t="shared" si="67"/>
        <v>0</v>
      </c>
      <c r="Q112" s="50"/>
      <c r="R112" s="50">
        <f t="shared" si="68"/>
        <v>0</v>
      </c>
      <c r="S112" s="50">
        <f t="shared" si="69"/>
        <v>0</v>
      </c>
      <c r="T112" s="50"/>
      <c r="U112" s="50">
        <f t="shared" si="70"/>
        <v>0</v>
      </c>
      <c r="V112" s="50"/>
      <c r="W112" s="50">
        <f t="shared" si="71"/>
        <v>0</v>
      </c>
      <c r="X112" s="50"/>
      <c r="Y112" s="50">
        <f t="shared" si="72"/>
        <v>0</v>
      </c>
      <c r="Z112" s="50"/>
      <c r="AA112" s="50">
        <f t="shared" si="73"/>
        <v>0</v>
      </c>
      <c r="AB112" s="50">
        <f t="shared" si="74"/>
        <v>0</v>
      </c>
      <c r="AC112" s="28" t="str">
        <f t="shared" si="76"/>
        <v>ok</v>
      </c>
    </row>
    <row r="113" spans="1:29" x14ac:dyDescent="0.25">
      <c r="A113" s="14" t="s">
        <v>446</v>
      </c>
      <c r="C113" s="14" t="s">
        <v>439</v>
      </c>
      <c r="D113" s="14" t="s">
        <v>32</v>
      </c>
      <c r="F113" s="50">
        <v>0</v>
      </c>
      <c r="H113" s="50">
        <f t="shared" si="62"/>
        <v>0</v>
      </c>
      <c r="I113" s="50">
        <f t="shared" si="63"/>
        <v>0</v>
      </c>
      <c r="J113" s="50"/>
      <c r="K113" s="50">
        <f t="shared" si="64"/>
        <v>0</v>
      </c>
      <c r="L113" s="50"/>
      <c r="M113" s="50">
        <f t="shared" si="65"/>
        <v>0</v>
      </c>
      <c r="N113" s="50"/>
      <c r="O113" s="50">
        <f t="shared" si="66"/>
        <v>0</v>
      </c>
      <c r="P113" s="50">
        <f t="shared" si="67"/>
        <v>0</v>
      </c>
      <c r="Q113" s="50"/>
      <c r="R113" s="50">
        <f t="shared" si="68"/>
        <v>0</v>
      </c>
      <c r="S113" s="50">
        <f t="shared" si="69"/>
        <v>0</v>
      </c>
      <c r="T113" s="50"/>
      <c r="U113" s="50">
        <f t="shared" si="70"/>
        <v>0</v>
      </c>
      <c r="V113" s="50"/>
      <c r="W113" s="50">
        <f t="shared" si="71"/>
        <v>0</v>
      </c>
      <c r="X113" s="50"/>
      <c r="Y113" s="50">
        <f t="shared" si="72"/>
        <v>0</v>
      </c>
      <c r="Z113" s="50"/>
      <c r="AA113" s="50">
        <f t="shared" si="73"/>
        <v>0</v>
      </c>
      <c r="AB113" s="50">
        <f t="shared" si="74"/>
        <v>0</v>
      </c>
      <c r="AC113" s="28" t="str">
        <f t="shared" si="76"/>
        <v>ok</v>
      </c>
    </row>
    <row r="114" spans="1:29" x14ac:dyDescent="0.25">
      <c r="A114" s="14" t="s">
        <v>429</v>
      </c>
      <c r="C114" s="14" t="s">
        <v>440</v>
      </c>
      <c r="D114" s="14" t="s">
        <v>35</v>
      </c>
      <c r="F114" s="50">
        <v>0</v>
      </c>
      <c r="H114" s="50">
        <f t="shared" si="62"/>
        <v>0</v>
      </c>
      <c r="I114" s="50">
        <f t="shared" si="63"/>
        <v>0</v>
      </c>
      <c r="J114" s="50"/>
      <c r="K114" s="50">
        <f t="shared" si="64"/>
        <v>0</v>
      </c>
      <c r="L114" s="50"/>
      <c r="M114" s="50">
        <f t="shared" si="65"/>
        <v>0</v>
      </c>
      <c r="N114" s="50"/>
      <c r="O114" s="50">
        <f t="shared" si="66"/>
        <v>0</v>
      </c>
      <c r="P114" s="50">
        <f t="shared" si="67"/>
        <v>0</v>
      </c>
      <c r="Q114" s="50"/>
      <c r="R114" s="50">
        <f t="shared" si="68"/>
        <v>0</v>
      </c>
      <c r="S114" s="50">
        <f t="shared" si="69"/>
        <v>0</v>
      </c>
      <c r="T114" s="50"/>
      <c r="U114" s="50">
        <f t="shared" si="70"/>
        <v>0</v>
      </c>
      <c r="V114" s="50"/>
      <c r="W114" s="50">
        <f t="shared" si="71"/>
        <v>0</v>
      </c>
      <c r="X114" s="50"/>
      <c r="Y114" s="50">
        <f t="shared" si="72"/>
        <v>0</v>
      </c>
      <c r="Z114" s="50"/>
      <c r="AA114" s="50">
        <f t="shared" si="73"/>
        <v>0</v>
      </c>
      <c r="AB114" s="50">
        <f t="shared" si="74"/>
        <v>0</v>
      </c>
      <c r="AC114" s="28" t="str">
        <f t="shared" si="76"/>
        <v>ok</v>
      </c>
    </row>
    <row r="115" spans="1:29" x14ac:dyDescent="0.25">
      <c r="A115" s="14" t="s">
        <v>430</v>
      </c>
      <c r="C115" s="14" t="s">
        <v>441</v>
      </c>
      <c r="D115" s="14" t="s">
        <v>37</v>
      </c>
      <c r="F115" s="50">
        <v>0</v>
      </c>
      <c r="H115" s="50">
        <f t="shared" si="62"/>
        <v>0</v>
      </c>
      <c r="I115" s="50">
        <f t="shared" si="63"/>
        <v>0</v>
      </c>
      <c r="J115" s="50"/>
      <c r="K115" s="50">
        <f t="shared" si="64"/>
        <v>0</v>
      </c>
      <c r="L115" s="50"/>
      <c r="M115" s="50">
        <f t="shared" si="65"/>
        <v>0</v>
      </c>
      <c r="N115" s="50"/>
      <c r="O115" s="50">
        <f t="shared" si="66"/>
        <v>0</v>
      </c>
      <c r="P115" s="50">
        <f t="shared" si="67"/>
        <v>0</v>
      </c>
      <c r="Q115" s="50"/>
      <c r="R115" s="50">
        <f t="shared" si="68"/>
        <v>0</v>
      </c>
      <c r="S115" s="50">
        <f t="shared" si="69"/>
        <v>0</v>
      </c>
      <c r="T115" s="50"/>
      <c r="U115" s="50">
        <f t="shared" si="70"/>
        <v>0</v>
      </c>
      <c r="V115" s="50"/>
      <c r="W115" s="50">
        <f t="shared" si="71"/>
        <v>0</v>
      </c>
      <c r="X115" s="50"/>
      <c r="Y115" s="50">
        <f t="shared" si="72"/>
        <v>0</v>
      </c>
      <c r="Z115" s="50"/>
      <c r="AA115" s="50">
        <f t="shared" si="73"/>
        <v>0</v>
      </c>
      <c r="AB115" s="50">
        <f t="shared" si="74"/>
        <v>0</v>
      </c>
      <c r="AC115" s="28" t="str">
        <f>IF(ABS(AB115-F115)&lt;1,"ok","err")</f>
        <v>ok</v>
      </c>
    </row>
    <row r="116" spans="1:29" x14ac:dyDescent="0.25">
      <c r="A116" s="14" t="s">
        <v>431</v>
      </c>
      <c r="C116" s="14" t="s">
        <v>442</v>
      </c>
      <c r="D116" s="14" t="s">
        <v>40</v>
      </c>
      <c r="F116" s="50">
        <v>0</v>
      </c>
      <c r="H116" s="50">
        <f t="shared" si="62"/>
        <v>0</v>
      </c>
      <c r="I116" s="50">
        <f t="shared" si="63"/>
        <v>0</v>
      </c>
      <c r="J116" s="50"/>
      <c r="K116" s="50">
        <f t="shared" si="64"/>
        <v>0</v>
      </c>
      <c r="L116" s="50"/>
      <c r="M116" s="50">
        <f t="shared" si="65"/>
        <v>0</v>
      </c>
      <c r="N116" s="50"/>
      <c r="O116" s="50">
        <f t="shared" si="66"/>
        <v>0</v>
      </c>
      <c r="P116" s="50">
        <f t="shared" si="67"/>
        <v>0</v>
      </c>
      <c r="Q116" s="50"/>
      <c r="R116" s="50">
        <f t="shared" si="68"/>
        <v>0</v>
      </c>
      <c r="S116" s="50">
        <f t="shared" si="69"/>
        <v>0</v>
      </c>
      <c r="T116" s="50"/>
      <c r="U116" s="50">
        <f t="shared" si="70"/>
        <v>0</v>
      </c>
      <c r="V116" s="50"/>
      <c r="W116" s="50">
        <f t="shared" si="71"/>
        <v>0</v>
      </c>
      <c r="X116" s="50"/>
      <c r="Y116" s="50">
        <f t="shared" si="72"/>
        <v>0</v>
      </c>
      <c r="Z116" s="50"/>
      <c r="AA116" s="50">
        <f t="shared" si="73"/>
        <v>0</v>
      </c>
      <c r="AB116" s="50">
        <f t="shared" si="74"/>
        <v>0</v>
      </c>
      <c r="AC116" s="28" t="str">
        <f t="shared" si="76"/>
        <v>ok</v>
      </c>
    </row>
    <row r="117" spans="1:29" x14ac:dyDescent="0.25">
      <c r="A117" s="14" t="s">
        <v>432</v>
      </c>
      <c r="C117" s="14" t="s">
        <v>443</v>
      </c>
      <c r="D117" s="14" t="s">
        <v>43</v>
      </c>
      <c r="F117" s="50">
        <v>0</v>
      </c>
      <c r="H117" s="50">
        <f t="shared" si="62"/>
        <v>0</v>
      </c>
      <c r="I117" s="50">
        <f t="shared" si="63"/>
        <v>0</v>
      </c>
      <c r="J117" s="50"/>
      <c r="K117" s="50">
        <f t="shared" si="64"/>
        <v>0</v>
      </c>
      <c r="L117" s="50"/>
      <c r="M117" s="50">
        <f t="shared" si="65"/>
        <v>0</v>
      </c>
      <c r="N117" s="50"/>
      <c r="O117" s="50">
        <f t="shared" si="66"/>
        <v>0</v>
      </c>
      <c r="P117" s="50">
        <f t="shared" si="67"/>
        <v>0</v>
      </c>
      <c r="Q117" s="50"/>
      <c r="R117" s="50">
        <f t="shared" si="68"/>
        <v>0</v>
      </c>
      <c r="S117" s="50">
        <f t="shared" si="69"/>
        <v>0</v>
      </c>
      <c r="T117" s="50"/>
      <c r="U117" s="50">
        <f t="shared" si="70"/>
        <v>0</v>
      </c>
      <c r="V117" s="50"/>
      <c r="W117" s="50">
        <f t="shared" si="71"/>
        <v>0</v>
      </c>
      <c r="X117" s="50"/>
      <c r="Y117" s="50">
        <f t="shared" si="72"/>
        <v>0</v>
      </c>
      <c r="Z117" s="50"/>
      <c r="AA117" s="50">
        <f t="shared" si="73"/>
        <v>0</v>
      </c>
      <c r="AB117" s="50">
        <f t="shared" si="74"/>
        <v>0</v>
      </c>
      <c r="AC117" s="28" t="str">
        <f t="shared" si="76"/>
        <v>ok</v>
      </c>
    </row>
    <row r="118" spans="1:29" x14ac:dyDescent="0.25">
      <c r="A118" s="14" t="s">
        <v>433</v>
      </c>
      <c r="C118" s="14" t="s">
        <v>444</v>
      </c>
      <c r="D118" s="14" t="s">
        <v>46</v>
      </c>
      <c r="F118" s="50">
        <v>0</v>
      </c>
      <c r="H118" s="50">
        <f t="shared" si="62"/>
        <v>0</v>
      </c>
      <c r="I118" s="50">
        <f t="shared" si="63"/>
        <v>0</v>
      </c>
      <c r="J118" s="50"/>
      <c r="K118" s="50">
        <f t="shared" si="64"/>
        <v>0</v>
      </c>
      <c r="L118" s="50"/>
      <c r="M118" s="50">
        <f t="shared" si="65"/>
        <v>0</v>
      </c>
      <c r="N118" s="50"/>
      <c r="O118" s="50">
        <f t="shared" si="66"/>
        <v>0</v>
      </c>
      <c r="P118" s="50">
        <f t="shared" si="67"/>
        <v>0</v>
      </c>
      <c r="Q118" s="50"/>
      <c r="R118" s="50">
        <f t="shared" si="68"/>
        <v>0</v>
      </c>
      <c r="S118" s="50">
        <f t="shared" si="69"/>
        <v>0</v>
      </c>
      <c r="T118" s="50"/>
      <c r="U118" s="50">
        <f t="shared" si="70"/>
        <v>0</v>
      </c>
      <c r="V118" s="50"/>
      <c r="W118" s="50">
        <f t="shared" si="71"/>
        <v>0</v>
      </c>
      <c r="X118" s="50"/>
      <c r="Y118" s="50">
        <f t="shared" si="72"/>
        <v>0</v>
      </c>
      <c r="Z118" s="50"/>
      <c r="AA118" s="50">
        <f t="shared" si="73"/>
        <v>0</v>
      </c>
      <c r="AB118" s="50">
        <f t="shared" si="74"/>
        <v>0</v>
      </c>
      <c r="AC118" s="28" t="str">
        <f t="shared" si="76"/>
        <v>ok</v>
      </c>
    </row>
    <row r="119" spans="1:29" x14ac:dyDescent="0.25">
      <c r="A119" s="14" t="s">
        <v>434</v>
      </c>
      <c r="C119" s="14" t="s">
        <v>445</v>
      </c>
      <c r="D119" s="14" t="s">
        <v>48</v>
      </c>
      <c r="F119" s="50">
        <v>0</v>
      </c>
      <c r="H119" s="50">
        <f t="shared" si="62"/>
        <v>0</v>
      </c>
      <c r="I119" s="50">
        <f t="shared" si="63"/>
        <v>0</v>
      </c>
      <c r="J119" s="50"/>
      <c r="K119" s="50">
        <f t="shared" si="64"/>
        <v>0</v>
      </c>
      <c r="L119" s="50"/>
      <c r="M119" s="50">
        <f t="shared" si="65"/>
        <v>0</v>
      </c>
      <c r="N119" s="50"/>
      <c r="O119" s="50">
        <f t="shared" si="66"/>
        <v>0</v>
      </c>
      <c r="P119" s="50">
        <f t="shared" si="67"/>
        <v>0</v>
      </c>
      <c r="Q119" s="50"/>
      <c r="R119" s="50">
        <f t="shared" si="68"/>
        <v>0</v>
      </c>
      <c r="S119" s="50">
        <f t="shared" si="69"/>
        <v>0</v>
      </c>
      <c r="T119" s="50"/>
      <c r="U119" s="50">
        <f t="shared" si="70"/>
        <v>0</v>
      </c>
      <c r="V119" s="50"/>
      <c r="W119" s="50">
        <f t="shared" si="71"/>
        <v>0</v>
      </c>
      <c r="X119" s="50"/>
      <c r="Y119" s="50">
        <f t="shared" si="72"/>
        <v>0</v>
      </c>
      <c r="Z119" s="50"/>
      <c r="AA119" s="50">
        <f t="shared" si="73"/>
        <v>0</v>
      </c>
      <c r="AB119" s="50">
        <f t="shared" si="74"/>
        <v>0</v>
      </c>
      <c r="AC119" s="28" t="str">
        <f t="shared" si="76"/>
        <v>ok</v>
      </c>
    </row>
    <row r="120" spans="1:29" x14ac:dyDescent="0.25">
      <c r="A120" s="14" t="s">
        <v>834</v>
      </c>
      <c r="D120" s="14" t="s">
        <v>70</v>
      </c>
      <c r="F120" s="50">
        <v>0</v>
      </c>
      <c r="H120" s="50">
        <f t="shared" si="62"/>
        <v>0</v>
      </c>
      <c r="I120" s="50">
        <f t="shared" si="63"/>
        <v>0</v>
      </c>
      <c r="J120" s="50"/>
      <c r="K120" s="50">
        <f t="shared" si="64"/>
        <v>0</v>
      </c>
      <c r="L120" s="50"/>
      <c r="M120" s="50">
        <f t="shared" si="65"/>
        <v>0</v>
      </c>
      <c r="N120" s="50"/>
      <c r="O120" s="50">
        <f t="shared" si="66"/>
        <v>0</v>
      </c>
      <c r="P120" s="50">
        <f t="shared" si="67"/>
        <v>0</v>
      </c>
      <c r="Q120" s="50"/>
      <c r="R120" s="50">
        <f t="shared" si="68"/>
        <v>0</v>
      </c>
      <c r="S120" s="50">
        <f t="shared" si="69"/>
        <v>0</v>
      </c>
      <c r="T120" s="50"/>
      <c r="U120" s="50">
        <f t="shared" si="70"/>
        <v>0</v>
      </c>
      <c r="V120" s="50"/>
      <c r="W120" s="50">
        <f t="shared" si="71"/>
        <v>0</v>
      </c>
      <c r="X120" s="50"/>
      <c r="Y120" s="50">
        <f t="shared" si="72"/>
        <v>0</v>
      </c>
      <c r="Z120" s="50"/>
      <c r="AA120" s="50">
        <f t="shared" si="73"/>
        <v>0</v>
      </c>
      <c r="AB120" s="50">
        <f t="shared" si="74"/>
        <v>0</v>
      </c>
      <c r="AC120" s="28" t="str">
        <f>IF(ABS(AB120-F120)&lt;1,"ok","err")</f>
        <v>ok</v>
      </c>
    </row>
    <row r="121" spans="1:29" x14ac:dyDescent="0.25">
      <c r="A121" s="151" t="s">
        <v>835</v>
      </c>
      <c r="D121" s="14" t="s">
        <v>70</v>
      </c>
      <c r="F121" s="50">
        <v>0</v>
      </c>
      <c r="H121" s="50">
        <f t="shared" si="62"/>
        <v>0</v>
      </c>
      <c r="I121" s="50">
        <f t="shared" si="63"/>
        <v>0</v>
      </c>
      <c r="J121" s="50"/>
      <c r="K121" s="50">
        <f t="shared" si="64"/>
        <v>0</v>
      </c>
      <c r="L121" s="50"/>
      <c r="M121" s="50">
        <f t="shared" si="65"/>
        <v>0</v>
      </c>
      <c r="N121" s="50"/>
      <c r="O121" s="50">
        <f t="shared" si="66"/>
        <v>0</v>
      </c>
      <c r="P121" s="50">
        <f t="shared" si="67"/>
        <v>0</v>
      </c>
      <c r="Q121" s="50"/>
      <c r="R121" s="50">
        <f t="shared" si="68"/>
        <v>0</v>
      </c>
      <c r="S121" s="50">
        <f t="shared" si="69"/>
        <v>0</v>
      </c>
      <c r="T121" s="50"/>
      <c r="U121" s="50">
        <f t="shared" si="70"/>
        <v>0</v>
      </c>
      <c r="V121" s="50"/>
      <c r="W121" s="50">
        <f t="shared" si="71"/>
        <v>0</v>
      </c>
      <c r="X121" s="50"/>
      <c r="Y121" s="50">
        <f t="shared" si="72"/>
        <v>0</v>
      </c>
      <c r="Z121" s="50"/>
      <c r="AA121" s="50">
        <f t="shared" si="73"/>
        <v>0</v>
      </c>
      <c r="AB121" s="50">
        <f t="shared" si="74"/>
        <v>0</v>
      </c>
      <c r="AC121" s="28" t="str">
        <f>IF(ABS(AB121-F121)&lt;1,"ok","err")</f>
        <v>ok</v>
      </c>
    </row>
    <row r="122" spans="1:29" x14ac:dyDescent="0.25">
      <c r="A122" s="14" t="s">
        <v>836</v>
      </c>
      <c r="D122" s="14" t="s">
        <v>70</v>
      </c>
      <c r="F122" s="50">
        <v>2883983</v>
      </c>
      <c r="H122" s="50">
        <f t="shared" si="62"/>
        <v>0</v>
      </c>
      <c r="I122" s="50">
        <f t="shared" si="63"/>
        <v>0</v>
      </c>
      <c r="J122" s="50"/>
      <c r="K122" s="50">
        <f t="shared" si="64"/>
        <v>0</v>
      </c>
      <c r="L122" s="50"/>
      <c r="M122" s="50">
        <f t="shared" si="65"/>
        <v>24462.040250935985</v>
      </c>
      <c r="N122" s="50"/>
      <c r="O122" s="50">
        <f t="shared" si="66"/>
        <v>1662108.0056120583</v>
      </c>
      <c r="P122" s="50">
        <f t="shared" si="67"/>
        <v>691491.19402985822</v>
      </c>
      <c r="Q122" s="50"/>
      <c r="R122" s="50">
        <f t="shared" si="68"/>
        <v>0</v>
      </c>
      <c r="S122" s="50">
        <f t="shared" si="69"/>
        <v>304788.05120408972</v>
      </c>
      <c r="T122" s="50"/>
      <c r="U122" s="50">
        <f t="shared" si="70"/>
        <v>109845.65398474215</v>
      </c>
      <c r="V122" s="50"/>
      <c r="W122" s="50">
        <f t="shared" si="71"/>
        <v>91288.054918315844</v>
      </c>
      <c r="X122" s="50"/>
      <c r="Y122" s="50">
        <f t="shared" si="72"/>
        <v>0</v>
      </c>
      <c r="Z122" s="50"/>
      <c r="AA122" s="50">
        <f t="shared" si="73"/>
        <v>0</v>
      </c>
      <c r="AB122" s="50">
        <f t="shared" si="74"/>
        <v>2883983</v>
      </c>
      <c r="AC122" s="28" t="str">
        <f>IF(ABS(AB122-F122)&lt;1,"ok","err")</f>
        <v>ok</v>
      </c>
    </row>
    <row r="123" spans="1:29" x14ac:dyDescent="0.25">
      <c r="Q123" s="14"/>
      <c r="AB123" s="50"/>
      <c r="AC123" s="28"/>
    </row>
    <row r="124" spans="1:29" x14ac:dyDescent="0.25">
      <c r="A124" s="14" t="s">
        <v>833</v>
      </c>
      <c r="C124" s="14" t="s">
        <v>82</v>
      </c>
      <c r="F124" s="90">
        <f>SUM(F104:F122)</f>
        <v>25664907</v>
      </c>
      <c r="G124" s="90">
        <f>SUM(G104:G122)</f>
        <v>0</v>
      </c>
      <c r="H124" s="90">
        <f>SUM(H104:H122)</f>
        <v>0</v>
      </c>
      <c r="I124" s="90">
        <f>SUM(I104:I122)</f>
        <v>0</v>
      </c>
      <c r="J124" s="90"/>
      <c r="K124" s="90">
        <f>SUM(K104:K122)</f>
        <v>0</v>
      </c>
      <c r="L124" s="90"/>
      <c r="M124" s="90">
        <f>SUM(M104:M122)</f>
        <v>217690.59944893181</v>
      </c>
      <c r="N124" s="90"/>
      <c r="O124" s="90">
        <f>SUM(O104:O122)</f>
        <v>14791296.407776659</v>
      </c>
      <c r="P124" s="90">
        <f>SUM(P104:P122)</f>
        <v>6153662.2046992891</v>
      </c>
      <c r="Q124" s="90"/>
      <c r="R124" s="90">
        <f>SUM(R104:R122)</f>
        <v>0</v>
      </c>
      <c r="S124" s="90">
        <f>SUM(S104:S122)</f>
        <v>2712345.0411684811</v>
      </c>
      <c r="T124" s="90"/>
      <c r="U124" s="90">
        <f>SUM(U104:U122)</f>
        <v>977529.51174559142</v>
      </c>
      <c r="V124" s="90"/>
      <c r="W124" s="90">
        <f>SUM(W104:W122)</f>
        <v>812383.23516104929</v>
      </c>
      <c r="X124" s="90"/>
      <c r="Y124" s="90">
        <f>SUM(Y104:Y122)</f>
        <v>0</v>
      </c>
      <c r="Z124" s="90"/>
      <c r="AA124" s="90">
        <f>SUM(AA104:AA122)</f>
        <v>0</v>
      </c>
      <c r="AB124" s="50">
        <f>SUM(H124:AA124)</f>
        <v>25664907</v>
      </c>
      <c r="AC124" s="28" t="str">
        <f>IF(ABS(AB124-F124)&lt;1,"ok","err")</f>
        <v>ok</v>
      </c>
    </row>
    <row r="125" spans="1:29" x14ac:dyDescent="0.25">
      <c r="D125" s="90"/>
      <c r="F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50"/>
      <c r="AC125" s="28"/>
    </row>
    <row r="126" spans="1:29" x14ac:dyDescent="0.25">
      <c r="A126" s="26" t="s">
        <v>83</v>
      </c>
      <c r="C126" s="14" t="s">
        <v>84</v>
      </c>
      <c r="F126" s="90">
        <f>F101-F124</f>
        <v>91167915.409999996</v>
      </c>
      <c r="G126" s="90">
        <f>G101-G124</f>
        <v>0</v>
      </c>
      <c r="H126" s="90">
        <f>H101-H124</f>
        <v>0</v>
      </c>
      <c r="I126" s="90">
        <f>I101-I124</f>
        <v>0</v>
      </c>
      <c r="J126" s="90"/>
      <c r="K126" s="90">
        <f>K101-K124</f>
        <v>0</v>
      </c>
      <c r="L126" s="90"/>
      <c r="M126" s="90">
        <f>M101-M124</f>
        <v>773289.30730637</v>
      </c>
      <c r="N126" s="90"/>
      <c r="O126" s="90">
        <f>O101-O124</f>
        <v>52542238.306510098</v>
      </c>
      <c r="P126" s="90">
        <f>P101-P124</f>
        <v>21859286.508996077</v>
      </c>
      <c r="Q126" s="90"/>
      <c r="R126" s="90">
        <f>R101-R124</f>
        <v>0</v>
      </c>
      <c r="S126" s="90">
        <f>S101-S124</f>
        <v>9634901.2009270508</v>
      </c>
      <c r="T126" s="90"/>
      <c r="U126" s="90">
        <f>U101-U124</f>
        <v>3472419.6677432219</v>
      </c>
      <c r="V126" s="90"/>
      <c r="W126" s="90">
        <f>W101-W124</f>
        <v>2885780.4185171868</v>
      </c>
      <c r="X126" s="90"/>
      <c r="Y126" s="90">
        <f>Y101-Y124</f>
        <v>0</v>
      </c>
      <c r="Z126" s="90"/>
      <c r="AA126" s="90">
        <f>AA101-AA124</f>
        <v>0</v>
      </c>
      <c r="AB126" s="50">
        <f>SUM(H126:AA126)</f>
        <v>91167915.409999996</v>
      </c>
      <c r="AC126" s="28" t="str">
        <f>IF(ABS(AB126-F126)&lt;1,"ok","err")</f>
        <v>ok</v>
      </c>
    </row>
    <row r="127" spans="1:29" x14ac:dyDescent="0.25">
      <c r="Q127" s="14"/>
      <c r="AC127" s="28"/>
    </row>
    <row r="128" spans="1:29" x14ac:dyDescent="0.25">
      <c r="A128" s="26" t="s">
        <v>85</v>
      </c>
      <c r="Q128" s="14"/>
      <c r="AC128" s="28"/>
    </row>
    <row r="129" spans="1:29" x14ac:dyDescent="0.25">
      <c r="A129" s="14" t="s">
        <v>412</v>
      </c>
      <c r="C129" s="14" t="s">
        <v>87</v>
      </c>
      <c r="D129" s="14" t="s">
        <v>88</v>
      </c>
      <c r="F129" s="67">
        <f>0.125*(F285-F180)</f>
        <v>869364.64749999996</v>
      </c>
      <c r="G129" s="67"/>
      <c r="H129" s="67">
        <f>0.125*(H285-H180)</f>
        <v>0</v>
      </c>
      <c r="I129" s="67">
        <f>0.125*(I285-I180)</f>
        <v>0</v>
      </c>
      <c r="J129" s="67"/>
      <c r="K129" s="67">
        <f>0.125*(K285-K180)</f>
        <v>0</v>
      </c>
      <c r="L129" s="67"/>
      <c r="M129" s="67">
        <f>0.125*(M285-M180)</f>
        <v>1230.7951037940211</v>
      </c>
      <c r="N129" s="67"/>
      <c r="O129" s="67">
        <f>0.125*(O285-O180)</f>
        <v>508092.3946856315</v>
      </c>
      <c r="P129" s="67">
        <f>0.125*(P285-P180)</f>
        <v>138172.70445021451</v>
      </c>
      <c r="Q129" s="67"/>
      <c r="R129" s="67">
        <f>0.125*(R285-R180)</f>
        <v>0</v>
      </c>
      <c r="S129" s="67">
        <f>0.125*(S285-S180)</f>
        <v>45720.225369772728</v>
      </c>
      <c r="T129" s="67"/>
      <c r="U129" s="67">
        <f>0.125*(U285-U180)</f>
        <v>41011.160025174366</v>
      </c>
      <c r="V129" s="67"/>
      <c r="W129" s="67">
        <f>0.125*(W285-W180)</f>
        <v>4848.2348693523891</v>
      </c>
      <c r="X129" s="67"/>
      <c r="Y129" s="67">
        <f>0.125*(Y285-Y180)</f>
        <v>130188.36059374191</v>
      </c>
      <c r="Z129" s="67"/>
      <c r="AA129" s="67">
        <f>0.125*(AA285-AA180)</f>
        <v>100.77240231865042</v>
      </c>
      <c r="AB129" s="50">
        <f>SUM(H129:AA129)</f>
        <v>869364.6475000002</v>
      </c>
      <c r="AC129" s="28" t="str">
        <f>IF(ABS(AB129-F129)&lt;1,"ok","err")</f>
        <v>ok</v>
      </c>
    </row>
    <row r="130" spans="1:29" x14ac:dyDescent="0.25">
      <c r="A130" s="14" t="s">
        <v>946</v>
      </c>
      <c r="C130" s="14" t="s">
        <v>395</v>
      </c>
      <c r="D130" s="14" t="s">
        <v>72</v>
      </c>
      <c r="F130" s="50">
        <v>1148957.2723076923</v>
      </c>
      <c r="G130" s="50"/>
      <c r="H130" s="50">
        <f>IF(VLOOKUP($D130,$C$5:$AA$492,6,)=0,0,((VLOOKUP($D130,$C$5:$AA$492,6,)/VLOOKUP($D130,$C$5:$AA$492,4,))*$F130))</f>
        <v>0</v>
      </c>
      <c r="I130" s="50">
        <f>IF(VLOOKUP($D130,$C$5:$AA$492,7,)=0,0,((VLOOKUP($D130,$C$5:$AA$492,7,)/VLOOKUP($D130,$C$5:$AA$492,4,))*$F130))</f>
        <v>0</v>
      </c>
      <c r="J130" s="50"/>
      <c r="K130" s="50">
        <f>IF(VLOOKUP($D130,$C$5:$AA$492,9,)=0,0,((VLOOKUP($D130,$C$5:$AA$492,9,)/VLOOKUP($D130,$C$5:$AA$492,4,))*$F130))</f>
        <v>0</v>
      </c>
      <c r="L130" s="50"/>
      <c r="M130" s="50">
        <f>IF(VLOOKUP($D130,$C$5:$AA$492,11,)=0,0,((VLOOKUP($D130,$C$5:$AA$492,11,)/VLOOKUP($D130,$C$5:$AA$492,4,))*$F130))</f>
        <v>9745.4940066555137</v>
      </c>
      <c r="N130" s="50"/>
      <c r="O130" s="50">
        <f>IF(VLOOKUP($D130,$C$5:$AA$492,13,)=0,0,((VLOOKUP($D130,$C$5:$AA$492,13,)/VLOOKUP($D130,$C$5:$AA$492,4,))*$F130))</f>
        <v>662171.40683867037</v>
      </c>
      <c r="P130" s="50">
        <f>IF(VLOOKUP($D130,$C$5:$AA$492,14,)=0,0,((VLOOKUP($D130,$C$5:$AA$492,14,)/VLOOKUP($D130,$C$5:$AA$492,4,))*$F130))</f>
        <v>275484.92349550442</v>
      </c>
      <c r="Q130" s="50"/>
      <c r="R130" s="50">
        <f>IF(VLOOKUP($D130,$C$5:$AA$492,16,)=0,0,((VLOOKUP($D130,$C$5:$AA$492,16,)/VLOOKUP($D130,$C$5:$AA$492,4,))*$F130))</f>
        <v>0</v>
      </c>
      <c r="S130" s="50">
        <f>IF(VLOOKUP($D130,$C$5:$AA$492,17,)=0,0,((VLOOKUP($D130,$C$5:$AA$492,17,)/VLOOKUP($D130,$C$5:$AA$492,4,))*$F130))</f>
        <v>121425.28161345894</v>
      </c>
      <c r="T130" s="50"/>
      <c r="U130" s="50">
        <f>IF(VLOOKUP($D130,$C$5:$AA$492,19,)=0,0,((VLOOKUP($D130,$C$5:$AA$492,19,)/VLOOKUP($D130,$C$5:$AA$492,4,))*$F130))</f>
        <v>43761.687560975188</v>
      </c>
      <c r="V130" s="50"/>
      <c r="W130" s="50">
        <f>IF(VLOOKUP($D130,$C$5:$AA$492,21,)=0,0,((VLOOKUP($D130,$C$5:$AA$492,21,)/VLOOKUP($D130,$C$5:$AA$492,4,))*$F130))</f>
        <v>36368.478792428032</v>
      </c>
      <c r="X130" s="50"/>
      <c r="Y130" s="50">
        <f>IF(VLOOKUP($D130,$C$5:$AA$492,23,)=0,0,((VLOOKUP($D130,$C$5:$AA$492,23,)/VLOOKUP($D130,$C$5:$AA$492,4,))*$F130))</f>
        <v>0</v>
      </c>
      <c r="Z130" s="50"/>
      <c r="AA130" s="50">
        <f>IF(VLOOKUP($D130,$C$5:$AA$492,25,)=0,0,((VLOOKUP($D130,$C$5:$AA$492,25,)/VLOOKUP($D130,$C$5:$AA$492,4,))*$F130))</f>
        <v>0</v>
      </c>
      <c r="AB130" s="50">
        <f>SUM(H130:AA130)</f>
        <v>1148957.2723076923</v>
      </c>
      <c r="AC130" s="28" t="str">
        <f>IF(ABS(AB130-F130)&lt;1,"ok","err")</f>
        <v>ok</v>
      </c>
    </row>
    <row r="131" spans="1:29" x14ac:dyDescent="0.25">
      <c r="A131" s="14" t="s">
        <v>947</v>
      </c>
      <c r="C131" s="14" t="s">
        <v>89</v>
      </c>
      <c r="D131" s="14" t="s">
        <v>72</v>
      </c>
      <c r="F131" s="50">
        <v>166184.57</v>
      </c>
      <c r="H131" s="50">
        <f>IF(VLOOKUP($D131,$C$5:$AA$492,6,)=0,0,((VLOOKUP($D131,$C$5:$AA$492,6,)/VLOOKUP($D131,$C$5:$AA$492,4,))*$F131))</f>
        <v>0</v>
      </c>
      <c r="I131" s="50">
        <f>IF(VLOOKUP($D131,$C$5:$AA$492,7,)=0,0,((VLOOKUP($D131,$C$5:$AA$492,7,)/VLOOKUP($D131,$C$5:$AA$492,4,))*$F131))</f>
        <v>0</v>
      </c>
      <c r="J131" s="50"/>
      <c r="K131" s="50">
        <f>IF(VLOOKUP($D131,$C$5:$AA$492,9,)=0,0,((VLOOKUP($D131,$C$5:$AA$492,9,)/VLOOKUP($D131,$C$5:$AA$492,4,))*$F131))</f>
        <v>0</v>
      </c>
      <c r="L131" s="50"/>
      <c r="M131" s="50">
        <f>IF(VLOOKUP($D131,$C$5:$AA$492,11,)=0,0,((VLOOKUP($D131,$C$5:$AA$492,11,)/VLOOKUP($D131,$C$5:$AA$492,4,))*$F131))</f>
        <v>1409.5830802138878</v>
      </c>
      <c r="N131" s="50"/>
      <c r="O131" s="50">
        <f>IF(VLOOKUP($D131,$C$5:$AA$492,13,)=0,0,((VLOOKUP($D131,$C$5:$AA$492,13,)/VLOOKUP($D131,$C$5:$AA$492,4,))*$F131))</f>
        <v>95776.120804525373</v>
      </c>
      <c r="P131" s="50">
        <f>IF(VLOOKUP($D131,$C$5:$AA$492,14,)=0,0,((VLOOKUP($D131,$C$5:$AA$492,14,)/VLOOKUP($D131,$C$5:$AA$492,4,))*$F131))</f>
        <v>39845.993106976915</v>
      </c>
      <c r="Q131" s="50"/>
      <c r="R131" s="50">
        <f>IF(VLOOKUP($D131,$C$5:$AA$492,16,)=0,0,((VLOOKUP($D131,$C$5:$AA$492,16,)/VLOOKUP($D131,$C$5:$AA$492,4,))*$F131))</f>
        <v>0</v>
      </c>
      <c r="S131" s="50">
        <f>IF(VLOOKUP($D131,$C$5:$AA$492,17,)=0,0,((VLOOKUP($D131,$C$5:$AA$492,17,)/VLOOKUP($D131,$C$5:$AA$492,4,))*$F131))</f>
        <v>17562.888280024406</v>
      </c>
      <c r="T131" s="50"/>
      <c r="U131" s="50">
        <f>IF(VLOOKUP($D131,$C$5:$AA$492,19,)=0,0,((VLOOKUP($D131,$C$5:$AA$492,19,)/VLOOKUP($D131,$C$5:$AA$492,4,))*$F131))</f>
        <v>6329.6672601132386</v>
      </c>
      <c r="V131" s="50"/>
      <c r="W131" s="50">
        <f>IF(VLOOKUP($D131,$C$5:$AA$492,21,)=0,0,((VLOOKUP($D131,$C$5:$AA$492,21,)/VLOOKUP($D131,$C$5:$AA$492,4,))*$F131))</f>
        <v>5260.3174681462069</v>
      </c>
      <c r="X131" s="50"/>
      <c r="Y131" s="50">
        <f>IF(VLOOKUP($D131,$C$5:$AA$492,23,)=0,0,((VLOOKUP($D131,$C$5:$AA$492,23,)/VLOOKUP($D131,$C$5:$AA$492,4,))*$F131))</f>
        <v>0</v>
      </c>
      <c r="Z131" s="50"/>
      <c r="AA131" s="50">
        <f>IF(VLOOKUP($D131,$C$5:$AA$492,25,)=0,0,((VLOOKUP($D131,$C$5:$AA$492,25,)/VLOOKUP($D131,$C$5:$AA$492,4,))*$F131))</f>
        <v>0</v>
      </c>
      <c r="AB131" s="50">
        <f>SUM(H131:AA131)</f>
        <v>166184.57</v>
      </c>
      <c r="AC131" s="28" t="str">
        <f>IF(ABS(AB131-F131)&lt;1,"ok","err")</f>
        <v>ok</v>
      </c>
    </row>
    <row r="132" spans="1:29" x14ac:dyDescent="0.25">
      <c r="Q132" s="14"/>
      <c r="AB132" s="50"/>
      <c r="AC132" s="28"/>
    </row>
    <row r="133" spans="1:29" x14ac:dyDescent="0.25">
      <c r="A133" s="93" t="s">
        <v>90</v>
      </c>
      <c r="C133" s="14" t="s">
        <v>91</v>
      </c>
      <c r="F133" s="90">
        <f>SUM(F129:F132)</f>
        <v>2184506.4898076924</v>
      </c>
      <c r="G133" s="90">
        <f t="shared" ref="G133:W133" si="77">SUM(G129:G132)</f>
        <v>0</v>
      </c>
      <c r="H133" s="90">
        <f t="shared" si="77"/>
        <v>0</v>
      </c>
      <c r="I133" s="90">
        <f t="shared" si="77"/>
        <v>0</v>
      </c>
      <c r="J133" s="90"/>
      <c r="K133" s="90">
        <f t="shared" si="77"/>
        <v>0</v>
      </c>
      <c r="L133" s="90"/>
      <c r="M133" s="90">
        <f t="shared" si="77"/>
        <v>12385.872190663424</v>
      </c>
      <c r="N133" s="90"/>
      <c r="O133" s="90">
        <f t="shared" si="77"/>
        <v>1266039.9223288274</v>
      </c>
      <c r="P133" s="90">
        <f t="shared" si="77"/>
        <v>453503.62105269585</v>
      </c>
      <c r="Q133" s="90"/>
      <c r="R133" s="90">
        <f t="shared" si="77"/>
        <v>0</v>
      </c>
      <c r="S133" s="90">
        <f t="shared" si="77"/>
        <v>184708.39526325607</v>
      </c>
      <c r="T133" s="90"/>
      <c r="U133" s="90">
        <f t="shared" si="77"/>
        <v>91102.514846262799</v>
      </c>
      <c r="V133" s="90"/>
      <c r="W133" s="90">
        <f t="shared" si="77"/>
        <v>46477.031129926625</v>
      </c>
      <c r="X133" s="90"/>
      <c r="Y133" s="90">
        <f>SUM(Y129:Y132)</f>
        <v>130188.36059374191</v>
      </c>
      <c r="Z133" s="90"/>
      <c r="AA133" s="90">
        <f>SUM(AA129:AA132)</f>
        <v>100.77240231865042</v>
      </c>
      <c r="AB133" s="50">
        <f>SUM(H133:AA133)</f>
        <v>2184506.4898076928</v>
      </c>
      <c r="AC133" s="28" t="str">
        <f>IF(ABS(AB133-F133)&lt;1,"ok","err")</f>
        <v>ok</v>
      </c>
    </row>
    <row r="134" spans="1:29" x14ac:dyDescent="0.25">
      <c r="Q134" s="14"/>
      <c r="AC134" s="28"/>
    </row>
    <row r="135" spans="1:29" hidden="1" x14ac:dyDescent="0.25">
      <c r="A135" s="26" t="s">
        <v>928</v>
      </c>
      <c r="Q135" s="14"/>
      <c r="AC135" s="28"/>
    </row>
    <row r="136" spans="1:29" hidden="1" x14ac:dyDescent="0.25">
      <c r="A136" s="31">
        <v>1</v>
      </c>
      <c r="C136" s="14" t="s">
        <v>929</v>
      </c>
      <c r="D136" s="14" t="s">
        <v>16</v>
      </c>
      <c r="F136" s="67">
        <v>0</v>
      </c>
      <c r="H136" s="50">
        <f>IF(VLOOKUP($D136,$C$5:$AA$492,6,)=0,0,((VLOOKUP($D136,$C$5:$AA$492,6,)/VLOOKUP($D136,$C$5:$AA$492,4,))*$F136))</f>
        <v>0</v>
      </c>
      <c r="I136" s="50">
        <f>IF(VLOOKUP($D136,$C$5:$AA$492,7,)=0,0,((VLOOKUP($D136,$C$5:$AA$492,7,)/VLOOKUP($D136,$C$5:$AA$492,4,))*$F136))</f>
        <v>0</v>
      </c>
      <c r="J136" s="50"/>
      <c r="K136" s="50">
        <f>IF(VLOOKUP($D136,$C$5:$AA$492,9,)=0,0,((VLOOKUP($D136,$C$5:$AA$492,9,)/VLOOKUP($D136,$C$5:$AA$492,4,))*$F136))</f>
        <v>0</v>
      </c>
      <c r="L136" s="50"/>
      <c r="M136" s="50">
        <f>IF(VLOOKUP($D136,$C$5:$AA$492,11,)=0,0,((VLOOKUP($D136,$C$5:$AA$492,11,)/VLOOKUP($D136,$C$5:$AA$492,4,))*$F136))</f>
        <v>0</v>
      </c>
      <c r="N136" s="50"/>
      <c r="O136" s="50">
        <f>IF(VLOOKUP($D136,$C$5:$AA$492,13,)=0,0,((VLOOKUP($D136,$C$5:$AA$492,13,)/VLOOKUP($D136,$C$5:$AA$492,4,))*$F136))</f>
        <v>0</v>
      </c>
      <c r="P136" s="50">
        <f>IF(VLOOKUP($D136,$C$5:$AA$492,14,)=0,0,((VLOOKUP($D136,$C$5:$AA$492,14,)/VLOOKUP($D136,$C$5:$AA$492,4,))*$F136))</f>
        <v>0</v>
      </c>
      <c r="Q136" s="50"/>
      <c r="R136" s="50">
        <f>IF(VLOOKUP($D136,$C$5:$AA$492,16,)=0,0,((VLOOKUP($D136,$C$5:$AA$492,16,)/VLOOKUP($D136,$C$5:$AA$492,4,))*$F136))</f>
        <v>0</v>
      </c>
      <c r="S136" s="50">
        <f>IF(VLOOKUP($D136,$C$5:$AA$492,17,)=0,0,((VLOOKUP($D136,$C$5:$AA$492,17,)/VLOOKUP($D136,$C$5:$AA$492,4,))*$F136))</f>
        <v>0</v>
      </c>
      <c r="T136" s="50"/>
      <c r="U136" s="50">
        <f>IF(VLOOKUP($D136,$C$5:$AA$492,19,)=0,0,((VLOOKUP($D136,$C$5:$AA$492,19,)/VLOOKUP($D136,$C$5:$AA$492,4,))*$F136))</f>
        <v>0</v>
      </c>
      <c r="V136" s="50"/>
      <c r="W136" s="50">
        <f>IF(VLOOKUP($D136,$C$5:$AA$492,21,)=0,0,((VLOOKUP($D136,$C$5:$AA$492,21,)/VLOOKUP($D136,$C$5:$AA$492,4,))*$F136))</f>
        <v>0</v>
      </c>
      <c r="X136" s="50"/>
      <c r="Y136" s="50">
        <f>IF(VLOOKUP($D136,$C$5:$AA$492,23,)=0,0,((VLOOKUP($D136,$C$5:$AA$492,23,)/VLOOKUP($D136,$C$5:$AA$492,4,))*$F136))</f>
        <v>0</v>
      </c>
      <c r="Z136" s="50"/>
      <c r="AA136" s="50">
        <f>IF(VLOOKUP($D136,$C$5:$AA$492,25,)=0,0,((VLOOKUP($D136,$C$5:$AA$492,25,)/VLOOKUP($D136,$C$5:$AA$492,4,))*$F136))</f>
        <v>0</v>
      </c>
      <c r="AB136" s="50">
        <f>SUM(H136:AA136)</f>
        <v>0</v>
      </c>
      <c r="AC136" s="28" t="str">
        <f>IF(ABS(AB136-F136)&lt;1,"ok","err")</f>
        <v>ok</v>
      </c>
    </row>
    <row r="137" spans="1:29" hidden="1" x14ac:dyDescent="0.25">
      <c r="A137" s="31">
        <v>2</v>
      </c>
      <c r="C137" s="14" t="s">
        <v>930</v>
      </c>
      <c r="D137" s="14" t="s">
        <v>16</v>
      </c>
      <c r="F137" s="67">
        <v>0</v>
      </c>
      <c r="H137" s="50">
        <f>IF(VLOOKUP($D137,$C$5:$AA$492,6,)=0,0,((VLOOKUP($D137,$C$5:$AA$492,6,)/VLOOKUP($D137,$C$5:$AA$492,4,))*$F137))</f>
        <v>0</v>
      </c>
      <c r="I137" s="50">
        <f>IF(VLOOKUP($D137,$C$5:$AA$492,7,)=0,0,((VLOOKUP($D137,$C$5:$AA$492,7,)/VLOOKUP($D137,$C$5:$AA$492,4,))*$F137))</f>
        <v>0</v>
      </c>
      <c r="J137" s="50"/>
      <c r="K137" s="50">
        <f>IF(VLOOKUP($D137,$C$5:$AA$492,9,)=0,0,((VLOOKUP($D137,$C$5:$AA$492,9,)/VLOOKUP($D137,$C$5:$AA$492,4,))*$F137))</f>
        <v>0</v>
      </c>
      <c r="L137" s="50"/>
      <c r="M137" s="50">
        <f>IF(VLOOKUP($D137,$C$5:$AA$492,11,)=0,0,((VLOOKUP($D137,$C$5:$AA$492,11,)/VLOOKUP($D137,$C$5:$AA$492,4,))*$F137))</f>
        <v>0</v>
      </c>
      <c r="N137" s="50"/>
      <c r="O137" s="50">
        <f>IF(VLOOKUP($D137,$C$5:$AA$492,13,)=0,0,((VLOOKUP($D137,$C$5:$AA$492,13,)/VLOOKUP($D137,$C$5:$AA$492,4,))*$F137))</f>
        <v>0</v>
      </c>
      <c r="P137" s="50">
        <f>IF(VLOOKUP($D137,$C$5:$AA$492,14,)=0,0,((VLOOKUP($D137,$C$5:$AA$492,14,)/VLOOKUP($D137,$C$5:$AA$492,4,))*$F137))</f>
        <v>0</v>
      </c>
      <c r="Q137" s="50"/>
      <c r="R137" s="50">
        <f>IF(VLOOKUP($D137,$C$5:$AA$492,16,)=0,0,((VLOOKUP($D137,$C$5:$AA$492,16,)/VLOOKUP($D137,$C$5:$AA$492,4,))*$F137))</f>
        <v>0</v>
      </c>
      <c r="S137" s="50">
        <f>IF(VLOOKUP($D137,$C$5:$AA$492,17,)=0,0,((VLOOKUP($D137,$C$5:$AA$492,17,)/VLOOKUP($D137,$C$5:$AA$492,4,))*$F137))</f>
        <v>0</v>
      </c>
      <c r="T137" s="50"/>
      <c r="U137" s="50">
        <f>IF(VLOOKUP($D137,$C$5:$AA$492,19,)=0,0,((VLOOKUP($D137,$C$5:$AA$492,19,)/VLOOKUP($D137,$C$5:$AA$492,4,))*$F137))</f>
        <v>0</v>
      </c>
      <c r="V137" s="50"/>
      <c r="W137" s="50">
        <f>IF(VLOOKUP($D137,$C$5:$AA$492,21,)=0,0,((VLOOKUP($D137,$C$5:$AA$492,21,)/VLOOKUP($D137,$C$5:$AA$492,4,))*$F137))</f>
        <v>0</v>
      </c>
      <c r="X137" s="50"/>
      <c r="Y137" s="50">
        <f>IF(VLOOKUP($D137,$C$5:$AA$492,23,)=0,0,((VLOOKUP($D137,$C$5:$AA$492,23,)/VLOOKUP($D137,$C$5:$AA$492,4,))*$F137))</f>
        <v>0</v>
      </c>
      <c r="Z137" s="50"/>
      <c r="AA137" s="50">
        <f>IF(VLOOKUP($D137,$C$5:$AA$492,25,)=0,0,((VLOOKUP($D137,$C$5:$AA$492,25,)/VLOOKUP($D137,$C$5:$AA$492,4,))*$F137))</f>
        <v>0</v>
      </c>
      <c r="AB137" s="50">
        <f>SUM(H137:AA137)</f>
        <v>0</v>
      </c>
      <c r="AC137" s="28" t="str">
        <f>IF(ABS(AB137-F137)&lt;1,"ok","err")</f>
        <v>ok</v>
      </c>
    </row>
    <row r="138" spans="1:29" hidden="1" x14ac:dyDescent="0.25">
      <c r="A138" s="31">
        <v>3</v>
      </c>
      <c r="C138" s="14" t="s">
        <v>931</v>
      </c>
      <c r="D138" s="14" t="s">
        <v>16</v>
      </c>
      <c r="F138" s="67">
        <v>0</v>
      </c>
      <c r="H138" s="50">
        <f>IF(VLOOKUP($D138,$C$5:$AA$492,6,)=0,0,((VLOOKUP($D138,$C$5:$AA$492,6,)/VLOOKUP($D138,$C$5:$AA$492,4,))*$F138))</f>
        <v>0</v>
      </c>
      <c r="I138" s="50">
        <f>IF(VLOOKUP($D138,$C$5:$AA$492,7,)=0,0,((VLOOKUP($D138,$C$5:$AA$492,7,)/VLOOKUP($D138,$C$5:$AA$492,4,))*$F138))</f>
        <v>0</v>
      </c>
      <c r="J138" s="50"/>
      <c r="K138" s="50">
        <f>IF(VLOOKUP($D138,$C$5:$AA$492,9,)=0,0,((VLOOKUP($D138,$C$5:$AA$492,9,)/VLOOKUP($D138,$C$5:$AA$492,4,))*$F138))</f>
        <v>0</v>
      </c>
      <c r="L138" s="50"/>
      <c r="M138" s="50">
        <f>IF(VLOOKUP($D138,$C$5:$AA$492,11,)=0,0,((VLOOKUP($D138,$C$5:$AA$492,11,)/VLOOKUP($D138,$C$5:$AA$492,4,))*$F138))</f>
        <v>0</v>
      </c>
      <c r="N138" s="50"/>
      <c r="O138" s="50">
        <f>IF(VLOOKUP($D138,$C$5:$AA$492,13,)=0,0,((VLOOKUP($D138,$C$5:$AA$492,13,)/VLOOKUP($D138,$C$5:$AA$492,4,))*$F138))</f>
        <v>0</v>
      </c>
      <c r="P138" s="50">
        <f>IF(VLOOKUP($D138,$C$5:$AA$492,14,)=0,0,((VLOOKUP($D138,$C$5:$AA$492,14,)/VLOOKUP($D138,$C$5:$AA$492,4,))*$F138))</f>
        <v>0</v>
      </c>
      <c r="Q138" s="50"/>
      <c r="R138" s="50">
        <f>IF(VLOOKUP($D138,$C$5:$AA$492,16,)=0,0,((VLOOKUP($D138,$C$5:$AA$492,16,)/VLOOKUP($D138,$C$5:$AA$492,4,))*$F138))</f>
        <v>0</v>
      </c>
      <c r="S138" s="50">
        <f>IF(VLOOKUP($D138,$C$5:$AA$492,17,)=0,0,((VLOOKUP($D138,$C$5:$AA$492,17,)/VLOOKUP($D138,$C$5:$AA$492,4,))*$F138))</f>
        <v>0</v>
      </c>
      <c r="T138" s="50"/>
      <c r="U138" s="50">
        <f>IF(VLOOKUP($D138,$C$5:$AA$492,19,)=0,0,((VLOOKUP($D138,$C$5:$AA$492,19,)/VLOOKUP($D138,$C$5:$AA$492,4,))*$F138))</f>
        <v>0</v>
      </c>
      <c r="V138" s="50"/>
      <c r="W138" s="50">
        <f>IF(VLOOKUP($D138,$C$5:$AA$492,21,)=0,0,((VLOOKUP($D138,$C$5:$AA$492,21,)/VLOOKUP($D138,$C$5:$AA$492,4,))*$F138))</f>
        <v>0</v>
      </c>
      <c r="X138" s="50"/>
      <c r="Y138" s="50">
        <f>IF(VLOOKUP($D138,$C$5:$AA$492,23,)=0,0,((VLOOKUP($D138,$C$5:$AA$492,23,)/VLOOKUP($D138,$C$5:$AA$492,4,))*$F138))</f>
        <v>0</v>
      </c>
      <c r="Z138" s="50"/>
      <c r="AA138" s="50">
        <f>IF(VLOOKUP($D138,$C$5:$AA$492,25,)=0,0,((VLOOKUP($D138,$C$5:$AA$492,25,)/VLOOKUP($D138,$C$5:$AA$492,4,))*$F138))</f>
        <v>0</v>
      </c>
      <c r="AB138" s="50">
        <f>SUM(H138:AA138)</f>
        <v>0</v>
      </c>
      <c r="AC138" s="28" t="str">
        <f>IF(ABS(AB138-F138)&lt;1,"ok","err")</f>
        <v>ok</v>
      </c>
    </row>
    <row r="139" spans="1:29" hidden="1" x14ac:dyDescent="0.25">
      <c r="A139" s="31">
        <v>4</v>
      </c>
      <c r="C139" s="14" t="s">
        <v>932</v>
      </c>
      <c r="D139" s="14" t="s">
        <v>16</v>
      </c>
      <c r="F139" s="67">
        <v>0</v>
      </c>
      <c r="H139" s="50">
        <f>IF(VLOOKUP($D139,$C$5:$AA$492,6,)=0,0,((VLOOKUP($D139,$C$5:$AA$492,6,)/VLOOKUP($D139,$C$5:$AA$492,4,))*$F139))</f>
        <v>0</v>
      </c>
      <c r="I139" s="50">
        <f>IF(VLOOKUP($D139,$C$5:$AA$492,7,)=0,0,((VLOOKUP($D139,$C$5:$AA$492,7,)/VLOOKUP($D139,$C$5:$AA$492,4,))*$F139))</f>
        <v>0</v>
      </c>
      <c r="J139" s="50"/>
      <c r="K139" s="50">
        <f>IF(VLOOKUP($D139,$C$5:$AA$492,9,)=0,0,((VLOOKUP($D139,$C$5:$AA$492,9,)/VLOOKUP($D139,$C$5:$AA$492,4,))*$F139))</f>
        <v>0</v>
      </c>
      <c r="L139" s="50"/>
      <c r="M139" s="50">
        <f>IF(VLOOKUP($D139,$C$5:$AA$492,11,)=0,0,((VLOOKUP($D139,$C$5:$AA$492,11,)/VLOOKUP($D139,$C$5:$AA$492,4,))*$F139))</f>
        <v>0</v>
      </c>
      <c r="N139" s="50"/>
      <c r="O139" s="50">
        <f>IF(VLOOKUP($D139,$C$5:$AA$492,13,)=0,0,((VLOOKUP($D139,$C$5:$AA$492,13,)/VLOOKUP($D139,$C$5:$AA$492,4,))*$F139))</f>
        <v>0</v>
      </c>
      <c r="P139" s="50">
        <f>IF(VLOOKUP($D139,$C$5:$AA$492,14,)=0,0,((VLOOKUP($D139,$C$5:$AA$492,14,)/VLOOKUP($D139,$C$5:$AA$492,4,))*$F139))</f>
        <v>0</v>
      </c>
      <c r="Q139" s="50"/>
      <c r="R139" s="50">
        <f>IF(VLOOKUP($D139,$C$5:$AA$492,16,)=0,0,((VLOOKUP($D139,$C$5:$AA$492,16,)/VLOOKUP($D139,$C$5:$AA$492,4,))*$F139))</f>
        <v>0</v>
      </c>
      <c r="S139" s="50">
        <f>IF(VLOOKUP($D139,$C$5:$AA$492,17,)=0,0,((VLOOKUP($D139,$C$5:$AA$492,17,)/VLOOKUP($D139,$C$5:$AA$492,4,))*$F139))</f>
        <v>0</v>
      </c>
      <c r="T139" s="50"/>
      <c r="U139" s="50">
        <f>IF(VLOOKUP($D139,$C$5:$AA$492,19,)=0,0,((VLOOKUP($D139,$C$5:$AA$492,19,)/VLOOKUP($D139,$C$5:$AA$492,4,))*$F139))</f>
        <v>0</v>
      </c>
      <c r="V139" s="50"/>
      <c r="W139" s="50">
        <f>IF(VLOOKUP($D139,$C$5:$AA$492,21,)=0,0,((VLOOKUP($D139,$C$5:$AA$492,21,)/VLOOKUP($D139,$C$5:$AA$492,4,))*$F139))</f>
        <v>0</v>
      </c>
      <c r="X139" s="50"/>
      <c r="Y139" s="50">
        <f>IF(VLOOKUP($D139,$C$5:$AA$492,23,)=0,0,((VLOOKUP($D139,$C$5:$AA$492,23,)/VLOOKUP($D139,$C$5:$AA$492,4,))*$F139))</f>
        <v>0</v>
      </c>
      <c r="Z139" s="50"/>
      <c r="AA139" s="50">
        <f>IF(VLOOKUP($D139,$C$5:$AA$492,25,)=0,0,((VLOOKUP($D139,$C$5:$AA$492,25,)/VLOOKUP($D139,$C$5:$AA$492,4,))*$F139))</f>
        <v>0</v>
      </c>
      <c r="AB139" s="50">
        <f>SUM(H139:AA139)</f>
        <v>0</v>
      </c>
      <c r="AC139" s="28" t="str">
        <f>IF(ABS(AB139-F139)&lt;1,"ok","err")</f>
        <v>ok</v>
      </c>
    </row>
    <row r="140" spans="1:29" hidden="1" x14ac:dyDescent="0.25">
      <c r="F140" s="67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/>
      <c r="AC140" s="28"/>
    </row>
    <row r="141" spans="1:29" hidden="1" x14ac:dyDescent="0.25">
      <c r="A141" s="14" t="s">
        <v>933</v>
      </c>
      <c r="F141" s="90">
        <v>0</v>
      </c>
      <c r="G141" s="90">
        <f>SUM(G139:G139)</f>
        <v>0</v>
      </c>
      <c r="H141" s="90">
        <f>SUM(H136:H139)</f>
        <v>0</v>
      </c>
      <c r="I141" s="90">
        <f>SUM(I136:I139)</f>
        <v>0</v>
      </c>
      <c r="J141" s="90"/>
      <c r="K141" s="90">
        <f>SUM(K136:K139)</f>
        <v>0</v>
      </c>
      <c r="L141" s="90"/>
      <c r="M141" s="90">
        <f>SUM(M136:M139)</f>
        <v>0</v>
      </c>
      <c r="N141" s="90"/>
      <c r="O141" s="90">
        <f>SUM(O136:O139)</f>
        <v>0</v>
      </c>
      <c r="P141" s="90">
        <f>SUM(P136:P139)</f>
        <v>0</v>
      </c>
      <c r="Q141" s="90"/>
      <c r="R141" s="90">
        <f>SUM(R136:R139)</f>
        <v>0</v>
      </c>
      <c r="S141" s="90">
        <f>SUM(S136:S139)</f>
        <v>0</v>
      </c>
      <c r="T141" s="90"/>
      <c r="U141" s="90">
        <f>SUM(U136:U139)</f>
        <v>0</v>
      </c>
      <c r="V141" s="90"/>
      <c r="W141" s="90">
        <f>SUM(W136:W139)</f>
        <v>0</v>
      </c>
      <c r="X141" s="90"/>
      <c r="Y141" s="90">
        <f>SUM(Y136:Y139)</f>
        <v>0</v>
      </c>
      <c r="Z141" s="90"/>
      <c r="AA141" s="90">
        <f>SUM(AA136:AA139)</f>
        <v>0</v>
      </c>
      <c r="AB141" s="50">
        <f>SUM(H141:AA141)</f>
        <v>0</v>
      </c>
      <c r="AC141" s="28" t="str">
        <f>IF(ABS(AB141-F141)&lt;1,"ok","err")</f>
        <v>ok</v>
      </c>
    </row>
    <row r="142" spans="1:29" x14ac:dyDescent="0.25">
      <c r="A142" s="14" t="s">
        <v>1025</v>
      </c>
      <c r="C142" s="14" t="s">
        <v>92</v>
      </c>
      <c r="D142" s="14" t="s">
        <v>72</v>
      </c>
      <c r="F142" s="67">
        <f>2789538.02</f>
        <v>2789538.02</v>
      </c>
      <c r="H142" s="50">
        <f>IF(VLOOKUP($D142,$C$5:$AA$492,6,)=0,0,((VLOOKUP($D142,$C$5:$AA$492,6,)/VLOOKUP($D142,$C$5:$AA$492,4,))*$F142))</f>
        <v>0</v>
      </c>
      <c r="I142" s="50">
        <f>IF(VLOOKUP($D142,$C$5:$AA$492,7,)=0,0,((VLOOKUP($D142,$C$5:$AA$492,7,)/VLOOKUP($D142,$C$5:$AA$492,4,))*$F142))</f>
        <v>0</v>
      </c>
      <c r="J142" s="50"/>
      <c r="K142" s="50">
        <f>IF(VLOOKUP($D142,$C$5:$AA$492,9,)=0,0,((VLOOKUP($D142,$C$5:$AA$492,9,)/VLOOKUP($D142,$C$5:$AA$492,4,))*$F142))</f>
        <v>0</v>
      </c>
      <c r="L142" s="50"/>
      <c r="M142" s="50">
        <f>IF(VLOOKUP($D142,$C$5:$AA$492,11,)=0,0,((VLOOKUP($D142,$C$5:$AA$492,11,)/VLOOKUP($D142,$C$5:$AA$492,4,))*$F142))</f>
        <v>23660.954772187033</v>
      </c>
      <c r="N142" s="50"/>
      <c r="O142" s="50">
        <f>IF(VLOOKUP($D142,$C$5:$AA$492,13,)=0,0,((VLOOKUP($D142,$C$5:$AA$492,13,)/VLOOKUP($D142,$C$5:$AA$492,4,))*$F142))</f>
        <v>1607677.1170291954</v>
      </c>
      <c r="P142" s="50">
        <f>IF(VLOOKUP($D142,$C$5:$AA$492,14,)=0,0,((VLOOKUP($D142,$C$5:$AA$492,14,)/VLOOKUP($D142,$C$5:$AA$492,4,))*$F142))</f>
        <v>668846.16734616226</v>
      </c>
      <c r="Q142" s="50"/>
      <c r="R142" s="50">
        <f>IF(VLOOKUP($D142,$C$5:$AA$492,16,)=0,0,((VLOOKUP($D142,$C$5:$AA$492,16,)/VLOOKUP($D142,$C$5:$AA$492,4,))*$F142))</f>
        <v>0</v>
      </c>
      <c r="S142" s="50">
        <f>IF(VLOOKUP($D142,$C$5:$AA$492,17,)=0,0,((VLOOKUP($D142,$C$5:$AA$492,17,)/VLOOKUP($D142,$C$5:$AA$492,4,))*$F142))</f>
        <v>294806.81989994913</v>
      </c>
      <c r="T142" s="50"/>
      <c r="U142" s="50">
        <f>IF(VLOOKUP($D142,$C$5:$AA$492,19,)=0,0,((VLOOKUP($D142,$C$5:$AA$492,19,)/VLOOKUP($D142,$C$5:$AA$492,4,))*$F142))</f>
        <v>106248.41690197296</v>
      </c>
      <c r="V142" s="50"/>
      <c r="W142" s="50">
        <f>IF(VLOOKUP($D142,$C$5:$AA$492,21,)=0,0,((VLOOKUP($D142,$C$5:$AA$492,21,)/VLOOKUP($D142,$C$5:$AA$492,4,))*$F142))</f>
        <v>88298.544050533586</v>
      </c>
      <c r="X142" s="50"/>
      <c r="Y142" s="50">
        <f>IF(VLOOKUP($D142,$C$5:$AA$492,23,)=0,0,((VLOOKUP($D142,$C$5:$AA$492,23,)/VLOOKUP($D142,$C$5:$AA$492,4,))*$F142))</f>
        <v>0</v>
      </c>
      <c r="Z142" s="50"/>
      <c r="AA142" s="50">
        <f>IF(VLOOKUP($D142,$C$5:$AA$492,25,)=0,0,((VLOOKUP($D142,$C$5:$AA$492,25,)/VLOOKUP($D142,$C$5:$AA$492,4,))*$F142))</f>
        <v>0</v>
      </c>
      <c r="AB142" s="50">
        <f>SUM(H142:AA142)</f>
        <v>2789538.0200000009</v>
      </c>
      <c r="AC142" s="28" t="str">
        <f>IF(ABS(AB142-F142)&lt;1,"ok","err")</f>
        <v>ok</v>
      </c>
    </row>
    <row r="143" spans="1:29" x14ac:dyDescent="0.25">
      <c r="F143" s="67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0"/>
      <c r="AC143" s="28"/>
    </row>
    <row r="144" spans="1:29" x14ac:dyDescent="0.25">
      <c r="A144" s="13" t="s">
        <v>93</v>
      </c>
      <c r="C144" s="14" t="s">
        <v>94</v>
      </c>
      <c r="F144" s="90">
        <f>F126+F133-F142</f>
        <v>90562883.879807696</v>
      </c>
      <c r="G144" s="90"/>
      <c r="H144" s="90">
        <f>H126+H133-H142</f>
        <v>0</v>
      </c>
      <c r="I144" s="90">
        <f>I126+I133-I142</f>
        <v>0</v>
      </c>
      <c r="J144" s="90"/>
      <c r="K144" s="90">
        <f>K126+K133-K142</f>
        <v>0</v>
      </c>
      <c r="L144" s="90"/>
      <c r="M144" s="90">
        <f>M126+M133-M142</f>
        <v>762014.22472484643</v>
      </c>
      <c r="N144" s="90"/>
      <c r="O144" s="90">
        <f>O126+O133-O142</f>
        <v>52200601.111809731</v>
      </c>
      <c r="P144" s="90">
        <f>P126+P133-P142</f>
        <v>21643943.962702613</v>
      </c>
      <c r="Q144" s="90"/>
      <c r="R144" s="90">
        <f>R126+R133-R142</f>
        <v>0</v>
      </c>
      <c r="S144" s="90">
        <f>S126+S133-S142</f>
        <v>9524802.776290359</v>
      </c>
      <c r="T144" s="90"/>
      <c r="U144" s="90">
        <f>U126+U133-U142</f>
        <v>3457273.7656875118</v>
      </c>
      <c r="V144" s="90"/>
      <c r="W144" s="90">
        <f>W126+W133-W142</f>
        <v>2843958.9055965794</v>
      </c>
      <c r="X144" s="90"/>
      <c r="Y144" s="90">
        <f>Y126+Y133-Y142</f>
        <v>130188.36059374191</v>
      </c>
      <c r="Z144" s="90"/>
      <c r="AA144" s="90">
        <f>AA126+AA133-AA142</f>
        <v>100.77240231865042</v>
      </c>
      <c r="AB144" s="50">
        <f>SUM(H144:AA144)</f>
        <v>90562883.879807696</v>
      </c>
      <c r="AC144" s="28" t="str">
        <f>IF(ABS(AB144-F144)&lt;1,"ok","err")</f>
        <v>ok</v>
      </c>
    </row>
    <row r="145" spans="1:29" x14ac:dyDescent="0.25">
      <c r="Q145" s="14"/>
      <c r="AC145" s="28"/>
    </row>
    <row r="146" spans="1:29" x14ac:dyDescent="0.25">
      <c r="A146" s="26" t="s">
        <v>86</v>
      </c>
      <c r="Q146" s="14"/>
      <c r="AC146" s="28"/>
    </row>
    <row r="147" spans="1:29" x14ac:dyDescent="0.25">
      <c r="A147" s="26"/>
      <c r="Q147" s="14"/>
      <c r="AC147" s="28"/>
    </row>
    <row r="148" spans="1:29" x14ac:dyDescent="0.25">
      <c r="A148" s="13" t="s">
        <v>787</v>
      </c>
      <c r="Q148" s="14"/>
      <c r="AC148" s="28"/>
    </row>
    <row r="149" spans="1:29" x14ac:dyDescent="0.25">
      <c r="A149" s="14">
        <v>500</v>
      </c>
      <c r="B149" s="14" t="s">
        <v>792</v>
      </c>
      <c r="C149" s="14" t="s">
        <v>805</v>
      </c>
      <c r="D149" s="14" t="s">
        <v>781</v>
      </c>
      <c r="F149" s="67">
        <v>0</v>
      </c>
      <c r="H149" s="50">
        <f t="shared" ref="H149:H157" si="78">IF(VLOOKUP($D149,$C$5:$AA$492,6,)=0,0,((VLOOKUP($D149,$C$5:$AA$492,6,)/VLOOKUP($D149,$C$5:$AA$492,4,))*$F149))</f>
        <v>0</v>
      </c>
      <c r="I149" s="50">
        <f t="shared" ref="I149:I157" si="79">IF(VLOOKUP($D149,$C$5:$AA$492,7,)=0,0,((VLOOKUP($D149,$C$5:$AA$492,7,)/VLOOKUP($D149,$C$5:$AA$492,4,))*$F149))</f>
        <v>0</v>
      </c>
      <c r="J149" s="50"/>
      <c r="K149" s="50">
        <f t="shared" ref="K149:K157" si="80">IF(VLOOKUP($D149,$C$5:$AA$492,9,)=0,0,((VLOOKUP($D149,$C$5:$AA$492,9,)/VLOOKUP($D149,$C$5:$AA$492,4,))*$F149))</f>
        <v>0</v>
      </c>
      <c r="L149" s="50"/>
      <c r="M149" s="50">
        <f t="shared" ref="M149:M157" si="81">IF(VLOOKUP($D149,$C$5:$AA$492,11,)=0,0,((VLOOKUP($D149,$C$5:$AA$492,11,)/VLOOKUP($D149,$C$5:$AA$492,4,))*$F149))</f>
        <v>0</v>
      </c>
      <c r="N149" s="50"/>
      <c r="O149" s="50">
        <f t="shared" ref="O149:O157" si="82">IF(VLOOKUP($D149,$C$5:$AA$492,13,)=0,0,((VLOOKUP($D149,$C$5:$AA$492,13,)/VLOOKUP($D149,$C$5:$AA$492,4,))*$F149))</f>
        <v>0</v>
      </c>
      <c r="P149" s="50">
        <f t="shared" ref="P149:P157" si="83">IF(VLOOKUP($D149,$C$5:$AA$492,14,)=0,0,((VLOOKUP($D149,$C$5:$AA$492,14,)/VLOOKUP($D149,$C$5:$AA$492,4,))*$F149))</f>
        <v>0</v>
      </c>
      <c r="Q149" s="50"/>
      <c r="R149" s="50">
        <f t="shared" ref="R149:R157" si="84">IF(VLOOKUP($D149,$C$5:$AA$492,16,)=0,0,((VLOOKUP($D149,$C$5:$AA$492,16,)/VLOOKUP($D149,$C$5:$AA$492,4,))*$F149))</f>
        <v>0</v>
      </c>
      <c r="S149" s="50">
        <f t="shared" ref="S149:S157" si="85">IF(VLOOKUP($D149,$C$5:$AA$492,17,)=0,0,((VLOOKUP($D149,$C$5:$AA$492,17,)/VLOOKUP($D149,$C$5:$AA$492,4,))*$F149))</f>
        <v>0</v>
      </c>
      <c r="T149" s="50"/>
      <c r="U149" s="50">
        <f t="shared" ref="U149:U157" si="86">IF(VLOOKUP($D149,$C$5:$AA$492,19,)=0,0,((VLOOKUP($D149,$C$5:$AA$492,19,)/VLOOKUP($D149,$C$5:$AA$492,4,))*$F149))</f>
        <v>0</v>
      </c>
      <c r="V149" s="50"/>
      <c r="W149" s="50">
        <f t="shared" ref="W149:W157" si="87">IF(VLOOKUP($D149,$C$5:$AA$492,21,)=0,0,((VLOOKUP($D149,$C$5:$AA$492,21,)/VLOOKUP($D149,$C$5:$AA$492,4,))*$F149))</f>
        <v>0</v>
      </c>
      <c r="X149" s="50"/>
      <c r="Y149" s="50">
        <f t="shared" ref="Y149:Y157" si="88">IF(VLOOKUP($D149,$C$5:$AA$492,23,)=0,0,((VLOOKUP($D149,$C$5:$AA$492,23,)/VLOOKUP($D149,$C$5:$AA$492,4,))*$F149))</f>
        <v>0</v>
      </c>
      <c r="Z149" s="50"/>
      <c r="AA149" s="50">
        <f t="shared" ref="AA149:AA157" si="89">IF(VLOOKUP($D149,$C$5:$AA$492,25,)=0,0,((VLOOKUP($D149,$C$5:$AA$492,25,)/VLOOKUP($D149,$C$5:$AA$492,4,))*$F149))</f>
        <v>0</v>
      </c>
      <c r="AB149" s="50">
        <f t="shared" ref="AB149:AB157" si="90">SUM(H149:AA149)</f>
        <v>0</v>
      </c>
      <c r="AC149" s="28" t="str">
        <f t="shared" ref="AC149:AC157" si="91">IF(ABS(AB149-F149)&lt;1,"ok","err")</f>
        <v>ok</v>
      </c>
    </row>
    <row r="150" spans="1:29" x14ac:dyDescent="0.25">
      <c r="A150" s="14">
        <v>501</v>
      </c>
      <c r="B150" s="14" t="s">
        <v>793</v>
      </c>
      <c r="C150" s="14" t="s">
        <v>806</v>
      </c>
      <c r="D150" s="14" t="s">
        <v>785</v>
      </c>
      <c r="F150" s="50">
        <v>0</v>
      </c>
      <c r="H150" s="50">
        <f t="shared" si="78"/>
        <v>0</v>
      </c>
      <c r="I150" s="50">
        <f t="shared" si="79"/>
        <v>0</v>
      </c>
      <c r="J150" s="50"/>
      <c r="K150" s="50">
        <f t="shared" si="80"/>
        <v>0</v>
      </c>
      <c r="L150" s="50"/>
      <c r="M150" s="50">
        <f t="shared" si="81"/>
        <v>0</v>
      </c>
      <c r="N150" s="50"/>
      <c r="O150" s="50">
        <f t="shared" si="82"/>
        <v>0</v>
      </c>
      <c r="P150" s="50">
        <f t="shared" si="83"/>
        <v>0</v>
      </c>
      <c r="Q150" s="50"/>
      <c r="R150" s="50">
        <f t="shared" si="84"/>
        <v>0</v>
      </c>
      <c r="S150" s="50">
        <f t="shared" si="85"/>
        <v>0</v>
      </c>
      <c r="T150" s="50"/>
      <c r="U150" s="50">
        <f t="shared" si="86"/>
        <v>0</v>
      </c>
      <c r="V150" s="50"/>
      <c r="W150" s="50">
        <f t="shared" si="87"/>
        <v>0</v>
      </c>
      <c r="X150" s="50"/>
      <c r="Y150" s="50">
        <f t="shared" si="88"/>
        <v>0</v>
      </c>
      <c r="Z150" s="50"/>
      <c r="AA150" s="50">
        <f t="shared" si="89"/>
        <v>0</v>
      </c>
      <c r="AB150" s="50">
        <f t="shared" si="90"/>
        <v>0</v>
      </c>
      <c r="AC150" s="28" t="str">
        <f t="shared" si="91"/>
        <v>ok</v>
      </c>
    </row>
    <row r="151" spans="1:29" x14ac:dyDescent="0.25">
      <c r="A151" s="14">
        <v>502</v>
      </c>
      <c r="B151" s="14" t="s">
        <v>794</v>
      </c>
      <c r="C151" s="14" t="s">
        <v>807</v>
      </c>
      <c r="D151" s="14" t="s">
        <v>551</v>
      </c>
      <c r="F151" s="50">
        <v>0</v>
      </c>
      <c r="H151" s="50">
        <f t="shared" si="78"/>
        <v>0</v>
      </c>
      <c r="I151" s="50">
        <f t="shared" si="79"/>
        <v>0</v>
      </c>
      <c r="J151" s="50"/>
      <c r="K151" s="50">
        <f t="shared" si="80"/>
        <v>0</v>
      </c>
      <c r="L151" s="50"/>
      <c r="M151" s="50">
        <f t="shared" si="81"/>
        <v>0</v>
      </c>
      <c r="N151" s="50"/>
      <c r="O151" s="50">
        <f t="shared" si="82"/>
        <v>0</v>
      </c>
      <c r="P151" s="50">
        <f t="shared" si="83"/>
        <v>0</v>
      </c>
      <c r="Q151" s="50"/>
      <c r="R151" s="50">
        <f t="shared" si="84"/>
        <v>0</v>
      </c>
      <c r="S151" s="50">
        <f t="shared" si="85"/>
        <v>0</v>
      </c>
      <c r="T151" s="50"/>
      <c r="U151" s="50">
        <f t="shared" si="86"/>
        <v>0</v>
      </c>
      <c r="V151" s="50"/>
      <c r="W151" s="50">
        <f t="shared" si="87"/>
        <v>0</v>
      </c>
      <c r="X151" s="50"/>
      <c r="Y151" s="50">
        <f t="shared" si="88"/>
        <v>0</v>
      </c>
      <c r="Z151" s="50"/>
      <c r="AA151" s="50">
        <f t="shared" si="89"/>
        <v>0</v>
      </c>
      <c r="AB151" s="50">
        <f t="shared" si="90"/>
        <v>0</v>
      </c>
      <c r="AC151" s="28" t="str">
        <f t="shared" si="91"/>
        <v>ok</v>
      </c>
    </row>
    <row r="152" spans="1:29" x14ac:dyDescent="0.25">
      <c r="A152" s="14">
        <v>503</v>
      </c>
      <c r="B152" s="14" t="s">
        <v>795</v>
      </c>
      <c r="C152" s="14" t="s">
        <v>808</v>
      </c>
      <c r="D152" s="14" t="s">
        <v>551</v>
      </c>
      <c r="F152" s="50">
        <v>0</v>
      </c>
      <c r="H152" s="50">
        <f t="shared" si="78"/>
        <v>0</v>
      </c>
      <c r="I152" s="50">
        <f t="shared" si="79"/>
        <v>0</v>
      </c>
      <c r="J152" s="50"/>
      <c r="K152" s="50">
        <f t="shared" si="80"/>
        <v>0</v>
      </c>
      <c r="L152" s="50"/>
      <c r="M152" s="50">
        <f t="shared" si="81"/>
        <v>0</v>
      </c>
      <c r="N152" s="50"/>
      <c r="O152" s="50">
        <f t="shared" si="82"/>
        <v>0</v>
      </c>
      <c r="P152" s="50">
        <f t="shared" si="83"/>
        <v>0</v>
      </c>
      <c r="Q152" s="50"/>
      <c r="R152" s="50">
        <f t="shared" si="84"/>
        <v>0</v>
      </c>
      <c r="S152" s="50">
        <f t="shared" si="85"/>
        <v>0</v>
      </c>
      <c r="T152" s="50"/>
      <c r="U152" s="50">
        <f t="shared" si="86"/>
        <v>0</v>
      </c>
      <c r="V152" s="50"/>
      <c r="W152" s="50">
        <f t="shared" si="87"/>
        <v>0</v>
      </c>
      <c r="X152" s="50"/>
      <c r="Y152" s="50">
        <f t="shared" si="88"/>
        <v>0</v>
      </c>
      <c r="Z152" s="50"/>
      <c r="AA152" s="50">
        <f t="shared" si="89"/>
        <v>0</v>
      </c>
      <c r="AB152" s="50">
        <f t="shared" si="90"/>
        <v>0</v>
      </c>
      <c r="AC152" s="28" t="str">
        <f t="shared" si="91"/>
        <v>ok</v>
      </c>
    </row>
    <row r="153" spans="1:29" x14ac:dyDescent="0.25">
      <c r="A153" s="14">
        <v>504</v>
      </c>
      <c r="B153" s="14" t="s">
        <v>796</v>
      </c>
      <c r="C153" s="14" t="s">
        <v>809</v>
      </c>
      <c r="D153" s="14" t="s">
        <v>551</v>
      </c>
      <c r="F153" s="50">
        <v>0</v>
      </c>
      <c r="H153" s="50">
        <f t="shared" si="78"/>
        <v>0</v>
      </c>
      <c r="I153" s="50">
        <f t="shared" si="79"/>
        <v>0</v>
      </c>
      <c r="J153" s="50"/>
      <c r="K153" s="50">
        <f t="shared" si="80"/>
        <v>0</v>
      </c>
      <c r="L153" s="50"/>
      <c r="M153" s="50">
        <f t="shared" si="81"/>
        <v>0</v>
      </c>
      <c r="N153" s="50"/>
      <c r="O153" s="50">
        <f t="shared" si="82"/>
        <v>0</v>
      </c>
      <c r="P153" s="50">
        <f t="shared" si="83"/>
        <v>0</v>
      </c>
      <c r="Q153" s="50"/>
      <c r="R153" s="50">
        <f t="shared" si="84"/>
        <v>0</v>
      </c>
      <c r="S153" s="50">
        <f t="shared" si="85"/>
        <v>0</v>
      </c>
      <c r="T153" s="50"/>
      <c r="U153" s="50">
        <f t="shared" si="86"/>
        <v>0</v>
      </c>
      <c r="V153" s="50"/>
      <c r="W153" s="50">
        <f t="shared" si="87"/>
        <v>0</v>
      </c>
      <c r="X153" s="50"/>
      <c r="Y153" s="50">
        <f t="shared" si="88"/>
        <v>0</v>
      </c>
      <c r="Z153" s="50"/>
      <c r="AA153" s="50">
        <f t="shared" si="89"/>
        <v>0</v>
      </c>
      <c r="AB153" s="50">
        <f t="shared" si="90"/>
        <v>0</v>
      </c>
      <c r="AC153" s="28" t="str">
        <f t="shared" si="91"/>
        <v>ok</v>
      </c>
    </row>
    <row r="154" spans="1:29" x14ac:dyDescent="0.25">
      <c r="A154" s="14">
        <v>505</v>
      </c>
      <c r="B154" s="14" t="s">
        <v>797</v>
      </c>
      <c r="C154" s="14" t="s">
        <v>810</v>
      </c>
      <c r="D154" s="14" t="s">
        <v>551</v>
      </c>
      <c r="F154" s="50">
        <v>0</v>
      </c>
      <c r="H154" s="50">
        <f t="shared" si="78"/>
        <v>0</v>
      </c>
      <c r="I154" s="50">
        <f t="shared" si="79"/>
        <v>0</v>
      </c>
      <c r="J154" s="50"/>
      <c r="K154" s="50">
        <f t="shared" si="80"/>
        <v>0</v>
      </c>
      <c r="L154" s="50"/>
      <c r="M154" s="50">
        <f t="shared" si="81"/>
        <v>0</v>
      </c>
      <c r="N154" s="50"/>
      <c r="O154" s="50">
        <f t="shared" si="82"/>
        <v>0</v>
      </c>
      <c r="P154" s="50">
        <f t="shared" si="83"/>
        <v>0</v>
      </c>
      <c r="Q154" s="50"/>
      <c r="R154" s="50">
        <f t="shared" si="84"/>
        <v>0</v>
      </c>
      <c r="S154" s="50">
        <f t="shared" si="85"/>
        <v>0</v>
      </c>
      <c r="T154" s="50"/>
      <c r="U154" s="50">
        <f t="shared" si="86"/>
        <v>0</v>
      </c>
      <c r="V154" s="50"/>
      <c r="W154" s="50">
        <f t="shared" si="87"/>
        <v>0</v>
      </c>
      <c r="X154" s="50"/>
      <c r="Y154" s="50">
        <f t="shared" si="88"/>
        <v>0</v>
      </c>
      <c r="Z154" s="50"/>
      <c r="AA154" s="50">
        <f t="shared" si="89"/>
        <v>0</v>
      </c>
      <c r="AB154" s="50">
        <f t="shared" si="90"/>
        <v>0</v>
      </c>
      <c r="AC154" s="28" t="str">
        <f t="shared" si="91"/>
        <v>ok</v>
      </c>
    </row>
    <row r="155" spans="1:29" x14ac:dyDescent="0.25">
      <c r="A155" s="14">
        <v>506</v>
      </c>
      <c r="B155" s="14" t="s">
        <v>798</v>
      </c>
      <c r="C155" s="14" t="s">
        <v>811</v>
      </c>
      <c r="D155" s="14" t="s">
        <v>551</v>
      </c>
      <c r="F155" s="50">
        <v>0</v>
      </c>
      <c r="H155" s="50">
        <f t="shared" si="78"/>
        <v>0</v>
      </c>
      <c r="I155" s="50">
        <f t="shared" si="79"/>
        <v>0</v>
      </c>
      <c r="J155" s="50"/>
      <c r="K155" s="50">
        <f t="shared" si="80"/>
        <v>0</v>
      </c>
      <c r="L155" s="50"/>
      <c r="M155" s="50">
        <f t="shared" si="81"/>
        <v>0</v>
      </c>
      <c r="N155" s="50"/>
      <c r="O155" s="50">
        <f t="shared" si="82"/>
        <v>0</v>
      </c>
      <c r="P155" s="50">
        <f t="shared" si="83"/>
        <v>0</v>
      </c>
      <c r="Q155" s="50"/>
      <c r="R155" s="50">
        <f t="shared" si="84"/>
        <v>0</v>
      </c>
      <c r="S155" s="50">
        <f t="shared" si="85"/>
        <v>0</v>
      </c>
      <c r="T155" s="50"/>
      <c r="U155" s="50">
        <f t="shared" si="86"/>
        <v>0</v>
      </c>
      <c r="V155" s="50"/>
      <c r="W155" s="50">
        <f t="shared" si="87"/>
        <v>0</v>
      </c>
      <c r="X155" s="50"/>
      <c r="Y155" s="50">
        <f t="shared" si="88"/>
        <v>0</v>
      </c>
      <c r="Z155" s="50"/>
      <c r="AA155" s="50">
        <f t="shared" si="89"/>
        <v>0</v>
      </c>
      <c r="AB155" s="50">
        <f t="shared" si="90"/>
        <v>0</v>
      </c>
      <c r="AC155" s="28" t="str">
        <f t="shared" si="91"/>
        <v>ok</v>
      </c>
    </row>
    <row r="156" spans="1:29" x14ac:dyDescent="0.25">
      <c r="A156" s="14">
        <v>507</v>
      </c>
      <c r="B156" s="14" t="s">
        <v>114</v>
      </c>
      <c r="C156" s="14" t="s">
        <v>812</v>
      </c>
      <c r="D156" s="14" t="s">
        <v>551</v>
      </c>
      <c r="F156" s="50">
        <v>0</v>
      </c>
      <c r="H156" s="50">
        <f t="shared" si="78"/>
        <v>0</v>
      </c>
      <c r="I156" s="50">
        <f t="shared" si="79"/>
        <v>0</v>
      </c>
      <c r="J156" s="50"/>
      <c r="K156" s="50">
        <f t="shared" si="80"/>
        <v>0</v>
      </c>
      <c r="L156" s="50"/>
      <c r="M156" s="50">
        <f t="shared" si="81"/>
        <v>0</v>
      </c>
      <c r="N156" s="50"/>
      <c r="O156" s="50">
        <f t="shared" si="82"/>
        <v>0</v>
      </c>
      <c r="P156" s="50">
        <f t="shared" si="83"/>
        <v>0</v>
      </c>
      <c r="Q156" s="50"/>
      <c r="R156" s="50">
        <f t="shared" si="84"/>
        <v>0</v>
      </c>
      <c r="S156" s="50">
        <f t="shared" si="85"/>
        <v>0</v>
      </c>
      <c r="T156" s="50"/>
      <c r="U156" s="50">
        <f t="shared" si="86"/>
        <v>0</v>
      </c>
      <c r="V156" s="50"/>
      <c r="W156" s="50">
        <f t="shared" si="87"/>
        <v>0</v>
      </c>
      <c r="X156" s="50"/>
      <c r="Y156" s="50">
        <f t="shared" si="88"/>
        <v>0</v>
      </c>
      <c r="Z156" s="50"/>
      <c r="AA156" s="50">
        <f t="shared" si="89"/>
        <v>0</v>
      </c>
      <c r="AB156" s="50">
        <f t="shared" si="90"/>
        <v>0</v>
      </c>
      <c r="AC156" s="28" t="str">
        <f t="shared" si="91"/>
        <v>ok</v>
      </c>
    </row>
    <row r="157" spans="1:29" x14ac:dyDescent="0.25">
      <c r="A157" s="14">
        <v>509</v>
      </c>
      <c r="B157" s="14" t="s">
        <v>799</v>
      </c>
      <c r="C157" s="14" t="s">
        <v>813</v>
      </c>
      <c r="D157" s="14" t="s">
        <v>785</v>
      </c>
      <c r="F157" s="50">
        <v>0</v>
      </c>
      <c r="H157" s="50">
        <f t="shared" si="78"/>
        <v>0</v>
      </c>
      <c r="I157" s="50">
        <f t="shared" si="79"/>
        <v>0</v>
      </c>
      <c r="J157" s="50"/>
      <c r="K157" s="50">
        <f t="shared" si="80"/>
        <v>0</v>
      </c>
      <c r="L157" s="50"/>
      <c r="M157" s="50">
        <f t="shared" si="81"/>
        <v>0</v>
      </c>
      <c r="N157" s="50"/>
      <c r="O157" s="50">
        <f t="shared" si="82"/>
        <v>0</v>
      </c>
      <c r="P157" s="50">
        <f t="shared" si="83"/>
        <v>0</v>
      </c>
      <c r="Q157" s="50"/>
      <c r="R157" s="50">
        <f t="shared" si="84"/>
        <v>0</v>
      </c>
      <c r="S157" s="50">
        <f t="shared" si="85"/>
        <v>0</v>
      </c>
      <c r="T157" s="50"/>
      <c r="U157" s="50">
        <f t="shared" si="86"/>
        <v>0</v>
      </c>
      <c r="V157" s="50"/>
      <c r="W157" s="50">
        <f t="shared" si="87"/>
        <v>0</v>
      </c>
      <c r="X157" s="50"/>
      <c r="Y157" s="50">
        <f t="shared" si="88"/>
        <v>0</v>
      </c>
      <c r="Z157" s="50"/>
      <c r="AA157" s="50">
        <f t="shared" si="89"/>
        <v>0</v>
      </c>
      <c r="AB157" s="50">
        <f t="shared" si="90"/>
        <v>0</v>
      </c>
      <c r="AC157" s="28" t="str">
        <f t="shared" si="91"/>
        <v>ok</v>
      </c>
    </row>
    <row r="158" spans="1:29" x14ac:dyDescent="0.25">
      <c r="F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C158" s="28"/>
    </row>
    <row r="159" spans="1:29" x14ac:dyDescent="0.25">
      <c r="A159" s="14" t="s">
        <v>791</v>
      </c>
      <c r="C159" s="14" t="s">
        <v>814</v>
      </c>
      <c r="F159" s="67">
        <f>SUM(F149:F158)</f>
        <v>0</v>
      </c>
      <c r="H159" s="67">
        <f>SUM(H149:H158)</f>
        <v>0</v>
      </c>
      <c r="I159" s="67">
        <f>SUM(I149:I158)</f>
        <v>0</v>
      </c>
      <c r="J159" s="67"/>
      <c r="K159" s="67">
        <f>SUM(K149:K158)</f>
        <v>0</v>
      </c>
      <c r="L159" s="67"/>
      <c r="M159" s="67">
        <f>SUM(M149:M158)</f>
        <v>0</v>
      </c>
      <c r="N159" s="67"/>
      <c r="O159" s="67">
        <f>SUM(O149:O158)</f>
        <v>0</v>
      </c>
      <c r="P159" s="67">
        <f>SUM(P149:P158)</f>
        <v>0</v>
      </c>
      <c r="Q159" s="67"/>
      <c r="R159" s="67">
        <f>SUM(R149:R158)</f>
        <v>0</v>
      </c>
      <c r="S159" s="67">
        <f>SUM(S149:S158)</f>
        <v>0</v>
      </c>
      <c r="T159" s="67"/>
      <c r="U159" s="67">
        <f>SUM(U149:U158)</f>
        <v>0</v>
      </c>
      <c r="V159" s="67"/>
      <c r="W159" s="67">
        <f>SUM(W149:W158)</f>
        <v>0</v>
      </c>
      <c r="X159" s="67"/>
      <c r="Y159" s="67">
        <f>SUM(Y149:Y158)</f>
        <v>0</v>
      </c>
      <c r="Z159" s="67"/>
      <c r="AA159" s="67">
        <f>SUM(AA149:AA158)</f>
        <v>0</v>
      </c>
      <c r="AB159" s="50">
        <f>SUM(H159:AA159)</f>
        <v>0</v>
      </c>
      <c r="AC159" s="28" t="str">
        <f>IF(ABS(AB159-F159)&lt;1,"ok","err")</f>
        <v>ok</v>
      </c>
    </row>
    <row r="160" spans="1:29" x14ac:dyDescent="0.25">
      <c r="A160" s="13"/>
      <c r="F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C160" s="28"/>
    </row>
    <row r="161" spans="1:29" x14ac:dyDescent="0.25">
      <c r="A161" s="13" t="s">
        <v>788</v>
      </c>
      <c r="F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C161" s="28"/>
    </row>
    <row r="162" spans="1:29" x14ac:dyDescent="0.25">
      <c r="A162" s="14">
        <v>510</v>
      </c>
      <c r="B162" s="14" t="s">
        <v>800</v>
      </c>
      <c r="C162" s="14" t="s">
        <v>816</v>
      </c>
      <c r="D162" s="14" t="s">
        <v>785</v>
      </c>
      <c r="F162" s="67">
        <v>0</v>
      </c>
      <c r="H162" s="50">
        <f>IF(VLOOKUP($D162,$C$5:$AA$492,6,)=0,0,((VLOOKUP($D162,$C$5:$AA$492,6,)/VLOOKUP($D162,$C$5:$AA$492,4,))*$F162))</f>
        <v>0</v>
      </c>
      <c r="I162" s="50">
        <f>IF(VLOOKUP($D162,$C$5:$AA$492,7,)=0,0,((VLOOKUP($D162,$C$5:$AA$492,7,)/VLOOKUP($D162,$C$5:$AA$492,4,))*$F162))</f>
        <v>0</v>
      </c>
      <c r="J162" s="50"/>
      <c r="K162" s="50">
        <f>IF(VLOOKUP($D162,$C$5:$AA$492,9,)=0,0,((VLOOKUP($D162,$C$5:$AA$492,9,)/VLOOKUP($D162,$C$5:$AA$492,4,))*$F162))</f>
        <v>0</v>
      </c>
      <c r="L162" s="50"/>
      <c r="M162" s="50">
        <f>IF(VLOOKUP($D162,$C$5:$AA$492,11,)=0,0,((VLOOKUP($D162,$C$5:$AA$492,11,)/VLOOKUP($D162,$C$5:$AA$492,4,))*$F162))</f>
        <v>0</v>
      </c>
      <c r="N162" s="50"/>
      <c r="O162" s="50">
        <f>IF(VLOOKUP($D162,$C$5:$AA$492,13,)=0,0,((VLOOKUP($D162,$C$5:$AA$492,13,)/VLOOKUP($D162,$C$5:$AA$492,4,))*$F162))</f>
        <v>0</v>
      </c>
      <c r="P162" s="50">
        <f>IF(VLOOKUP($D162,$C$5:$AA$492,14,)=0,0,((VLOOKUP($D162,$C$5:$AA$492,14,)/VLOOKUP($D162,$C$5:$AA$492,4,))*$F162))</f>
        <v>0</v>
      </c>
      <c r="Q162" s="50"/>
      <c r="R162" s="50">
        <f>IF(VLOOKUP($D162,$C$5:$AA$492,16,)=0,0,((VLOOKUP($D162,$C$5:$AA$492,16,)/VLOOKUP($D162,$C$5:$AA$492,4,))*$F162))</f>
        <v>0</v>
      </c>
      <c r="S162" s="50">
        <f>IF(VLOOKUP($D162,$C$5:$AA$492,17,)=0,0,((VLOOKUP($D162,$C$5:$AA$492,17,)/VLOOKUP($D162,$C$5:$AA$492,4,))*$F162))</f>
        <v>0</v>
      </c>
      <c r="T162" s="50"/>
      <c r="U162" s="50">
        <f>IF(VLOOKUP($D162,$C$5:$AA$492,19,)=0,0,((VLOOKUP($D162,$C$5:$AA$492,19,)/VLOOKUP($D162,$C$5:$AA$492,4,))*$F162))</f>
        <v>0</v>
      </c>
      <c r="V162" s="50"/>
      <c r="W162" s="50">
        <f>IF(VLOOKUP($D162,$C$5:$AA$492,21,)=0,0,((VLOOKUP($D162,$C$5:$AA$492,21,)/VLOOKUP($D162,$C$5:$AA$492,4,))*$F162))</f>
        <v>0</v>
      </c>
      <c r="X162" s="50"/>
      <c r="Y162" s="50">
        <f>IF(VLOOKUP($D162,$C$5:$AA$492,23,)=0,0,((VLOOKUP($D162,$C$5:$AA$492,23,)/VLOOKUP($D162,$C$5:$AA$492,4,))*$F162))</f>
        <v>0</v>
      </c>
      <c r="Z162" s="50"/>
      <c r="AA162" s="50">
        <f>IF(VLOOKUP($D162,$C$5:$AA$492,25,)=0,0,((VLOOKUP($D162,$C$5:$AA$492,25,)/VLOOKUP($D162,$C$5:$AA$492,4,))*$F162))</f>
        <v>0</v>
      </c>
      <c r="AB162" s="50">
        <f>SUM(H162:AA162)</f>
        <v>0</v>
      </c>
      <c r="AC162" s="28" t="str">
        <f>IF(ABS(AB162-F162)&lt;1,"ok","err")</f>
        <v>ok</v>
      </c>
    </row>
    <row r="163" spans="1:29" x14ac:dyDescent="0.25">
      <c r="A163" s="14">
        <v>511</v>
      </c>
      <c r="B163" s="14" t="s">
        <v>801</v>
      </c>
      <c r="C163" s="14" t="s">
        <v>817</v>
      </c>
      <c r="D163" s="14" t="s">
        <v>551</v>
      </c>
      <c r="F163" s="50">
        <v>0</v>
      </c>
      <c r="H163" s="50">
        <f>IF(VLOOKUP($D163,$C$5:$AA$492,6,)=0,0,((VLOOKUP($D163,$C$5:$AA$492,6,)/VLOOKUP($D163,$C$5:$AA$492,4,))*$F163))</f>
        <v>0</v>
      </c>
      <c r="I163" s="50">
        <f>IF(VLOOKUP($D163,$C$5:$AA$492,7,)=0,0,((VLOOKUP($D163,$C$5:$AA$492,7,)/VLOOKUP($D163,$C$5:$AA$492,4,))*$F163))</f>
        <v>0</v>
      </c>
      <c r="J163" s="50"/>
      <c r="K163" s="50">
        <f>IF(VLOOKUP($D163,$C$5:$AA$492,9,)=0,0,((VLOOKUP($D163,$C$5:$AA$492,9,)/VLOOKUP($D163,$C$5:$AA$492,4,))*$F163))</f>
        <v>0</v>
      </c>
      <c r="L163" s="50"/>
      <c r="M163" s="50">
        <f>IF(VLOOKUP($D163,$C$5:$AA$492,11,)=0,0,((VLOOKUP($D163,$C$5:$AA$492,11,)/VLOOKUP($D163,$C$5:$AA$492,4,))*$F163))</f>
        <v>0</v>
      </c>
      <c r="N163" s="50"/>
      <c r="O163" s="50">
        <f>IF(VLOOKUP($D163,$C$5:$AA$492,13,)=0,0,((VLOOKUP($D163,$C$5:$AA$492,13,)/VLOOKUP($D163,$C$5:$AA$492,4,))*$F163))</f>
        <v>0</v>
      </c>
      <c r="P163" s="50">
        <f>IF(VLOOKUP($D163,$C$5:$AA$492,14,)=0,0,((VLOOKUP($D163,$C$5:$AA$492,14,)/VLOOKUP($D163,$C$5:$AA$492,4,))*$F163))</f>
        <v>0</v>
      </c>
      <c r="Q163" s="50"/>
      <c r="R163" s="50">
        <f>IF(VLOOKUP($D163,$C$5:$AA$492,16,)=0,0,((VLOOKUP($D163,$C$5:$AA$492,16,)/VLOOKUP($D163,$C$5:$AA$492,4,))*$F163))</f>
        <v>0</v>
      </c>
      <c r="S163" s="50">
        <f>IF(VLOOKUP($D163,$C$5:$AA$492,17,)=0,0,((VLOOKUP($D163,$C$5:$AA$492,17,)/VLOOKUP($D163,$C$5:$AA$492,4,))*$F163))</f>
        <v>0</v>
      </c>
      <c r="T163" s="50"/>
      <c r="U163" s="50">
        <f>IF(VLOOKUP($D163,$C$5:$AA$492,19,)=0,0,((VLOOKUP($D163,$C$5:$AA$492,19,)/VLOOKUP($D163,$C$5:$AA$492,4,))*$F163))</f>
        <v>0</v>
      </c>
      <c r="V163" s="50"/>
      <c r="W163" s="50">
        <f>IF(VLOOKUP($D163,$C$5:$AA$492,21,)=0,0,((VLOOKUP($D163,$C$5:$AA$492,21,)/VLOOKUP($D163,$C$5:$AA$492,4,))*$F163))</f>
        <v>0</v>
      </c>
      <c r="X163" s="50"/>
      <c r="Y163" s="50">
        <f>IF(VLOOKUP($D163,$C$5:$AA$492,23,)=0,0,((VLOOKUP($D163,$C$5:$AA$492,23,)/VLOOKUP($D163,$C$5:$AA$492,4,))*$F163))</f>
        <v>0</v>
      </c>
      <c r="Z163" s="50"/>
      <c r="AA163" s="50">
        <f>IF(VLOOKUP($D163,$C$5:$AA$492,25,)=0,0,((VLOOKUP($D163,$C$5:$AA$492,25,)/VLOOKUP($D163,$C$5:$AA$492,4,))*$F163))</f>
        <v>0</v>
      </c>
      <c r="AB163" s="50">
        <f>SUM(H163:AA163)</f>
        <v>0</v>
      </c>
      <c r="AC163" s="28" t="str">
        <f>IF(ABS(AB163-F163)&lt;1,"ok","err")</f>
        <v>ok</v>
      </c>
    </row>
    <row r="164" spans="1:29" x14ac:dyDescent="0.25">
      <c r="A164" s="14">
        <v>512</v>
      </c>
      <c r="B164" s="14" t="s">
        <v>802</v>
      </c>
      <c r="C164" s="14" t="s">
        <v>818</v>
      </c>
      <c r="D164" s="14" t="s">
        <v>785</v>
      </c>
      <c r="F164" s="50">
        <v>0</v>
      </c>
      <c r="H164" s="50">
        <f>IF(VLOOKUP($D164,$C$5:$AA$492,6,)=0,0,((VLOOKUP($D164,$C$5:$AA$492,6,)/VLOOKUP($D164,$C$5:$AA$492,4,))*$F164))</f>
        <v>0</v>
      </c>
      <c r="I164" s="50">
        <f>IF(VLOOKUP($D164,$C$5:$AA$492,7,)=0,0,((VLOOKUP($D164,$C$5:$AA$492,7,)/VLOOKUP($D164,$C$5:$AA$492,4,))*$F164))</f>
        <v>0</v>
      </c>
      <c r="J164" s="50"/>
      <c r="K164" s="50">
        <f>IF(VLOOKUP($D164,$C$5:$AA$492,9,)=0,0,((VLOOKUP($D164,$C$5:$AA$492,9,)/VLOOKUP($D164,$C$5:$AA$492,4,))*$F164))</f>
        <v>0</v>
      </c>
      <c r="L164" s="50"/>
      <c r="M164" s="50">
        <f>IF(VLOOKUP($D164,$C$5:$AA$492,11,)=0,0,((VLOOKUP($D164,$C$5:$AA$492,11,)/VLOOKUP($D164,$C$5:$AA$492,4,))*$F164))</f>
        <v>0</v>
      </c>
      <c r="N164" s="50"/>
      <c r="O164" s="50">
        <f>IF(VLOOKUP($D164,$C$5:$AA$492,13,)=0,0,((VLOOKUP($D164,$C$5:$AA$492,13,)/VLOOKUP($D164,$C$5:$AA$492,4,))*$F164))</f>
        <v>0</v>
      </c>
      <c r="P164" s="50">
        <f>IF(VLOOKUP($D164,$C$5:$AA$492,14,)=0,0,((VLOOKUP($D164,$C$5:$AA$492,14,)/VLOOKUP($D164,$C$5:$AA$492,4,))*$F164))</f>
        <v>0</v>
      </c>
      <c r="Q164" s="50"/>
      <c r="R164" s="50">
        <f>IF(VLOOKUP($D164,$C$5:$AA$492,16,)=0,0,((VLOOKUP($D164,$C$5:$AA$492,16,)/VLOOKUP($D164,$C$5:$AA$492,4,))*$F164))</f>
        <v>0</v>
      </c>
      <c r="S164" s="50">
        <f>IF(VLOOKUP($D164,$C$5:$AA$492,17,)=0,0,((VLOOKUP($D164,$C$5:$AA$492,17,)/VLOOKUP($D164,$C$5:$AA$492,4,))*$F164))</f>
        <v>0</v>
      </c>
      <c r="T164" s="50"/>
      <c r="U164" s="50">
        <f>IF(VLOOKUP($D164,$C$5:$AA$492,19,)=0,0,((VLOOKUP($D164,$C$5:$AA$492,19,)/VLOOKUP($D164,$C$5:$AA$492,4,))*$F164))</f>
        <v>0</v>
      </c>
      <c r="V164" s="50"/>
      <c r="W164" s="50">
        <f>IF(VLOOKUP($D164,$C$5:$AA$492,21,)=0,0,((VLOOKUP($D164,$C$5:$AA$492,21,)/VLOOKUP($D164,$C$5:$AA$492,4,))*$F164))</f>
        <v>0</v>
      </c>
      <c r="X164" s="50"/>
      <c r="Y164" s="50">
        <f>IF(VLOOKUP($D164,$C$5:$AA$492,23,)=0,0,((VLOOKUP($D164,$C$5:$AA$492,23,)/VLOOKUP($D164,$C$5:$AA$492,4,))*$F164))</f>
        <v>0</v>
      </c>
      <c r="Z164" s="50"/>
      <c r="AA164" s="50">
        <f>IF(VLOOKUP($D164,$C$5:$AA$492,25,)=0,0,((VLOOKUP($D164,$C$5:$AA$492,25,)/VLOOKUP($D164,$C$5:$AA$492,4,))*$F164))</f>
        <v>0</v>
      </c>
      <c r="AB164" s="50">
        <f>SUM(H164:AA164)</f>
        <v>0</v>
      </c>
      <c r="AC164" s="28" t="str">
        <f>IF(ABS(AB164-F164)&lt;1,"ok","err")</f>
        <v>ok</v>
      </c>
    </row>
    <row r="165" spans="1:29" x14ac:dyDescent="0.25">
      <c r="A165" s="14">
        <v>513</v>
      </c>
      <c r="B165" s="14" t="s">
        <v>803</v>
      </c>
      <c r="C165" s="14" t="s">
        <v>819</v>
      </c>
      <c r="D165" s="14" t="s">
        <v>785</v>
      </c>
      <c r="F165" s="50">
        <v>0</v>
      </c>
      <c r="H165" s="50">
        <f>IF(VLOOKUP($D165,$C$5:$AA$492,6,)=0,0,((VLOOKUP($D165,$C$5:$AA$492,6,)/VLOOKUP($D165,$C$5:$AA$492,4,))*$F165))</f>
        <v>0</v>
      </c>
      <c r="I165" s="50">
        <f>IF(VLOOKUP($D165,$C$5:$AA$492,7,)=0,0,((VLOOKUP($D165,$C$5:$AA$492,7,)/VLOOKUP($D165,$C$5:$AA$492,4,))*$F165))</f>
        <v>0</v>
      </c>
      <c r="J165" s="50"/>
      <c r="K165" s="50">
        <f>IF(VLOOKUP($D165,$C$5:$AA$492,9,)=0,0,((VLOOKUP($D165,$C$5:$AA$492,9,)/VLOOKUP($D165,$C$5:$AA$492,4,))*$F165))</f>
        <v>0</v>
      </c>
      <c r="L165" s="50"/>
      <c r="M165" s="50">
        <f>IF(VLOOKUP($D165,$C$5:$AA$492,11,)=0,0,((VLOOKUP($D165,$C$5:$AA$492,11,)/VLOOKUP($D165,$C$5:$AA$492,4,))*$F165))</f>
        <v>0</v>
      </c>
      <c r="N165" s="50"/>
      <c r="O165" s="50">
        <f>IF(VLOOKUP($D165,$C$5:$AA$492,13,)=0,0,((VLOOKUP($D165,$C$5:$AA$492,13,)/VLOOKUP($D165,$C$5:$AA$492,4,))*$F165))</f>
        <v>0</v>
      </c>
      <c r="P165" s="50">
        <f>IF(VLOOKUP($D165,$C$5:$AA$492,14,)=0,0,((VLOOKUP($D165,$C$5:$AA$492,14,)/VLOOKUP($D165,$C$5:$AA$492,4,))*$F165))</f>
        <v>0</v>
      </c>
      <c r="Q165" s="50"/>
      <c r="R165" s="50">
        <f>IF(VLOOKUP($D165,$C$5:$AA$492,16,)=0,0,((VLOOKUP($D165,$C$5:$AA$492,16,)/VLOOKUP($D165,$C$5:$AA$492,4,))*$F165))</f>
        <v>0</v>
      </c>
      <c r="S165" s="50">
        <f>IF(VLOOKUP($D165,$C$5:$AA$492,17,)=0,0,((VLOOKUP($D165,$C$5:$AA$492,17,)/VLOOKUP($D165,$C$5:$AA$492,4,))*$F165))</f>
        <v>0</v>
      </c>
      <c r="T165" s="50"/>
      <c r="U165" s="50">
        <f>IF(VLOOKUP($D165,$C$5:$AA$492,19,)=0,0,((VLOOKUP($D165,$C$5:$AA$492,19,)/VLOOKUP($D165,$C$5:$AA$492,4,))*$F165))</f>
        <v>0</v>
      </c>
      <c r="V165" s="50"/>
      <c r="W165" s="50">
        <f>IF(VLOOKUP($D165,$C$5:$AA$492,21,)=0,0,((VLOOKUP($D165,$C$5:$AA$492,21,)/VLOOKUP($D165,$C$5:$AA$492,4,))*$F165))</f>
        <v>0</v>
      </c>
      <c r="X165" s="50"/>
      <c r="Y165" s="50">
        <f>IF(VLOOKUP($D165,$C$5:$AA$492,23,)=0,0,((VLOOKUP($D165,$C$5:$AA$492,23,)/VLOOKUP($D165,$C$5:$AA$492,4,))*$F165))</f>
        <v>0</v>
      </c>
      <c r="Z165" s="50"/>
      <c r="AA165" s="50">
        <f>IF(VLOOKUP($D165,$C$5:$AA$492,25,)=0,0,((VLOOKUP($D165,$C$5:$AA$492,25,)/VLOOKUP($D165,$C$5:$AA$492,4,))*$F165))</f>
        <v>0</v>
      </c>
      <c r="AB165" s="50">
        <f>SUM(H165:AA165)</f>
        <v>0</v>
      </c>
      <c r="AC165" s="28" t="str">
        <f>IF(ABS(AB165-F165)&lt;1,"ok","err")</f>
        <v>ok</v>
      </c>
    </row>
    <row r="166" spans="1:29" x14ac:dyDescent="0.25">
      <c r="A166" s="14">
        <v>514</v>
      </c>
      <c r="B166" s="14" t="s">
        <v>804</v>
      </c>
      <c r="C166" s="14" t="s">
        <v>820</v>
      </c>
      <c r="D166" s="14" t="s">
        <v>551</v>
      </c>
      <c r="F166" s="50">
        <v>0</v>
      </c>
      <c r="H166" s="50">
        <f>IF(VLOOKUP($D166,$C$5:$AA$492,6,)=0,0,((VLOOKUP($D166,$C$5:$AA$492,6,)/VLOOKUP($D166,$C$5:$AA$492,4,))*$F166))</f>
        <v>0</v>
      </c>
      <c r="I166" s="50">
        <f>IF(VLOOKUP($D166,$C$5:$AA$492,7,)=0,0,((VLOOKUP($D166,$C$5:$AA$492,7,)/VLOOKUP($D166,$C$5:$AA$492,4,))*$F166))</f>
        <v>0</v>
      </c>
      <c r="J166" s="50"/>
      <c r="K166" s="50">
        <f>IF(VLOOKUP($D166,$C$5:$AA$492,9,)=0,0,((VLOOKUP($D166,$C$5:$AA$492,9,)/VLOOKUP($D166,$C$5:$AA$492,4,))*$F166))</f>
        <v>0</v>
      </c>
      <c r="L166" s="50"/>
      <c r="M166" s="50">
        <f>IF(VLOOKUP($D166,$C$5:$AA$492,11,)=0,0,((VLOOKUP($D166,$C$5:$AA$492,11,)/VLOOKUP($D166,$C$5:$AA$492,4,))*$F166))</f>
        <v>0</v>
      </c>
      <c r="N166" s="50"/>
      <c r="O166" s="50">
        <f>IF(VLOOKUP($D166,$C$5:$AA$492,13,)=0,0,((VLOOKUP($D166,$C$5:$AA$492,13,)/VLOOKUP($D166,$C$5:$AA$492,4,))*$F166))</f>
        <v>0</v>
      </c>
      <c r="P166" s="50">
        <f>IF(VLOOKUP($D166,$C$5:$AA$492,14,)=0,0,((VLOOKUP($D166,$C$5:$AA$492,14,)/VLOOKUP($D166,$C$5:$AA$492,4,))*$F166))</f>
        <v>0</v>
      </c>
      <c r="Q166" s="50"/>
      <c r="R166" s="50">
        <f>IF(VLOOKUP($D166,$C$5:$AA$492,16,)=0,0,((VLOOKUP($D166,$C$5:$AA$492,16,)/VLOOKUP($D166,$C$5:$AA$492,4,))*$F166))</f>
        <v>0</v>
      </c>
      <c r="S166" s="50">
        <f>IF(VLOOKUP($D166,$C$5:$AA$492,17,)=0,0,((VLOOKUP($D166,$C$5:$AA$492,17,)/VLOOKUP($D166,$C$5:$AA$492,4,))*$F166))</f>
        <v>0</v>
      </c>
      <c r="T166" s="50"/>
      <c r="U166" s="50">
        <f>IF(VLOOKUP($D166,$C$5:$AA$492,19,)=0,0,((VLOOKUP($D166,$C$5:$AA$492,19,)/VLOOKUP($D166,$C$5:$AA$492,4,))*$F166))</f>
        <v>0</v>
      </c>
      <c r="V166" s="50"/>
      <c r="W166" s="50">
        <f>IF(VLOOKUP($D166,$C$5:$AA$492,21,)=0,0,((VLOOKUP($D166,$C$5:$AA$492,21,)/VLOOKUP($D166,$C$5:$AA$492,4,))*$F166))</f>
        <v>0</v>
      </c>
      <c r="X166" s="50"/>
      <c r="Y166" s="50">
        <f>IF(VLOOKUP($D166,$C$5:$AA$492,23,)=0,0,((VLOOKUP($D166,$C$5:$AA$492,23,)/VLOOKUP($D166,$C$5:$AA$492,4,))*$F166))</f>
        <v>0</v>
      </c>
      <c r="Z166" s="50"/>
      <c r="AA166" s="50">
        <f>IF(VLOOKUP($D166,$C$5:$AA$492,25,)=0,0,((VLOOKUP($D166,$C$5:$AA$492,25,)/VLOOKUP($D166,$C$5:$AA$492,4,))*$F166))</f>
        <v>0</v>
      </c>
      <c r="AB166" s="50">
        <f>SUM(H166:AA166)</f>
        <v>0</v>
      </c>
      <c r="AC166" s="28" t="str">
        <f>IF(ABS(AB166-F166)&lt;1,"ok","err")</f>
        <v>ok</v>
      </c>
    </row>
    <row r="167" spans="1:29" x14ac:dyDescent="0.25">
      <c r="F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0"/>
      <c r="AC167" s="28"/>
    </row>
    <row r="168" spans="1:29" x14ac:dyDescent="0.25">
      <c r="A168" s="14" t="s">
        <v>789</v>
      </c>
      <c r="C168" s="14" t="s">
        <v>815</v>
      </c>
      <c r="F168" s="67">
        <f>SUM(F162:F167)</f>
        <v>0</v>
      </c>
      <c r="H168" s="67">
        <f>SUM(H162:H167)</f>
        <v>0</v>
      </c>
      <c r="I168" s="67">
        <f>SUM(I162:I167)</f>
        <v>0</v>
      </c>
      <c r="J168" s="67"/>
      <c r="K168" s="67">
        <f>SUM(K162:K167)</f>
        <v>0</v>
      </c>
      <c r="L168" s="67"/>
      <c r="M168" s="67">
        <f>SUM(M162:M167)</f>
        <v>0</v>
      </c>
      <c r="N168" s="67"/>
      <c r="O168" s="67">
        <f>SUM(O162:O167)</f>
        <v>0</v>
      </c>
      <c r="P168" s="67">
        <f>SUM(P162:P167)</f>
        <v>0</v>
      </c>
      <c r="Q168" s="67"/>
      <c r="R168" s="67">
        <f>SUM(R162:R167)</f>
        <v>0</v>
      </c>
      <c r="S168" s="67">
        <f>SUM(S162:S167)</f>
        <v>0</v>
      </c>
      <c r="T168" s="67"/>
      <c r="U168" s="67">
        <f>SUM(U162:U167)</f>
        <v>0</v>
      </c>
      <c r="V168" s="67"/>
      <c r="W168" s="67">
        <f>SUM(W162:W167)</f>
        <v>0</v>
      </c>
      <c r="X168" s="67"/>
      <c r="Y168" s="67">
        <f>SUM(Y162:Y167)</f>
        <v>0</v>
      </c>
      <c r="Z168" s="67"/>
      <c r="AA168" s="67">
        <f>SUM(AA162:AA167)</f>
        <v>0</v>
      </c>
      <c r="AB168" s="50">
        <f>SUM(H168:AA168)</f>
        <v>0</v>
      </c>
      <c r="AC168" s="28" t="str">
        <f>IF(ABS(AB168-F168)&lt;1,"ok","err")</f>
        <v>ok</v>
      </c>
    </row>
    <row r="169" spans="1:29" x14ac:dyDescent="0.25">
      <c r="F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C169" s="28"/>
    </row>
    <row r="170" spans="1:29" x14ac:dyDescent="0.25">
      <c r="A170" s="14" t="s">
        <v>790</v>
      </c>
      <c r="C170" s="14" t="s">
        <v>823</v>
      </c>
      <c r="F170" s="50">
        <f>F159+F168</f>
        <v>0</v>
      </c>
      <c r="H170" s="50">
        <f>H159+H168</f>
        <v>0</v>
      </c>
      <c r="I170" s="50">
        <f>I159+I168</f>
        <v>0</v>
      </c>
      <c r="J170" s="50"/>
      <c r="K170" s="50">
        <f>K159+K168</f>
        <v>0</v>
      </c>
      <c r="L170" s="50"/>
      <c r="M170" s="50">
        <f>M159+M168</f>
        <v>0</v>
      </c>
      <c r="N170" s="50"/>
      <c r="O170" s="50">
        <f>O159+O168</f>
        <v>0</v>
      </c>
      <c r="P170" s="50">
        <f>P159+P168</f>
        <v>0</v>
      </c>
      <c r="Q170" s="50"/>
      <c r="R170" s="50">
        <f>R159+R168</f>
        <v>0</v>
      </c>
      <c r="S170" s="50">
        <f>S159+S168</f>
        <v>0</v>
      </c>
      <c r="T170" s="50"/>
      <c r="U170" s="50">
        <f>U159+U168</f>
        <v>0</v>
      </c>
      <c r="V170" s="50"/>
      <c r="W170" s="50">
        <f>W159+W168</f>
        <v>0</v>
      </c>
      <c r="X170" s="50"/>
      <c r="Y170" s="50">
        <f>Y159+Y168</f>
        <v>0</v>
      </c>
      <c r="Z170" s="50"/>
      <c r="AA170" s="50">
        <f>AA159+AA168</f>
        <v>0</v>
      </c>
      <c r="AB170" s="50">
        <f>SUM(H170:AA170)</f>
        <v>0</v>
      </c>
      <c r="AC170" s="28" t="str">
        <f>IF(ABS(AB170-F170)&lt;1,"ok","err")</f>
        <v>ok</v>
      </c>
    </row>
    <row r="171" spans="1:29" x14ac:dyDescent="0.25">
      <c r="F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C171" s="28"/>
    </row>
    <row r="172" spans="1:29" x14ac:dyDescent="0.25">
      <c r="A172" s="26" t="s">
        <v>135</v>
      </c>
      <c r="F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C172" s="28"/>
    </row>
    <row r="173" spans="1:29" x14ac:dyDescent="0.25">
      <c r="F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C173" s="28"/>
    </row>
    <row r="174" spans="1:29" x14ac:dyDescent="0.25">
      <c r="A174" s="13" t="s">
        <v>95</v>
      </c>
      <c r="H174" s="67"/>
      <c r="I174" s="67"/>
      <c r="Q174" s="14"/>
      <c r="AC174" s="28"/>
    </row>
    <row r="175" spans="1:29" x14ac:dyDescent="0.25">
      <c r="A175" s="14">
        <v>555</v>
      </c>
      <c r="B175" s="14" t="s">
        <v>377</v>
      </c>
      <c r="C175" s="14" t="s">
        <v>396</v>
      </c>
      <c r="D175" s="14" t="s">
        <v>96</v>
      </c>
      <c r="F175" s="67">
        <v>41971379</v>
      </c>
      <c r="G175" s="67"/>
      <c r="H175" s="67">
        <f>IF(VLOOKUP($D175,$C$5:$AA$492,6,)=0,0,((VLOOKUP($D175,$C$5:$AA$492,6,)/VLOOKUP($D175,$C$5:$AA$492,4,))*$F175))</f>
        <v>9006886.8765010126</v>
      </c>
      <c r="I175" s="67">
        <f>IF(VLOOKUP($D175,$C$5:$AA$492,7,)=0,0,((VLOOKUP($D175,$C$5:$AA$492,7,)/VLOOKUP($D175,$C$5:$AA$492,4,))*$F175))</f>
        <v>32964492.123498984</v>
      </c>
      <c r="J175" s="50"/>
      <c r="K175" s="50">
        <f>IF(VLOOKUP($D175,$C$5:$AA$492,9,)=0,0,((VLOOKUP($D175,$C$5:$AA$492,9,)/VLOOKUP($D175,$C$5:$AA$492,4,))*$F175))</f>
        <v>0</v>
      </c>
      <c r="L175" s="50"/>
      <c r="M175" s="50">
        <f>IF(VLOOKUP($D175,$C$5:$AA$492,11,)=0,0,((VLOOKUP($D175,$C$5:$AA$492,11,)/VLOOKUP($D175,$C$5:$AA$492,4,))*$F175))</f>
        <v>0</v>
      </c>
      <c r="N175" s="50"/>
      <c r="O175" s="50">
        <f>IF(VLOOKUP($D175,$C$5:$AA$492,13,)=0,0,((VLOOKUP($D175,$C$5:$AA$492,13,)/VLOOKUP($D175,$C$5:$AA$492,4,))*$F175))</f>
        <v>0</v>
      </c>
      <c r="P175" s="50">
        <f>IF(VLOOKUP($D175,$C$5:$AA$492,14,)=0,0,((VLOOKUP($D175,$C$5:$AA$492,14,)/VLOOKUP($D175,$C$5:$AA$492,4,))*$F175))</f>
        <v>0</v>
      </c>
      <c r="Q175" s="50"/>
      <c r="R175" s="50">
        <f>IF(VLOOKUP($D175,$C$5:$AA$492,16,)=0,0,((VLOOKUP($D175,$C$5:$AA$492,16,)/VLOOKUP($D175,$C$5:$AA$492,4,))*$F175))</f>
        <v>0</v>
      </c>
      <c r="S175" s="50">
        <f>IF(VLOOKUP($D175,$C$5:$AA$492,17,)=0,0,((VLOOKUP($D175,$C$5:$AA$492,17,)/VLOOKUP($D175,$C$5:$AA$492,4,))*$F175))</f>
        <v>0</v>
      </c>
      <c r="T175" s="50"/>
      <c r="U175" s="50">
        <f>IF(VLOOKUP($D175,$C$5:$AA$492,19,)=0,0,((VLOOKUP($D175,$C$5:$AA$492,19,)/VLOOKUP($D175,$C$5:$AA$492,4,))*$F175))</f>
        <v>0</v>
      </c>
      <c r="V175" s="50"/>
      <c r="W175" s="50">
        <f>IF(VLOOKUP($D175,$C$5:$AA$492,21,)=0,0,((VLOOKUP($D175,$C$5:$AA$492,21,)/VLOOKUP($D175,$C$5:$AA$492,4,))*$F175))</f>
        <v>0</v>
      </c>
      <c r="X175" s="50"/>
      <c r="Y175" s="50">
        <f>IF(VLOOKUP($D175,$C$5:$AA$492,23,)=0,0,((VLOOKUP($D175,$C$5:$AA$492,23,)/VLOOKUP($D175,$C$5:$AA$492,4,))*$F175))</f>
        <v>0</v>
      </c>
      <c r="Z175" s="50"/>
      <c r="AA175" s="50">
        <f>IF(VLOOKUP($D175,$C$5:$AA$492,25,)=0,0,((VLOOKUP($D175,$C$5:$AA$492,25,)/VLOOKUP($D175,$C$5:$AA$492,4,))*$F175))</f>
        <v>0</v>
      </c>
      <c r="AB175" s="50">
        <f>SUM(H175:AA175)</f>
        <v>41971379</v>
      </c>
      <c r="AC175" s="28" t="str">
        <f>IF(ABS(AB175-F175)&lt;1,"ok","err")</f>
        <v>ok</v>
      </c>
    </row>
    <row r="176" spans="1:29" x14ac:dyDescent="0.25">
      <c r="A176" s="14">
        <v>556</v>
      </c>
      <c r="B176" s="14" t="s">
        <v>905</v>
      </c>
      <c r="C176" s="14" t="s">
        <v>906</v>
      </c>
      <c r="D176" s="14" t="s">
        <v>96</v>
      </c>
      <c r="F176" s="50">
        <v>0</v>
      </c>
      <c r="G176" s="67"/>
      <c r="H176" s="50">
        <f>IF(VLOOKUP($D176,$C$5:$AA$492,6,)=0,0,((VLOOKUP($D176,$C$5:$AA$492,6,)/VLOOKUP($D176,$C$5:$AA$492,4,))*$F176))</f>
        <v>0</v>
      </c>
      <c r="I176" s="50">
        <f>IF(VLOOKUP($D176,$C$5:$AA$492,7,)=0,0,((VLOOKUP($D176,$C$5:$AA$492,7,)/VLOOKUP($D176,$C$5:$AA$492,4,))*$F176))</f>
        <v>0</v>
      </c>
      <c r="J176" s="50"/>
      <c r="K176" s="50">
        <f>IF(VLOOKUP($D176,$C$5:$AA$492,9,)=0,0,((VLOOKUP($D176,$C$5:$AA$492,9,)/VLOOKUP($D176,$C$5:$AA$492,4,))*$F176))</f>
        <v>0</v>
      </c>
      <c r="L176" s="50"/>
      <c r="M176" s="50">
        <f>IF(VLOOKUP($D176,$C$5:$AA$492,11,)=0,0,((VLOOKUP($D176,$C$5:$AA$492,11,)/VLOOKUP($D176,$C$5:$AA$492,4,))*$F176))</f>
        <v>0</v>
      </c>
      <c r="N176" s="50"/>
      <c r="O176" s="50">
        <f>IF(VLOOKUP($D176,$C$5:$AA$492,13,)=0,0,((VLOOKUP($D176,$C$5:$AA$492,13,)/VLOOKUP($D176,$C$5:$AA$492,4,))*$F176))</f>
        <v>0</v>
      </c>
      <c r="P176" s="50">
        <f>IF(VLOOKUP($D176,$C$5:$AA$492,14,)=0,0,((VLOOKUP($D176,$C$5:$AA$492,14,)/VLOOKUP($D176,$C$5:$AA$492,4,))*$F176))</f>
        <v>0</v>
      </c>
      <c r="Q176" s="50"/>
      <c r="R176" s="50">
        <f>IF(VLOOKUP($D176,$C$5:$AA$492,16,)=0,0,((VLOOKUP($D176,$C$5:$AA$492,16,)/VLOOKUP($D176,$C$5:$AA$492,4,))*$F176))</f>
        <v>0</v>
      </c>
      <c r="S176" s="50">
        <f>IF(VLOOKUP($D176,$C$5:$AA$492,17,)=0,0,((VLOOKUP($D176,$C$5:$AA$492,17,)/VLOOKUP($D176,$C$5:$AA$492,4,))*$F176))</f>
        <v>0</v>
      </c>
      <c r="T176" s="50"/>
      <c r="U176" s="50">
        <f>IF(VLOOKUP($D176,$C$5:$AA$492,19,)=0,0,((VLOOKUP($D176,$C$5:$AA$492,19,)/VLOOKUP($D176,$C$5:$AA$492,4,))*$F176))</f>
        <v>0</v>
      </c>
      <c r="V176" s="50"/>
      <c r="W176" s="50">
        <f>IF(VLOOKUP($D176,$C$5:$AA$492,21,)=0,0,((VLOOKUP($D176,$C$5:$AA$492,21,)/VLOOKUP($D176,$C$5:$AA$492,4,))*$F176))</f>
        <v>0</v>
      </c>
      <c r="X176" s="50"/>
      <c r="Y176" s="50">
        <f>IF(VLOOKUP($D176,$C$5:$AA$492,23,)=0,0,((VLOOKUP($D176,$C$5:$AA$492,23,)/VLOOKUP($D176,$C$5:$AA$492,4,))*$F176))</f>
        <v>0</v>
      </c>
      <c r="Z176" s="50"/>
      <c r="AA176" s="50">
        <f>IF(VLOOKUP($D176,$C$5:$AA$492,25,)=0,0,((VLOOKUP($D176,$C$5:$AA$492,25,)/VLOOKUP($D176,$C$5:$AA$492,4,))*$F176))</f>
        <v>0</v>
      </c>
      <c r="AB176" s="50">
        <f>SUM(H176:AA176)</f>
        <v>0</v>
      </c>
      <c r="AC176" s="28" t="str">
        <f>IF(ABS(AB176-F176)&lt;1,"ok","err")</f>
        <v>ok</v>
      </c>
    </row>
    <row r="177" spans="1:29" x14ac:dyDescent="0.25">
      <c r="A177" s="14">
        <v>557</v>
      </c>
      <c r="B177" s="14" t="s">
        <v>397</v>
      </c>
      <c r="C177" s="14" t="s">
        <v>399</v>
      </c>
      <c r="D177" s="14" t="s">
        <v>96</v>
      </c>
      <c r="F177" s="50">
        <v>0</v>
      </c>
      <c r="G177" s="67"/>
      <c r="H177" s="50">
        <f>IF(VLOOKUP($D177,$C$5:$AA$492,6,)=0,0,((VLOOKUP($D177,$C$5:$AA$492,6,)/VLOOKUP($D177,$C$5:$AA$492,4,))*$F177))</f>
        <v>0</v>
      </c>
      <c r="I177" s="50">
        <f>IF(VLOOKUP($D177,$C$5:$AA$492,7,)=0,0,((VLOOKUP($D177,$C$5:$AA$492,7,)/VLOOKUP($D177,$C$5:$AA$492,4,))*$F177))</f>
        <v>0</v>
      </c>
      <c r="J177" s="50"/>
      <c r="K177" s="50">
        <f>IF(VLOOKUP($D177,$C$5:$AA$492,9,)=0,0,((VLOOKUP($D177,$C$5:$AA$492,9,)/VLOOKUP($D177,$C$5:$AA$492,4,))*$F177))</f>
        <v>0</v>
      </c>
      <c r="L177" s="50"/>
      <c r="M177" s="50">
        <f>IF(VLOOKUP($D177,$C$5:$AA$492,11,)=0,0,((VLOOKUP($D177,$C$5:$AA$492,11,)/VLOOKUP($D177,$C$5:$AA$492,4,))*$F177))</f>
        <v>0</v>
      </c>
      <c r="N177" s="50"/>
      <c r="O177" s="50">
        <f>IF(VLOOKUP($D177,$C$5:$AA$492,13,)=0,0,((VLOOKUP($D177,$C$5:$AA$492,13,)/VLOOKUP($D177,$C$5:$AA$492,4,))*$F177))</f>
        <v>0</v>
      </c>
      <c r="P177" s="50">
        <f>IF(VLOOKUP($D177,$C$5:$AA$492,14,)=0,0,((VLOOKUP($D177,$C$5:$AA$492,14,)/VLOOKUP($D177,$C$5:$AA$492,4,))*$F177))</f>
        <v>0</v>
      </c>
      <c r="Q177" s="50"/>
      <c r="R177" s="50">
        <f>IF(VLOOKUP($D177,$C$5:$AA$492,16,)=0,0,((VLOOKUP($D177,$C$5:$AA$492,16,)/VLOOKUP($D177,$C$5:$AA$492,4,))*$F177))</f>
        <v>0</v>
      </c>
      <c r="S177" s="50">
        <f>IF(VLOOKUP($D177,$C$5:$AA$492,17,)=0,0,((VLOOKUP($D177,$C$5:$AA$492,17,)/VLOOKUP($D177,$C$5:$AA$492,4,))*$F177))</f>
        <v>0</v>
      </c>
      <c r="T177" s="50"/>
      <c r="U177" s="50">
        <f>IF(VLOOKUP($D177,$C$5:$AA$492,19,)=0,0,((VLOOKUP($D177,$C$5:$AA$492,19,)/VLOOKUP($D177,$C$5:$AA$492,4,))*$F177))</f>
        <v>0</v>
      </c>
      <c r="V177" s="50"/>
      <c r="W177" s="50">
        <f>IF(VLOOKUP($D177,$C$5:$AA$492,21,)=0,0,((VLOOKUP($D177,$C$5:$AA$492,21,)/VLOOKUP($D177,$C$5:$AA$492,4,))*$F177))</f>
        <v>0</v>
      </c>
      <c r="X177" s="50"/>
      <c r="Y177" s="50">
        <f>IF(VLOOKUP($D177,$C$5:$AA$492,23,)=0,0,((VLOOKUP($D177,$C$5:$AA$492,23,)/VLOOKUP($D177,$C$5:$AA$492,4,))*$F177))</f>
        <v>0</v>
      </c>
      <c r="Z177" s="50"/>
      <c r="AA177" s="50">
        <f>IF(VLOOKUP($D177,$C$5:$AA$492,25,)=0,0,((VLOOKUP($D177,$C$5:$AA$492,25,)/VLOOKUP($D177,$C$5:$AA$492,4,))*$F177))</f>
        <v>0</v>
      </c>
      <c r="AB177" s="50">
        <f>SUM(H177:AA177)</f>
        <v>0</v>
      </c>
      <c r="AC177" s="28" t="str">
        <f>IF(ABS(AB177-F177)&lt;1,"ok","err")</f>
        <v>ok</v>
      </c>
    </row>
    <row r="178" spans="1:29" x14ac:dyDescent="0.25">
      <c r="A178" s="14">
        <v>559</v>
      </c>
      <c r="B178" s="14" t="s">
        <v>830</v>
      </c>
      <c r="C178" s="14" t="s">
        <v>831</v>
      </c>
      <c r="D178" s="14" t="s">
        <v>96</v>
      </c>
      <c r="F178" s="50">
        <v>0</v>
      </c>
      <c r="G178" s="67"/>
      <c r="H178" s="50">
        <f>IF(VLOOKUP($D178,$C$5:$AA$492,6,)=0,0,((VLOOKUP($D178,$C$5:$AA$492,6,)/VLOOKUP($D178,$C$5:$AA$492,4,))*$F178))</f>
        <v>0</v>
      </c>
      <c r="I178" s="50">
        <f>IF(VLOOKUP($D178,$C$5:$AA$492,7,)=0,0,((VLOOKUP($D178,$C$5:$AA$492,7,)/VLOOKUP($D178,$C$5:$AA$492,4,))*$F178))</f>
        <v>0</v>
      </c>
      <c r="J178" s="50"/>
      <c r="K178" s="50">
        <f>IF(VLOOKUP($D178,$C$5:$AA$492,9,)=0,0,((VLOOKUP($D178,$C$5:$AA$492,9,)/VLOOKUP($D178,$C$5:$AA$492,4,))*$F178))</f>
        <v>0</v>
      </c>
      <c r="L178" s="50"/>
      <c r="M178" s="50">
        <f>IF(VLOOKUP($D178,$C$5:$AA$492,11,)=0,0,((VLOOKUP($D178,$C$5:$AA$492,11,)/VLOOKUP($D178,$C$5:$AA$492,4,))*$F178))</f>
        <v>0</v>
      </c>
      <c r="N178" s="50"/>
      <c r="O178" s="50">
        <f>IF(VLOOKUP($D178,$C$5:$AA$492,13,)=0,0,((VLOOKUP($D178,$C$5:$AA$492,13,)/VLOOKUP($D178,$C$5:$AA$492,4,))*$F178))</f>
        <v>0</v>
      </c>
      <c r="P178" s="50">
        <f>IF(VLOOKUP($D178,$C$5:$AA$492,14,)=0,0,((VLOOKUP($D178,$C$5:$AA$492,14,)/VLOOKUP($D178,$C$5:$AA$492,4,))*$F178))</f>
        <v>0</v>
      </c>
      <c r="Q178" s="50"/>
      <c r="R178" s="50">
        <f>IF(VLOOKUP($D178,$C$5:$AA$492,16,)=0,0,((VLOOKUP($D178,$C$5:$AA$492,16,)/VLOOKUP($D178,$C$5:$AA$492,4,))*$F178))</f>
        <v>0</v>
      </c>
      <c r="S178" s="50">
        <f>IF(VLOOKUP($D178,$C$5:$AA$492,17,)=0,0,((VLOOKUP($D178,$C$5:$AA$492,17,)/VLOOKUP($D178,$C$5:$AA$492,4,))*$F178))</f>
        <v>0</v>
      </c>
      <c r="T178" s="50"/>
      <c r="U178" s="50">
        <f>IF(VLOOKUP($D178,$C$5:$AA$492,19,)=0,0,((VLOOKUP($D178,$C$5:$AA$492,19,)/VLOOKUP($D178,$C$5:$AA$492,4,))*$F178))</f>
        <v>0</v>
      </c>
      <c r="V178" s="50"/>
      <c r="W178" s="50">
        <f>IF(VLOOKUP($D178,$C$5:$AA$492,21,)=0,0,((VLOOKUP($D178,$C$5:$AA$492,21,)/VLOOKUP($D178,$C$5:$AA$492,4,))*$F178))</f>
        <v>0</v>
      </c>
      <c r="X178" s="50"/>
      <c r="Y178" s="50">
        <f>IF(VLOOKUP($D178,$C$5:$AA$492,23,)=0,0,((VLOOKUP($D178,$C$5:$AA$492,23,)/VLOOKUP($D178,$C$5:$AA$492,4,))*$F178))</f>
        <v>0</v>
      </c>
      <c r="Z178" s="50"/>
      <c r="AA178" s="50">
        <f>IF(VLOOKUP($D178,$C$5:$AA$492,25,)=0,0,((VLOOKUP($D178,$C$5:$AA$492,25,)/VLOOKUP($D178,$C$5:$AA$492,4,))*$F178))</f>
        <v>0</v>
      </c>
      <c r="AB178" s="50">
        <f>SUM(H178:AA178)</f>
        <v>0</v>
      </c>
      <c r="AC178" s="28" t="str">
        <f>IF(ABS(AB178-F178)&lt;1,"ok","err")</f>
        <v>ok</v>
      </c>
    </row>
    <row r="179" spans="1:29" x14ac:dyDescent="0.25"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50"/>
      <c r="AC179" s="28"/>
    </row>
    <row r="180" spans="1:29" x14ac:dyDescent="0.25">
      <c r="A180" s="14" t="s">
        <v>398</v>
      </c>
      <c r="C180" s="14" t="s">
        <v>400</v>
      </c>
      <c r="F180" s="67">
        <f>SUM(F175:F179)</f>
        <v>41971379</v>
      </c>
      <c r="G180" s="67"/>
      <c r="H180" s="67">
        <f>SUM(H175:H179)</f>
        <v>9006886.8765010126</v>
      </c>
      <c r="I180" s="67">
        <f t="shared" ref="I180:AA180" si="92">SUM(I175:I179)</f>
        <v>32964492.123498984</v>
      </c>
      <c r="J180" s="67"/>
      <c r="K180" s="67">
        <f t="shared" si="92"/>
        <v>0</v>
      </c>
      <c r="L180" s="67"/>
      <c r="M180" s="67">
        <f t="shared" si="92"/>
        <v>0</v>
      </c>
      <c r="N180" s="67"/>
      <c r="O180" s="67">
        <f t="shared" si="92"/>
        <v>0</v>
      </c>
      <c r="P180" s="67">
        <f t="shared" si="92"/>
        <v>0</v>
      </c>
      <c r="Q180" s="67"/>
      <c r="R180" s="67">
        <f t="shared" si="92"/>
        <v>0</v>
      </c>
      <c r="S180" s="67">
        <f t="shared" si="92"/>
        <v>0</v>
      </c>
      <c r="T180" s="67"/>
      <c r="U180" s="67">
        <f t="shared" si="92"/>
        <v>0</v>
      </c>
      <c r="V180" s="67"/>
      <c r="W180" s="67">
        <f t="shared" si="92"/>
        <v>0</v>
      </c>
      <c r="X180" s="67"/>
      <c r="Y180" s="67">
        <f t="shared" si="92"/>
        <v>0</v>
      </c>
      <c r="Z180" s="67"/>
      <c r="AA180" s="67">
        <f t="shared" si="92"/>
        <v>0</v>
      </c>
      <c r="AB180" s="50">
        <f>SUM(H180:AA180)</f>
        <v>41971379</v>
      </c>
      <c r="AC180" s="28" t="str">
        <f>IF(ABS(AB180-F180)&lt;1,"ok","err")</f>
        <v>ok</v>
      </c>
    </row>
    <row r="181" spans="1:29" x14ac:dyDescent="0.25"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50"/>
      <c r="AC181" s="28"/>
    </row>
    <row r="182" spans="1:29" x14ac:dyDescent="0.25">
      <c r="A182" s="13" t="s">
        <v>369</v>
      </c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50"/>
      <c r="AC182" s="28"/>
    </row>
    <row r="183" spans="1:29" x14ac:dyDescent="0.25">
      <c r="A183" s="14">
        <v>560</v>
      </c>
      <c r="B183" s="14" t="s">
        <v>372</v>
      </c>
      <c r="C183" s="14" t="s">
        <v>402</v>
      </c>
      <c r="D183" s="14" t="s">
        <v>389</v>
      </c>
      <c r="F183" s="67">
        <v>0</v>
      </c>
      <c r="G183" s="67"/>
      <c r="H183" s="50">
        <f t="shared" ref="H183:H197" si="93">IF((VLOOKUP($D183,$C$5:$AA$492,6,)=0),0,((VLOOKUP($D183,$C$5:$AA$492,6,)/VLOOKUP($D183,$C$5:$AA$492,4,))*$F183))</f>
        <v>0</v>
      </c>
      <c r="I183" s="50">
        <f t="shared" ref="I183:I197" si="94">IF((VLOOKUP($D183,$C$5:$AA$492,7,)=0),0,((VLOOKUP($D183,$C$5:$AA$492,7,)/VLOOKUP($D183,$C$5:$AA$492,4,))*$F183))</f>
        <v>0</v>
      </c>
      <c r="J183" s="50"/>
      <c r="K183" s="50">
        <f t="shared" ref="K183:K197" si="95">IF((VLOOKUP($D183,$C$5:$AA$492,9,)=0),0,((VLOOKUP($D183,$C$5:$AA$492,9,)/VLOOKUP($D183,$C$5:$AA$492,4,))*$F183))</f>
        <v>0</v>
      </c>
      <c r="L183" s="50"/>
      <c r="M183" s="50">
        <f t="shared" ref="M183:M197" si="96">IF((VLOOKUP($D183,$C$5:$AA$492,11,)=0),0,((VLOOKUP($D183,$C$5:$AA$492,11,)/VLOOKUP($D183,$C$5:$AA$492,4,))*$F183))</f>
        <v>0</v>
      </c>
      <c r="N183" s="50"/>
      <c r="O183" s="50">
        <f t="shared" ref="O183:O197" si="97">IF((VLOOKUP($D183,$C$5:$AA$492,13,)=0),0,((VLOOKUP($D183,$C$5:$AA$492,13,)/VLOOKUP($D183,$C$5:$AA$492,4,))*$F183))</f>
        <v>0</v>
      </c>
      <c r="P183" s="50">
        <f t="shared" ref="P183:P197" si="98">IF((VLOOKUP($D183,$C$5:$AA$492,14,)=0),0,((VLOOKUP($D183,$C$5:$AA$492,14,)/VLOOKUP($D183,$C$5:$AA$492,4,))*$F183))</f>
        <v>0</v>
      </c>
      <c r="Q183" s="50"/>
      <c r="R183" s="50">
        <f t="shared" ref="R183:R197" si="99">IF((VLOOKUP($D183,$C$5:$AA$492,16,)=0),0,((VLOOKUP($D183,$C$5:$AA$492,16,)/VLOOKUP($D183,$C$5:$AA$492,4,))*$F183))</f>
        <v>0</v>
      </c>
      <c r="S183" s="50">
        <f t="shared" ref="S183:S197" si="100">IF((VLOOKUP($D183,$C$5:$AA$492,17,)=0),0,((VLOOKUP($D183,$C$5:$AA$492,17,)/VLOOKUP($D183,$C$5:$AA$492,4,))*$F183))</f>
        <v>0</v>
      </c>
      <c r="T183" s="50"/>
      <c r="U183" s="50">
        <f t="shared" ref="U183:U197" si="101">IF((VLOOKUP($D183,$C$5:$AA$492,19,)=0),0,((VLOOKUP($D183,$C$5:$AA$492,19,)/VLOOKUP($D183,$C$5:$AA$492,4,))*$F183))</f>
        <v>0</v>
      </c>
      <c r="V183" s="50"/>
      <c r="W183" s="50">
        <f t="shared" ref="W183:W197" si="102">IF((VLOOKUP($D183,$C$5:$AA$492,21,)=0),0,((VLOOKUP($D183,$C$5:$AA$492,21,)/VLOOKUP($D183,$C$5:$AA$492,4,))*$F183))</f>
        <v>0</v>
      </c>
      <c r="X183" s="50"/>
      <c r="Y183" s="50">
        <f t="shared" ref="Y183:Y197" si="103">IF((VLOOKUP($D183,$C$5:$AA$492,23,)=0),0,((VLOOKUP($D183,$C$5:$AA$492,23,)/VLOOKUP($D183,$C$5:$AA$492,4,))*$F183))</f>
        <v>0</v>
      </c>
      <c r="Z183" s="50"/>
      <c r="AA183" s="50">
        <f t="shared" ref="AA183:AA197" si="104">IF((VLOOKUP($D183,$C$5:$AA$492,25,)=0),0,((VLOOKUP($D183,$C$5:$AA$492,25,)/VLOOKUP($D183,$C$5:$AA$492,4,))*$F183))</f>
        <v>0</v>
      </c>
      <c r="AB183" s="50">
        <f t="shared" ref="AB183:AB197" si="105">SUM(H183:AA183)</f>
        <v>0</v>
      </c>
      <c r="AC183" s="28" t="str">
        <f t="shared" ref="AC183:AC197" si="106">IF(ABS(AB183-F183)&lt;1,"ok","err")</f>
        <v>ok</v>
      </c>
    </row>
    <row r="184" spans="1:29" x14ac:dyDescent="0.25">
      <c r="A184" s="14">
        <v>561</v>
      </c>
      <c r="B184" s="14" t="s">
        <v>100</v>
      </c>
      <c r="C184" s="14" t="s">
        <v>403</v>
      </c>
      <c r="D184" s="14" t="s">
        <v>389</v>
      </c>
      <c r="F184" s="50">
        <v>0</v>
      </c>
      <c r="G184" s="67"/>
      <c r="H184" s="50">
        <f t="shared" si="93"/>
        <v>0</v>
      </c>
      <c r="I184" s="50">
        <f t="shared" si="94"/>
        <v>0</v>
      </c>
      <c r="J184" s="50"/>
      <c r="K184" s="50">
        <f t="shared" si="95"/>
        <v>0</v>
      </c>
      <c r="L184" s="50"/>
      <c r="M184" s="50">
        <f t="shared" si="96"/>
        <v>0</v>
      </c>
      <c r="N184" s="50"/>
      <c r="O184" s="50">
        <f t="shared" si="97"/>
        <v>0</v>
      </c>
      <c r="P184" s="50">
        <f t="shared" si="98"/>
        <v>0</v>
      </c>
      <c r="Q184" s="50"/>
      <c r="R184" s="50">
        <f t="shared" si="99"/>
        <v>0</v>
      </c>
      <c r="S184" s="50">
        <f t="shared" si="100"/>
        <v>0</v>
      </c>
      <c r="T184" s="50"/>
      <c r="U184" s="50">
        <f t="shared" si="101"/>
        <v>0</v>
      </c>
      <c r="V184" s="50"/>
      <c r="W184" s="50">
        <f t="shared" si="102"/>
        <v>0</v>
      </c>
      <c r="X184" s="50"/>
      <c r="Y184" s="50">
        <f t="shared" si="103"/>
        <v>0</v>
      </c>
      <c r="Z184" s="50"/>
      <c r="AA184" s="50">
        <f t="shared" si="104"/>
        <v>0</v>
      </c>
      <c r="AB184" s="50">
        <f t="shared" si="105"/>
        <v>0</v>
      </c>
      <c r="AC184" s="28" t="str">
        <f t="shared" si="106"/>
        <v>ok</v>
      </c>
    </row>
    <row r="185" spans="1:29" x14ac:dyDescent="0.25">
      <c r="A185" s="14">
        <v>562</v>
      </c>
      <c r="B185" s="14" t="s">
        <v>370</v>
      </c>
      <c r="C185" s="14" t="s">
        <v>404</v>
      </c>
      <c r="D185" s="14" t="s">
        <v>389</v>
      </c>
      <c r="F185" s="50">
        <v>0</v>
      </c>
      <c r="G185" s="67"/>
      <c r="H185" s="50">
        <f t="shared" si="93"/>
        <v>0</v>
      </c>
      <c r="I185" s="50">
        <f t="shared" si="94"/>
        <v>0</v>
      </c>
      <c r="J185" s="50"/>
      <c r="K185" s="50">
        <f t="shared" si="95"/>
        <v>0</v>
      </c>
      <c r="L185" s="50"/>
      <c r="M185" s="50">
        <f t="shared" si="96"/>
        <v>0</v>
      </c>
      <c r="N185" s="50"/>
      <c r="O185" s="50">
        <f t="shared" si="97"/>
        <v>0</v>
      </c>
      <c r="P185" s="50">
        <f t="shared" si="98"/>
        <v>0</v>
      </c>
      <c r="Q185" s="50"/>
      <c r="R185" s="50">
        <f t="shared" si="99"/>
        <v>0</v>
      </c>
      <c r="S185" s="50">
        <f t="shared" si="100"/>
        <v>0</v>
      </c>
      <c r="T185" s="50"/>
      <c r="U185" s="50">
        <f t="shared" si="101"/>
        <v>0</v>
      </c>
      <c r="V185" s="50"/>
      <c r="W185" s="50">
        <f t="shared" si="102"/>
        <v>0</v>
      </c>
      <c r="X185" s="50"/>
      <c r="Y185" s="50">
        <f t="shared" si="103"/>
        <v>0</v>
      </c>
      <c r="Z185" s="50"/>
      <c r="AA185" s="50">
        <f t="shared" si="104"/>
        <v>0</v>
      </c>
      <c r="AB185" s="50">
        <f t="shared" si="105"/>
        <v>0</v>
      </c>
      <c r="AC185" s="28" t="str">
        <f t="shared" si="106"/>
        <v>ok</v>
      </c>
    </row>
    <row r="186" spans="1:29" x14ac:dyDescent="0.25">
      <c r="A186" s="14">
        <v>563</v>
      </c>
      <c r="B186" s="14" t="s">
        <v>102</v>
      </c>
      <c r="C186" s="14" t="s">
        <v>405</v>
      </c>
      <c r="D186" s="14" t="s">
        <v>389</v>
      </c>
      <c r="F186" s="50">
        <v>0</v>
      </c>
      <c r="G186" s="67"/>
      <c r="H186" s="50">
        <f t="shared" si="93"/>
        <v>0</v>
      </c>
      <c r="I186" s="50">
        <f t="shared" si="94"/>
        <v>0</v>
      </c>
      <c r="J186" s="50"/>
      <c r="K186" s="50">
        <f t="shared" si="95"/>
        <v>0</v>
      </c>
      <c r="L186" s="50"/>
      <c r="M186" s="50">
        <f t="shared" si="96"/>
        <v>0</v>
      </c>
      <c r="N186" s="50"/>
      <c r="O186" s="50">
        <f t="shared" si="97"/>
        <v>0</v>
      </c>
      <c r="P186" s="50">
        <f t="shared" si="98"/>
        <v>0</v>
      </c>
      <c r="Q186" s="50"/>
      <c r="R186" s="50">
        <f t="shared" si="99"/>
        <v>0</v>
      </c>
      <c r="S186" s="50">
        <f t="shared" si="100"/>
        <v>0</v>
      </c>
      <c r="T186" s="50"/>
      <c r="U186" s="50">
        <f t="shared" si="101"/>
        <v>0</v>
      </c>
      <c r="V186" s="50"/>
      <c r="W186" s="50">
        <f t="shared" si="102"/>
        <v>0</v>
      </c>
      <c r="X186" s="50"/>
      <c r="Y186" s="50">
        <f t="shared" si="103"/>
        <v>0</v>
      </c>
      <c r="Z186" s="50"/>
      <c r="AA186" s="50">
        <f t="shared" si="104"/>
        <v>0</v>
      </c>
      <c r="AB186" s="50">
        <f t="shared" si="105"/>
        <v>0</v>
      </c>
      <c r="AC186" s="28" t="str">
        <f t="shared" si="106"/>
        <v>ok</v>
      </c>
    </row>
    <row r="187" spans="1:29" x14ac:dyDescent="0.25">
      <c r="A187" s="14">
        <v>564</v>
      </c>
      <c r="B187" s="14" t="s">
        <v>104</v>
      </c>
      <c r="C187" s="14" t="s">
        <v>908</v>
      </c>
      <c r="D187" s="14" t="s">
        <v>389</v>
      </c>
      <c r="F187" s="50">
        <v>0</v>
      </c>
      <c r="G187" s="67"/>
      <c r="H187" s="50">
        <f t="shared" si="93"/>
        <v>0</v>
      </c>
      <c r="I187" s="50">
        <f t="shared" si="94"/>
        <v>0</v>
      </c>
      <c r="J187" s="50"/>
      <c r="K187" s="50">
        <f t="shared" si="95"/>
        <v>0</v>
      </c>
      <c r="L187" s="50"/>
      <c r="M187" s="50">
        <f t="shared" si="96"/>
        <v>0</v>
      </c>
      <c r="N187" s="50"/>
      <c r="O187" s="50">
        <f t="shared" si="97"/>
        <v>0</v>
      </c>
      <c r="P187" s="50">
        <f t="shared" si="98"/>
        <v>0</v>
      </c>
      <c r="Q187" s="50"/>
      <c r="R187" s="50">
        <f t="shared" si="99"/>
        <v>0</v>
      </c>
      <c r="S187" s="50">
        <f t="shared" si="100"/>
        <v>0</v>
      </c>
      <c r="T187" s="50"/>
      <c r="U187" s="50">
        <f t="shared" si="101"/>
        <v>0</v>
      </c>
      <c r="V187" s="50"/>
      <c r="W187" s="50">
        <f t="shared" si="102"/>
        <v>0</v>
      </c>
      <c r="X187" s="50"/>
      <c r="Y187" s="50">
        <f t="shared" si="103"/>
        <v>0</v>
      </c>
      <c r="Z187" s="50"/>
      <c r="AA187" s="50">
        <f t="shared" si="104"/>
        <v>0</v>
      </c>
      <c r="AB187" s="50">
        <f>SUM(H187:AA187)</f>
        <v>0</v>
      </c>
      <c r="AC187" s="28" t="str">
        <f>IF(ABS(AB187-F187)&lt;1,"ok","err")</f>
        <v>ok</v>
      </c>
    </row>
    <row r="188" spans="1:29" x14ac:dyDescent="0.25">
      <c r="A188" s="14">
        <v>565</v>
      </c>
      <c r="B188" s="14" t="s">
        <v>907</v>
      </c>
      <c r="C188" s="14" t="s">
        <v>909</v>
      </c>
      <c r="D188" s="14" t="s">
        <v>389</v>
      </c>
      <c r="F188" s="50">
        <v>0</v>
      </c>
      <c r="G188" s="67"/>
      <c r="H188" s="50">
        <f t="shared" si="93"/>
        <v>0</v>
      </c>
      <c r="I188" s="50">
        <f t="shared" si="94"/>
        <v>0</v>
      </c>
      <c r="J188" s="50"/>
      <c r="K188" s="50">
        <f t="shared" si="95"/>
        <v>0</v>
      </c>
      <c r="L188" s="50"/>
      <c r="M188" s="50">
        <f t="shared" si="96"/>
        <v>0</v>
      </c>
      <c r="N188" s="50"/>
      <c r="O188" s="50">
        <f t="shared" si="97"/>
        <v>0</v>
      </c>
      <c r="P188" s="50">
        <f t="shared" si="98"/>
        <v>0</v>
      </c>
      <c r="Q188" s="50"/>
      <c r="R188" s="50">
        <f t="shared" si="99"/>
        <v>0</v>
      </c>
      <c r="S188" s="50">
        <f t="shared" si="100"/>
        <v>0</v>
      </c>
      <c r="T188" s="50"/>
      <c r="U188" s="50">
        <f t="shared" si="101"/>
        <v>0</v>
      </c>
      <c r="V188" s="50"/>
      <c r="W188" s="50">
        <f t="shared" si="102"/>
        <v>0</v>
      </c>
      <c r="X188" s="50"/>
      <c r="Y188" s="50">
        <f t="shared" si="103"/>
        <v>0</v>
      </c>
      <c r="Z188" s="50"/>
      <c r="AA188" s="50">
        <f t="shared" si="104"/>
        <v>0</v>
      </c>
      <c r="AB188" s="50">
        <f>SUM(H188:AA188)</f>
        <v>0</v>
      </c>
      <c r="AC188" s="28" t="str">
        <f>IF(ABS(AB188-F188)&lt;1,"ok","err")</f>
        <v>ok</v>
      </c>
    </row>
    <row r="189" spans="1:29" x14ac:dyDescent="0.25">
      <c r="A189" s="14">
        <v>566</v>
      </c>
      <c r="B189" s="14" t="s">
        <v>585</v>
      </c>
      <c r="C189" s="14" t="s">
        <v>586</v>
      </c>
      <c r="D189" s="14" t="s">
        <v>389</v>
      </c>
      <c r="F189" s="50">
        <v>0</v>
      </c>
      <c r="G189" s="67"/>
      <c r="H189" s="50">
        <f t="shared" si="93"/>
        <v>0</v>
      </c>
      <c r="I189" s="50">
        <f t="shared" si="94"/>
        <v>0</v>
      </c>
      <c r="J189" s="50"/>
      <c r="K189" s="50">
        <f t="shared" si="95"/>
        <v>0</v>
      </c>
      <c r="L189" s="50"/>
      <c r="M189" s="50">
        <f t="shared" si="96"/>
        <v>0</v>
      </c>
      <c r="N189" s="50"/>
      <c r="O189" s="50">
        <f t="shared" si="97"/>
        <v>0</v>
      </c>
      <c r="P189" s="50">
        <f t="shared" si="98"/>
        <v>0</v>
      </c>
      <c r="Q189" s="50"/>
      <c r="R189" s="50">
        <f t="shared" si="99"/>
        <v>0</v>
      </c>
      <c r="S189" s="50">
        <f t="shared" si="100"/>
        <v>0</v>
      </c>
      <c r="T189" s="50"/>
      <c r="U189" s="50">
        <f t="shared" si="101"/>
        <v>0</v>
      </c>
      <c r="V189" s="50"/>
      <c r="W189" s="50">
        <f t="shared" si="102"/>
        <v>0</v>
      </c>
      <c r="X189" s="50"/>
      <c r="Y189" s="50">
        <f t="shared" si="103"/>
        <v>0</v>
      </c>
      <c r="Z189" s="50"/>
      <c r="AA189" s="50">
        <f t="shared" si="104"/>
        <v>0</v>
      </c>
      <c r="AB189" s="50">
        <f>SUM(H189:AA189)</f>
        <v>0</v>
      </c>
      <c r="AC189" s="28" t="str">
        <f>IF(ABS(AB189-F189)&lt;1,"ok","err")</f>
        <v>ok</v>
      </c>
    </row>
    <row r="190" spans="1:29" x14ac:dyDescent="0.25">
      <c r="A190" s="14">
        <v>567</v>
      </c>
      <c r="B190" s="14" t="s">
        <v>114</v>
      </c>
      <c r="C190" s="14" t="s">
        <v>910</v>
      </c>
      <c r="D190" s="14" t="s">
        <v>389</v>
      </c>
      <c r="F190" s="50">
        <v>0</v>
      </c>
      <c r="G190" s="67"/>
      <c r="H190" s="50">
        <f t="shared" si="93"/>
        <v>0</v>
      </c>
      <c r="I190" s="50">
        <f t="shared" si="94"/>
        <v>0</v>
      </c>
      <c r="J190" s="50"/>
      <c r="K190" s="50">
        <f t="shared" si="95"/>
        <v>0</v>
      </c>
      <c r="L190" s="50"/>
      <c r="M190" s="50">
        <f t="shared" si="96"/>
        <v>0</v>
      </c>
      <c r="N190" s="50"/>
      <c r="O190" s="50">
        <f t="shared" si="97"/>
        <v>0</v>
      </c>
      <c r="P190" s="50">
        <f t="shared" si="98"/>
        <v>0</v>
      </c>
      <c r="Q190" s="50"/>
      <c r="R190" s="50">
        <f t="shared" si="99"/>
        <v>0</v>
      </c>
      <c r="S190" s="50">
        <f t="shared" si="100"/>
        <v>0</v>
      </c>
      <c r="T190" s="50"/>
      <c r="U190" s="50">
        <f t="shared" si="101"/>
        <v>0</v>
      </c>
      <c r="V190" s="50"/>
      <c r="W190" s="50">
        <f t="shared" si="102"/>
        <v>0</v>
      </c>
      <c r="X190" s="50"/>
      <c r="Y190" s="50">
        <f t="shared" si="103"/>
        <v>0</v>
      </c>
      <c r="Z190" s="50"/>
      <c r="AA190" s="50">
        <f t="shared" si="104"/>
        <v>0</v>
      </c>
      <c r="AB190" s="50">
        <f>SUM(H190:AA190)</f>
        <v>0</v>
      </c>
      <c r="AC190" s="28" t="str">
        <f>IF(ABS(AB190-F190)&lt;1,"ok","err")</f>
        <v>ok</v>
      </c>
    </row>
    <row r="191" spans="1:29" x14ac:dyDescent="0.25">
      <c r="A191" s="14">
        <v>568</v>
      </c>
      <c r="B191" s="14" t="s">
        <v>911</v>
      </c>
      <c r="C191" s="14" t="s">
        <v>406</v>
      </c>
      <c r="D191" s="14" t="s">
        <v>389</v>
      </c>
      <c r="F191" s="50">
        <v>0</v>
      </c>
      <c r="G191" s="67"/>
      <c r="H191" s="50">
        <f t="shared" si="93"/>
        <v>0</v>
      </c>
      <c r="I191" s="50">
        <f t="shared" si="94"/>
        <v>0</v>
      </c>
      <c r="J191" s="50"/>
      <c r="K191" s="50">
        <f t="shared" si="95"/>
        <v>0</v>
      </c>
      <c r="L191" s="50"/>
      <c r="M191" s="50">
        <f t="shared" si="96"/>
        <v>0</v>
      </c>
      <c r="N191" s="50"/>
      <c r="O191" s="50">
        <f t="shared" si="97"/>
        <v>0</v>
      </c>
      <c r="P191" s="50">
        <f t="shared" si="98"/>
        <v>0</v>
      </c>
      <c r="Q191" s="50"/>
      <c r="R191" s="50">
        <f t="shared" si="99"/>
        <v>0</v>
      </c>
      <c r="S191" s="50">
        <f t="shared" si="100"/>
        <v>0</v>
      </c>
      <c r="T191" s="50"/>
      <c r="U191" s="50">
        <f t="shared" si="101"/>
        <v>0</v>
      </c>
      <c r="V191" s="50"/>
      <c r="W191" s="50">
        <f t="shared" si="102"/>
        <v>0</v>
      </c>
      <c r="X191" s="50"/>
      <c r="Y191" s="50">
        <f t="shared" si="103"/>
        <v>0</v>
      </c>
      <c r="Z191" s="50"/>
      <c r="AA191" s="50">
        <f t="shared" si="104"/>
        <v>0</v>
      </c>
      <c r="AB191" s="50">
        <f>SUM(H191:AA191)</f>
        <v>0</v>
      </c>
      <c r="AC191" s="28" t="str">
        <f>IF(ABS(AB191-F191)&lt;1,"ok","err")</f>
        <v>ok</v>
      </c>
    </row>
    <row r="192" spans="1:29" x14ac:dyDescent="0.25">
      <c r="A192" s="14">
        <v>569</v>
      </c>
      <c r="B192" s="14" t="s">
        <v>801</v>
      </c>
      <c r="C192" s="14" t="s">
        <v>912</v>
      </c>
      <c r="D192" s="14" t="s">
        <v>389</v>
      </c>
      <c r="F192" s="50">
        <v>0</v>
      </c>
      <c r="G192" s="67"/>
      <c r="H192" s="50">
        <f t="shared" si="93"/>
        <v>0</v>
      </c>
      <c r="I192" s="50">
        <f t="shared" si="94"/>
        <v>0</v>
      </c>
      <c r="J192" s="50"/>
      <c r="K192" s="50">
        <f t="shared" si="95"/>
        <v>0</v>
      </c>
      <c r="L192" s="50"/>
      <c r="M192" s="50">
        <f t="shared" si="96"/>
        <v>0</v>
      </c>
      <c r="N192" s="50"/>
      <c r="O192" s="50">
        <f t="shared" si="97"/>
        <v>0</v>
      </c>
      <c r="P192" s="50">
        <f t="shared" si="98"/>
        <v>0</v>
      </c>
      <c r="Q192" s="50"/>
      <c r="R192" s="50">
        <f t="shared" si="99"/>
        <v>0</v>
      </c>
      <c r="S192" s="50">
        <f t="shared" si="100"/>
        <v>0</v>
      </c>
      <c r="T192" s="50"/>
      <c r="U192" s="50">
        <f t="shared" si="101"/>
        <v>0</v>
      </c>
      <c r="V192" s="50"/>
      <c r="W192" s="50">
        <f t="shared" si="102"/>
        <v>0</v>
      </c>
      <c r="X192" s="50"/>
      <c r="Y192" s="50">
        <f t="shared" si="103"/>
        <v>0</v>
      </c>
      <c r="Z192" s="50"/>
      <c r="AA192" s="50">
        <f t="shared" si="104"/>
        <v>0</v>
      </c>
      <c r="AB192" s="50">
        <f t="shared" si="105"/>
        <v>0</v>
      </c>
      <c r="AC192" s="28" t="str">
        <f t="shared" si="106"/>
        <v>ok</v>
      </c>
    </row>
    <row r="193" spans="1:29" x14ac:dyDescent="0.25">
      <c r="A193" s="14">
        <v>570</v>
      </c>
      <c r="B193" s="14" t="s">
        <v>373</v>
      </c>
      <c r="C193" s="14" t="s">
        <v>407</v>
      </c>
      <c r="D193" s="14" t="s">
        <v>389</v>
      </c>
      <c r="F193" s="50">
        <v>0</v>
      </c>
      <c r="G193" s="67"/>
      <c r="H193" s="50">
        <f t="shared" si="93"/>
        <v>0</v>
      </c>
      <c r="I193" s="50">
        <f t="shared" si="94"/>
        <v>0</v>
      </c>
      <c r="J193" s="50"/>
      <c r="K193" s="50">
        <f t="shared" si="95"/>
        <v>0</v>
      </c>
      <c r="L193" s="50"/>
      <c r="M193" s="50">
        <f t="shared" si="96"/>
        <v>0</v>
      </c>
      <c r="N193" s="50"/>
      <c r="O193" s="50">
        <f t="shared" si="97"/>
        <v>0</v>
      </c>
      <c r="P193" s="50">
        <f t="shared" si="98"/>
        <v>0</v>
      </c>
      <c r="Q193" s="50"/>
      <c r="R193" s="50">
        <f t="shared" si="99"/>
        <v>0</v>
      </c>
      <c r="S193" s="50">
        <f t="shared" si="100"/>
        <v>0</v>
      </c>
      <c r="T193" s="50"/>
      <c r="U193" s="50">
        <f t="shared" si="101"/>
        <v>0</v>
      </c>
      <c r="V193" s="50"/>
      <c r="W193" s="50">
        <f t="shared" si="102"/>
        <v>0</v>
      </c>
      <c r="X193" s="50"/>
      <c r="Y193" s="50">
        <f t="shared" si="103"/>
        <v>0</v>
      </c>
      <c r="Z193" s="50"/>
      <c r="AA193" s="50">
        <f t="shared" si="104"/>
        <v>0</v>
      </c>
      <c r="AB193" s="50">
        <f t="shared" si="105"/>
        <v>0</v>
      </c>
      <c r="AC193" s="28" t="str">
        <f t="shared" si="106"/>
        <v>ok</v>
      </c>
    </row>
    <row r="194" spans="1:29" x14ac:dyDescent="0.25">
      <c r="A194" s="14">
        <v>571</v>
      </c>
      <c r="B194" s="14" t="s">
        <v>374</v>
      </c>
      <c r="C194" s="14" t="s">
        <v>408</v>
      </c>
      <c r="D194" s="14" t="s">
        <v>389</v>
      </c>
      <c r="F194" s="50">
        <v>0</v>
      </c>
      <c r="G194" s="67"/>
      <c r="H194" s="50">
        <f t="shared" si="93"/>
        <v>0</v>
      </c>
      <c r="I194" s="50">
        <f t="shared" si="94"/>
        <v>0</v>
      </c>
      <c r="J194" s="50"/>
      <c r="K194" s="50">
        <f t="shared" si="95"/>
        <v>0</v>
      </c>
      <c r="L194" s="50"/>
      <c r="M194" s="50">
        <f t="shared" si="96"/>
        <v>0</v>
      </c>
      <c r="N194" s="50"/>
      <c r="O194" s="50">
        <f t="shared" si="97"/>
        <v>0</v>
      </c>
      <c r="P194" s="50">
        <f t="shared" si="98"/>
        <v>0</v>
      </c>
      <c r="Q194" s="50"/>
      <c r="R194" s="50">
        <f t="shared" si="99"/>
        <v>0</v>
      </c>
      <c r="S194" s="50">
        <f t="shared" si="100"/>
        <v>0</v>
      </c>
      <c r="T194" s="50"/>
      <c r="U194" s="50">
        <f t="shared" si="101"/>
        <v>0</v>
      </c>
      <c r="V194" s="50"/>
      <c r="W194" s="50">
        <f t="shared" si="102"/>
        <v>0</v>
      </c>
      <c r="X194" s="50"/>
      <c r="Y194" s="50">
        <f t="shared" si="103"/>
        <v>0</v>
      </c>
      <c r="Z194" s="50"/>
      <c r="AA194" s="50">
        <f t="shared" si="104"/>
        <v>0</v>
      </c>
      <c r="AB194" s="50">
        <f t="shared" si="105"/>
        <v>0</v>
      </c>
      <c r="AC194" s="28" t="str">
        <f t="shared" si="106"/>
        <v>ok</v>
      </c>
    </row>
    <row r="195" spans="1:29" x14ac:dyDescent="0.25">
      <c r="A195" s="14">
        <v>572</v>
      </c>
      <c r="B195" s="14" t="s">
        <v>918</v>
      </c>
      <c r="C195" s="14" t="s">
        <v>915</v>
      </c>
      <c r="D195" s="14" t="s">
        <v>389</v>
      </c>
      <c r="F195" s="50">
        <v>0</v>
      </c>
      <c r="G195" s="67"/>
      <c r="H195" s="50">
        <f t="shared" si="93"/>
        <v>0</v>
      </c>
      <c r="I195" s="50">
        <f t="shared" si="94"/>
        <v>0</v>
      </c>
      <c r="J195" s="50"/>
      <c r="K195" s="50">
        <f t="shared" si="95"/>
        <v>0</v>
      </c>
      <c r="L195" s="50"/>
      <c r="M195" s="50">
        <f t="shared" si="96"/>
        <v>0</v>
      </c>
      <c r="N195" s="50"/>
      <c r="O195" s="50">
        <f t="shared" si="97"/>
        <v>0</v>
      </c>
      <c r="P195" s="50">
        <f t="shared" si="98"/>
        <v>0</v>
      </c>
      <c r="Q195" s="50"/>
      <c r="R195" s="50">
        <f t="shared" si="99"/>
        <v>0</v>
      </c>
      <c r="S195" s="50">
        <f t="shared" si="100"/>
        <v>0</v>
      </c>
      <c r="T195" s="50"/>
      <c r="U195" s="50">
        <f t="shared" si="101"/>
        <v>0</v>
      </c>
      <c r="V195" s="50"/>
      <c r="W195" s="50">
        <f t="shared" si="102"/>
        <v>0</v>
      </c>
      <c r="X195" s="50"/>
      <c r="Y195" s="50">
        <f t="shared" si="103"/>
        <v>0</v>
      </c>
      <c r="Z195" s="50"/>
      <c r="AA195" s="50">
        <f t="shared" si="104"/>
        <v>0</v>
      </c>
      <c r="AB195" s="50">
        <f>SUM(H195:AA195)</f>
        <v>0</v>
      </c>
      <c r="AC195" s="28" t="str">
        <f>IF(ABS(AB195-F195)&lt;1,"ok","err")</f>
        <v>ok</v>
      </c>
    </row>
    <row r="196" spans="1:29" x14ac:dyDescent="0.25">
      <c r="A196" s="14">
        <v>573</v>
      </c>
      <c r="B196" s="14" t="s">
        <v>913</v>
      </c>
      <c r="C196" s="14" t="s">
        <v>916</v>
      </c>
      <c r="D196" s="14" t="s">
        <v>389</v>
      </c>
      <c r="F196" s="50">
        <v>0</v>
      </c>
      <c r="G196" s="67"/>
      <c r="H196" s="50">
        <f t="shared" si="93"/>
        <v>0</v>
      </c>
      <c r="I196" s="50">
        <f t="shared" si="94"/>
        <v>0</v>
      </c>
      <c r="J196" s="50"/>
      <c r="K196" s="50">
        <f t="shared" si="95"/>
        <v>0</v>
      </c>
      <c r="L196" s="50"/>
      <c r="M196" s="50">
        <f t="shared" si="96"/>
        <v>0</v>
      </c>
      <c r="N196" s="50"/>
      <c r="O196" s="50">
        <f t="shared" si="97"/>
        <v>0</v>
      </c>
      <c r="P196" s="50">
        <f t="shared" si="98"/>
        <v>0</v>
      </c>
      <c r="Q196" s="50"/>
      <c r="R196" s="50">
        <f t="shared" si="99"/>
        <v>0</v>
      </c>
      <c r="S196" s="50">
        <f t="shared" si="100"/>
        <v>0</v>
      </c>
      <c r="T196" s="50"/>
      <c r="U196" s="50">
        <f t="shared" si="101"/>
        <v>0</v>
      </c>
      <c r="V196" s="50"/>
      <c r="W196" s="50">
        <f t="shared" si="102"/>
        <v>0</v>
      </c>
      <c r="X196" s="50"/>
      <c r="Y196" s="50">
        <f t="shared" si="103"/>
        <v>0</v>
      </c>
      <c r="Z196" s="50"/>
      <c r="AA196" s="50">
        <f t="shared" si="104"/>
        <v>0</v>
      </c>
      <c r="AB196" s="50">
        <f>SUM(H196:AA196)</f>
        <v>0</v>
      </c>
      <c r="AC196" s="28" t="str">
        <f>IF(ABS(AB196-F196)&lt;1,"ok","err")</f>
        <v>ok</v>
      </c>
    </row>
    <row r="197" spans="1:29" x14ac:dyDescent="0.25">
      <c r="A197" s="14">
        <v>574</v>
      </c>
      <c r="B197" s="14" t="s">
        <v>914</v>
      </c>
      <c r="C197" s="14" t="s">
        <v>917</v>
      </c>
      <c r="D197" s="14" t="s">
        <v>389</v>
      </c>
      <c r="F197" s="50">
        <v>0</v>
      </c>
      <c r="G197" s="67"/>
      <c r="H197" s="50">
        <f t="shared" si="93"/>
        <v>0</v>
      </c>
      <c r="I197" s="50">
        <f t="shared" si="94"/>
        <v>0</v>
      </c>
      <c r="J197" s="50"/>
      <c r="K197" s="50">
        <f t="shared" si="95"/>
        <v>0</v>
      </c>
      <c r="L197" s="50"/>
      <c r="M197" s="50">
        <f t="shared" si="96"/>
        <v>0</v>
      </c>
      <c r="N197" s="50"/>
      <c r="O197" s="50">
        <f t="shared" si="97"/>
        <v>0</v>
      </c>
      <c r="P197" s="50">
        <f t="shared" si="98"/>
        <v>0</v>
      </c>
      <c r="Q197" s="50"/>
      <c r="R197" s="50">
        <f t="shared" si="99"/>
        <v>0</v>
      </c>
      <c r="S197" s="50">
        <f t="shared" si="100"/>
        <v>0</v>
      </c>
      <c r="T197" s="50"/>
      <c r="U197" s="50">
        <f t="shared" si="101"/>
        <v>0</v>
      </c>
      <c r="V197" s="50"/>
      <c r="W197" s="50">
        <f t="shared" si="102"/>
        <v>0</v>
      </c>
      <c r="X197" s="50"/>
      <c r="Y197" s="50">
        <f t="shared" si="103"/>
        <v>0</v>
      </c>
      <c r="Z197" s="50"/>
      <c r="AA197" s="50">
        <f t="shared" si="104"/>
        <v>0</v>
      </c>
      <c r="AB197" s="50">
        <f t="shared" si="105"/>
        <v>0</v>
      </c>
      <c r="AC197" s="28" t="str">
        <f t="shared" si="106"/>
        <v>ok</v>
      </c>
    </row>
    <row r="198" spans="1:29" x14ac:dyDescent="0.25"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50"/>
      <c r="AC198" s="28"/>
    </row>
    <row r="199" spans="1:29" x14ac:dyDescent="0.25">
      <c r="A199" s="14" t="s">
        <v>375</v>
      </c>
      <c r="F199" s="90">
        <f>SUM(F183:F197)</f>
        <v>0</v>
      </c>
      <c r="G199" s="90">
        <f t="shared" ref="G199:AA199" si="107">SUM(G183:G197)</f>
        <v>0</v>
      </c>
      <c r="H199" s="90">
        <f t="shared" si="107"/>
        <v>0</v>
      </c>
      <c r="I199" s="90">
        <f t="shared" si="107"/>
        <v>0</v>
      </c>
      <c r="J199" s="90"/>
      <c r="K199" s="90">
        <f t="shared" si="107"/>
        <v>0</v>
      </c>
      <c r="L199" s="90"/>
      <c r="M199" s="90">
        <f t="shared" si="107"/>
        <v>0</v>
      </c>
      <c r="N199" s="90"/>
      <c r="O199" s="90">
        <f t="shared" si="107"/>
        <v>0</v>
      </c>
      <c r="P199" s="90">
        <f t="shared" si="107"/>
        <v>0</v>
      </c>
      <c r="Q199" s="90"/>
      <c r="R199" s="90">
        <f t="shared" si="107"/>
        <v>0</v>
      </c>
      <c r="S199" s="90">
        <f t="shared" si="107"/>
        <v>0</v>
      </c>
      <c r="T199" s="90"/>
      <c r="U199" s="90">
        <f t="shared" si="107"/>
        <v>0</v>
      </c>
      <c r="V199" s="90"/>
      <c r="W199" s="90">
        <f t="shared" si="107"/>
        <v>0</v>
      </c>
      <c r="X199" s="90"/>
      <c r="Y199" s="90">
        <f t="shared" si="107"/>
        <v>0</v>
      </c>
      <c r="Z199" s="90"/>
      <c r="AA199" s="90">
        <f t="shared" si="107"/>
        <v>0</v>
      </c>
      <c r="AB199" s="67">
        <f>SUM(H199:AA199)</f>
        <v>0</v>
      </c>
      <c r="AC199" s="28" t="str">
        <f>IF(ABS(AB199-F199)&lt;1,"ok","err")</f>
        <v>ok</v>
      </c>
    </row>
    <row r="200" spans="1:29" x14ac:dyDescent="0.25">
      <c r="B200" s="90"/>
      <c r="Q200" s="14"/>
      <c r="AC200" s="28"/>
    </row>
    <row r="201" spans="1:29" x14ac:dyDescent="0.25">
      <c r="A201" s="13" t="s">
        <v>97</v>
      </c>
      <c r="Q201" s="14"/>
      <c r="AC201" s="28"/>
    </row>
    <row r="202" spans="1:29" x14ac:dyDescent="0.25">
      <c r="A202" s="14">
        <v>580</v>
      </c>
      <c r="B202" s="14" t="s">
        <v>98</v>
      </c>
      <c r="C202" s="14" t="s">
        <v>99</v>
      </c>
      <c r="D202" s="14" t="s">
        <v>16</v>
      </c>
      <c r="F202" s="67">
        <v>145193</v>
      </c>
      <c r="H202" s="50">
        <f t="shared" ref="H202:H213" si="108">IF(VLOOKUP($D202,$C$5:$AA$492,6,)=0,0,((VLOOKUP($D202,$C$5:$AA$492,6,)/VLOOKUP($D202,$C$5:$AA$492,4,))*$F202))</f>
        <v>0</v>
      </c>
      <c r="I202" s="50">
        <f t="shared" ref="I202:I213" si="109">IF(VLOOKUP($D202,$C$5:$AA$492,7,)=0,0,((VLOOKUP($D202,$C$5:$AA$492,7,)/VLOOKUP($D202,$C$5:$AA$492,4,))*$F202))</f>
        <v>0</v>
      </c>
      <c r="J202" s="50"/>
      <c r="K202" s="50">
        <f t="shared" ref="K202:K213" si="110">IF(VLOOKUP($D202,$C$5:$AA$492,9,)=0,0,((VLOOKUP($D202,$C$5:$AA$492,9,)/VLOOKUP($D202,$C$5:$AA$492,4,))*$F202))</f>
        <v>0</v>
      </c>
      <c r="L202" s="50"/>
      <c r="M202" s="50">
        <f t="shared" ref="M202:M213" si="111">IF(VLOOKUP($D202,$C$5:$AA$492,11,)=0,0,((VLOOKUP($D202,$C$5:$AA$492,11,)/VLOOKUP($D202,$C$5:$AA$492,4,))*$F202))</f>
        <v>1231.5318814827094</v>
      </c>
      <c r="N202" s="50"/>
      <c r="O202" s="50">
        <f t="shared" ref="O202:O213" si="112">IF(VLOOKUP($D202,$C$5:$AA$492,13,)=0,0,((VLOOKUP($D202,$C$5:$AA$492,13,)/VLOOKUP($D202,$C$5:$AA$492,4,))*$F202))</f>
        <v>83678.179676798231</v>
      </c>
      <c r="P202" s="50">
        <f t="shared" ref="P202:P213" si="113">IF(VLOOKUP($D202,$C$5:$AA$492,14,)=0,0,((VLOOKUP($D202,$C$5:$AA$492,14,)/VLOOKUP($D202,$C$5:$AA$492,4,))*$F202))</f>
        <v>34812.854630133821</v>
      </c>
      <c r="Q202" s="50"/>
      <c r="R202" s="50">
        <f t="shared" ref="R202:R213" si="114">IF(VLOOKUP($D202,$C$5:$AA$492,16,)=0,0,((VLOOKUP($D202,$C$5:$AA$492,16,)/VLOOKUP($D202,$C$5:$AA$492,4,))*$F202))</f>
        <v>0</v>
      </c>
      <c r="S202" s="50">
        <f t="shared" ref="S202:S213" si="115">IF(VLOOKUP($D202,$C$5:$AA$492,17,)=0,0,((VLOOKUP($D202,$C$5:$AA$492,17,)/VLOOKUP($D202,$C$5:$AA$492,4,))*$F202))</f>
        <v>15344.435635881138</v>
      </c>
      <c r="T202" s="50"/>
      <c r="U202" s="50">
        <f t="shared" ref="U202:U213" si="116">IF(VLOOKUP($D202,$C$5:$AA$492,19,)=0,0,((VLOOKUP($D202,$C$5:$AA$492,19,)/VLOOKUP($D202,$C$5:$AA$492,4,))*$F202))</f>
        <v>5530.1366336093743</v>
      </c>
      <c r="V202" s="50"/>
      <c r="W202" s="50">
        <f t="shared" ref="W202:W213" si="117">IF(VLOOKUP($D202,$C$5:$AA$492,21,)=0,0,((VLOOKUP($D202,$C$5:$AA$492,21,)/VLOOKUP($D202,$C$5:$AA$492,4,))*$F202))</f>
        <v>4595.8615420947453</v>
      </c>
      <c r="X202" s="50"/>
      <c r="Y202" s="50">
        <f t="shared" ref="Y202:Y213" si="118">IF(VLOOKUP($D202,$C$5:$AA$492,23,)=0,0,((VLOOKUP($D202,$C$5:$AA$492,23,)/VLOOKUP($D202,$C$5:$AA$492,4,))*$F202))</f>
        <v>0</v>
      </c>
      <c r="Z202" s="50"/>
      <c r="AA202" s="50">
        <f t="shared" ref="AA202:AA213" si="119">IF(VLOOKUP($D202,$C$5:$AA$492,25,)=0,0,((VLOOKUP($D202,$C$5:$AA$492,25,)/VLOOKUP($D202,$C$5:$AA$492,4,))*$F202))</f>
        <v>0</v>
      </c>
      <c r="AB202" s="50">
        <f t="shared" ref="AB202:AB213" si="120">SUM(H202:AA202)</f>
        <v>145193</v>
      </c>
      <c r="AC202" s="28" t="str">
        <f t="shared" ref="AC202:AC213" si="121">IF(ABS(AB202-F202)&lt;1,"ok","err")</f>
        <v>ok</v>
      </c>
    </row>
    <row r="203" spans="1:29" x14ac:dyDescent="0.25">
      <c r="A203" s="14">
        <v>581</v>
      </c>
      <c r="B203" s="14" t="s">
        <v>100</v>
      </c>
      <c r="C203" s="14" t="s">
        <v>101</v>
      </c>
      <c r="D203" s="14" t="s">
        <v>23</v>
      </c>
      <c r="F203" s="50">
        <v>0</v>
      </c>
      <c r="H203" s="50">
        <f t="shared" si="108"/>
        <v>0</v>
      </c>
      <c r="I203" s="50">
        <f t="shared" si="109"/>
        <v>0</v>
      </c>
      <c r="J203" s="50"/>
      <c r="K203" s="50">
        <f t="shared" si="110"/>
        <v>0</v>
      </c>
      <c r="L203" s="50"/>
      <c r="M203" s="50">
        <f t="shared" si="111"/>
        <v>0</v>
      </c>
      <c r="N203" s="50"/>
      <c r="O203" s="50">
        <f t="shared" si="112"/>
        <v>0</v>
      </c>
      <c r="P203" s="50">
        <f t="shared" si="113"/>
        <v>0</v>
      </c>
      <c r="Q203" s="50"/>
      <c r="R203" s="50">
        <f t="shared" si="114"/>
        <v>0</v>
      </c>
      <c r="S203" s="50">
        <f t="shared" si="115"/>
        <v>0</v>
      </c>
      <c r="T203" s="50"/>
      <c r="U203" s="50">
        <f t="shared" si="116"/>
        <v>0</v>
      </c>
      <c r="V203" s="50"/>
      <c r="W203" s="50">
        <f t="shared" si="117"/>
        <v>0</v>
      </c>
      <c r="X203" s="50"/>
      <c r="Y203" s="50">
        <f t="shared" si="118"/>
        <v>0</v>
      </c>
      <c r="Z203" s="50"/>
      <c r="AA203" s="50">
        <f t="shared" si="119"/>
        <v>0</v>
      </c>
      <c r="AB203" s="50">
        <f t="shared" si="120"/>
        <v>0</v>
      </c>
      <c r="AC203" s="28" t="str">
        <f t="shared" si="121"/>
        <v>ok</v>
      </c>
    </row>
    <row r="204" spans="1:29" x14ac:dyDescent="0.25">
      <c r="A204" s="14">
        <v>582</v>
      </c>
      <c r="B204" s="14" t="s">
        <v>370</v>
      </c>
      <c r="C204" s="14" t="s">
        <v>376</v>
      </c>
      <c r="D204" s="14" t="s">
        <v>23</v>
      </c>
      <c r="F204" s="50">
        <v>0</v>
      </c>
      <c r="H204" s="50">
        <f t="shared" si="108"/>
        <v>0</v>
      </c>
      <c r="I204" s="50">
        <f t="shared" si="109"/>
        <v>0</v>
      </c>
      <c r="J204" s="50"/>
      <c r="K204" s="50">
        <f t="shared" si="110"/>
        <v>0</v>
      </c>
      <c r="L204" s="50"/>
      <c r="M204" s="50">
        <f t="shared" si="111"/>
        <v>0</v>
      </c>
      <c r="N204" s="50"/>
      <c r="O204" s="50">
        <f t="shared" si="112"/>
        <v>0</v>
      </c>
      <c r="P204" s="50">
        <f t="shared" si="113"/>
        <v>0</v>
      </c>
      <c r="Q204" s="50"/>
      <c r="R204" s="50">
        <f t="shared" si="114"/>
        <v>0</v>
      </c>
      <c r="S204" s="50">
        <f t="shared" si="115"/>
        <v>0</v>
      </c>
      <c r="T204" s="50"/>
      <c r="U204" s="50">
        <f t="shared" si="116"/>
        <v>0</v>
      </c>
      <c r="V204" s="50"/>
      <c r="W204" s="50">
        <f t="shared" si="117"/>
        <v>0</v>
      </c>
      <c r="X204" s="50"/>
      <c r="Y204" s="50">
        <f t="shared" si="118"/>
        <v>0</v>
      </c>
      <c r="Z204" s="50"/>
      <c r="AA204" s="50">
        <f t="shared" si="119"/>
        <v>0</v>
      </c>
      <c r="AB204" s="50">
        <f t="shared" si="120"/>
        <v>0</v>
      </c>
      <c r="AC204" s="28" t="str">
        <f t="shared" si="121"/>
        <v>ok</v>
      </c>
    </row>
    <row r="205" spans="1:29" x14ac:dyDescent="0.25">
      <c r="A205" s="14">
        <v>583</v>
      </c>
      <c r="B205" s="14" t="s">
        <v>102</v>
      </c>
      <c r="C205" s="14" t="s">
        <v>103</v>
      </c>
      <c r="D205" s="14" t="s">
        <v>29</v>
      </c>
      <c r="F205" s="50">
        <v>778775</v>
      </c>
      <c r="H205" s="50">
        <f t="shared" si="108"/>
        <v>0</v>
      </c>
      <c r="I205" s="50">
        <f t="shared" si="109"/>
        <v>0</v>
      </c>
      <c r="J205" s="50"/>
      <c r="K205" s="50">
        <f t="shared" si="110"/>
        <v>0</v>
      </c>
      <c r="L205" s="50"/>
      <c r="M205" s="50">
        <f t="shared" si="111"/>
        <v>0</v>
      </c>
      <c r="N205" s="50"/>
      <c r="O205" s="50">
        <f t="shared" si="112"/>
        <v>643940.40163632727</v>
      </c>
      <c r="P205" s="50">
        <f t="shared" si="113"/>
        <v>134834.59836367267</v>
      </c>
      <c r="Q205" s="50"/>
      <c r="R205" s="50">
        <f t="shared" si="114"/>
        <v>0</v>
      </c>
      <c r="S205" s="50">
        <f t="shared" si="115"/>
        <v>0</v>
      </c>
      <c r="T205" s="50"/>
      <c r="U205" s="50">
        <f t="shared" si="116"/>
        <v>0</v>
      </c>
      <c r="V205" s="50"/>
      <c r="W205" s="50">
        <f t="shared" si="117"/>
        <v>0</v>
      </c>
      <c r="X205" s="50"/>
      <c r="Y205" s="50">
        <f t="shared" si="118"/>
        <v>0</v>
      </c>
      <c r="Z205" s="50"/>
      <c r="AA205" s="50">
        <f t="shared" si="119"/>
        <v>0</v>
      </c>
      <c r="AB205" s="50">
        <f t="shared" si="120"/>
        <v>778775</v>
      </c>
      <c r="AC205" s="28" t="str">
        <f t="shared" si="121"/>
        <v>ok</v>
      </c>
    </row>
    <row r="206" spans="1:29" x14ac:dyDescent="0.25">
      <c r="A206" s="14">
        <v>584</v>
      </c>
      <c r="B206" s="14" t="s">
        <v>104</v>
      </c>
      <c r="C206" s="14" t="s">
        <v>105</v>
      </c>
      <c r="D206" s="14" t="s">
        <v>35</v>
      </c>
      <c r="F206" s="50">
        <v>203689</v>
      </c>
      <c r="H206" s="50">
        <f t="shared" si="108"/>
        <v>0</v>
      </c>
      <c r="I206" s="50">
        <f t="shared" si="109"/>
        <v>0</v>
      </c>
      <c r="J206" s="50"/>
      <c r="K206" s="50">
        <f t="shared" si="110"/>
        <v>0</v>
      </c>
      <c r="L206" s="50"/>
      <c r="M206" s="50">
        <f t="shared" si="111"/>
        <v>0</v>
      </c>
      <c r="N206" s="50"/>
      <c r="O206" s="50">
        <f t="shared" si="112"/>
        <v>91572.653469599027</v>
      </c>
      <c r="P206" s="50">
        <f t="shared" si="113"/>
        <v>112116.34653040097</v>
      </c>
      <c r="Q206" s="50"/>
      <c r="R206" s="50">
        <f t="shared" si="114"/>
        <v>0</v>
      </c>
      <c r="S206" s="50">
        <f t="shared" si="115"/>
        <v>0</v>
      </c>
      <c r="T206" s="50"/>
      <c r="U206" s="50">
        <f t="shared" si="116"/>
        <v>0</v>
      </c>
      <c r="V206" s="50"/>
      <c r="W206" s="50">
        <f t="shared" si="117"/>
        <v>0</v>
      </c>
      <c r="X206" s="50"/>
      <c r="Y206" s="50">
        <f t="shared" si="118"/>
        <v>0</v>
      </c>
      <c r="Z206" s="50"/>
      <c r="AA206" s="50">
        <f t="shared" si="119"/>
        <v>0</v>
      </c>
      <c r="AB206" s="50">
        <f t="shared" si="120"/>
        <v>203689</v>
      </c>
      <c r="AC206" s="28" t="str">
        <f t="shared" si="121"/>
        <v>ok</v>
      </c>
    </row>
    <row r="207" spans="1:29" x14ac:dyDescent="0.25">
      <c r="A207" s="14">
        <v>585</v>
      </c>
      <c r="B207" s="14" t="s">
        <v>106</v>
      </c>
      <c r="C207" s="14" t="s">
        <v>107</v>
      </c>
      <c r="D207" s="14" t="s">
        <v>46</v>
      </c>
      <c r="F207" s="50">
        <v>1769.64</v>
      </c>
      <c r="H207" s="50">
        <f t="shared" si="108"/>
        <v>0</v>
      </c>
      <c r="I207" s="50">
        <f t="shared" si="109"/>
        <v>0</v>
      </c>
      <c r="J207" s="50"/>
      <c r="K207" s="50">
        <f t="shared" si="110"/>
        <v>0</v>
      </c>
      <c r="L207" s="50"/>
      <c r="M207" s="50">
        <f t="shared" si="111"/>
        <v>0</v>
      </c>
      <c r="N207" s="50"/>
      <c r="O207" s="50">
        <f t="shared" si="112"/>
        <v>0</v>
      </c>
      <c r="P207" s="50">
        <f t="shared" si="113"/>
        <v>0</v>
      </c>
      <c r="Q207" s="50"/>
      <c r="R207" s="50">
        <f t="shared" si="114"/>
        <v>0</v>
      </c>
      <c r="S207" s="50">
        <f t="shared" si="115"/>
        <v>0</v>
      </c>
      <c r="T207" s="50"/>
      <c r="U207" s="50">
        <f t="shared" si="116"/>
        <v>0</v>
      </c>
      <c r="V207" s="50"/>
      <c r="W207" s="50">
        <f t="shared" si="117"/>
        <v>1769.64</v>
      </c>
      <c r="X207" s="50"/>
      <c r="Y207" s="50">
        <f t="shared" si="118"/>
        <v>0</v>
      </c>
      <c r="Z207" s="50"/>
      <c r="AA207" s="50">
        <f t="shared" si="119"/>
        <v>0</v>
      </c>
      <c r="AB207" s="50">
        <f t="shared" si="120"/>
        <v>1769.64</v>
      </c>
      <c r="AC207" s="28" t="str">
        <f t="shared" si="121"/>
        <v>ok</v>
      </c>
    </row>
    <row r="208" spans="1:29" x14ac:dyDescent="0.25">
      <c r="A208" s="14">
        <v>586</v>
      </c>
      <c r="B208" s="14" t="s">
        <v>108</v>
      </c>
      <c r="C208" s="14" t="s">
        <v>109</v>
      </c>
      <c r="D208" s="14" t="s">
        <v>43</v>
      </c>
      <c r="F208" s="50">
        <v>226251</v>
      </c>
      <c r="H208" s="50">
        <f t="shared" si="108"/>
        <v>0</v>
      </c>
      <c r="I208" s="50">
        <f t="shared" si="109"/>
        <v>0</v>
      </c>
      <c r="J208" s="50"/>
      <c r="K208" s="50">
        <f t="shared" si="110"/>
        <v>0</v>
      </c>
      <c r="L208" s="50"/>
      <c r="M208" s="50">
        <f t="shared" si="111"/>
        <v>0</v>
      </c>
      <c r="N208" s="50"/>
      <c r="O208" s="50">
        <f t="shared" si="112"/>
        <v>0</v>
      </c>
      <c r="P208" s="50">
        <f t="shared" si="113"/>
        <v>0</v>
      </c>
      <c r="Q208" s="50"/>
      <c r="R208" s="50">
        <f t="shared" si="114"/>
        <v>0</v>
      </c>
      <c r="S208" s="50">
        <f t="shared" si="115"/>
        <v>0</v>
      </c>
      <c r="T208" s="50"/>
      <c r="U208" s="50">
        <f t="shared" si="116"/>
        <v>226251</v>
      </c>
      <c r="V208" s="50"/>
      <c r="W208" s="50">
        <f t="shared" si="117"/>
        <v>0</v>
      </c>
      <c r="X208" s="50"/>
      <c r="Y208" s="50">
        <f t="shared" si="118"/>
        <v>0</v>
      </c>
      <c r="Z208" s="50"/>
      <c r="AA208" s="50">
        <f t="shared" si="119"/>
        <v>0</v>
      </c>
      <c r="AB208" s="50">
        <f t="shared" si="120"/>
        <v>226251</v>
      </c>
      <c r="AC208" s="28" t="str">
        <f t="shared" si="121"/>
        <v>ok</v>
      </c>
    </row>
    <row r="209" spans="1:29" x14ac:dyDescent="0.25">
      <c r="A209" s="14">
        <v>586</v>
      </c>
      <c r="B209" s="14" t="s">
        <v>449</v>
      </c>
      <c r="C209" s="14" t="s">
        <v>450</v>
      </c>
      <c r="D209" s="14" t="s">
        <v>470</v>
      </c>
      <c r="F209" s="50">
        <v>0</v>
      </c>
      <c r="H209" s="50">
        <f t="shared" si="108"/>
        <v>0</v>
      </c>
      <c r="I209" s="50">
        <f t="shared" si="109"/>
        <v>0</v>
      </c>
      <c r="J209" s="50"/>
      <c r="K209" s="50">
        <f t="shared" si="110"/>
        <v>0</v>
      </c>
      <c r="L209" s="50"/>
      <c r="M209" s="50">
        <f t="shared" si="111"/>
        <v>0</v>
      </c>
      <c r="N209" s="50"/>
      <c r="O209" s="50">
        <f t="shared" si="112"/>
        <v>0</v>
      </c>
      <c r="P209" s="50">
        <f t="shared" si="113"/>
        <v>0</v>
      </c>
      <c r="Q209" s="50"/>
      <c r="R209" s="50">
        <f t="shared" si="114"/>
        <v>0</v>
      </c>
      <c r="S209" s="50">
        <f t="shared" si="115"/>
        <v>0</v>
      </c>
      <c r="T209" s="50"/>
      <c r="U209" s="50">
        <f t="shared" si="116"/>
        <v>0</v>
      </c>
      <c r="V209" s="50"/>
      <c r="W209" s="50">
        <f t="shared" si="117"/>
        <v>0</v>
      </c>
      <c r="X209" s="50"/>
      <c r="Y209" s="50">
        <f t="shared" si="118"/>
        <v>0</v>
      </c>
      <c r="Z209" s="50"/>
      <c r="AA209" s="50">
        <f t="shared" si="119"/>
        <v>0</v>
      </c>
      <c r="AB209" s="50">
        <f t="shared" si="120"/>
        <v>0</v>
      </c>
      <c r="AC209" s="28" t="str">
        <f t="shared" si="121"/>
        <v>ok</v>
      </c>
    </row>
    <row r="210" spans="1:29" x14ac:dyDescent="0.25">
      <c r="A210" s="14">
        <v>587</v>
      </c>
      <c r="B210" s="14" t="s">
        <v>110</v>
      </c>
      <c r="C210" s="14" t="s">
        <v>111</v>
      </c>
      <c r="D210" s="14" t="s">
        <v>40</v>
      </c>
      <c r="F210" s="50">
        <v>210763</v>
      </c>
      <c r="H210" s="50">
        <f t="shared" si="108"/>
        <v>0</v>
      </c>
      <c r="I210" s="50">
        <f t="shared" si="109"/>
        <v>0</v>
      </c>
      <c r="J210" s="50"/>
      <c r="K210" s="50">
        <f t="shared" si="110"/>
        <v>0</v>
      </c>
      <c r="L210" s="50"/>
      <c r="M210" s="50">
        <f t="shared" si="111"/>
        <v>0</v>
      </c>
      <c r="N210" s="50"/>
      <c r="O210" s="50">
        <f t="shared" si="112"/>
        <v>0</v>
      </c>
      <c r="P210" s="50">
        <f t="shared" si="113"/>
        <v>0</v>
      </c>
      <c r="Q210" s="50"/>
      <c r="R210" s="50">
        <f t="shared" si="114"/>
        <v>0</v>
      </c>
      <c r="S210" s="50">
        <f t="shared" si="115"/>
        <v>210763</v>
      </c>
      <c r="T210" s="50"/>
      <c r="U210" s="50">
        <f t="shared" si="116"/>
        <v>0</v>
      </c>
      <c r="V210" s="50"/>
      <c r="W210" s="50">
        <f t="shared" si="117"/>
        <v>0</v>
      </c>
      <c r="X210" s="50"/>
      <c r="Y210" s="50">
        <f t="shared" si="118"/>
        <v>0</v>
      </c>
      <c r="Z210" s="50"/>
      <c r="AA210" s="50">
        <f t="shared" si="119"/>
        <v>0</v>
      </c>
      <c r="AB210" s="50">
        <f t="shared" si="120"/>
        <v>210763</v>
      </c>
      <c r="AC210" s="28" t="str">
        <f t="shared" si="121"/>
        <v>ok</v>
      </c>
    </row>
    <row r="211" spans="1:29" x14ac:dyDescent="0.25">
      <c r="A211" s="14">
        <v>588</v>
      </c>
      <c r="B211" s="14" t="s">
        <v>112</v>
      </c>
      <c r="C211" s="14" t="s">
        <v>113</v>
      </c>
      <c r="D211" s="14" t="s">
        <v>16</v>
      </c>
      <c r="F211" s="50">
        <v>554672</v>
      </c>
      <c r="H211" s="50">
        <f t="shared" si="108"/>
        <v>0</v>
      </c>
      <c r="I211" s="50">
        <f t="shared" si="109"/>
        <v>0</v>
      </c>
      <c r="J211" s="50"/>
      <c r="K211" s="50">
        <f t="shared" si="110"/>
        <v>0</v>
      </c>
      <c r="L211" s="50"/>
      <c r="M211" s="50">
        <f t="shared" si="111"/>
        <v>4704.7464531057103</v>
      </c>
      <c r="N211" s="50"/>
      <c r="O211" s="50">
        <f t="shared" si="112"/>
        <v>319670.66785374656</v>
      </c>
      <c r="P211" s="50">
        <f t="shared" si="113"/>
        <v>132993.43427992801</v>
      </c>
      <c r="Q211" s="50"/>
      <c r="R211" s="50">
        <f t="shared" si="114"/>
        <v>0</v>
      </c>
      <c r="S211" s="50">
        <f t="shared" si="115"/>
        <v>58619.415557399203</v>
      </c>
      <c r="T211" s="50"/>
      <c r="U211" s="50">
        <f t="shared" si="116"/>
        <v>21126.445123644935</v>
      </c>
      <c r="V211" s="50"/>
      <c r="W211" s="50">
        <f t="shared" si="117"/>
        <v>17557.290732175632</v>
      </c>
      <c r="X211" s="50"/>
      <c r="Y211" s="50">
        <f t="shared" si="118"/>
        <v>0</v>
      </c>
      <c r="Z211" s="50"/>
      <c r="AA211" s="50">
        <f t="shared" si="119"/>
        <v>0</v>
      </c>
      <c r="AB211" s="50">
        <f t="shared" si="120"/>
        <v>554672</v>
      </c>
      <c r="AC211" s="28" t="str">
        <f t="shared" si="121"/>
        <v>ok</v>
      </c>
    </row>
    <row r="212" spans="1:29" x14ac:dyDescent="0.25">
      <c r="A212" s="14">
        <v>588</v>
      </c>
      <c r="B212" s="14" t="s">
        <v>708</v>
      </c>
      <c r="C212" s="14" t="s">
        <v>549</v>
      </c>
      <c r="D212" s="14" t="s">
        <v>550</v>
      </c>
      <c r="F212" s="50">
        <v>0</v>
      </c>
      <c r="H212" s="50">
        <f t="shared" si="108"/>
        <v>0</v>
      </c>
      <c r="I212" s="50">
        <f t="shared" si="109"/>
        <v>0</v>
      </c>
      <c r="J212" s="50"/>
      <c r="K212" s="50">
        <f t="shared" si="110"/>
        <v>0</v>
      </c>
      <c r="L212" s="50"/>
      <c r="M212" s="50">
        <f t="shared" si="111"/>
        <v>0</v>
      </c>
      <c r="N212" s="50"/>
      <c r="O212" s="50">
        <f t="shared" si="112"/>
        <v>0</v>
      </c>
      <c r="P212" s="50">
        <f t="shared" si="113"/>
        <v>0</v>
      </c>
      <c r="Q212" s="50"/>
      <c r="R212" s="50">
        <f t="shared" si="114"/>
        <v>0</v>
      </c>
      <c r="S212" s="50">
        <f t="shared" si="115"/>
        <v>0</v>
      </c>
      <c r="T212" s="50"/>
      <c r="U212" s="50">
        <f t="shared" si="116"/>
        <v>0</v>
      </c>
      <c r="V212" s="50"/>
      <c r="W212" s="50">
        <f t="shared" si="117"/>
        <v>0</v>
      </c>
      <c r="X212" s="50"/>
      <c r="Y212" s="50">
        <f t="shared" si="118"/>
        <v>0</v>
      </c>
      <c r="Z212" s="50"/>
      <c r="AA212" s="50">
        <f t="shared" si="119"/>
        <v>0</v>
      </c>
      <c r="AB212" s="50">
        <f t="shared" si="120"/>
        <v>0</v>
      </c>
      <c r="AC212" s="28" t="str">
        <f t="shared" si="121"/>
        <v>ok</v>
      </c>
    </row>
    <row r="213" spans="1:29" x14ac:dyDescent="0.25">
      <c r="A213" s="14">
        <v>589</v>
      </c>
      <c r="B213" s="14" t="s">
        <v>114</v>
      </c>
      <c r="C213" s="14" t="s">
        <v>115</v>
      </c>
      <c r="D213" s="14" t="s">
        <v>16</v>
      </c>
      <c r="F213" s="50">
        <v>0</v>
      </c>
      <c r="H213" s="50">
        <f t="shared" si="108"/>
        <v>0</v>
      </c>
      <c r="I213" s="50">
        <f t="shared" si="109"/>
        <v>0</v>
      </c>
      <c r="J213" s="50"/>
      <c r="K213" s="50">
        <f t="shared" si="110"/>
        <v>0</v>
      </c>
      <c r="L213" s="50"/>
      <c r="M213" s="50">
        <f t="shared" si="111"/>
        <v>0</v>
      </c>
      <c r="N213" s="50"/>
      <c r="O213" s="50">
        <f t="shared" si="112"/>
        <v>0</v>
      </c>
      <c r="P213" s="50">
        <f t="shared" si="113"/>
        <v>0</v>
      </c>
      <c r="Q213" s="50"/>
      <c r="R213" s="50">
        <f t="shared" si="114"/>
        <v>0</v>
      </c>
      <c r="S213" s="50">
        <f t="shared" si="115"/>
        <v>0</v>
      </c>
      <c r="T213" s="50"/>
      <c r="U213" s="50">
        <f t="shared" si="116"/>
        <v>0</v>
      </c>
      <c r="V213" s="50"/>
      <c r="W213" s="50">
        <f t="shared" si="117"/>
        <v>0</v>
      </c>
      <c r="X213" s="50"/>
      <c r="Y213" s="50">
        <f t="shared" si="118"/>
        <v>0</v>
      </c>
      <c r="Z213" s="50"/>
      <c r="AA213" s="50">
        <f t="shared" si="119"/>
        <v>0</v>
      </c>
      <c r="AB213" s="50">
        <f t="shared" si="120"/>
        <v>0</v>
      </c>
      <c r="AC213" s="28" t="str">
        <f t="shared" si="121"/>
        <v>ok</v>
      </c>
    </row>
    <row r="214" spans="1:29" x14ac:dyDescent="0.25">
      <c r="F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C214" s="28"/>
    </row>
    <row r="215" spans="1:29" x14ac:dyDescent="0.25">
      <c r="A215" s="14" t="s">
        <v>116</v>
      </c>
      <c r="C215" s="14" t="s">
        <v>117</v>
      </c>
      <c r="F215" s="67">
        <f>SUM(F202:F214)</f>
        <v>2121112.6399999997</v>
      </c>
      <c r="G215" s="67">
        <f t="shared" ref="G215:AA215" si="122">SUM(G202:G214)</f>
        <v>0</v>
      </c>
      <c r="H215" s="67">
        <f t="shared" si="122"/>
        <v>0</v>
      </c>
      <c r="I215" s="67">
        <f t="shared" si="122"/>
        <v>0</v>
      </c>
      <c r="J215" s="67"/>
      <c r="K215" s="67">
        <f t="shared" si="122"/>
        <v>0</v>
      </c>
      <c r="L215" s="67"/>
      <c r="M215" s="67">
        <f t="shared" si="122"/>
        <v>5936.27833458842</v>
      </c>
      <c r="N215" s="67"/>
      <c r="O215" s="67">
        <f t="shared" si="122"/>
        <v>1138861.9026364712</v>
      </c>
      <c r="P215" s="67">
        <f t="shared" si="122"/>
        <v>414757.23380413547</v>
      </c>
      <c r="Q215" s="67"/>
      <c r="R215" s="67">
        <f t="shared" si="122"/>
        <v>0</v>
      </c>
      <c r="S215" s="67">
        <f t="shared" si="122"/>
        <v>284726.85119328037</v>
      </c>
      <c r="T215" s="67"/>
      <c r="U215" s="67">
        <f t="shared" si="122"/>
        <v>252907.58175725429</v>
      </c>
      <c r="V215" s="67"/>
      <c r="W215" s="67">
        <f t="shared" si="122"/>
        <v>23922.792274270378</v>
      </c>
      <c r="X215" s="67"/>
      <c r="Y215" s="67">
        <f t="shared" si="122"/>
        <v>0</v>
      </c>
      <c r="Z215" s="67"/>
      <c r="AA215" s="67">
        <f t="shared" si="122"/>
        <v>0</v>
      </c>
      <c r="AB215" s="50">
        <f>SUM(H215:AA215)</f>
        <v>2121112.64</v>
      </c>
      <c r="AC215" s="28" t="str">
        <f>IF(ABS(AB215-F215)&lt;1,"ok","err")</f>
        <v>ok</v>
      </c>
    </row>
    <row r="216" spans="1:29" x14ac:dyDescent="0.25"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50"/>
      <c r="AC216" s="28"/>
    </row>
    <row r="217" spans="1:29" x14ac:dyDescent="0.25">
      <c r="A217" s="26" t="s">
        <v>135</v>
      </c>
      <c r="F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C217" s="28"/>
    </row>
    <row r="218" spans="1:29" x14ac:dyDescent="0.25">
      <c r="F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C218" s="28"/>
    </row>
    <row r="219" spans="1:29" x14ac:dyDescent="0.25">
      <c r="A219" s="13" t="s">
        <v>118</v>
      </c>
      <c r="F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C219" s="28"/>
    </row>
    <row r="220" spans="1:29" x14ac:dyDescent="0.25">
      <c r="A220" s="14">
        <v>590</v>
      </c>
      <c r="B220" s="14" t="s">
        <v>119</v>
      </c>
      <c r="C220" s="14" t="s">
        <v>120</v>
      </c>
      <c r="D220" s="14" t="s">
        <v>16</v>
      </c>
      <c r="F220" s="67">
        <v>33430</v>
      </c>
      <c r="H220" s="50">
        <f t="shared" ref="H220:H227" si="123">IF(VLOOKUP($D220,$C$5:$AA$492,6,)=0,0,((VLOOKUP($D220,$C$5:$AA$492,6,)/VLOOKUP($D220,$C$5:$AA$492,4,))*$F220))</f>
        <v>0</v>
      </c>
      <c r="I220" s="50">
        <f t="shared" ref="I220:I227" si="124">IF(VLOOKUP($D220,$C$5:$AA$492,7,)=0,0,((VLOOKUP($D220,$C$5:$AA$492,7,)/VLOOKUP($D220,$C$5:$AA$492,4,))*$F220))</f>
        <v>0</v>
      </c>
      <c r="J220" s="50"/>
      <c r="K220" s="50">
        <f t="shared" ref="K220:K227" si="125">IF(VLOOKUP($D220,$C$5:$AA$492,9,)=0,0,((VLOOKUP($D220,$C$5:$AA$492,9,)/VLOOKUP($D220,$C$5:$AA$492,4,))*$F220))</f>
        <v>0</v>
      </c>
      <c r="L220" s="50"/>
      <c r="M220" s="50">
        <f t="shared" ref="M220:M227" si="126">IF(VLOOKUP($D220,$C$5:$AA$492,11,)=0,0,((VLOOKUP($D220,$C$5:$AA$492,11,)/VLOOKUP($D220,$C$5:$AA$492,4,))*$F220))</f>
        <v>283.55437795187765</v>
      </c>
      <c r="N220" s="50"/>
      <c r="O220" s="50">
        <f t="shared" ref="O220:O227" si="127">IF(VLOOKUP($D220,$C$5:$AA$492,13,)=0,0,((VLOOKUP($D220,$C$5:$AA$492,13,)/VLOOKUP($D220,$C$5:$AA$492,4,))*$F220))</f>
        <v>19266.504215736051</v>
      </c>
      <c r="P220" s="50">
        <f t="shared" ref="P220:P227" si="128">IF(VLOOKUP($D220,$C$5:$AA$492,14,)=0,0,((VLOOKUP($D220,$C$5:$AA$492,14,)/VLOOKUP($D220,$C$5:$AA$492,4,))*$F220))</f>
        <v>8015.4947572222745</v>
      </c>
      <c r="Q220" s="50"/>
      <c r="R220" s="50">
        <f t="shared" ref="R220:R227" si="129">IF(VLOOKUP($D220,$C$5:$AA$492,16,)=0,0,((VLOOKUP($D220,$C$5:$AA$492,16,)/VLOOKUP($D220,$C$5:$AA$492,4,))*$F220))</f>
        <v>0</v>
      </c>
      <c r="S220" s="50">
        <f t="shared" ref="S220:S227" si="130">IF(VLOOKUP($D220,$C$5:$AA$492,17,)=0,0,((VLOOKUP($D220,$C$5:$AA$492,17,)/VLOOKUP($D220,$C$5:$AA$492,4,))*$F220))</f>
        <v>3532.9835688187891</v>
      </c>
      <c r="T220" s="50"/>
      <c r="U220" s="50">
        <f t="shared" ref="U220:U227" si="131">IF(VLOOKUP($D220,$C$5:$AA$492,19,)=0,0,((VLOOKUP($D220,$C$5:$AA$492,19,)/VLOOKUP($D220,$C$5:$AA$492,4,))*$F220))</f>
        <v>1273.2877457009731</v>
      </c>
      <c r="V220" s="50"/>
      <c r="W220" s="50">
        <f t="shared" ref="W220:W227" si="132">IF(VLOOKUP($D220,$C$5:$AA$492,21,)=0,0,((VLOOKUP($D220,$C$5:$AA$492,21,)/VLOOKUP($D220,$C$5:$AA$492,4,))*$F220))</f>
        <v>1058.1753345700367</v>
      </c>
      <c r="X220" s="50"/>
      <c r="Y220" s="50">
        <f t="shared" ref="Y220:Y227" si="133">IF(VLOOKUP($D220,$C$5:$AA$492,23,)=0,0,((VLOOKUP($D220,$C$5:$AA$492,23,)/VLOOKUP($D220,$C$5:$AA$492,4,))*$F220))</f>
        <v>0</v>
      </c>
      <c r="Z220" s="50"/>
      <c r="AA220" s="50">
        <f t="shared" ref="AA220:AA227" si="134">IF(VLOOKUP($D220,$C$5:$AA$492,25,)=0,0,((VLOOKUP($D220,$C$5:$AA$492,25,)/VLOOKUP($D220,$C$5:$AA$492,4,))*$F220))</f>
        <v>0</v>
      </c>
      <c r="AB220" s="50">
        <f t="shared" ref="AB220:AB227" si="135">SUM(H220:AA220)</f>
        <v>33430</v>
      </c>
      <c r="AC220" s="28" t="str">
        <f t="shared" ref="AC220:AC227" si="136">IF(ABS(AB220-F220)&lt;1,"ok","err")</f>
        <v>ok</v>
      </c>
    </row>
    <row r="221" spans="1:29" x14ac:dyDescent="0.25">
      <c r="A221" s="14">
        <v>592</v>
      </c>
      <c r="B221" s="14" t="s">
        <v>121</v>
      </c>
      <c r="C221" s="14" t="s">
        <v>122</v>
      </c>
      <c r="D221" s="14" t="s">
        <v>23</v>
      </c>
      <c r="F221" s="50">
        <v>0</v>
      </c>
      <c r="H221" s="50">
        <f t="shared" si="123"/>
        <v>0</v>
      </c>
      <c r="I221" s="50">
        <f t="shared" si="124"/>
        <v>0</v>
      </c>
      <c r="J221" s="50"/>
      <c r="K221" s="50">
        <f t="shared" si="125"/>
        <v>0</v>
      </c>
      <c r="L221" s="50"/>
      <c r="M221" s="50">
        <f t="shared" si="126"/>
        <v>0</v>
      </c>
      <c r="N221" s="50"/>
      <c r="O221" s="50">
        <f t="shared" si="127"/>
        <v>0</v>
      </c>
      <c r="P221" s="50">
        <f t="shared" si="128"/>
        <v>0</v>
      </c>
      <c r="Q221" s="50"/>
      <c r="R221" s="50">
        <f t="shared" si="129"/>
        <v>0</v>
      </c>
      <c r="S221" s="50">
        <f t="shared" si="130"/>
        <v>0</v>
      </c>
      <c r="T221" s="50"/>
      <c r="U221" s="50">
        <f t="shared" si="131"/>
        <v>0</v>
      </c>
      <c r="V221" s="50"/>
      <c r="W221" s="50">
        <f t="shared" si="132"/>
        <v>0</v>
      </c>
      <c r="X221" s="50"/>
      <c r="Y221" s="50">
        <f t="shared" si="133"/>
        <v>0</v>
      </c>
      <c r="Z221" s="50"/>
      <c r="AA221" s="50">
        <f t="shared" si="134"/>
        <v>0</v>
      </c>
      <c r="AB221" s="50">
        <f t="shared" si="135"/>
        <v>0</v>
      </c>
      <c r="AC221" s="28" t="str">
        <f t="shared" si="136"/>
        <v>ok</v>
      </c>
    </row>
    <row r="222" spans="1:29" x14ac:dyDescent="0.25">
      <c r="A222" s="14">
        <v>593</v>
      </c>
      <c r="B222" s="14" t="s">
        <v>123</v>
      </c>
      <c r="C222" s="14" t="s">
        <v>124</v>
      </c>
      <c r="D222" s="14" t="s">
        <v>29</v>
      </c>
      <c r="F222" s="50">
        <v>2661253</v>
      </c>
      <c r="H222" s="50">
        <f t="shared" si="123"/>
        <v>0</v>
      </c>
      <c r="I222" s="50">
        <f t="shared" si="124"/>
        <v>0</v>
      </c>
      <c r="J222" s="50"/>
      <c r="K222" s="50">
        <f t="shared" si="125"/>
        <v>0</v>
      </c>
      <c r="L222" s="50"/>
      <c r="M222" s="50">
        <f t="shared" si="126"/>
        <v>0</v>
      </c>
      <c r="N222" s="50"/>
      <c r="O222" s="50">
        <f t="shared" si="127"/>
        <v>2200492.2162060686</v>
      </c>
      <c r="P222" s="50">
        <f t="shared" si="128"/>
        <v>460760.78379393154</v>
      </c>
      <c r="Q222" s="50"/>
      <c r="R222" s="50">
        <f t="shared" si="129"/>
        <v>0</v>
      </c>
      <c r="S222" s="50">
        <f t="shared" si="130"/>
        <v>0</v>
      </c>
      <c r="T222" s="50"/>
      <c r="U222" s="50">
        <f t="shared" si="131"/>
        <v>0</v>
      </c>
      <c r="V222" s="50"/>
      <c r="W222" s="50">
        <f t="shared" si="132"/>
        <v>0</v>
      </c>
      <c r="X222" s="50"/>
      <c r="Y222" s="50">
        <f t="shared" si="133"/>
        <v>0</v>
      </c>
      <c r="Z222" s="50"/>
      <c r="AA222" s="50">
        <f t="shared" si="134"/>
        <v>0</v>
      </c>
      <c r="AB222" s="50">
        <f t="shared" si="135"/>
        <v>2661253</v>
      </c>
      <c r="AC222" s="28" t="str">
        <f t="shared" si="136"/>
        <v>ok</v>
      </c>
    </row>
    <row r="223" spans="1:29" x14ac:dyDescent="0.25">
      <c r="A223" s="14">
        <v>594</v>
      </c>
      <c r="B223" s="14" t="s">
        <v>125</v>
      </c>
      <c r="C223" s="14" t="s">
        <v>126</v>
      </c>
      <c r="D223" s="14" t="s">
        <v>35</v>
      </c>
      <c r="F223" s="50">
        <v>16717</v>
      </c>
      <c r="H223" s="50">
        <f t="shared" si="123"/>
        <v>0</v>
      </c>
      <c r="I223" s="50">
        <f t="shared" si="124"/>
        <v>0</v>
      </c>
      <c r="J223" s="50"/>
      <c r="K223" s="50">
        <f t="shared" si="125"/>
        <v>0</v>
      </c>
      <c r="L223" s="50"/>
      <c r="M223" s="50">
        <f t="shared" si="126"/>
        <v>0</v>
      </c>
      <c r="N223" s="50"/>
      <c r="O223" s="50">
        <f t="shared" si="127"/>
        <v>7515.4772621559678</v>
      </c>
      <c r="P223" s="50">
        <f t="shared" si="128"/>
        <v>9201.5227378440322</v>
      </c>
      <c r="Q223" s="50"/>
      <c r="R223" s="50">
        <f t="shared" si="129"/>
        <v>0</v>
      </c>
      <c r="S223" s="50">
        <f t="shared" si="130"/>
        <v>0</v>
      </c>
      <c r="T223" s="50"/>
      <c r="U223" s="50">
        <f t="shared" si="131"/>
        <v>0</v>
      </c>
      <c r="V223" s="50"/>
      <c r="W223" s="50">
        <f t="shared" si="132"/>
        <v>0</v>
      </c>
      <c r="X223" s="50"/>
      <c r="Y223" s="50">
        <f t="shared" si="133"/>
        <v>0</v>
      </c>
      <c r="Z223" s="50"/>
      <c r="AA223" s="50">
        <f t="shared" si="134"/>
        <v>0</v>
      </c>
      <c r="AB223" s="50">
        <f t="shared" si="135"/>
        <v>16717</v>
      </c>
      <c r="AC223" s="28" t="str">
        <f t="shared" si="136"/>
        <v>ok</v>
      </c>
    </row>
    <row r="224" spans="1:29" x14ac:dyDescent="0.25">
      <c r="A224" s="14">
        <v>595</v>
      </c>
      <c r="B224" s="14" t="s">
        <v>127</v>
      </c>
      <c r="C224" s="14" t="s">
        <v>128</v>
      </c>
      <c r="D224" s="14" t="s">
        <v>37</v>
      </c>
      <c r="F224" s="50">
        <v>0</v>
      </c>
      <c r="H224" s="50">
        <f t="shared" si="123"/>
        <v>0</v>
      </c>
      <c r="I224" s="50">
        <f t="shared" si="124"/>
        <v>0</v>
      </c>
      <c r="J224" s="50"/>
      <c r="K224" s="50">
        <f t="shared" si="125"/>
        <v>0</v>
      </c>
      <c r="L224" s="50"/>
      <c r="M224" s="50">
        <f t="shared" si="126"/>
        <v>0</v>
      </c>
      <c r="N224" s="50"/>
      <c r="O224" s="50">
        <f t="shared" si="127"/>
        <v>0</v>
      </c>
      <c r="P224" s="50">
        <f t="shared" si="128"/>
        <v>0</v>
      </c>
      <c r="Q224" s="50"/>
      <c r="R224" s="50">
        <f t="shared" si="129"/>
        <v>0</v>
      </c>
      <c r="S224" s="50">
        <f t="shared" si="130"/>
        <v>0</v>
      </c>
      <c r="T224" s="50"/>
      <c r="U224" s="50">
        <f t="shared" si="131"/>
        <v>0</v>
      </c>
      <c r="V224" s="50"/>
      <c r="W224" s="50">
        <f t="shared" si="132"/>
        <v>0</v>
      </c>
      <c r="X224" s="50"/>
      <c r="Y224" s="50">
        <f t="shared" si="133"/>
        <v>0</v>
      </c>
      <c r="Z224" s="50"/>
      <c r="AA224" s="50">
        <f t="shared" si="134"/>
        <v>0</v>
      </c>
      <c r="AB224" s="50">
        <f t="shared" si="135"/>
        <v>0</v>
      </c>
      <c r="AC224" s="28" t="str">
        <f t="shared" si="136"/>
        <v>ok</v>
      </c>
    </row>
    <row r="225" spans="1:29" x14ac:dyDescent="0.25">
      <c r="A225" s="14">
        <v>596</v>
      </c>
      <c r="B225" s="14" t="s">
        <v>378</v>
      </c>
      <c r="C225" s="14" t="s">
        <v>379</v>
      </c>
      <c r="D225" s="14" t="s">
        <v>48</v>
      </c>
      <c r="F225" s="50">
        <v>0</v>
      </c>
      <c r="H225" s="50">
        <f t="shared" si="123"/>
        <v>0</v>
      </c>
      <c r="I225" s="50">
        <f t="shared" si="124"/>
        <v>0</v>
      </c>
      <c r="J225" s="50"/>
      <c r="K225" s="50">
        <f t="shared" si="125"/>
        <v>0</v>
      </c>
      <c r="L225" s="50"/>
      <c r="M225" s="50">
        <f t="shared" si="126"/>
        <v>0</v>
      </c>
      <c r="N225" s="50"/>
      <c r="O225" s="50">
        <f t="shared" si="127"/>
        <v>0</v>
      </c>
      <c r="P225" s="50">
        <f t="shared" si="128"/>
        <v>0</v>
      </c>
      <c r="Q225" s="50"/>
      <c r="R225" s="50">
        <f t="shared" si="129"/>
        <v>0</v>
      </c>
      <c r="S225" s="50">
        <f t="shared" si="130"/>
        <v>0</v>
      </c>
      <c r="T225" s="50"/>
      <c r="U225" s="50">
        <f t="shared" si="131"/>
        <v>0</v>
      </c>
      <c r="V225" s="50"/>
      <c r="W225" s="50">
        <f t="shared" si="132"/>
        <v>0</v>
      </c>
      <c r="X225" s="50"/>
      <c r="Y225" s="50">
        <f t="shared" si="133"/>
        <v>0</v>
      </c>
      <c r="Z225" s="50"/>
      <c r="AA225" s="50">
        <f t="shared" si="134"/>
        <v>0</v>
      </c>
      <c r="AB225" s="50">
        <f t="shared" si="135"/>
        <v>0</v>
      </c>
      <c r="AC225" s="28" t="str">
        <f t="shared" si="136"/>
        <v>ok</v>
      </c>
    </row>
    <row r="226" spans="1:29" x14ac:dyDescent="0.25">
      <c r="A226" s="14">
        <v>597</v>
      </c>
      <c r="B226" s="14" t="s">
        <v>129</v>
      </c>
      <c r="C226" s="14" t="s">
        <v>130</v>
      </c>
      <c r="D226" s="14" t="s">
        <v>43</v>
      </c>
      <c r="F226" s="50">
        <v>19726</v>
      </c>
      <c r="H226" s="50">
        <f t="shared" si="123"/>
        <v>0</v>
      </c>
      <c r="I226" s="50">
        <f t="shared" si="124"/>
        <v>0</v>
      </c>
      <c r="J226" s="50"/>
      <c r="K226" s="50">
        <f t="shared" si="125"/>
        <v>0</v>
      </c>
      <c r="L226" s="50"/>
      <c r="M226" s="50">
        <f t="shared" si="126"/>
        <v>0</v>
      </c>
      <c r="N226" s="50"/>
      <c r="O226" s="50">
        <f t="shared" si="127"/>
        <v>0</v>
      </c>
      <c r="P226" s="50">
        <f t="shared" si="128"/>
        <v>0</v>
      </c>
      <c r="Q226" s="50"/>
      <c r="R226" s="50">
        <f t="shared" si="129"/>
        <v>0</v>
      </c>
      <c r="S226" s="50">
        <f t="shared" si="130"/>
        <v>0</v>
      </c>
      <c r="T226" s="50"/>
      <c r="U226" s="50">
        <f t="shared" si="131"/>
        <v>19726</v>
      </c>
      <c r="V226" s="50"/>
      <c r="W226" s="50">
        <f t="shared" si="132"/>
        <v>0</v>
      </c>
      <c r="X226" s="50"/>
      <c r="Y226" s="50">
        <f t="shared" si="133"/>
        <v>0</v>
      </c>
      <c r="Z226" s="50"/>
      <c r="AA226" s="50">
        <f t="shared" si="134"/>
        <v>0</v>
      </c>
      <c r="AB226" s="50">
        <f t="shared" si="135"/>
        <v>19726</v>
      </c>
      <c r="AC226" s="28" t="str">
        <f t="shared" si="136"/>
        <v>ok</v>
      </c>
    </row>
    <row r="227" spans="1:29" x14ac:dyDescent="0.25">
      <c r="A227" s="14">
        <v>598</v>
      </c>
      <c r="B227" s="14" t="s">
        <v>382</v>
      </c>
      <c r="C227" s="14" t="s">
        <v>131</v>
      </c>
      <c r="D227" s="14" t="s">
        <v>16</v>
      </c>
      <c r="F227" s="50">
        <v>208713</v>
      </c>
      <c r="H227" s="50">
        <f t="shared" si="123"/>
        <v>0</v>
      </c>
      <c r="I227" s="50">
        <f t="shared" si="124"/>
        <v>0</v>
      </c>
      <c r="J227" s="50"/>
      <c r="K227" s="50">
        <f t="shared" si="125"/>
        <v>0</v>
      </c>
      <c r="L227" s="50"/>
      <c r="M227" s="50">
        <f t="shared" si="126"/>
        <v>1770.3106456916016</v>
      </c>
      <c r="N227" s="50"/>
      <c r="O227" s="50">
        <f t="shared" si="127"/>
        <v>120286.26665805919</v>
      </c>
      <c r="P227" s="50">
        <f t="shared" si="128"/>
        <v>50043.013977389543</v>
      </c>
      <c r="Q227" s="50"/>
      <c r="R227" s="50">
        <f t="shared" si="129"/>
        <v>0</v>
      </c>
      <c r="S227" s="50">
        <f t="shared" si="130"/>
        <v>22057.421465715703</v>
      </c>
      <c r="T227" s="50"/>
      <c r="U227" s="50">
        <f t="shared" si="131"/>
        <v>7949.4976149711993</v>
      </c>
      <c r="V227" s="50"/>
      <c r="W227" s="50">
        <f t="shared" si="132"/>
        <v>6606.4896381727813</v>
      </c>
      <c r="X227" s="50"/>
      <c r="Y227" s="50">
        <f t="shared" si="133"/>
        <v>0</v>
      </c>
      <c r="Z227" s="50"/>
      <c r="AA227" s="50">
        <f t="shared" si="134"/>
        <v>0</v>
      </c>
      <c r="AB227" s="50">
        <f t="shared" si="135"/>
        <v>208713.00000000003</v>
      </c>
      <c r="AC227" s="28" t="str">
        <f t="shared" si="136"/>
        <v>ok</v>
      </c>
    </row>
    <row r="228" spans="1:29" x14ac:dyDescent="0.25">
      <c r="F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28"/>
    </row>
    <row r="229" spans="1:29" x14ac:dyDescent="0.25">
      <c r="A229" s="14" t="s">
        <v>132</v>
      </c>
      <c r="C229" s="14" t="s">
        <v>133</v>
      </c>
      <c r="F229" s="67">
        <f t="shared" ref="F229:M229" si="137">SUM(F220:F228)</f>
        <v>2939839</v>
      </c>
      <c r="G229" s="67"/>
      <c r="H229" s="67">
        <f t="shared" si="137"/>
        <v>0</v>
      </c>
      <c r="I229" s="67">
        <f t="shared" si="137"/>
        <v>0</v>
      </c>
      <c r="J229" s="67"/>
      <c r="K229" s="67">
        <f t="shared" si="137"/>
        <v>0</v>
      </c>
      <c r="L229" s="67"/>
      <c r="M229" s="67">
        <f t="shared" si="137"/>
        <v>2053.8650236434792</v>
      </c>
      <c r="N229" s="67"/>
      <c r="O229" s="67">
        <f t="shared" ref="O229:AA229" si="138">SUM(O220:O228)</f>
        <v>2347560.46434202</v>
      </c>
      <c r="P229" s="67">
        <f t="shared" si="138"/>
        <v>528020.81526638742</v>
      </c>
      <c r="Q229" s="67"/>
      <c r="R229" s="67">
        <f t="shared" si="138"/>
        <v>0</v>
      </c>
      <c r="S229" s="67">
        <f t="shared" si="138"/>
        <v>25590.405034534491</v>
      </c>
      <c r="T229" s="67"/>
      <c r="U229" s="67">
        <f t="shared" si="138"/>
        <v>28948.785360672173</v>
      </c>
      <c r="V229" s="67"/>
      <c r="W229" s="67">
        <f t="shared" si="138"/>
        <v>7664.6649727428176</v>
      </c>
      <c r="X229" s="67"/>
      <c r="Y229" s="67">
        <f t="shared" si="138"/>
        <v>0</v>
      </c>
      <c r="Z229" s="67"/>
      <c r="AA229" s="67">
        <f t="shared" si="138"/>
        <v>0</v>
      </c>
      <c r="AB229" s="50">
        <f>SUM(H229:AA229)</f>
        <v>2939839.0000000009</v>
      </c>
      <c r="AC229" s="28" t="str">
        <f>IF(ABS(AB229-F229)&lt;1,"ok","err")</f>
        <v>ok</v>
      </c>
    </row>
    <row r="230" spans="1:29" x14ac:dyDescent="0.25">
      <c r="F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C230" s="28"/>
    </row>
    <row r="231" spans="1:29" x14ac:dyDescent="0.25">
      <c r="A231" s="14" t="s">
        <v>380</v>
      </c>
      <c r="F231" s="50">
        <f>F215+F229</f>
        <v>5060951.6399999997</v>
      </c>
      <c r="G231" s="50"/>
      <c r="H231" s="50">
        <f>H215+H229</f>
        <v>0</v>
      </c>
      <c r="I231" s="50">
        <f>I215+I229</f>
        <v>0</v>
      </c>
      <c r="J231" s="50"/>
      <c r="K231" s="50">
        <f>K215+K229</f>
        <v>0</v>
      </c>
      <c r="L231" s="50"/>
      <c r="M231" s="50">
        <f>M215+M229</f>
        <v>7990.1433582318987</v>
      </c>
      <c r="N231" s="50"/>
      <c r="O231" s="50">
        <f>O215+O229</f>
        <v>3486422.3669784912</v>
      </c>
      <c r="P231" s="50">
        <f>P215+P229</f>
        <v>942778.04907052289</v>
      </c>
      <c r="Q231" s="50"/>
      <c r="R231" s="50">
        <f>R215+R229</f>
        <v>0</v>
      </c>
      <c r="S231" s="50">
        <f>S215+S229</f>
        <v>310317.25622781488</v>
      </c>
      <c r="T231" s="50"/>
      <c r="U231" s="50">
        <f>U215+U229</f>
        <v>281856.36711792648</v>
      </c>
      <c r="V231" s="50"/>
      <c r="W231" s="50">
        <f>W215+W229</f>
        <v>31587.457247013197</v>
      </c>
      <c r="X231" s="50"/>
      <c r="Y231" s="50">
        <f>Y215+Y229</f>
        <v>0</v>
      </c>
      <c r="Z231" s="50"/>
      <c r="AA231" s="50">
        <f>AA215+AA229</f>
        <v>0</v>
      </c>
      <c r="AB231" s="50">
        <f>SUM(H231:AA231)</f>
        <v>5060951.6400000006</v>
      </c>
      <c r="AC231" s="28" t="str">
        <f>IF(ABS(AB231-F231)&lt;1,"ok","err")</f>
        <v>ok</v>
      </c>
    </row>
    <row r="232" spans="1:29" x14ac:dyDescent="0.25"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C232" s="28"/>
    </row>
    <row r="233" spans="1:29" x14ac:dyDescent="0.25">
      <c r="A233" s="14" t="s">
        <v>381</v>
      </c>
      <c r="F233" s="50">
        <f>F231+F199</f>
        <v>5060951.6399999997</v>
      </c>
      <c r="G233" s="50"/>
      <c r="H233" s="50">
        <f>H231+H199</f>
        <v>0</v>
      </c>
      <c r="I233" s="50">
        <f>I231+I199</f>
        <v>0</v>
      </c>
      <c r="J233" s="50"/>
      <c r="K233" s="50">
        <f>K231+K199</f>
        <v>0</v>
      </c>
      <c r="L233" s="50"/>
      <c r="M233" s="50">
        <f>M231+M199</f>
        <v>7990.1433582318987</v>
      </c>
      <c r="N233" s="50"/>
      <c r="O233" s="50">
        <f>O231+O199</f>
        <v>3486422.3669784912</v>
      </c>
      <c r="P233" s="50">
        <f>P231+P199</f>
        <v>942778.04907052289</v>
      </c>
      <c r="Q233" s="50"/>
      <c r="R233" s="50">
        <f>R231+R199</f>
        <v>0</v>
      </c>
      <c r="S233" s="50">
        <f>S231+S199</f>
        <v>310317.25622781488</v>
      </c>
      <c r="T233" s="50"/>
      <c r="U233" s="50">
        <f>U231+U199</f>
        <v>281856.36711792648</v>
      </c>
      <c r="V233" s="50"/>
      <c r="W233" s="50">
        <f>W231+W199</f>
        <v>31587.457247013197</v>
      </c>
      <c r="X233" s="50"/>
      <c r="Y233" s="50">
        <f>Y231+Y199</f>
        <v>0</v>
      </c>
      <c r="Z233" s="50"/>
      <c r="AA233" s="50">
        <f>AA231+AA199</f>
        <v>0</v>
      </c>
      <c r="AB233" s="50">
        <f>SUM(H233:AA233)</f>
        <v>5060951.6400000006</v>
      </c>
      <c r="AC233" s="28" t="str">
        <f>IF(ABS(AB233-F233)&lt;1,"ok","err")</f>
        <v>ok</v>
      </c>
    </row>
    <row r="234" spans="1:29" x14ac:dyDescent="0.25"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C234" s="28"/>
    </row>
    <row r="235" spans="1:29" x14ac:dyDescent="0.25">
      <c r="A235" s="14" t="s">
        <v>825</v>
      </c>
      <c r="F235" s="50">
        <f>F170+F199+F231</f>
        <v>5060951.6399999997</v>
      </c>
      <c r="G235" s="50"/>
      <c r="H235" s="50">
        <f>H170+H199+H231</f>
        <v>0</v>
      </c>
      <c r="I235" s="50">
        <f>I170+I199+I231</f>
        <v>0</v>
      </c>
      <c r="J235" s="50"/>
      <c r="K235" s="50">
        <f>K170+K199+K231</f>
        <v>0</v>
      </c>
      <c r="L235" s="50"/>
      <c r="M235" s="50">
        <f>M170+M199+M231</f>
        <v>7990.1433582318987</v>
      </c>
      <c r="N235" s="50"/>
      <c r="O235" s="50">
        <f>O170+O199+O231</f>
        <v>3486422.3669784912</v>
      </c>
      <c r="P235" s="50">
        <f>P170+P199+P231</f>
        <v>942778.04907052289</v>
      </c>
      <c r="Q235" s="50"/>
      <c r="R235" s="50">
        <f>R170+R199+R231</f>
        <v>0</v>
      </c>
      <c r="S235" s="50">
        <f>S170+S199+S231</f>
        <v>310317.25622781488</v>
      </c>
      <c r="T235" s="50"/>
      <c r="U235" s="50">
        <f>U170+U199+U231</f>
        <v>281856.36711792648</v>
      </c>
      <c r="V235" s="50"/>
      <c r="W235" s="50">
        <f>W170+W199+W231</f>
        <v>31587.457247013197</v>
      </c>
      <c r="X235" s="50"/>
      <c r="Y235" s="50">
        <f>Y170+Y199+Y231</f>
        <v>0</v>
      </c>
      <c r="Z235" s="50"/>
      <c r="AA235" s="50">
        <f>AA170+AA199+AA231</f>
        <v>0</v>
      </c>
      <c r="AB235" s="50">
        <f>SUM(H235:AA235)</f>
        <v>5060951.6400000006</v>
      </c>
      <c r="AC235" s="28" t="str">
        <f>IF(ABS(AB235-F235)&lt;1,"ok","err")</f>
        <v>ok</v>
      </c>
    </row>
    <row r="236" spans="1:29" x14ac:dyDescent="0.25"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C236" s="28"/>
    </row>
    <row r="237" spans="1:29" x14ac:dyDescent="0.25">
      <c r="A237" s="14" t="s">
        <v>824</v>
      </c>
      <c r="C237" s="14" t="s">
        <v>134</v>
      </c>
      <c r="F237" s="67">
        <f>F231+F199+F180+F170</f>
        <v>47032330.640000001</v>
      </c>
      <c r="G237" s="67"/>
      <c r="H237" s="67">
        <f>H231+H199+H180+H170</f>
        <v>9006886.8765010126</v>
      </c>
      <c r="I237" s="67">
        <f>I231+I199+I180+I170</f>
        <v>32964492.123498984</v>
      </c>
      <c r="J237" s="67"/>
      <c r="K237" s="67">
        <f>K231+K199+K180+K170</f>
        <v>0</v>
      </c>
      <c r="L237" s="67"/>
      <c r="M237" s="67">
        <f>M231+M199+M180+M170</f>
        <v>7990.1433582318987</v>
      </c>
      <c r="N237" s="67"/>
      <c r="O237" s="67">
        <f>O231+O199+O180+O170</f>
        <v>3486422.3669784912</v>
      </c>
      <c r="P237" s="67">
        <f>P231+P199+P180+P170</f>
        <v>942778.04907052289</v>
      </c>
      <c r="Q237" s="67"/>
      <c r="R237" s="67">
        <f>R231+R199+R180+R170</f>
        <v>0</v>
      </c>
      <c r="S237" s="67">
        <f>S231+S199+S180+S170</f>
        <v>310317.25622781488</v>
      </c>
      <c r="T237" s="67"/>
      <c r="U237" s="67">
        <f>U231+U199+U180+U170</f>
        <v>281856.36711792648</v>
      </c>
      <c r="V237" s="67"/>
      <c r="W237" s="67">
        <f>W231+W199+W180+W170</f>
        <v>31587.457247013197</v>
      </c>
      <c r="X237" s="67"/>
      <c r="Y237" s="67">
        <f>Y231+Y199+Y180+Y170</f>
        <v>0</v>
      </c>
      <c r="Z237" s="67"/>
      <c r="AA237" s="67">
        <f>AA231+AA199+AA180+AA170</f>
        <v>0</v>
      </c>
      <c r="AB237" s="50">
        <f>SUM(H237:AA237)</f>
        <v>47032330.639999993</v>
      </c>
      <c r="AC237" s="28" t="str">
        <f>IF(ABS(AB237-F237)&lt;1,"ok","err")</f>
        <v>ok</v>
      </c>
    </row>
    <row r="238" spans="1:29" x14ac:dyDescent="0.25">
      <c r="A238" s="13"/>
      <c r="F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C238" s="28"/>
    </row>
    <row r="239" spans="1:29" x14ac:dyDescent="0.25">
      <c r="A239" s="13" t="s">
        <v>136</v>
      </c>
      <c r="F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C239" s="28"/>
    </row>
    <row r="240" spans="1:29" x14ac:dyDescent="0.25">
      <c r="A240" s="14">
        <v>901</v>
      </c>
      <c r="B240" s="14" t="s">
        <v>137</v>
      </c>
      <c r="C240" s="14" t="s">
        <v>138</v>
      </c>
      <c r="D240" s="14" t="s">
        <v>139</v>
      </c>
      <c r="F240" s="67">
        <v>130719.54</v>
      </c>
      <c r="H240" s="50">
        <f>IF(VLOOKUP($D240,$C$5:$AA$492,6,)=0,0,((VLOOKUP($D240,$C$5:$AA$492,6,)/VLOOKUP($D240,$C$5:$AA$492,4,))*$F240))</f>
        <v>0</v>
      </c>
      <c r="I240" s="50">
        <f>IF(VLOOKUP($D240,$C$5:$AA$492,7,)=0,0,((VLOOKUP($D240,$C$5:$AA$492,7,)/VLOOKUP($D240,$C$5:$AA$492,4,))*$F240))</f>
        <v>0</v>
      </c>
      <c r="J240" s="50"/>
      <c r="K240" s="50">
        <f>IF(VLOOKUP($D240,$C$5:$AA$492,9,)=0,0,((VLOOKUP($D240,$C$5:$AA$492,9,)/VLOOKUP($D240,$C$5:$AA$492,4,))*$F240))</f>
        <v>0</v>
      </c>
      <c r="L240" s="50"/>
      <c r="M240" s="50">
        <f>IF(VLOOKUP($D240,$C$5:$AA$492,11,)=0,0,((VLOOKUP($D240,$C$5:$AA$492,11,)/VLOOKUP($D240,$C$5:$AA$492,4,))*$F240))</f>
        <v>0</v>
      </c>
      <c r="N240" s="50"/>
      <c r="O240" s="50">
        <f>IF(VLOOKUP($D240,$C$5:$AA$492,13,)=0,0,((VLOOKUP($D240,$C$5:$AA$492,13,)/VLOOKUP($D240,$C$5:$AA$492,4,))*$F240))</f>
        <v>0</v>
      </c>
      <c r="P240" s="50">
        <f>IF(VLOOKUP($D240,$C$5:$AA$492,14,)=0,0,((VLOOKUP($D240,$C$5:$AA$492,14,)/VLOOKUP($D240,$C$5:$AA$492,4,))*$F240))</f>
        <v>0</v>
      </c>
      <c r="Q240" s="50"/>
      <c r="R240" s="50">
        <f>IF(VLOOKUP($D240,$C$5:$AA$492,16,)=0,0,((VLOOKUP($D240,$C$5:$AA$492,16,)/VLOOKUP($D240,$C$5:$AA$492,4,))*$F240))</f>
        <v>0</v>
      </c>
      <c r="S240" s="50">
        <f>IF(VLOOKUP($D240,$C$5:$AA$492,17,)=0,0,((VLOOKUP($D240,$C$5:$AA$492,17,)/VLOOKUP($D240,$C$5:$AA$492,4,))*$F240))</f>
        <v>0</v>
      </c>
      <c r="T240" s="50"/>
      <c r="U240" s="50">
        <f>IF(VLOOKUP($D240,$C$5:$AA$492,19,)=0,0,((VLOOKUP($D240,$C$5:$AA$492,19,)/VLOOKUP($D240,$C$5:$AA$492,4,))*$F240))</f>
        <v>0</v>
      </c>
      <c r="V240" s="50"/>
      <c r="W240" s="50">
        <f>IF(VLOOKUP($D240,$C$5:$AA$492,21,)=0,0,((VLOOKUP($D240,$C$5:$AA$492,21,)/VLOOKUP($D240,$C$5:$AA$492,4,))*$F240))</f>
        <v>0</v>
      </c>
      <c r="X240" s="50"/>
      <c r="Y240" s="50">
        <f>IF(VLOOKUP($D240,$C$5:$AA$492,23,)=0,0,((VLOOKUP($D240,$C$5:$AA$492,23,)/VLOOKUP($D240,$C$5:$AA$492,4,))*$F240))</f>
        <v>130719.54</v>
      </c>
      <c r="Z240" s="50"/>
      <c r="AA240" s="50">
        <f>IF(VLOOKUP($D240,$C$5:$AA$492,25,)=0,0,((VLOOKUP($D240,$C$5:$AA$492,25,)/VLOOKUP($D240,$C$5:$AA$492,4,))*$F240))</f>
        <v>0</v>
      </c>
      <c r="AB240" s="50">
        <f>SUM(H240:AA240)</f>
        <v>130719.54</v>
      </c>
      <c r="AC240" s="28" t="str">
        <f>IF(ABS(AB240-F240)&lt;1,"ok","err")</f>
        <v>ok</v>
      </c>
    </row>
    <row r="241" spans="1:29" x14ac:dyDescent="0.25">
      <c r="A241" s="14">
        <v>902</v>
      </c>
      <c r="B241" s="14" t="s">
        <v>140</v>
      </c>
      <c r="C241" s="14" t="s">
        <v>141</v>
      </c>
      <c r="D241" s="14" t="s">
        <v>139</v>
      </c>
      <c r="F241" s="50">
        <v>88147</v>
      </c>
      <c r="H241" s="50">
        <f>IF(VLOOKUP($D241,$C$5:$AA$492,6,)=0,0,((VLOOKUP($D241,$C$5:$AA$492,6,)/VLOOKUP($D241,$C$5:$AA$492,4,))*$F241))</f>
        <v>0</v>
      </c>
      <c r="I241" s="50">
        <f>IF(VLOOKUP($D241,$C$5:$AA$492,7,)=0,0,((VLOOKUP($D241,$C$5:$AA$492,7,)/VLOOKUP($D241,$C$5:$AA$492,4,))*$F241))</f>
        <v>0</v>
      </c>
      <c r="J241" s="50"/>
      <c r="K241" s="50">
        <f>IF(VLOOKUP($D241,$C$5:$AA$492,9,)=0,0,((VLOOKUP($D241,$C$5:$AA$492,9,)/VLOOKUP($D241,$C$5:$AA$492,4,))*$F241))</f>
        <v>0</v>
      </c>
      <c r="L241" s="50"/>
      <c r="M241" s="50">
        <f>IF(VLOOKUP($D241,$C$5:$AA$492,11,)=0,0,((VLOOKUP($D241,$C$5:$AA$492,11,)/VLOOKUP($D241,$C$5:$AA$492,4,))*$F241))</f>
        <v>0</v>
      </c>
      <c r="N241" s="50"/>
      <c r="O241" s="50">
        <f>IF(VLOOKUP($D241,$C$5:$AA$492,13,)=0,0,((VLOOKUP($D241,$C$5:$AA$492,13,)/VLOOKUP($D241,$C$5:$AA$492,4,))*$F241))</f>
        <v>0</v>
      </c>
      <c r="P241" s="50">
        <f>IF(VLOOKUP($D241,$C$5:$AA$492,14,)=0,0,((VLOOKUP($D241,$C$5:$AA$492,14,)/VLOOKUP($D241,$C$5:$AA$492,4,))*$F241))</f>
        <v>0</v>
      </c>
      <c r="Q241" s="50"/>
      <c r="R241" s="50">
        <f>IF(VLOOKUP($D241,$C$5:$AA$492,16,)=0,0,((VLOOKUP($D241,$C$5:$AA$492,16,)/VLOOKUP($D241,$C$5:$AA$492,4,))*$F241))</f>
        <v>0</v>
      </c>
      <c r="S241" s="50">
        <f>IF(VLOOKUP($D241,$C$5:$AA$492,17,)=0,0,((VLOOKUP($D241,$C$5:$AA$492,17,)/VLOOKUP($D241,$C$5:$AA$492,4,))*$F241))</f>
        <v>0</v>
      </c>
      <c r="T241" s="50"/>
      <c r="U241" s="50">
        <f>IF(VLOOKUP($D241,$C$5:$AA$492,19,)=0,0,((VLOOKUP($D241,$C$5:$AA$492,19,)/VLOOKUP($D241,$C$5:$AA$492,4,))*$F241))</f>
        <v>0</v>
      </c>
      <c r="V241" s="50"/>
      <c r="W241" s="50">
        <f>IF(VLOOKUP($D241,$C$5:$AA$492,21,)=0,0,((VLOOKUP($D241,$C$5:$AA$492,21,)/VLOOKUP($D241,$C$5:$AA$492,4,))*$F241))</f>
        <v>0</v>
      </c>
      <c r="X241" s="50"/>
      <c r="Y241" s="50">
        <f>IF(VLOOKUP($D241,$C$5:$AA$492,23,)=0,0,((VLOOKUP($D241,$C$5:$AA$492,23,)/VLOOKUP($D241,$C$5:$AA$492,4,))*$F241))</f>
        <v>88147</v>
      </c>
      <c r="Z241" s="50"/>
      <c r="AA241" s="50">
        <f>IF(VLOOKUP($D241,$C$5:$AA$492,25,)=0,0,((VLOOKUP($D241,$C$5:$AA$492,25,)/VLOOKUP($D241,$C$5:$AA$492,4,))*$F241))</f>
        <v>0</v>
      </c>
      <c r="AB241" s="50">
        <f>SUM(H241:AA241)</f>
        <v>88147</v>
      </c>
      <c r="AC241" s="28" t="str">
        <f>IF(ABS(AB241-F241)&lt;1,"ok","err")</f>
        <v>ok</v>
      </c>
    </row>
    <row r="242" spans="1:29" x14ac:dyDescent="0.25">
      <c r="A242" s="14">
        <v>903</v>
      </c>
      <c r="B242" s="14" t="s">
        <v>451</v>
      </c>
      <c r="C242" s="14" t="s">
        <v>142</v>
      </c>
      <c r="D242" s="14" t="s">
        <v>139</v>
      </c>
      <c r="F242" s="67">
        <v>325459</v>
      </c>
      <c r="H242" s="50">
        <f>IF(VLOOKUP($D242,$C$5:$AA$492,6,)=0,0,((VLOOKUP($D242,$C$5:$AA$492,6,)/VLOOKUP($D242,$C$5:$AA$492,4,))*$F242))</f>
        <v>0</v>
      </c>
      <c r="I242" s="50">
        <f>IF(VLOOKUP($D242,$C$5:$AA$492,7,)=0,0,((VLOOKUP($D242,$C$5:$AA$492,7,)/VLOOKUP($D242,$C$5:$AA$492,4,))*$F242))</f>
        <v>0</v>
      </c>
      <c r="J242" s="50"/>
      <c r="K242" s="50">
        <f>IF(VLOOKUP($D242,$C$5:$AA$492,9,)=0,0,((VLOOKUP($D242,$C$5:$AA$492,9,)/VLOOKUP($D242,$C$5:$AA$492,4,))*$F242))</f>
        <v>0</v>
      </c>
      <c r="L242" s="50"/>
      <c r="M242" s="50">
        <f>IF(VLOOKUP($D242,$C$5:$AA$492,11,)=0,0,((VLOOKUP($D242,$C$5:$AA$492,11,)/VLOOKUP($D242,$C$5:$AA$492,4,))*$F242))</f>
        <v>0</v>
      </c>
      <c r="N242" s="50"/>
      <c r="O242" s="50">
        <f>IF(VLOOKUP($D242,$C$5:$AA$492,13,)=0,0,((VLOOKUP($D242,$C$5:$AA$492,13,)/VLOOKUP($D242,$C$5:$AA$492,4,))*$F242))</f>
        <v>0</v>
      </c>
      <c r="P242" s="50">
        <f>IF(VLOOKUP($D242,$C$5:$AA$492,14,)=0,0,((VLOOKUP($D242,$C$5:$AA$492,14,)/VLOOKUP($D242,$C$5:$AA$492,4,))*$F242))</f>
        <v>0</v>
      </c>
      <c r="Q242" s="50"/>
      <c r="R242" s="50">
        <f>IF(VLOOKUP($D242,$C$5:$AA$492,16,)=0,0,((VLOOKUP($D242,$C$5:$AA$492,16,)/VLOOKUP($D242,$C$5:$AA$492,4,))*$F242))</f>
        <v>0</v>
      </c>
      <c r="S242" s="50">
        <f>IF(VLOOKUP($D242,$C$5:$AA$492,17,)=0,0,((VLOOKUP($D242,$C$5:$AA$492,17,)/VLOOKUP($D242,$C$5:$AA$492,4,))*$F242))</f>
        <v>0</v>
      </c>
      <c r="T242" s="50"/>
      <c r="U242" s="50">
        <f>IF(VLOOKUP($D242,$C$5:$AA$492,19,)=0,0,((VLOOKUP($D242,$C$5:$AA$492,19,)/VLOOKUP($D242,$C$5:$AA$492,4,))*$F242))</f>
        <v>0</v>
      </c>
      <c r="V242" s="50"/>
      <c r="W242" s="50">
        <f>IF(VLOOKUP($D242,$C$5:$AA$492,21,)=0,0,((VLOOKUP($D242,$C$5:$AA$492,21,)/VLOOKUP($D242,$C$5:$AA$492,4,))*$F242))</f>
        <v>0</v>
      </c>
      <c r="X242" s="50"/>
      <c r="Y242" s="50">
        <f>IF(VLOOKUP($D242,$C$5:$AA$492,23,)=0,0,((VLOOKUP($D242,$C$5:$AA$492,23,)/VLOOKUP($D242,$C$5:$AA$492,4,))*$F242))</f>
        <v>325459</v>
      </c>
      <c r="Z242" s="50"/>
      <c r="AA242" s="50">
        <f>IF(VLOOKUP($D242,$C$5:$AA$492,25,)=0,0,((VLOOKUP($D242,$C$5:$AA$492,25,)/VLOOKUP($D242,$C$5:$AA$492,4,))*$F242))</f>
        <v>0</v>
      </c>
      <c r="AB242" s="50">
        <f>SUM(H242:AA242)</f>
        <v>325459</v>
      </c>
      <c r="AC242" s="28" t="str">
        <f>IF(ABS(AB242-F242)&lt;1,"ok","err")</f>
        <v>ok</v>
      </c>
    </row>
    <row r="243" spans="1:29" x14ac:dyDescent="0.25">
      <c r="A243" s="14">
        <v>904</v>
      </c>
      <c r="B243" s="14" t="s">
        <v>143</v>
      </c>
      <c r="C243" s="14" t="s">
        <v>144</v>
      </c>
      <c r="D243" s="14" t="s">
        <v>139</v>
      </c>
      <c r="F243" s="50">
        <v>0</v>
      </c>
      <c r="H243" s="50">
        <f>IF(VLOOKUP($D243,$C$5:$AA$492,6,)=0,0,((VLOOKUP($D243,$C$5:$AA$492,6,)/VLOOKUP($D243,$C$5:$AA$492,4,))*$F243))</f>
        <v>0</v>
      </c>
      <c r="I243" s="50">
        <f>IF(VLOOKUP($D243,$C$5:$AA$492,7,)=0,0,((VLOOKUP($D243,$C$5:$AA$492,7,)/VLOOKUP($D243,$C$5:$AA$492,4,))*$F243))</f>
        <v>0</v>
      </c>
      <c r="J243" s="50"/>
      <c r="K243" s="50">
        <f>IF(VLOOKUP($D243,$C$5:$AA$492,9,)=0,0,((VLOOKUP($D243,$C$5:$AA$492,9,)/VLOOKUP($D243,$C$5:$AA$492,4,))*$F243))</f>
        <v>0</v>
      </c>
      <c r="L243" s="50"/>
      <c r="M243" s="50">
        <f>IF(VLOOKUP($D243,$C$5:$AA$492,11,)=0,0,((VLOOKUP($D243,$C$5:$AA$492,11,)/VLOOKUP($D243,$C$5:$AA$492,4,))*$F243))</f>
        <v>0</v>
      </c>
      <c r="N243" s="50"/>
      <c r="O243" s="50">
        <f>IF(VLOOKUP($D243,$C$5:$AA$492,13,)=0,0,((VLOOKUP($D243,$C$5:$AA$492,13,)/VLOOKUP($D243,$C$5:$AA$492,4,))*$F243))</f>
        <v>0</v>
      </c>
      <c r="P243" s="50">
        <f>IF(VLOOKUP($D243,$C$5:$AA$492,14,)=0,0,((VLOOKUP($D243,$C$5:$AA$492,14,)/VLOOKUP($D243,$C$5:$AA$492,4,))*$F243))</f>
        <v>0</v>
      </c>
      <c r="Q243" s="50"/>
      <c r="R243" s="50">
        <f>IF(VLOOKUP($D243,$C$5:$AA$492,16,)=0,0,((VLOOKUP($D243,$C$5:$AA$492,16,)/VLOOKUP($D243,$C$5:$AA$492,4,))*$F243))</f>
        <v>0</v>
      </c>
      <c r="S243" s="50">
        <f>IF(VLOOKUP($D243,$C$5:$AA$492,17,)=0,0,((VLOOKUP($D243,$C$5:$AA$492,17,)/VLOOKUP($D243,$C$5:$AA$492,4,))*$F243))</f>
        <v>0</v>
      </c>
      <c r="T243" s="50"/>
      <c r="U243" s="50">
        <f>IF(VLOOKUP($D243,$C$5:$AA$492,19,)=0,0,((VLOOKUP($D243,$C$5:$AA$492,19,)/VLOOKUP($D243,$C$5:$AA$492,4,))*$F243))</f>
        <v>0</v>
      </c>
      <c r="V243" s="50"/>
      <c r="W243" s="50">
        <f>IF(VLOOKUP($D243,$C$5:$AA$492,21,)=0,0,((VLOOKUP($D243,$C$5:$AA$492,21,)/VLOOKUP($D243,$C$5:$AA$492,4,))*$F243))</f>
        <v>0</v>
      </c>
      <c r="X243" s="50"/>
      <c r="Y243" s="50">
        <f>IF(VLOOKUP($D243,$C$5:$AA$492,23,)=0,0,((VLOOKUP($D243,$C$5:$AA$492,23,)/VLOOKUP($D243,$C$5:$AA$492,4,))*$F243))</f>
        <v>0</v>
      </c>
      <c r="Z243" s="50"/>
      <c r="AA243" s="50">
        <f>IF(VLOOKUP($D243,$C$5:$AA$492,25,)=0,0,((VLOOKUP($D243,$C$5:$AA$492,25,)/VLOOKUP($D243,$C$5:$AA$492,4,))*$F243))</f>
        <v>0</v>
      </c>
      <c r="AB243" s="50">
        <f>SUM(H243:AA243)</f>
        <v>0</v>
      </c>
      <c r="AC243" s="28" t="str">
        <f>IF(ABS(AB243-F243)&lt;1,"ok","err")</f>
        <v>ok</v>
      </c>
    </row>
    <row r="244" spans="1:29" x14ac:dyDescent="0.25">
      <c r="A244" s="14">
        <v>905</v>
      </c>
      <c r="B244" s="14" t="s">
        <v>452</v>
      </c>
      <c r="C244" s="14" t="s">
        <v>142</v>
      </c>
      <c r="D244" s="14" t="s">
        <v>139</v>
      </c>
      <c r="F244" s="50">
        <v>0</v>
      </c>
      <c r="H244" s="50">
        <f>IF(VLOOKUP($D244,$C$5:$AA$492,6,)=0,0,((VLOOKUP($D244,$C$5:$AA$492,6,)/VLOOKUP($D244,$C$5:$AA$492,4,))*$F244))</f>
        <v>0</v>
      </c>
      <c r="I244" s="50">
        <f>IF(VLOOKUP($D244,$C$5:$AA$492,7,)=0,0,((VLOOKUP($D244,$C$5:$AA$492,7,)/VLOOKUP($D244,$C$5:$AA$492,4,))*$F244))</f>
        <v>0</v>
      </c>
      <c r="J244" s="50"/>
      <c r="K244" s="50">
        <f>IF(VLOOKUP($D244,$C$5:$AA$492,9,)=0,0,((VLOOKUP($D244,$C$5:$AA$492,9,)/VLOOKUP($D244,$C$5:$AA$492,4,))*$F244))</f>
        <v>0</v>
      </c>
      <c r="L244" s="50"/>
      <c r="M244" s="50">
        <f>IF(VLOOKUP($D244,$C$5:$AA$492,11,)=0,0,((VLOOKUP($D244,$C$5:$AA$492,11,)/VLOOKUP($D244,$C$5:$AA$492,4,))*$F244))</f>
        <v>0</v>
      </c>
      <c r="N244" s="50"/>
      <c r="O244" s="50">
        <f>IF(VLOOKUP($D244,$C$5:$AA$492,13,)=0,0,((VLOOKUP($D244,$C$5:$AA$492,13,)/VLOOKUP($D244,$C$5:$AA$492,4,))*$F244))</f>
        <v>0</v>
      </c>
      <c r="P244" s="50">
        <f>IF(VLOOKUP($D244,$C$5:$AA$492,14,)=0,0,((VLOOKUP($D244,$C$5:$AA$492,14,)/VLOOKUP($D244,$C$5:$AA$492,4,))*$F244))</f>
        <v>0</v>
      </c>
      <c r="Q244" s="50"/>
      <c r="R244" s="50">
        <f>IF(VLOOKUP($D244,$C$5:$AA$492,16,)=0,0,((VLOOKUP($D244,$C$5:$AA$492,16,)/VLOOKUP($D244,$C$5:$AA$492,4,))*$F244))</f>
        <v>0</v>
      </c>
      <c r="S244" s="50">
        <f>IF(VLOOKUP($D244,$C$5:$AA$492,17,)=0,0,((VLOOKUP($D244,$C$5:$AA$492,17,)/VLOOKUP($D244,$C$5:$AA$492,4,))*$F244))</f>
        <v>0</v>
      </c>
      <c r="T244" s="50"/>
      <c r="U244" s="50">
        <f>IF(VLOOKUP($D244,$C$5:$AA$492,19,)=0,0,((VLOOKUP($D244,$C$5:$AA$492,19,)/VLOOKUP($D244,$C$5:$AA$492,4,))*$F244))</f>
        <v>0</v>
      </c>
      <c r="V244" s="50"/>
      <c r="W244" s="50">
        <f>IF(VLOOKUP($D244,$C$5:$AA$492,21,)=0,0,((VLOOKUP($D244,$C$5:$AA$492,21,)/VLOOKUP($D244,$C$5:$AA$492,4,))*$F244))</f>
        <v>0</v>
      </c>
      <c r="X244" s="50"/>
      <c r="Y244" s="50">
        <f>IF(VLOOKUP($D244,$C$5:$AA$492,23,)=0,0,((VLOOKUP($D244,$C$5:$AA$492,23,)/VLOOKUP($D244,$C$5:$AA$492,4,))*$F244))</f>
        <v>0</v>
      </c>
      <c r="Z244" s="50"/>
      <c r="AA244" s="50">
        <f>IF(VLOOKUP($D244,$C$5:$AA$492,25,)=0,0,((VLOOKUP($D244,$C$5:$AA$492,25,)/VLOOKUP($D244,$C$5:$AA$492,4,))*$F244))</f>
        <v>0</v>
      </c>
      <c r="AB244" s="50">
        <f>SUM(H244:AA244)</f>
        <v>0</v>
      </c>
      <c r="AC244" s="28" t="str">
        <f>IF(ABS(AB244-F244)&lt;1,"ok","err")</f>
        <v>ok</v>
      </c>
    </row>
    <row r="245" spans="1:29" x14ac:dyDescent="0.25">
      <c r="A245" s="13"/>
      <c r="F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28"/>
    </row>
    <row r="246" spans="1:29" x14ac:dyDescent="0.25">
      <c r="A246" s="14" t="s">
        <v>145</v>
      </c>
      <c r="C246" s="14" t="s">
        <v>146</v>
      </c>
      <c r="F246" s="67">
        <f>SUM(F240:F245)</f>
        <v>544325.54</v>
      </c>
      <c r="G246" s="67"/>
      <c r="H246" s="67">
        <f t="shared" ref="H246:W246" si="139">SUM(H240:H245)</f>
        <v>0</v>
      </c>
      <c r="I246" s="67">
        <f t="shared" si="139"/>
        <v>0</v>
      </c>
      <c r="J246" s="67"/>
      <c r="K246" s="67">
        <f t="shared" si="139"/>
        <v>0</v>
      </c>
      <c r="L246" s="67"/>
      <c r="M246" s="67">
        <f t="shared" si="139"/>
        <v>0</v>
      </c>
      <c r="N246" s="67"/>
      <c r="O246" s="67">
        <f t="shared" si="139"/>
        <v>0</v>
      </c>
      <c r="P246" s="67">
        <f t="shared" si="139"/>
        <v>0</v>
      </c>
      <c r="Q246" s="67"/>
      <c r="R246" s="67">
        <f t="shared" si="139"/>
        <v>0</v>
      </c>
      <c r="S246" s="67">
        <f t="shared" si="139"/>
        <v>0</v>
      </c>
      <c r="T246" s="67"/>
      <c r="U246" s="67">
        <f t="shared" si="139"/>
        <v>0</v>
      </c>
      <c r="V246" s="67"/>
      <c r="W246" s="67">
        <f t="shared" si="139"/>
        <v>0</v>
      </c>
      <c r="X246" s="67"/>
      <c r="Y246" s="67">
        <f>SUM(Y240:Y245)</f>
        <v>544325.54</v>
      </c>
      <c r="Z246" s="67"/>
      <c r="AA246" s="67">
        <f>SUM(AA240:AA245)</f>
        <v>0</v>
      </c>
      <c r="AB246" s="50">
        <f>SUM(H246:AA246)</f>
        <v>544325.54</v>
      </c>
      <c r="AC246" s="28" t="str">
        <f>IF(ABS(AB246-F246)&lt;1,"ok","err")</f>
        <v>ok</v>
      </c>
    </row>
    <row r="247" spans="1:29" x14ac:dyDescent="0.25">
      <c r="F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C247" s="28"/>
    </row>
    <row r="248" spans="1:29" x14ac:dyDescent="0.25">
      <c r="A248" s="13" t="s">
        <v>147</v>
      </c>
      <c r="F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C248" s="28"/>
    </row>
    <row r="249" spans="1:29" x14ac:dyDescent="0.25">
      <c r="A249" s="14">
        <v>907</v>
      </c>
      <c r="B249" s="14" t="s">
        <v>383</v>
      </c>
      <c r="C249" s="14" t="s">
        <v>148</v>
      </c>
      <c r="D249" s="14" t="s">
        <v>149</v>
      </c>
      <c r="F249" s="67">
        <v>0</v>
      </c>
      <c r="H249" s="50">
        <f t="shared" ref="H249:H260" si="140">IF(VLOOKUP($D249,$C$5:$AA$492,6,)=0,0,((VLOOKUP($D249,$C$5:$AA$492,6,)/VLOOKUP($D249,$C$5:$AA$492,4,))*$F249))</f>
        <v>0</v>
      </c>
      <c r="I249" s="50">
        <f t="shared" ref="I249:I260" si="141">IF(VLOOKUP($D249,$C$5:$AA$492,7,)=0,0,((VLOOKUP($D249,$C$5:$AA$492,7,)/VLOOKUP($D249,$C$5:$AA$492,4,))*$F249))</f>
        <v>0</v>
      </c>
      <c r="J249" s="50"/>
      <c r="K249" s="50">
        <f t="shared" ref="K249:K260" si="142">IF(VLOOKUP($D249,$C$5:$AA$492,9,)=0,0,((VLOOKUP($D249,$C$5:$AA$492,9,)/VLOOKUP($D249,$C$5:$AA$492,4,))*$F249))</f>
        <v>0</v>
      </c>
      <c r="L249" s="50"/>
      <c r="M249" s="50">
        <f t="shared" ref="M249:M260" si="143">IF(VLOOKUP($D249,$C$5:$AA$492,11,)=0,0,((VLOOKUP($D249,$C$5:$AA$492,11,)/VLOOKUP($D249,$C$5:$AA$492,4,))*$F249))</f>
        <v>0</v>
      </c>
      <c r="N249" s="50"/>
      <c r="O249" s="50">
        <f t="shared" ref="O249:O260" si="144">IF(VLOOKUP($D249,$C$5:$AA$492,13,)=0,0,((VLOOKUP($D249,$C$5:$AA$492,13,)/VLOOKUP($D249,$C$5:$AA$492,4,))*$F249))</f>
        <v>0</v>
      </c>
      <c r="P249" s="50">
        <f t="shared" ref="P249:P260" si="145">IF(VLOOKUP($D249,$C$5:$AA$492,14,)=0,0,((VLOOKUP($D249,$C$5:$AA$492,14,)/VLOOKUP($D249,$C$5:$AA$492,4,))*$F249))</f>
        <v>0</v>
      </c>
      <c r="Q249" s="50"/>
      <c r="R249" s="50">
        <f t="shared" ref="R249:R260" si="146">IF(VLOOKUP($D249,$C$5:$AA$492,16,)=0,0,((VLOOKUP($D249,$C$5:$AA$492,16,)/VLOOKUP($D249,$C$5:$AA$492,4,))*$F249))</f>
        <v>0</v>
      </c>
      <c r="S249" s="50">
        <f t="shared" ref="S249:S260" si="147">IF(VLOOKUP($D249,$C$5:$AA$492,17,)=0,0,((VLOOKUP($D249,$C$5:$AA$492,17,)/VLOOKUP($D249,$C$5:$AA$492,4,))*$F249))</f>
        <v>0</v>
      </c>
      <c r="T249" s="50"/>
      <c r="U249" s="50">
        <f t="shared" ref="U249:U260" si="148">IF(VLOOKUP($D249,$C$5:$AA$492,19,)=0,0,((VLOOKUP($D249,$C$5:$AA$492,19,)/VLOOKUP($D249,$C$5:$AA$492,4,))*$F249))</f>
        <v>0</v>
      </c>
      <c r="V249" s="50"/>
      <c r="W249" s="50">
        <f t="shared" ref="W249:W260" si="149">IF(VLOOKUP($D249,$C$5:$AA$492,21,)=0,0,((VLOOKUP($D249,$C$5:$AA$492,21,)/VLOOKUP($D249,$C$5:$AA$492,4,))*$F249))</f>
        <v>0</v>
      </c>
      <c r="X249" s="50"/>
      <c r="Y249" s="50">
        <f t="shared" ref="Y249:Y260" si="150">IF(VLOOKUP($D249,$C$5:$AA$492,23,)=0,0,((VLOOKUP($D249,$C$5:$AA$492,23,)/VLOOKUP($D249,$C$5:$AA$492,4,))*$F249))</f>
        <v>0</v>
      </c>
      <c r="Z249" s="50"/>
      <c r="AA249" s="50">
        <f t="shared" ref="AA249:AA260" si="151">IF(VLOOKUP($D249,$C$5:$AA$492,25,)=0,0,((VLOOKUP($D249,$C$5:$AA$492,25,)/VLOOKUP($D249,$C$5:$AA$492,4,))*$F249))</f>
        <v>0</v>
      </c>
      <c r="AB249" s="50">
        <f t="shared" ref="AB249:AB260" si="152">SUM(H249:AA249)</f>
        <v>0</v>
      </c>
      <c r="AC249" s="28" t="str">
        <f t="shared" ref="AC249:AC260" si="153">IF(ABS(AB249-F249)&lt;1,"ok","err")</f>
        <v>ok</v>
      </c>
    </row>
    <row r="250" spans="1:29" x14ac:dyDescent="0.25">
      <c r="A250" s="14">
        <v>908</v>
      </c>
      <c r="B250" s="14" t="s">
        <v>150</v>
      </c>
      <c r="C250" s="14" t="s">
        <v>151</v>
      </c>
      <c r="D250" s="14" t="s">
        <v>149</v>
      </c>
      <c r="F250" s="50">
        <v>100291</v>
      </c>
      <c r="H250" s="50">
        <f t="shared" si="140"/>
        <v>0</v>
      </c>
      <c r="I250" s="50">
        <f t="shared" si="141"/>
        <v>0</v>
      </c>
      <c r="J250" s="50"/>
      <c r="K250" s="50">
        <f t="shared" si="142"/>
        <v>0</v>
      </c>
      <c r="L250" s="50"/>
      <c r="M250" s="50">
        <f t="shared" si="143"/>
        <v>0</v>
      </c>
      <c r="N250" s="50"/>
      <c r="O250" s="50">
        <f t="shared" si="144"/>
        <v>0</v>
      </c>
      <c r="P250" s="50">
        <f t="shared" si="145"/>
        <v>0</v>
      </c>
      <c r="Q250" s="50"/>
      <c r="R250" s="50">
        <f t="shared" si="146"/>
        <v>0</v>
      </c>
      <c r="S250" s="50">
        <f t="shared" si="147"/>
        <v>0</v>
      </c>
      <c r="T250" s="50"/>
      <c r="U250" s="50">
        <f t="shared" si="148"/>
        <v>0</v>
      </c>
      <c r="V250" s="50"/>
      <c r="W250" s="50">
        <f t="shared" si="149"/>
        <v>0</v>
      </c>
      <c r="X250" s="50"/>
      <c r="Y250" s="50">
        <f t="shared" si="150"/>
        <v>100291</v>
      </c>
      <c r="Z250" s="50"/>
      <c r="AA250" s="50">
        <f t="shared" si="151"/>
        <v>0</v>
      </c>
      <c r="AB250" s="50">
        <f t="shared" si="152"/>
        <v>100291</v>
      </c>
      <c r="AC250" s="28" t="str">
        <f t="shared" si="153"/>
        <v>ok</v>
      </c>
    </row>
    <row r="251" spans="1:29" x14ac:dyDescent="0.25">
      <c r="A251" s="14">
        <v>908</v>
      </c>
      <c r="B251" s="14" t="s">
        <v>453</v>
      </c>
      <c r="C251" s="14" t="s">
        <v>454</v>
      </c>
      <c r="D251" s="14" t="s">
        <v>470</v>
      </c>
      <c r="F251" s="50">
        <v>0</v>
      </c>
      <c r="H251" s="50">
        <f t="shared" si="140"/>
        <v>0</v>
      </c>
      <c r="I251" s="50">
        <f t="shared" si="141"/>
        <v>0</v>
      </c>
      <c r="J251" s="50"/>
      <c r="K251" s="50">
        <f t="shared" si="142"/>
        <v>0</v>
      </c>
      <c r="L251" s="50"/>
      <c r="M251" s="50">
        <f t="shared" si="143"/>
        <v>0</v>
      </c>
      <c r="N251" s="50"/>
      <c r="O251" s="50">
        <f t="shared" si="144"/>
        <v>0</v>
      </c>
      <c r="P251" s="50">
        <f t="shared" si="145"/>
        <v>0</v>
      </c>
      <c r="Q251" s="50"/>
      <c r="R251" s="50">
        <f t="shared" si="146"/>
        <v>0</v>
      </c>
      <c r="S251" s="50">
        <f t="shared" si="147"/>
        <v>0</v>
      </c>
      <c r="T251" s="50"/>
      <c r="U251" s="50">
        <f t="shared" si="148"/>
        <v>0</v>
      </c>
      <c r="V251" s="50"/>
      <c r="W251" s="50">
        <f t="shared" si="149"/>
        <v>0</v>
      </c>
      <c r="X251" s="50"/>
      <c r="Y251" s="50">
        <f t="shared" si="150"/>
        <v>0</v>
      </c>
      <c r="Z251" s="50"/>
      <c r="AA251" s="50">
        <f t="shared" si="151"/>
        <v>0</v>
      </c>
      <c r="AB251" s="50">
        <f t="shared" si="152"/>
        <v>0</v>
      </c>
      <c r="AC251" s="28" t="str">
        <f t="shared" si="153"/>
        <v>ok</v>
      </c>
    </row>
    <row r="252" spans="1:29" x14ac:dyDescent="0.25">
      <c r="A252" s="14">
        <v>909</v>
      </c>
      <c r="B252" s="14" t="s">
        <v>152</v>
      </c>
      <c r="C252" s="14" t="s">
        <v>153</v>
      </c>
      <c r="D252" s="14" t="s">
        <v>149</v>
      </c>
      <c r="F252" s="50">
        <v>5906</v>
      </c>
      <c r="H252" s="50">
        <f t="shared" si="140"/>
        <v>0</v>
      </c>
      <c r="I252" s="50">
        <f t="shared" si="141"/>
        <v>0</v>
      </c>
      <c r="J252" s="50"/>
      <c r="K252" s="50">
        <f t="shared" si="142"/>
        <v>0</v>
      </c>
      <c r="L252" s="50"/>
      <c r="M252" s="50">
        <f t="shared" si="143"/>
        <v>0</v>
      </c>
      <c r="N252" s="50"/>
      <c r="O252" s="50">
        <f t="shared" si="144"/>
        <v>0</v>
      </c>
      <c r="P252" s="50">
        <f t="shared" si="145"/>
        <v>0</v>
      </c>
      <c r="Q252" s="50"/>
      <c r="R252" s="50">
        <f t="shared" si="146"/>
        <v>0</v>
      </c>
      <c r="S252" s="50">
        <f t="shared" si="147"/>
        <v>0</v>
      </c>
      <c r="T252" s="50"/>
      <c r="U252" s="50">
        <f t="shared" si="148"/>
        <v>0</v>
      </c>
      <c r="V252" s="50"/>
      <c r="W252" s="50">
        <f t="shared" si="149"/>
        <v>0</v>
      </c>
      <c r="X252" s="50"/>
      <c r="Y252" s="50">
        <f t="shared" si="150"/>
        <v>5906</v>
      </c>
      <c r="Z252" s="50"/>
      <c r="AA252" s="50">
        <f t="shared" si="151"/>
        <v>0</v>
      </c>
      <c r="AB252" s="50">
        <f t="shared" si="152"/>
        <v>5906</v>
      </c>
      <c r="AC252" s="28" t="str">
        <f t="shared" si="153"/>
        <v>ok</v>
      </c>
    </row>
    <row r="253" spans="1:29" x14ac:dyDescent="0.25">
      <c r="A253" s="14">
        <v>909</v>
      </c>
      <c r="B253" s="14" t="s">
        <v>455</v>
      </c>
      <c r="C253" s="14" t="s">
        <v>456</v>
      </c>
      <c r="D253" s="14" t="s">
        <v>470</v>
      </c>
      <c r="F253" s="50">
        <v>0</v>
      </c>
      <c r="H253" s="50">
        <f t="shared" si="140"/>
        <v>0</v>
      </c>
      <c r="I253" s="50">
        <f t="shared" si="141"/>
        <v>0</v>
      </c>
      <c r="J253" s="50"/>
      <c r="K253" s="50">
        <f t="shared" si="142"/>
        <v>0</v>
      </c>
      <c r="L253" s="50"/>
      <c r="M253" s="50">
        <f t="shared" si="143"/>
        <v>0</v>
      </c>
      <c r="N253" s="50"/>
      <c r="O253" s="50">
        <f t="shared" si="144"/>
        <v>0</v>
      </c>
      <c r="P253" s="50">
        <f t="shared" si="145"/>
        <v>0</v>
      </c>
      <c r="Q253" s="50"/>
      <c r="R253" s="50">
        <f t="shared" si="146"/>
        <v>0</v>
      </c>
      <c r="S253" s="50">
        <f t="shared" si="147"/>
        <v>0</v>
      </c>
      <c r="T253" s="50"/>
      <c r="U253" s="50">
        <f t="shared" si="148"/>
        <v>0</v>
      </c>
      <c r="V253" s="50"/>
      <c r="W253" s="50">
        <f t="shared" si="149"/>
        <v>0</v>
      </c>
      <c r="X253" s="50"/>
      <c r="Y253" s="50">
        <f t="shared" si="150"/>
        <v>0</v>
      </c>
      <c r="Z253" s="50"/>
      <c r="AA253" s="50">
        <f t="shared" si="151"/>
        <v>0</v>
      </c>
      <c r="AB253" s="50">
        <f t="shared" si="152"/>
        <v>0</v>
      </c>
      <c r="AC253" s="28" t="str">
        <f t="shared" si="153"/>
        <v>ok</v>
      </c>
    </row>
    <row r="254" spans="1:29" x14ac:dyDescent="0.25">
      <c r="A254" s="14">
        <v>910</v>
      </c>
      <c r="B254" s="14" t="s">
        <v>154</v>
      </c>
      <c r="C254" s="14" t="s">
        <v>155</v>
      </c>
      <c r="D254" s="14" t="s">
        <v>149</v>
      </c>
      <c r="F254" s="50">
        <v>251929</v>
      </c>
      <c r="H254" s="50">
        <f t="shared" si="140"/>
        <v>0</v>
      </c>
      <c r="I254" s="50">
        <f t="shared" si="141"/>
        <v>0</v>
      </c>
      <c r="J254" s="50"/>
      <c r="K254" s="50">
        <f t="shared" si="142"/>
        <v>0</v>
      </c>
      <c r="L254" s="50"/>
      <c r="M254" s="50">
        <f t="shared" si="143"/>
        <v>0</v>
      </c>
      <c r="N254" s="50"/>
      <c r="O254" s="50">
        <f t="shared" si="144"/>
        <v>0</v>
      </c>
      <c r="P254" s="50">
        <f t="shared" si="145"/>
        <v>0</v>
      </c>
      <c r="Q254" s="50"/>
      <c r="R254" s="50">
        <f t="shared" si="146"/>
        <v>0</v>
      </c>
      <c r="S254" s="50">
        <f t="shared" si="147"/>
        <v>0</v>
      </c>
      <c r="T254" s="50"/>
      <c r="U254" s="50">
        <f t="shared" si="148"/>
        <v>0</v>
      </c>
      <c r="V254" s="50"/>
      <c r="W254" s="50">
        <f t="shared" si="149"/>
        <v>0</v>
      </c>
      <c r="X254" s="50"/>
      <c r="Y254" s="50">
        <f t="shared" si="150"/>
        <v>251929</v>
      </c>
      <c r="Z254" s="50"/>
      <c r="AA254" s="50">
        <f t="shared" si="151"/>
        <v>0</v>
      </c>
      <c r="AB254" s="50">
        <f t="shared" si="152"/>
        <v>251929</v>
      </c>
      <c r="AC254" s="28" t="str">
        <f t="shared" si="153"/>
        <v>ok</v>
      </c>
    </row>
    <row r="255" spans="1:29" x14ac:dyDescent="0.25">
      <c r="A255" s="14">
        <v>911</v>
      </c>
      <c r="B255" s="14" t="s">
        <v>383</v>
      </c>
      <c r="C255" s="14" t="s">
        <v>709</v>
      </c>
      <c r="D255" s="14" t="s">
        <v>149</v>
      </c>
      <c r="F255" s="50">
        <v>0</v>
      </c>
      <c r="H255" s="50">
        <f t="shared" si="140"/>
        <v>0</v>
      </c>
      <c r="I255" s="50">
        <f t="shared" si="141"/>
        <v>0</v>
      </c>
      <c r="J255" s="50"/>
      <c r="K255" s="50">
        <f t="shared" si="142"/>
        <v>0</v>
      </c>
      <c r="L255" s="50"/>
      <c r="M255" s="50">
        <f t="shared" si="143"/>
        <v>0</v>
      </c>
      <c r="N255" s="50"/>
      <c r="O255" s="50">
        <f t="shared" si="144"/>
        <v>0</v>
      </c>
      <c r="P255" s="50">
        <f t="shared" si="145"/>
        <v>0</v>
      </c>
      <c r="Q255" s="50"/>
      <c r="R255" s="50">
        <f t="shared" si="146"/>
        <v>0</v>
      </c>
      <c r="S255" s="50">
        <f t="shared" si="147"/>
        <v>0</v>
      </c>
      <c r="T255" s="50"/>
      <c r="U255" s="50">
        <f t="shared" si="148"/>
        <v>0</v>
      </c>
      <c r="V255" s="50"/>
      <c r="W255" s="50">
        <f t="shared" si="149"/>
        <v>0</v>
      </c>
      <c r="X255" s="50"/>
      <c r="Y255" s="50">
        <f t="shared" si="150"/>
        <v>0</v>
      </c>
      <c r="Z255" s="50"/>
      <c r="AA255" s="50">
        <f t="shared" si="151"/>
        <v>0</v>
      </c>
      <c r="AB255" s="50">
        <f>SUM(H255:AA255)</f>
        <v>0</v>
      </c>
      <c r="AC255" s="28" t="str">
        <f>IF(ABS(AB255-F255)&lt;1,"ok","err")</f>
        <v>ok</v>
      </c>
    </row>
    <row r="256" spans="1:29" x14ac:dyDescent="0.25">
      <c r="A256" s="14">
        <v>912</v>
      </c>
      <c r="B256" s="14" t="s">
        <v>587</v>
      </c>
      <c r="C256" s="14" t="s">
        <v>588</v>
      </c>
      <c r="D256" s="14" t="s">
        <v>470</v>
      </c>
      <c r="F256" s="50">
        <v>699</v>
      </c>
      <c r="H256" s="50">
        <f t="shared" si="140"/>
        <v>0</v>
      </c>
      <c r="I256" s="50">
        <f t="shared" si="141"/>
        <v>0</v>
      </c>
      <c r="J256" s="50"/>
      <c r="K256" s="50">
        <f t="shared" si="142"/>
        <v>0</v>
      </c>
      <c r="L256" s="50"/>
      <c r="M256" s="50">
        <f t="shared" si="143"/>
        <v>0</v>
      </c>
      <c r="N256" s="50"/>
      <c r="O256" s="50">
        <f t="shared" si="144"/>
        <v>0</v>
      </c>
      <c r="P256" s="50">
        <f t="shared" si="145"/>
        <v>0</v>
      </c>
      <c r="Q256" s="50"/>
      <c r="R256" s="50">
        <f t="shared" si="146"/>
        <v>0</v>
      </c>
      <c r="S256" s="50">
        <f t="shared" si="147"/>
        <v>0</v>
      </c>
      <c r="T256" s="50"/>
      <c r="U256" s="50">
        <f t="shared" si="148"/>
        <v>0</v>
      </c>
      <c r="V256" s="50"/>
      <c r="W256" s="50">
        <f t="shared" si="149"/>
        <v>0</v>
      </c>
      <c r="X256" s="50"/>
      <c r="Y256" s="50">
        <f t="shared" si="150"/>
        <v>0</v>
      </c>
      <c r="Z256" s="50"/>
      <c r="AA256" s="50">
        <f t="shared" si="151"/>
        <v>699</v>
      </c>
      <c r="AB256" s="50">
        <f t="shared" si="152"/>
        <v>699</v>
      </c>
      <c r="AC256" s="28" t="str">
        <f t="shared" si="153"/>
        <v>ok</v>
      </c>
    </row>
    <row r="257" spans="1:29" x14ac:dyDescent="0.25">
      <c r="A257" s="14">
        <v>913</v>
      </c>
      <c r="B257" s="14" t="s">
        <v>637</v>
      </c>
      <c r="C257" s="14" t="s">
        <v>576</v>
      </c>
      <c r="D257" s="14" t="s">
        <v>470</v>
      </c>
      <c r="F257" s="50">
        <v>0</v>
      </c>
      <c r="H257" s="50">
        <f t="shared" si="140"/>
        <v>0</v>
      </c>
      <c r="I257" s="50">
        <f t="shared" si="141"/>
        <v>0</v>
      </c>
      <c r="J257" s="50"/>
      <c r="K257" s="50">
        <f t="shared" si="142"/>
        <v>0</v>
      </c>
      <c r="L257" s="50"/>
      <c r="M257" s="50">
        <f t="shared" si="143"/>
        <v>0</v>
      </c>
      <c r="N257" s="50"/>
      <c r="O257" s="50">
        <f t="shared" si="144"/>
        <v>0</v>
      </c>
      <c r="P257" s="50">
        <f t="shared" si="145"/>
        <v>0</v>
      </c>
      <c r="Q257" s="50"/>
      <c r="R257" s="50">
        <f t="shared" si="146"/>
        <v>0</v>
      </c>
      <c r="S257" s="50">
        <f t="shared" si="147"/>
        <v>0</v>
      </c>
      <c r="T257" s="50"/>
      <c r="U257" s="50">
        <f t="shared" si="148"/>
        <v>0</v>
      </c>
      <c r="V257" s="50"/>
      <c r="W257" s="50">
        <f t="shared" si="149"/>
        <v>0</v>
      </c>
      <c r="X257" s="50"/>
      <c r="Y257" s="50">
        <f t="shared" si="150"/>
        <v>0</v>
      </c>
      <c r="Z257" s="50"/>
      <c r="AA257" s="50">
        <f t="shared" si="151"/>
        <v>0</v>
      </c>
      <c r="AB257" s="50">
        <f t="shared" si="152"/>
        <v>0</v>
      </c>
      <c r="AC257" s="28" t="str">
        <f t="shared" si="153"/>
        <v>ok</v>
      </c>
    </row>
    <row r="258" spans="1:29" x14ac:dyDescent="0.25">
      <c r="A258" s="14">
        <v>914</v>
      </c>
      <c r="B258" s="14" t="s">
        <v>924</v>
      </c>
      <c r="C258" s="14" t="s">
        <v>925</v>
      </c>
      <c r="D258" s="14" t="s">
        <v>470</v>
      </c>
      <c r="F258" s="50">
        <v>0</v>
      </c>
      <c r="H258" s="50">
        <f t="shared" si="140"/>
        <v>0</v>
      </c>
      <c r="I258" s="50">
        <f t="shared" si="141"/>
        <v>0</v>
      </c>
      <c r="J258" s="50"/>
      <c r="K258" s="50">
        <f t="shared" si="142"/>
        <v>0</v>
      </c>
      <c r="L258" s="50"/>
      <c r="M258" s="50">
        <f t="shared" si="143"/>
        <v>0</v>
      </c>
      <c r="N258" s="50"/>
      <c r="O258" s="50">
        <f t="shared" si="144"/>
        <v>0</v>
      </c>
      <c r="P258" s="50">
        <f t="shared" si="145"/>
        <v>0</v>
      </c>
      <c r="Q258" s="50"/>
      <c r="R258" s="50">
        <f t="shared" si="146"/>
        <v>0</v>
      </c>
      <c r="S258" s="50">
        <f t="shared" si="147"/>
        <v>0</v>
      </c>
      <c r="T258" s="50"/>
      <c r="U258" s="50">
        <f t="shared" si="148"/>
        <v>0</v>
      </c>
      <c r="V258" s="50"/>
      <c r="W258" s="50">
        <f t="shared" si="149"/>
        <v>0</v>
      </c>
      <c r="X258" s="50"/>
      <c r="Y258" s="50">
        <f t="shared" si="150"/>
        <v>0</v>
      </c>
      <c r="Z258" s="50"/>
      <c r="AA258" s="50">
        <f t="shared" si="151"/>
        <v>0</v>
      </c>
      <c r="AB258" s="50">
        <f>SUM(H258:AA258)</f>
        <v>0</v>
      </c>
      <c r="AC258" s="28" t="str">
        <f>IF(ABS(AB258-F258)&lt;1,"ok","err")</f>
        <v>ok</v>
      </c>
    </row>
    <row r="259" spans="1:29" x14ac:dyDescent="0.25">
      <c r="A259" s="14">
        <v>916</v>
      </c>
      <c r="B259" s="14" t="s">
        <v>639</v>
      </c>
      <c r="C259" s="14" t="s">
        <v>640</v>
      </c>
      <c r="D259" s="14" t="s">
        <v>470</v>
      </c>
      <c r="F259" s="50">
        <v>0</v>
      </c>
      <c r="H259" s="50">
        <f t="shared" si="140"/>
        <v>0</v>
      </c>
      <c r="I259" s="50">
        <f t="shared" si="141"/>
        <v>0</v>
      </c>
      <c r="J259" s="50"/>
      <c r="K259" s="50">
        <f t="shared" si="142"/>
        <v>0</v>
      </c>
      <c r="L259" s="50"/>
      <c r="M259" s="50">
        <f t="shared" si="143"/>
        <v>0</v>
      </c>
      <c r="N259" s="50"/>
      <c r="O259" s="50">
        <f t="shared" si="144"/>
        <v>0</v>
      </c>
      <c r="P259" s="50">
        <f t="shared" si="145"/>
        <v>0</v>
      </c>
      <c r="Q259" s="50"/>
      <c r="R259" s="50">
        <f t="shared" si="146"/>
        <v>0</v>
      </c>
      <c r="S259" s="50">
        <f t="shared" si="147"/>
        <v>0</v>
      </c>
      <c r="T259" s="50"/>
      <c r="U259" s="50">
        <f t="shared" si="148"/>
        <v>0</v>
      </c>
      <c r="V259" s="50"/>
      <c r="W259" s="50">
        <f t="shared" si="149"/>
        <v>0</v>
      </c>
      <c r="X259" s="50"/>
      <c r="Y259" s="50">
        <f t="shared" si="150"/>
        <v>0</v>
      </c>
      <c r="Z259" s="50"/>
      <c r="AA259" s="50">
        <f t="shared" si="151"/>
        <v>0</v>
      </c>
      <c r="AB259" s="50">
        <f t="shared" si="152"/>
        <v>0</v>
      </c>
      <c r="AC259" s="28" t="str">
        <f t="shared" si="153"/>
        <v>ok</v>
      </c>
    </row>
    <row r="260" spans="1:29" x14ac:dyDescent="0.25">
      <c r="A260" s="14">
        <v>917</v>
      </c>
      <c r="B260" s="14" t="s">
        <v>639</v>
      </c>
      <c r="C260" s="14" t="s">
        <v>919</v>
      </c>
      <c r="D260" s="14" t="s">
        <v>470</v>
      </c>
      <c r="F260" s="50">
        <v>0</v>
      </c>
      <c r="H260" s="50">
        <f t="shared" si="140"/>
        <v>0</v>
      </c>
      <c r="I260" s="50">
        <f t="shared" si="141"/>
        <v>0</v>
      </c>
      <c r="J260" s="50"/>
      <c r="K260" s="50">
        <f t="shared" si="142"/>
        <v>0</v>
      </c>
      <c r="L260" s="50"/>
      <c r="M260" s="50">
        <f t="shared" si="143"/>
        <v>0</v>
      </c>
      <c r="N260" s="50"/>
      <c r="O260" s="50">
        <f t="shared" si="144"/>
        <v>0</v>
      </c>
      <c r="P260" s="50">
        <f t="shared" si="145"/>
        <v>0</v>
      </c>
      <c r="Q260" s="50"/>
      <c r="R260" s="50">
        <f t="shared" si="146"/>
        <v>0</v>
      </c>
      <c r="S260" s="50">
        <f t="shared" si="147"/>
        <v>0</v>
      </c>
      <c r="T260" s="50"/>
      <c r="U260" s="50">
        <f t="shared" si="148"/>
        <v>0</v>
      </c>
      <c r="V260" s="50"/>
      <c r="W260" s="50">
        <f t="shared" si="149"/>
        <v>0</v>
      </c>
      <c r="X260" s="50"/>
      <c r="Y260" s="50">
        <f t="shared" si="150"/>
        <v>0</v>
      </c>
      <c r="Z260" s="50"/>
      <c r="AA260" s="50">
        <f t="shared" si="151"/>
        <v>0</v>
      </c>
      <c r="AB260" s="50">
        <f t="shared" si="152"/>
        <v>0</v>
      </c>
      <c r="AC260" s="28" t="str">
        <f t="shared" si="153"/>
        <v>ok</v>
      </c>
    </row>
    <row r="261" spans="1:29" x14ac:dyDescent="0.25">
      <c r="F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0"/>
      <c r="AC261" s="28"/>
    </row>
    <row r="262" spans="1:29" x14ac:dyDescent="0.25">
      <c r="A262" s="14" t="s">
        <v>156</v>
      </c>
      <c r="C262" s="14" t="s">
        <v>157</v>
      </c>
      <c r="F262" s="67">
        <f>SUM(F249:F260)</f>
        <v>358825</v>
      </c>
      <c r="G262" s="67">
        <f t="shared" ref="G262:W262" si="154">SUM(G249:G261)</f>
        <v>0</v>
      </c>
      <c r="H262" s="67">
        <f t="shared" si="154"/>
        <v>0</v>
      </c>
      <c r="I262" s="67">
        <f t="shared" si="154"/>
        <v>0</v>
      </c>
      <c r="J262" s="67"/>
      <c r="K262" s="67">
        <f t="shared" si="154"/>
        <v>0</v>
      </c>
      <c r="L262" s="67"/>
      <c r="M262" s="67">
        <f t="shared" si="154"/>
        <v>0</v>
      </c>
      <c r="N262" s="67"/>
      <c r="O262" s="67">
        <f t="shared" si="154"/>
        <v>0</v>
      </c>
      <c r="P262" s="67">
        <f t="shared" si="154"/>
        <v>0</v>
      </c>
      <c r="Q262" s="67"/>
      <c r="R262" s="67">
        <f t="shared" si="154"/>
        <v>0</v>
      </c>
      <c r="S262" s="67">
        <f t="shared" si="154"/>
        <v>0</v>
      </c>
      <c r="T262" s="67"/>
      <c r="U262" s="67">
        <f t="shared" si="154"/>
        <v>0</v>
      </c>
      <c r="V262" s="67"/>
      <c r="W262" s="67">
        <f t="shared" si="154"/>
        <v>0</v>
      </c>
      <c r="X262" s="67"/>
      <c r="Y262" s="67">
        <f>SUM(Y249:Y261)</f>
        <v>358126</v>
      </c>
      <c r="Z262" s="67"/>
      <c r="AA262" s="67">
        <f>SUM(AA249:AA261)</f>
        <v>699</v>
      </c>
      <c r="AB262" s="50">
        <f>SUM(H262:AA262)</f>
        <v>358825</v>
      </c>
      <c r="AC262" s="28" t="str">
        <f>IF(ABS(AB262-F262)&lt;1,"ok","err")</f>
        <v>ok</v>
      </c>
    </row>
    <row r="263" spans="1:29" x14ac:dyDescent="0.25">
      <c r="D263" s="90"/>
      <c r="F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C263" s="28"/>
    </row>
    <row r="264" spans="1:29" x14ac:dyDescent="0.25">
      <c r="A264" s="14" t="s">
        <v>409</v>
      </c>
      <c r="C264" s="14" t="s">
        <v>410</v>
      </c>
      <c r="F264" s="50">
        <f t="shared" ref="F264:M264" si="155">F233+F246+F262</f>
        <v>5964102.1799999997</v>
      </c>
      <c r="G264" s="50">
        <f t="shared" si="155"/>
        <v>0</v>
      </c>
      <c r="H264" s="50">
        <f t="shared" si="155"/>
        <v>0</v>
      </c>
      <c r="I264" s="50">
        <f t="shared" si="155"/>
        <v>0</v>
      </c>
      <c r="J264" s="50"/>
      <c r="K264" s="50">
        <f t="shared" si="155"/>
        <v>0</v>
      </c>
      <c r="L264" s="50"/>
      <c r="M264" s="50">
        <f t="shared" si="155"/>
        <v>7990.1433582318987</v>
      </c>
      <c r="N264" s="50"/>
      <c r="O264" s="50">
        <f t="shared" ref="O264:AA264" si="156">O233+O246+O262</f>
        <v>3486422.3669784912</v>
      </c>
      <c r="P264" s="50">
        <f t="shared" si="156"/>
        <v>942778.04907052289</v>
      </c>
      <c r="Q264" s="50"/>
      <c r="R264" s="50">
        <f t="shared" si="156"/>
        <v>0</v>
      </c>
      <c r="S264" s="50">
        <f t="shared" si="156"/>
        <v>310317.25622781488</v>
      </c>
      <c r="T264" s="50"/>
      <c r="U264" s="50">
        <f t="shared" si="156"/>
        <v>281856.36711792648</v>
      </c>
      <c r="V264" s="50"/>
      <c r="W264" s="50">
        <f t="shared" si="156"/>
        <v>31587.457247013197</v>
      </c>
      <c r="X264" s="50"/>
      <c r="Y264" s="50">
        <f t="shared" si="156"/>
        <v>902451.54</v>
      </c>
      <c r="Z264" s="50"/>
      <c r="AA264" s="50">
        <f t="shared" si="156"/>
        <v>699</v>
      </c>
      <c r="AB264" s="50">
        <f>SUM(H264:AA264)</f>
        <v>5964102.1800000006</v>
      </c>
      <c r="AC264" s="28" t="str">
        <f>IF(ABS(AB264-F264)&lt;1,"ok","err")</f>
        <v>ok</v>
      </c>
    </row>
    <row r="265" spans="1:29" x14ac:dyDescent="0.25">
      <c r="F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C265" s="28"/>
    </row>
    <row r="266" spans="1:29" x14ac:dyDescent="0.25">
      <c r="A266" s="26" t="s">
        <v>135</v>
      </c>
      <c r="F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C266" s="28"/>
    </row>
    <row r="267" spans="1:29" x14ac:dyDescent="0.25">
      <c r="F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C267" s="28"/>
    </row>
    <row r="268" spans="1:29" x14ac:dyDescent="0.25">
      <c r="A268" s="13" t="s">
        <v>158</v>
      </c>
      <c r="F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C268" s="28"/>
    </row>
    <row r="269" spans="1:29" x14ac:dyDescent="0.25">
      <c r="A269" s="14">
        <v>920</v>
      </c>
      <c r="B269" s="14" t="s">
        <v>159</v>
      </c>
      <c r="C269" s="14" t="s">
        <v>160</v>
      </c>
      <c r="D269" s="14" t="s">
        <v>410</v>
      </c>
      <c r="F269" s="67">
        <v>248057</v>
      </c>
      <c r="H269" s="50">
        <f>IF((VLOOKUP($D269,$C$5:$AA$492,6,)=0),0,((VLOOKUP($D269,$C$5:$AA$492,6,)/VLOOKUP($D269,$C$5:$AA$492,4,))*$F269))</f>
        <v>0</v>
      </c>
      <c r="I269" s="50">
        <f>(VLOOKUP($D269,$C$5:$AA$492,7,)/VLOOKUP($D269,$C$5:$AA$492,4,))*$F269</f>
        <v>0</v>
      </c>
      <c r="J269" s="50"/>
      <c r="K269" s="50">
        <f>(VLOOKUP($D269,$C$5:$AA$492,9,)/VLOOKUP($D269,$C$5:$AA$492,4,))*$F269</f>
        <v>0</v>
      </c>
      <c r="L269" s="50"/>
      <c r="M269" s="50">
        <f>(VLOOKUP($D269,$C$5:$AA$492,11,)/VLOOKUP($D269,$C$5:$AA$492,4,))*$F269</f>
        <v>332.32344637880266</v>
      </c>
      <c r="N269" s="50"/>
      <c r="O269" s="50">
        <f>(VLOOKUP($D269,$C$5:$AA$492,13,)/VLOOKUP($D269,$C$5:$AA$492,4,))*$F269</f>
        <v>145006.14627054957</v>
      </c>
      <c r="P269" s="50">
        <f>(VLOOKUP($D269,$C$5:$AA$492,14,)/VLOOKUP($D269,$C$5:$AA$492,4,))*$F269</f>
        <v>39211.718287208605</v>
      </c>
      <c r="Q269" s="50"/>
      <c r="R269" s="50">
        <f>(VLOOKUP($D269,$C$5:$AA$492,16,)/VLOOKUP($D269,$C$5:$AA$492,4,))*$F269</f>
        <v>0</v>
      </c>
      <c r="S269" s="50">
        <f>(VLOOKUP($D269,$C$5:$AA$492,17,)/VLOOKUP($D269,$C$5:$AA$492,4,))*$F269</f>
        <v>12906.614491990993</v>
      </c>
      <c r="T269" s="50"/>
      <c r="U269" s="50">
        <f>(VLOOKUP($D269,$C$5:$AA$492,19,)/VLOOKUP($D269,$C$5:$AA$492,4,))*$F269</f>
        <v>11722.878439713702</v>
      </c>
      <c r="V269" s="50"/>
      <c r="W269" s="50">
        <f>(VLOOKUP($D269,$C$5:$AA$492,21,)/VLOOKUP($D269,$C$5:$AA$492,4,))*$F269</f>
        <v>1313.775258344476</v>
      </c>
      <c r="X269" s="50"/>
      <c r="Y269" s="50">
        <f>(VLOOKUP($D269,$C$5:$AA$492,23,)/VLOOKUP($D269,$C$5:$AA$492,4,))*$F269</f>
        <v>37534.471224934648</v>
      </c>
      <c r="Z269" s="50"/>
      <c r="AA269" s="50">
        <f>(VLOOKUP($D269,$C$5:$AA$492,25,)/VLOOKUP($D269,$C$5:$AA$492,4,))*$F269</f>
        <v>29.072580879222965</v>
      </c>
      <c r="AB269" s="50">
        <f t="shared" ref="AB269:AB281" si="157">SUM(H269:AA269)</f>
        <v>248057.00000000006</v>
      </c>
      <c r="AC269" s="28" t="str">
        <f t="shared" ref="AC269:AC281" si="158">IF(ABS(AB269-F269)&lt;1,"ok","err")</f>
        <v>ok</v>
      </c>
    </row>
    <row r="270" spans="1:29" x14ac:dyDescent="0.25">
      <c r="A270" s="14">
        <v>921</v>
      </c>
      <c r="B270" s="14" t="s">
        <v>161</v>
      </c>
      <c r="C270" s="14" t="s">
        <v>162</v>
      </c>
      <c r="D270" s="14" t="s">
        <v>515</v>
      </c>
      <c r="F270" s="50">
        <v>2601</v>
      </c>
      <c r="H270" s="50">
        <f>IF(VLOOKUP($D270,$C$5:$AA$492,6,)=0,0,((VLOOKUP($D270,$C$5:$AA$492,6,)/VLOOKUP($D270,$C$5:$AA$492,4,))*$F270))</f>
        <v>0</v>
      </c>
      <c r="I270" s="50">
        <f>IF(VLOOKUP($D270,$C$5:$AA$492,7,)=0,0,((VLOOKUP($D270,$C$5:$AA$492,7,)/VLOOKUP($D270,$C$5:$AA$492,4,))*$F270))</f>
        <v>0</v>
      </c>
      <c r="J270" s="50"/>
      <c r="K270" s="50">
        <f>IF(VLOOKUP($D270,$C$5:$AA$492,9,)=0,0,((VLOOKUP($D270,$C$5:$AA$492,9,)/VLOOKUP($D270,$C$5:$AA$492,4,))*$F270))</f>
        <v>0</v>
      </c>
      <c r="L270" s="50"/>
      <c r="M270" s="50">
        <f>IF(VLOOKUP($D270,$C$5:$AA$492,11,)=0,0,((VLOOKUP($D270,$C$5:$AA$492,11,)/VLOOKUP($D270,$C$5:$AA$492,4,))*$F270))</f>
        <v>5.7331743348015065</v>
      </c>
      <c r="N270" s="50"/>
      <c r="O270" s="50">
        <f>IF(VLOOKUP($D270,$C$5:$AA$492,13,)=0,0,((VLOOKUP($D270,$C$5:$AA$492,13,)/VLOOKUP($D270,$C$5:$AA$492,4,))*$F270))</f>
        <v>1246.454001851828</v>
      </c>
      <c r="P270" s="50">
        <f>IF(VLOOKUP($D270,$C$5:$AA$492,14,)=0,0,((VLOOKUP($D270,$C$5:$AA$492,14,)/VLOOKUP($D270,$C$5:$AA$492,4,))*$F270))</f>
        <v>368.33244910421593</v>
      </c>
      <c r="Q270" s="50"/>
      <c r="R270" s="50">
        <f>IF(VLOOKUP($D270,$C$5:$AA$492,16,)=0,0,((VLOOKUP($D270,$C$5:$AA$492,16,)/VLOOKUP($D270,$C$5:$AA$492,4,))*$F270))</f>
        <v>0</v>
      </c>
      <c r="S270" s="50">
        <f>IF(VLOOKUP($D270,$C$5:$AA$492,17,)=0,0,((VLOOKUP($D270,$C$5:$AA$492,17,)/VLOOKUP($D270,$C$5:$AA$492,4,))*$F270))</f>
        <v>71.433249834939431</v>
      </c>
      <c r="T270" s="50"/>
      <c r="U270" s="50">
        <f>IF(VLOOKUP($D270,$C$5:$AA$492,19,)=0,0,((VLOOKUP($D270,$C$5:$AA$492,19,)/VLOOKUP($D270,$C$5:$AA$492,4,))*$F270))</f>
        <v>207.20107072537982</v>
      </c>
      <c r="V270" s="50"/>
      <c r="W270" s="50">
        <f>IF(VLOOKUP($D270,$C$5:$AA$492,21,)=0,0,((VLOOKUP($D270,$C$5:$AA$492,21,)/VLOOKUP($D270,$C$5:$AA$492,4,))*$F270))</f>
        <v>21.395203677322591</v>
      </c>
      <c r="X270" s="50"/>
      <c r="Y270" s="50">
        <f>IF(VLOOKUP($D270,$C$5:$AA$492,23,)=0,0,((VLOOKUP($D270,$C$5:$AA$492,23,)/VLOOKUP($D270,$C$5:$AA$492,4,))*$F270))</f>
        <v>680.45085047151269</v>
      </c>
      <c r="Z270" s="50"/>
      <c r="AA270" s="50">
        <f>IF(VLOOKUP($D270,$C$5:$AA$492,25,)=0,0,((VLOOKUP($D270,$C$5:$AA$492,25,)/VLOOKUP($D270,$C$5:$AA$492,4,))*$F270))</f>
        <v>0</v>
      </c>
      <c r="AB270" s="50">
        <f>SUM(H270:AA270)</f>
        <v>2601</v>
      </c>
      <c r="AC270" s="28" t="str">
        <f>IF(ABS(AB270-F270)&lt;1,"ok","err")</f>
        <v>ok</v>
      </c>
    </row>
    <row r="271" spans="1:29" x14ac:dyDescent="0.25">
      <c r="A271" s="14">
        <v>923</v>
      </c>
      <c r="B271" s="14" t="s">
        <v>163</v>
      </c>
      <c r="C271" s="14" t="s">
        <v>164</v>
      </c>
      <c r="D271" s="14" t="s">
        <v>410</v>
      </c>
      <c r="F271" s="50">
        <v>230893</v>
      </c>
      <c r="H271" s="50">
        <f t="shared" ref="H271:H281" si="159">IF((VLOOKUP($D271,$C$5:$AA$492,6,)=0),0,((VLOOKUP($D271,$C$5:$AA$492,6,)/VLOOKUP($D271,$C$5:$AA$492,4,))*$F271))</f>
        <v>0</v>
      </c>
      <c r="I271" s="50">
        <f t="shared" ref="I271:I281" si="160">(VLOOKUP($D271,$C$5:$AA$492,7,)/VLOOKUP($D271,$C$5:$AA$492,4,))*$F271</f>
        <v>0</v>
      </c>
      <c r="J271" s="50"/>
      <c r="K271" s="50">
        <f t="shared" ref="K271:K281" si="161">(VLOOKUP($D271,$C$5:$AA$492,9,)/VLOOKUP($D271,$C$5:$AA$492,4,))*$F271</f>
        <v>0</v>
      </c>
      <c r="L271" s="50"/>
      <c r="M271" s="50">
        <f t="shared" ref="M271:M281" si="162">(VLOOKUP($D271,$C$5:$AA$492,11,)/VLOOKUP($D271,$C$5:$AA$492,4,))*$F271</f>
        <v>309.32873293130564</v>
      </c>
      <c r="N271" s="50"/>
      <c r="O271" s="50">
        <f t="shared" ref="O271:O281" si="163">(VLOOKUP($D271,$C$5:$AA$492,13,)/VLOOKUP($D271,$C$5:$AA$492,4,))*$F271</f>
        <v>134972.6237552095</v>
      </c>
      <c r="P271" s="50">
        <f t="shared" ref="P271:P281" si="164">(VLOOKUP($D271,$C$5:$AA$492,14,)/VLOOKUP($D271,$C$5:$AA$492,4,))*$F271</f>
        <v>36498.511513436257</v>
      </c>
      <c r="Q271" s="50"/>
      <c r="R271" s="50">
        <f t="shared" ref="R271:R281" si="165">(VLOOKUP($D271,$C$5:$AA$492,16,)/VLOOKUP($D271,$C$5:$AA$492,4,))*$F271</f>
        <v>0</v>
      </c>
      <c r="S271" s="50">
        <f t="shared" ref="S271:S281" si="166">(VLOOKUP($D271,$C$5:$AA$492,17,)/VLOOKUP($D271,$C$5:$AA$492,4,))*$F271</f>
        <v>12013.55712557709</v>
      </c>
      <c r="T271" s="50"/>
      <c r="U271" s="50">
        <f t="shared" ref="U271:U281" si="167">(VLOOKUP($D271,$C$5:$AA$492,19,)/VLOOKUP($D271,$C$5:$AA$492,4,))*$F271</f>
        <v>10911.728238190479</v>
      </c>
      <c r="V271" s="50"/>
      <c r="W271" s="50">
        <f t="shared" ref="W271:W281" si="168">(VLOOKUP($D271,$C$5:$AA$492,21,)/VLOOKUP($D271,$C$5:$AA$492,4,))*$F271</f>
        <v>1222.8701900165329</v>
      </c>
      <c r="X271" s="50"/>
      <c r="Y271" s="50">
        <f t="shared" ref="Y271:Y281" si="169">(VLOOKUP($D271,$C$5:$AA$492,23,)/VLOOKUP($D271,$C$5:$AA$492,4,))*$F271</f>
        <v>34937.319505350933</v>
      </c>
      <c r="Z271" s="50"/>
      <c r="AA271" s="50">
        <f t="shared" ref="AA271:AA281" si="170">(VLOOKUP($D271,$C$5:$AA$492,25,)/VLOOKUP($D271,$C$5:$AA$492,4,))*$F271</f>
        <v>27.060939287931514</v>
      </c>
      <c r="AB271" s="50">
        <f t="shared" si="157"/>
        <v>230893.00000000003</v>
      </c>
      <c r="AC271" s="28" t="str">
        <f t="shared" si="158"/>
        <v>ok</v>
      </c>
    </row>
    <row r="272" spans="1:29" x14ac:dyDescent="0.25">
      <c r="A272" s="14">
        <v>924</v>
      </c>
      <c r="B272" s="14" t="s">
        <v>165</v>
      </c>
      <c r="C272" s="14" t="s">
        <v>166</v>
      </c>
      <c r="D272" s="14" t="s">
        <v>84</v>
      </c>
      <c r="F272" s="50">
        <v>0</v>
      </c>
      <c r="H272" s="50">
        <f t="shared" si="159"/>
        <v>0</v>
      </c>
      <c r="I272" s="50">
        <f t="shared" si="160"/>
        <v>0</v>
      </c>
      <c r="J272" s="50"/>
      <c r="K272" s="50">
        <f t="shared" si="161"/>
        <v>0</v>
      </c>
      <c r="L272" s="50"/>
      <c r="M272" s="50">
        <f t="shared" si="162"/>
        <v>0</v>
      </c>
      <c r="N272" s="50"/>
      <c r="O272" s="50">
        <f t="shared" si="163"/>
        <v>0</v>
      </c>
      <c r="P272" s="50">
        <f t="shared" si="164"/>
        <v>0</v>
      </c>
      <c r="Q272" s="50"/>
      <c r="R272" s="50">
        <f t="shared" si="165"/>
        <v>0</v>
      </c>
      <c r="S272" s="50">
        <f t="shared" si="166"/>
        <v>0</v>
      </c>
      <c r="T272" s="50"/>
      <c r="U272" s="50">
        <f t="shared" si="167"/>
        <v>0</v>
      </c>
      <c r="V272" s="50"/>
      <c r="W272" s="50">
        <f t="shared" si="168"/>
        <v>0</v>
      </c>
      <c r="X272" s="50"/>
      <c r="Y272" s="50">
        <f t="shared" si="169"/>
        <v>0</v>
      </c>
      <c r="Z272" s="50"/>
      <c r="AA272" s="50">
        <f t="shared" si="170"/>
        <v>0</v>
      </c>
      <c r="AB272" s="50">
        <f t="shared" si="157"/>
        <v>0</v>
      </c>
      <c r="AC272" s="28" t="str">
        <f t="shared" si="158"/>
        <v>ok</v>
      </c>
    </row>
    <row r="273" spans="1:29" x14ac:dyDescent="0.25">
      <c r="A273" s="14">
        <v>925</v>
      </c>
      <c r="B273" s="14" t="s">
        <v>167</v>
      </c>
      <c r="C273" s="14" t="s">
        <v>168</v>
      </c>
      <c r="D273" s="14" t="s">
        <v>515</v>
      </c>
      <c r="F273" s="50">
        <v>0</v>
      </c>
      <c r="H273" s="50">
        <f t="shared" si="159"/>
        <v>0</v>
      </c>
      <c r="I273" s="50">
        <f t="shared" si="160"/>
        <v>0</v>
      </c>
      <c r="J273" s="50"/>
      <c r="K273" s="50">
        <f t="shared" si="161"/>
        <v>0</v>
      </c>
      <c r="L273" s="50"/>
      <c r="M273" s="50">
        <f t="shared" si="162"/>
        <v>0</v>
      </c>
      <c r="N273" s="50"/>
      <c r="O273" s="50">
        <f t="shared" si="163"/>
        <v>0</v>
      </c>
      <c r="P273" s="50">
        <f t="shared" si="164"/>
        <v>0</v>
      </c>
      <c r="Q273" s="50"/>
      <c r="R273" s="50">
        <f t="shared" si="165"/>
        <v>0</v>
      </c>
      <c r="S273" s="50">
        <f t="shared" si="166"/>
        <v>0</v>
      </c>
      <c r="T273" s="50"/>
      <c r="U273" s="50">
        <f t="shared" si="167"/>
        <v>0</v>
      </c>
      <c r="V273" s="50"/>
      <c r="W273" s="50">
        <f t="shared" si="168"/>
        <v>0</v>
      </c>
      <c r="X273" s="50"/>
      <c r="Y273" s="50">
        <f t="shared" si="169"/>
        <v>0</v>
      </c>
      <c r="Z273" s="50"/>
      <c r="AA273" s="50">
        <f t="shared" si="170"/>
        <v>0</v>
      </c>
      <c r="AB273" s="50">
        <f t="shared" si="157"/>
        <v>0</v>
      </c>
      <c r="AC273" s="28" t="str">
        <f t="shared" si="158"/>
        <v>ok</v>
      </c>
    </row>
    <row r="274" spans="1:29" x14ac:dyDescent="0.25">
      <c r="A274" s="14">
        <v>926</v>
      </c>
      <c r="B274" s="14" t="s">
        <v>169</v>
      </c>
      <c r="C274" s="14" t="s">
        <v>170</v>
      </c>
      <c r="D274" s="14" t="s">
        <v>515</v>
      </c>
      <c r="F274" s="50">
        <v>0</v>
      </c>
      <c r="H274" s="50">
        <f t="shared" si="159"/>
        <v>0</v>
      </c>
      <c r="I274" s="50">
        <f t="shared" si="160"/>
        <v>0</v>
      </c>
      <c r="J274" s="50"/>
      <c r="K274" s="50">
        <f t="shared" si="161"/>
        <v>0</v>
      </c>
      <c r="L274" s="50"/>
      <c r="M274" s="50">
        <f t="shared" si="162"/>
        <v>0</v>
      </c>
      <c r="N274" s="50"/>
      <c r="O274" s="50">
        <f t="shared" si="163"/>
        <v>0</v>
      </c>
      <c r="P274" s="50">
        <f t="shared" si="164"/>
        <v>0</v>
      </c>
      <c r="Q274" s="50"/>
      <c r="R274" s="50">
        <f t="shared" si="165"/>
        <v>0</v>
      </c>
      <c r="S274" s="50">
        <f t="shared" si="166"/>
        <v>0</v>
      </c>
      <c r="T274" s="50"/>
      <c r="U274" s="50">
        <f t="shared" si="167"/>
        <v>0</v>
      </c>
      <c r="V274" s="50"/>
      <c r="W274" s="50">
        <f t="shared" si="168"/>
        <v>0</v>
      </c>
      <c r="X274" s="50"/>
      <c r="Y274" s="50">
        <f t="shared" si="169"/>
        <v>0</v>
      </c>
      <c r="Z274" s="50"/>
      <c r="AA274" s="50">
        <f t="shared" si="170"/>
        <v>0</v>
      </c>
      <c r="AB274" s="50">
        <f t="shared" si="157"/>
        <v>0</v>
      </c>
      <c r="AC274" s="28" t="str">
        <f t="shared" si="158"/>
        <v>ok</v>
      </c>
    </row>
    <row r="275" spans="1:29" x14ac:dyDescent="0.25">
      <c r="A275" s="14">
        <v>928</v>
      </c>
      <c r="B275" s="14" t="s">
        <v>577</v>
      </c>
      <c r="C275" s="14" t="s">
        <v>172</v>
      </c>
      <c r="D275" s="14" t="s">
        <v>410</v>
      </c>
      <c r="F275" s="50">
        <v>0</v>
      </c>
      <c r="H275" s="50">
        <f t="shared" si="159"/>
        <v>0</v>
      </c>
      <c r="I275" s="50">
        <f t="shared" si="160"/>
        <v>0</v>
      </c>
      <c r="J275" s="50"/>
      <c r="K275" s="50">
        <f t="shared" si="161"/>
        <v>0</v>
      </c>
      <c r="L275" s="50"/>
      <c r="M275" s="50">
        <f t="shared" si="162"/>
        <v>0</v>
      </c>
      <c r="N275" s="50"/>
      <c r="O275" s="50">
        <f t="shared" si="163"/>
        <v>0</v>
      </c>
      <c r="P275" s="50">
        <f t="shared" si="164"/>
        <v>0</v>
      </c>
      <c r="Q275" s="50"/>
      <c r="R275" s="50">
        <f t="shared" si="165"/>
        <v>0</v>
      </c>
      <c r="S275" s="50">
        <f t="shared" si="166"/>
        <v>0</v>
      </c>
      <c r="T275" s="50"/>
      <c r="U275" s="50">
        <f t="shared" si="167"/>
        <v>0</v>
      </c>
      <c r="V275" s="50"/>
      <c r="W275" s="50">
        <f t="shared" si="168"/>
        <v>0</v>
      </c>
      <c r="X275" s="50"/>
      <c r="Y275" s="50">
        <f t="shared" si="169"/>
        <v>0</v>
      </c>
      <c r="Z275" s="50"/>
      <c r="AA275" s="50">
        <f t="shared" si="170"/>
        <v>0</v>
      </c>
      <c r="AB275" s="50">
        <f t="shared" si="157"/>
        <v>0</v>
      </c>
      <c r="AC275" s="28" t="str">
        <f t="shared" si="158"/>
        <v>ok</v>
      </c>
    </row>
    <row r="276" spans="1:29" x14ac:dyDescent="0.25">
      <c r="A276" s="14">
        <v>929</v>
      </c>
      <c r="B276" s="14" t="s">
        <v>926</v>
      </c>
      <c r="C276" s="14" t="s">
        <v>385</v>
      </c>
      <c r="D276" s="14" t="s">
        <v>410</v>
      </c>
      <c r="F276" s="50">
        <v>0</v>
      </c>
      <c r="H276" s="50">
        <f t="shared" si="159"/>
        <v>0</v>
      </c>
      <c r="I276" s="50">
        <f t="shared" si="160"/>
        <v>0</v>
      </c>
      <c r="J276" s="50"/>
      <c r="K276" s="50">
        <f t="shared" si="161"/>
        <v>0</v>
      </c>
      <c r="L276" s="50"/>
      <c r="M276" s="50">
        <f t="shared" si="162"/>
        <v>0</v>
      </c>
      <c r="N276" s="50"/>
      <c r="O276" s="50">
        <f t="shared" si="163"/>
        <v>0</v>
      </c>
      <c r="P276" s="50">
        <f t="shared" si="164"/>
        <v>0</v>
      </c>
      <c r="Q276" s="50"/>
      <c r="R276" s="50">
        <f t="shared" si="165"/>
        <v>0</v>
      </c>
      <c r="S276" s="50">
        <f t="shared" si="166"/>
        <v>0</v>
      </c>
      <c r="T276" s="50"/>
      <c r="U276" s="50">
        <f t="shared" si="167"/>
        <v>0</v>
      </c>
      <c r="V276" s="50"/>
      <c r="W276" s="50">
        <f t="shared" si="168"/>
        <v>0</v>
      </c>
      <c r="X276" s="50"/>
      <c r="Y276" s="50">
        <f t="shared" si="169"/>
        <v>0</v>
      </c>
      <c r="Z276" s="50"/>
      <c r="AA276" s="50">
        <f t="shared" si="170"/>
        <v>0</v>
      </c>
      <c r="AB276" s="50">
        <f t="shared" si="157"/>
        <v>0</v>
      </c>
      <c r="AC276" s="28" t="str">
        <f t="shared" si="158"/>
        <v>ok</v>
      </c>
    </row>
    <row r="277" spans="1:29" x14ac:dyDescent="0.25">
      <c r="A277" s="14">
        <v>930</v>
      </c>
      <c r="B277" s="14" t="s">
        <v>173</v>
      </c>
      <c r="C277" s="14" t="s">
        <v>174</v>
      </c>
      <c r="D277" s="14" t="s">
        <v>410</v>
      </c>
      <c r="F277" s="50">
        <v>435539</v>
      </c>
      <c r="H277" s="50">
        <f t="shared" si="159"/>
        <v>0</v>
      </c>
      <c r="I277" s="50">
        <f t="shared" si="160"/>
        <v>0</v>
      </c>
      <c r="J277" s="50"/>
      <c r="K277" s="50">
        <f t="shared" si="161"/>
        <v>0</v>
      </c>
      <c r="L277" s="50"/>
      <c r="M277" s="50">
        <f t="shared" si="162"/>
        <v>583.49420299518795</v>
      </c>
      <c r="N277" s="50"/>
      <c r="O277" s="50">
        <f t="shared" si="163"/>
        <v>254602.09524637036</v>
      </c>
      <c r="P277" s="50">
        <f t="shared" si="164"/>
        <v>68848.01707306203</v>
      </c>
      <c r="Q277" s="50"/>
      <c r="R277" s="50">
        <f t="shared" si="165"/>
        <v>0</v>
      </c>
      <c r="S277" s="50">
        <f t="shared" si="166"/>
        <v>22661.460749856949</v>
      </c>
      <c r="T277" s="50"/>
      <c r="U277" s="50">
        <f t="shared" si="167"/>
        <v>20583.054510674829</v>
      </c>
      <c r="V277" s="50"/>
      <c r="W277" s="50">
        <f t="shared" si="168"/>
        <v>2306.7293494805417</v>
      </c>
      <c r="X277" s="50"/>
      <c r="Y277" s="50">
        <f t="shared" si="169"/>
        <v>65903.10316917811</v>
      </c>
      <c r="Z277" s="50"/>
      <c r="AA277" s="50">
        <f t="shared" si="170"/>
        <v>51.045698382048847</v>
      </c>
      <c r="AB277" s="50">
        <f t="shared" si="157"/>
        <v>435539.00000000012</v>
      </c>
      <c r="AC277" s="28" t="str">
        <f t="shared" si="158"/>
        <v>ok</v>
      </c>
    </row>
    <row r="278" spans="1:29" x14ac:dyDescent="0.25">
      <c r="A278" s="14">
        <v>931</v>
      </c>
      <c r="B278" s="14" t="s">
        <v>175</v>
      </c>
      <c r="C278" s="14" t="s">
        <v>176</v>
      </c>
      <c r="D278" s="14" t="s">
        <v>84</v>
      </c>
      <c r="F278" s="50">
        <v>0</v>
      </c>
      <c r="H278" s="50">
        <f t="shared" si="159"/>
        <v>0</v>
      </c>
      <c r="I278" s="50">
        <f t="shared" si="160"/>
        <v>0</v>
      </c>
      <c r="J278" s="50"/>
      <c r="K278" s="50">
        <f t="shared" si="161"/>
        <v>0</v>
      </c>
      <c r="L278" s="50"/>
      <c r="M278" s="50">
        <f t="shared" si="162"/>
        <v>0</v>
      </c>
      <c r="N278" s="50"/>
      <c r="O278" s="50">
        <f t="shared" si="163"/>
        <v>0</v>
      </c>
      <c r="P278" s="50">
        <f t="shared" si="164"/>
        <v>0</v>
      </c>
      <c r="Q278" s="50"/>
      <c r="R278" s="50">
        <f t="shared" si="165"/>
        <v>0</v>
      </c>
      <c r="S278" s="50">
        <f t="shared" si="166"/>
        <v>0</v>
      </c>
      <c r="T278" s="50"/>
      <c r="U278" s="50">
        <f t="shared" si="167"/>
        <v>0</v>
      </c>
      <c r="V278" s="50"/>
      <c r="W278" s="50">
        <f t="shared" si="168"/>
        <v>0</v>
      </c>
      <c r="X278" s="50"/>
      <c r="Y278" s="50">
        <f t="shared" si="169"/>
        <v>0</v>
      </c>
      <c r="Z278" s="50"/>
      <c r="AA278" s="50">
        <f t="shared" si="170"/>
        <v>0</v>
      </c>
      <c r="AB278" s="50">
        <f t="shared" si="157"/>
        <v>0</v>
      </c>
      <c r="AC278" s="28" t="str">
        <f t="shared" si="158"/>
        <v>ok</v>
      </c>
    </row>
    <row r="279" spans="1:29" x14ac:dyDescent="0.25">
      <c r="A279" s="14">
        <v>932</v>
      </c>
      <c r="B279" s="14" t="s">
        <v>177</v>
      </c>
      <c r="C279" s="14" t="s">
        <v>922</v>
      </c>
      <c r="D279" s="14" t="s">
        <v>70</v>
      </c>
      <c r="F279" s="50">
        <v>0</v>
      </c>
      <c r="H279" s="50">
        <f t="shared" si="159"/>
        <v>0</v>
      </c>
      <c r="I279" s="50">
        <f t="shared" si="160"/>
        <v>0</v>
      </c>
      <c r="J279" s="50"/>
      <c r="K279" s="50">
        <f t="shared" si="161"/>
        <v>0</v>
      </c>
      <c r="L279" s="50"/>
      <c r="M279" s="50">
        <f t="shared" si="162"/>
        <v>0</v>
      </c>
      <c r="N279" s="50"/>
      <c r="O279" s="50">
        <f t="shared" si="163"/>
        <v>0</v>
      </c>
      <c r="P279" s="50">
        <f t="shared" si="164"/>
        <v>0</v>
      </c>
      <c r="Q279" s="50"/>
      <c r="R279" s="50">
        <f t="shared" si="165"/>
        <v>0</v>
      </c>
      <c r="S279" s="50">
        <f t="shared" si="166"/>
        <v>0</v>
      </c>
      <c r="T279" s="50"/>
      <c r="U279" s="50">
        <f t="shared" si="167"/>
        <v>0</v>
      </c>
      <c r="V279" s="50"/>
      <c r="W279" s="50">
        <f t="shared" si="168"/>
        <v>0</v>
      </c>
      <c r="X279" s="50"/>
      <c r="Y279" s="50">
        <f t="shared" si="169"/>
        <v>0</v>
      </c>
      <c r="Z279" s="50"/>
      <c r="AA279" s="50">
        <f t="shared" si="170"/>
        <v>0</v>
      </c>
      <c r="AB279" s="50">
        <f>SUM(H279:AA279)</f>
        <v>0</v>
      </c>
      <c r="AC279" s="28" t="str">
        <f>IF(ABS(AB279-F279)&lt;1,"ok","err")</f>
        <v>ok</v>
      </c>
    </row>
    <row r="280" spans="1:29" x14ac:dyDescent="0.25">
      <c r="A280" s="14">
        <v>933</v>
      </c>
      <c r="B280" s="14" t="s">
        <v>920</v>
      </c>
      <c r="C280" s="14" t="s">
        <v>921</v>
      </c>
      <c r="D280" s="14" t="s">
        <v>70</v>
      </c>
      <c r="F280" s="50">
        <v>0</v>
      </c>
      <c r="H280" s="50">
        <f t="shared" si="159"/>
        <v>0</v>
      </c>
      <c r="I280" s="50">
        <f t="shared" si="160"/>
        <v>0</v>
      </c>
      <c r="J280" s="50"/>
      <c r="K280" s="50">
        <f t="shared" si="161"/>
        <v>0</v>
      </c>
      <c r="L280" s="50"/>
      <c r="M280" s="50">
        <f t="shared" si="162"/>
        <v>0</v>
      </c>
      <c r="N280" s="50"/>
      <c r="O280" s="50">
        <f t="shared" si="163"/>
        <v>0</v>
      </c>
      <c r="P280" s="50">
        <f t="shared" si="164"/>
        <v>0</v>
      </c>
      <c r="Q280" s="50"/>
      <c r="R280" s="50">
        <f t="shared" si="165"/>
        <v>0</v>
      </c>
      <c r="S280" s="50">
        <f t="shared" si="166"/>
        <v>0</v>
      </c>
      <c r="T280" s="50"/>
      <c r="U280" s="50">
        <f t="shared" si="167"/>
        <v>0</v>
      </c>
      <c r="V280" s="50"/>
      <c r="W280" s="50">
        <f t="shared" si="168"/>
        <v>0</v>
      </c>
      <c r="X280" s="50"/>
      <c r="Y280" s="50">
        <f t="shared" si="169"/>
        <v>0</v>
      </c>
      <c r="Z280" s="50"/>
      <c r="AA280" s="50">
        <f t="shared" si="170"/>
        <v>0</v>
      </c>
      <c r="AB280" s="50">
        <f>SUM(H280:AA280)</f>
        <v>0</v>
      </c>
      <c r="AC280" s="28" t="str">
        <f>IF(ABS(AB280-F280)&lt;1,"ok","err")</f>
        <v>ok</v>
      </c>
    </row>
    <row r="281" spans="1:29" x14ac:dyDescent="0.25">
      <c r="A281" s="14">
        <v>935</v>
      </c>
      <c r="B281" s="14" t="s">
        <v>923</v>
      </c>
      <c r="C281" s="14" t="s">
        <v>710</v>
      </c>
      <c r="D281" s="14" t="s">
        <v>84</v>
      </c>
      <c r="F281" s="50">
        <v>73725</v>
      </c>
      <c r="H281" s="50">
        <f t="shared" si="159"/>
        <v>0</v>
      </c>
      <c r="I281" s="50">
        <f t="shared" si="160"/>
        <v>0</v>
      </c>
      <c r="J281" s="50"/>
      <c r="K281" s="50">
        <f t="shared" si="161"/>
        <v>0</v>
      </c>
      <c r="L281" s="50"/>
      <c r="M281" s="50">
        <f t="shared" si="162"/>
        <v>625.33791548017291</v>
      </c>
      <c r="N281" s="50"/>
      <c r="O281" s="50">
        <f t="shared" si="163"/>
        <v>42489.471232579723</v>
      </c>
      <c r="P281" s="50">
        <f t="shared" si="164"/>
        <v>17677.00720838206</v>
      </c>
      <c r="Q281" s="50"/>
      <c r="R281" s="50">
        <f t="shared" si="165"/>
        <v>0</v>
      </c>
      <c r="S281" s="50">
        <f t="shared" si="166"/>
        <v>7791.4811131069482</v>
      </c>
      <c r="T281" s="50"/>
      <c r="U281" s="50">
        <f t="shared" si="167"/>
        <v>2808.0508241640514</v>
      </c>
      <c r="V281" s="50"/>
      <c r="W281" s="50">
        <f t="shared" si="168"/>
        <v>2333.6517062870462</v>
      </c>
      <c r="X281" s="50"/>
      <c r="Y281" s="50">
        <f t="shared" si="169"/>
        <v>0</v>
      </c>
      <c r="Z281" s="50"/>
      <c r="AA281" s="50">
        <f t="shared" si="170"/>
        <v>0</v>
      </c>
      <c r="AB281" s="50">
        <f t="shared" si="157"/>
        <v>73724.999999999985</v>
      </c>
      <c r="AC281" s="28" t="str">
        <f t="shared" si="158"/>
        <v>ok</v>
      </c>
    </row>
    <row r="282" spans="1:29" x14ac:dyDescent="0.25">
      <c r="F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0"/>
      <c r="AC282" s="28"/>
    </row>
    <row r="283" spans="1:29" x14ac:dyDescent="0.25">
      <c r="A283" s="14" t="s">
        <v>178</v>
      </c>
      <c r="C283" s="14" t="s">
        <v>179</v>
      </c>
      <c r="F283" s="67">
        <f>SUM(F269:F282)</f>
        <v>990815</v>
      </c>
      <c r="G283" s="67">
        <f>SUM(G269:G282)</f>
        <v>0</v>
      </c>
      <c r="H283" s="67">
        <f>SUM(H269:H282)</f>
        <v>0</v>
      </c>
      <c r="I283" s="67">
        <f>SUM(I269:I282)</f>
        <v>0</v>
      </c>
      <c r="J283" s="67"/>
      <c r="K283" s="67">
        <f>SUM(K269:K282)</f>
        <v>0</v>
      </c>
      <c r="L283" s="67"/>
      <c r="M283" s="67">
        <f>SUM(M269:M282)</f>
        <v>1856.2174721202705</v>
      </c>
      <c r="N283" s="67"/>
      <c r="O283" s="67">
        <f>SUM(O269:O282)</f>
        <v>578316.79050656094</v>
      </c>
      <c r="P283" s="67">
        <f>SUM(P269:P282)</f>
        <v>162603.58653119317</v>
      </c>
      <c r="Q283" s="67"/>
      <c r="R283" s="67">
        <f>SUM(R269:R282)</f>
        <v>0</v>
      </c>
      <c r="S283" s="67">
        <f>SUM(S269:S282)</f>
        <v>55444.546730366921</v>
      </c>
      <c r="T283" s="67"/>
      <c r="U283" s="67">
        <f>SUM(U269:U282)</f>
        <v>46232.913083468433</v>
      </c>
      <c r="V283" s="67"/>
      <c r="W283" s="67">
        <f>SUM(W269:W282)</f>
        <v>7198.4217078059191</v>
      </c>
      <c r="X283" s="67"/>
      <c r="Y283" s="67">
        <f>SUM(Y269:Y282)</f>
        <v>139055.3447499352</v>
      </c>
      <c r="Z283" s="67"/>
      <c r="AA283" s="67">
        <f>SUM(AA269:AA282)</f>
        <v>107.17921854920333</v>
      </c>
      <c r="AB283" s="50">
        <f>SUM(H283:AA283)</f>
        <v>990815.00000000012</v>
      </c>
      <c r="AC283" s="28" t="str">
        <f>IF(ABS(AB283-F283)&lt;1,"ok","err")</f>
        <v>ok</v>
      </c>
    </row>
    <row r="284" spans="1:29" x14ac:dyDescent="0.25">
      <c r="F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0"/>
      <c r="AC284" s="28"/>
    </row>
    <row r="285" spans="1:29" x14ac:dyDescent="0.25">
      <c r="A285" s="14" t="s">
        <v>180</v>
      </c>
      <c r="C285" s="14" t="s">
        <v>181</v>
      </c>
      <c r="F285" s="67">
        <f>F237+F246+F262+F283</f>
        <v>48926296.18</v>
      </c>
      <c r="G285" s="67"/>
      <c r="H285" s="67">
        <f>H237+H246+H262+H283</f>
        <v>9006886.8765010126</v>
      </c>
      <c r="I285" s="67">
        <f>I237+I246+I262+I283</f>
        <v>32964492.123498984</v>
      </c>
      <c r="J285" s="67"/>
      <c r="K285" s="67">
        <f>K237+K246+K262+K283</f>
        <v>0</v>
      </c>
      <c r="L285" s="67"/>
      <c r="M285" s="67">
        <f>M237+M246+M262+M283</f>
        <v>9846.3608303521687</v>
      </c>
      <c r="N285" s="67"/>
      <c r="O285" s="67">
        <f>O237+O246+O262+O283</f>
        <v>4064739.157485052</v>
      </c>
      <c r="P285" s="67">
        <f>P237+P246+P262+P283</f>
        <v>1105381.6356017161</v>
      </c>
      <c r="Q285" s="67"/>
      <c r="R285" s="67">
        <f>R237+R246+R262+R283</f>
        <v>0</v>
      </c>
      <c r="S285" s="67">
        <f>S237+S246+S262+S283</f>
        <v>365761.80295818183</v>
      </c>
      <c r="T285" s="67"/>
      <c r="U285" s="67">
        <f>U237+U246+U262+U283</f>
        <v>328089.28020139493</v>
      </c>
      <c r="V285" s="67"/>
      <c r="W285" s="67">
        <f>W237+W246+W262+W283</f>
        <v>38785.878954819113</v>
      </c>
      <c r="X285" s="67"/>
      <c r="Y285" s="67">
        <f>Y237+Y246+Y262+Y283</f>
        <v>1041506.8847499352</v>
      </c>
      <c r="Z285" s="67"/>
      <c r="AA285" s="67">
        <f>AA237+AA246+AA262+AA283</f>
        <v>806.17921854920337</v>
      </c>
      <c r="AB285" s="50">
        <f>SUM(H285:AA285)</f>
        <v>48926296.18</v>
      </c>
      <c r="AC285" s="28" t="str">
        <f>IF(ABS(AB285-F285)&lt;1,"ok","err")</f>
        <v>ok</v>
      </c>
    </row>
    <row r="286" spans="1:29" x14ac:dyDescent="0.25">
      <c r="F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0"/>
      <c r="AC286" s="28"/>
    </row>
    <row r="287" spans="1:29" x14ac:dyDescent="0.25">
      <c r="A287" s="14" t="s">
        <v>411</v>
      </c>
      <c r="C287" s="14" t="s">
        <v>88</v>
      </c>
      <c r="F287" s="90">
        <f>F285-F180</f>
        <v>6954917.1799999997</v>
      </c>
      <c r="G287" s="90"/>
      <c r="H287" s="90">
        <f>H285-H180</f>
        <v>0</v>
      </c>
      <c r="I287" s="90">
        <f>I285-I180</f>
        <v>0</v>
      </c>
      <c r="J287" s="90"/>
      <c r="K287" s="90">
        <f>K285-K180</f>
        <v>0</v>
      </c>
      <c r="L287" s="90"/>
      <c r="M287" s="90">
        <f>M285-M180</f>
        <v>9846.3608303521687</v>
      </c>
      <c r="N287" s="90"/>
      <c r="O287" s="90">
        <f>O285-O180</f>
        <v>4064739.157485052</v>
      </c>
      <c r="P287" s="90">
        <f>P285-P180</f>
        <v>1105381.6356017161</v>
      </c>
      <c r="Q287" s="90">
        <f>Q285-Q180</f>
        <v>0</v>
      </c>
      <c r="R287" s="90">
        <f>R285-R180</f>
        <v>0</v>
      </c>
      <c r="S287" s="90">
        <f>S285-S180</f>
        <v>365761.80295818183</v>
      </c>
      <c r="T287" s="90"/>
      <c r="U287" s="90">
        <f>U285-U180</f>
        <v>328089.28020139493</v>
      </c>
      <c r="V287" s="90"/>
      <c r="W287" s="90">
        <f>W285-W180</f>
        <v>38785.878954819113</v>
      </c>
      <c r="X287" s="90"/>
      <c r="Y287" s="90">
        <f>Y285-Y180</f>
        <v>1041506.8847499352</v>
      </c>
      <c r="Z287" s="90"/>
      <c r="AA287" s="90">
        <f>AA285-AA180</f>
        <v>806.17921854920337</v>
      </c>
      <c r="AB287" s="50">
        <f>SUM(H287:AA287)</f>
        <v>6954917.1800000016</v>
      </c>
      <c r="AC287" s="28" t="str">
        <f>IF(ABS(AB287-F287)&lt;1,"ok","err")</f>
        <v>ok</v>
      </c>
    </row>
    <row r="288" spans="1:29" x14ac:dyDescent="0.25">
      <c r="Q288" s="14"/>
      <c r="AC288" s="28"/>
    </row>
    <row r="289" spans="1:29" x14ac:dyDescent="0.25">
      <c r="AC289" s="28"/>
    </row>
    <row r="290" spans="1:29" x14ac:dyDescent="0.25">
      <c r="A290" s="26" t="s">
        <v>183</v>
      </c>
      <c r="AC290" s="28"/>
    </row>
    <row r="291" spans="1:29" x14ac:dyDescent="0.25">
      <c r="AC291" s="28"/>
    </row>
    <row r="292" spans="1:29" x14ac:dyDescent="0.25">
      <c r="A292" s="13" t="s">
        <v>184</v>
      </c>
      <c r="AC292" s="28"/>
    </row>
    <row r="293" spans="1:29" x14ac:dyDescent="0.25">
      <c r="A293" s="14" t="s">
        <v>765</v>
      </c>
      <c r="C293" s="14" t="s">
        <v>826</v>
      </c>
      <c r="D293" s="14" t="s">
        <v>781</v>
      </c>
      <c r="F293" s="50">
        <v>0</v>
      </c>
      <c r="H293" s="50">
        <f t="shared" ref="H293:H310" si="171">IF((VLOOKUP($D293,$C$5:$AA$492,6,)=0),0,((VLOOKUP($D293,$C$5:$AA$492,6,)/VLOOKUP($D293,$C$5:$AA$492,4,))*$F293))</f>
        <v>0</v>
      </c>
      <c r="I293" s="50">
        <f t="shared" ref="I293:I310" si="172">IF((VLOOKUP($D293,$C$5:$AA$492,7,)=0),0,((VLOOKUP($D293,$C$5:$AA$492,7,)/VLOOKUP($D293,$C$5:$AA$492,4,))*$F293))</f>
        <v>0</v>
      </c>
      <c r="J293" s="50"/>
      <c r="K293" s="50">
        <f t="shared" ref="K293:K310" si="173">IF((VLOOKUP($D293,$C$5:$AA$492,9,)=0),0,((VLOOKUP($D293,$C$5:$AA$492,9,)/VLOOKUP($D293,$C$5:$AA$492,4,))*$F293))</f>
        <v>0</v>
      </c>
      <c r="L293" s="50"/>
      <c r="M293" s="50">
        <f t="shared" ref="M293:M310" si="174">IF((VLOOKUP($D293,$C$5:$AA$492,11,)=0),0,((VLOOKUP($D293,$C$5:$AA$492,11,)/VLOOKUP($D293,$C$5:$AA$492,4,))*$F293))</f>
        <v>0</v>
      </c>
      <c r="N293" s="50"/>
      <c r="O293" s="50">
        <f t="shared" ref="O293:O310" si="175">IF((VLOOKUP($D293,$C$5:$AA$492,13,)=0),0,((VLOOKUP($D293,$C$5:$AA$492,13,)/VLOOKUP($D293,$C$5:$AA$492,4,))*$F293))</f>
        <v>0</v>
      </c>
      <c r="P293" s="50">
        <f t="shared" ref="P293:P310" si="176">IF((VLOOKUP($D293,$C$5:$AA$492,14,)=0),0,((VLOOKUP($D293,$C$5:$AA$492,14,)/VLOOKUP($D293,$C$5:$AA$492,4,))*$F293))</f>
        <v>0</v>
      </c>
      <c r="Q293" s="50"/>
      <c r="R293" s="50">
        <f t="shared" ref="R293:R310" si="177">IF((VLOOKUP($D293,$C$5:$AA$492,16,)=0),0,((VLOOKUP($D293,$C$5:$AA$492,16,)/VLOOKUP($D293,$C$5:$AA$492,4,))*$F293))</f>
        <v>0</v>
      </c>
      <c r="S293" s="50">
        <f t="shared" ref="S293:S310" si="178">IF((VLOOKUP($D293,$C$5:$AA$492,17,)=0),0,((VLOOKUP($D293,$C$5:$AA$492,17,)/VLOOKUP($D293,$C$5:$AA$492,4,))*$F293))</f>
        <v>0</v>
      </c>
      <c r="T293" s="50"/>
      <c r="U293" s="50">
        <f t="shared" ref="U293:U310" si="179">IF((VLOOKUP($D293,$C$5:$AA$492,19,)=0),0,((VLOOKUP($D293,$C$5:$AA$492,19,)/VLOOKUP($D293,$C$5:$AA$492,4,))*$F293))</f>
        <v>0</v>
      </c>
      <c r="V293" s="50"/>
      <c r="W293" s="50">
        <f t="shared" ref="W293:W310" si="180">IF((VLOOKUP($D293,$C$5:$AA$492,21,)=0),0,((VLOOKUP($D293,$C$5:$AA$492,21,)/VLOOKUP($D293,$C$5:$AA$492,4,))*$F293))</f>
        <v>0</v>
      </c>
      <c r="X293" s="50"/>
      <c r="Y293" s="50">
        <f t="shared" ref="Y293:Y310" si="181">IF((VLOOKUP($D293,$C$5:$AA$492,23,)=0),0,((VLOOKUP($D293,$C$5:$AA$492,23,)/VLOOKUP($D293,$C$5:$AA$492,4,))*$F293))</f>
        <v>0</v>
      </c>
      <c r="Z293" s="50"/>
      <c r="AA293" s="50">
        <f t="shared" ref="AA293:AA310" si="182">IF((VLOOKUP($D293,$C$5:$AA$492,25,)=0),0,((VLOOKUP($D293,$C$5:$AA$492,25,)/VLOOKUP($D293,$C$5:$AA$492,4,))*$F293))</f>
        <v>0</v>
      </c>
      <c r="AB293" s="50">
        <f>SUM(H293:AA293)</f>
        <v>0</v>
      </c>
      <c r="AC293" s="28" t="str">
        <f>IF(ABS(AB293-F293)&lt;1,"ok","err")</f>
        <v>ok</v>
      </c>
    </row>
    <row r="294" spans="1:29" x14ac:dyDescent="0.25">
      <c r="A294" s="14" t="s">
        <v>366</v>
      </c>
      <c r="C294" s="14" t="s">
        <v>413</v>
      </c>
      <c r="D294" s="14" t="s">
        <v>389</v>
      </c>
      <c r="F294" s="50">
        <v>0</v>
      </c>
      <c r="H294" s="50">
        <f t="shared" si="171"/>
        <v>0</v>
      </c>
      <c r="I294" s="50">
        <f t="shared" si="172"/>
        <v>0</v>
      </c>
      <c r="J294" s="50"/>
      <c r="K294" s="50">
        <f t="shared" si="173"/>
        <v>0</v>
      </c>
      <c r="L294" s="50"/>
      <c r="M294" s="50">
        <f t="shared" si="174"/>
        <v>0</v>
      </c>
      <c r="N294" s="50"/>
      <c r="O294" s="50">
        <f t="shared" si="175"/>
        <v>0</v>
      </c>
      <c r="P294" s="50">
        <f t="shared" si="176"/>
        <v>0</v>
      </c>
      <c r="Q294" s="50"/>
      <c r="R294" s="50">
        <f t="shared" si="177"/>
        <v>0</v>
      </c>
      <c r="S294" s="50">
        <f t="shared" si="178"/>
        <v>0</v>
      </c>
      <c r="T294" s="50"/>
      <c r="U294" s="50">
        <f t="shared" si="179"/>
        <v>0</v>
      </c>
      <c r="V294" s="50"/>
      <c r="W294" s="50">
        <f t="shared" si="180"/>
        <v>0</v>
      </c>
      <c r="X294" s="50"/>
      <c r="Y294" s="50">
        <f t="shared" si="181"/>
        <v>0</v>
      </c>
      <c r="Z294" s="50"/>
      <c r="AA294" s="50">
        <f t="shared" si="182"/>
        <v>0</v>
      </c>
      <c r="AB294" s="50">
        <f>SUM(H294:AA294)</f>
        <v>0</v>
      </c>
      <c r="AC294" s="28" t="str">
        <f>IF(ABS(AB294-F294)&lt;1,"ok","err")</f>
        <v>ok</v>
      </c>
    </row>
    <row r="295" spans="1:29" x14ac:dyDescent="0.25">
      <c r="A295" s="14" t="s">
        <v>425</v>
      </c>
      <c r="C295" s="14" t="s">
        <v>457</v>
      </c>
      <c r="D295" s="14" t="s">
        <v>423</v>
      </c>
      <c r="F295" s="50">
        <v>0</v>
      </c>
      <c r="H295" s="50">
        <f t="shared" si="171"/>
        <v>0</v>
      </c>
      <c r="I295" s="50">
        <f t="shared" si="172"/>
        <v>0</v>
      </c>
      <c r="J295" s="50"/>
      <c r="K295" s="50">
        <f t="shared" si="173"/>
        <v>0</v>
      </c>
      <c r="L295" s="50"/>
      <c r="M295" s="50">
        <f t="shared" si="174"/>
        <v>0</v>
      </c>
      <c r="N295" s="50"/>
      <c r="O295" s="50">
        <f t="shared" si="175"/>
        <v>0</v>
      </c>
      <c r="P295" s="50">
        <f t="shared" si="176"/>
        <v>0</v>
      </c>
      <c r="Q295" s="50"/>
      <c r="R295" s="50">
        <f t="shared" si="177"/>
        <v>0</v>
      </c>
      <c r="S295" s="50">
        <f t="shared" si="178"/>
        <v>0</v>
      </c>
      <c r="T295" s="50"/>
      <c r="U295" s="50">
        <f t="shared" si="179"/>
        <v>0</v>
      </c>
      <c r="V295" s="50"/>
      <c r="W295" s="50">
        <f t="shared" si="180"/>
        <v>0</v>
      </c>
      <c r="X295" s="50"/>
      <c r="Y295" s="50">
        <f t="shared" si="181"/>
        <v>0</v>
      </c>
      <c r="Z295" s="50"/>
      <c r="AA295" s="50">
        <f t="shared" si="182"/>
        <v>0</v>
      </c>
      <c r="AB295" s="50">
        <f t="shared" ref="AB295:AB306" si="183">SUM(H295:AA295)</f>
        <v>0</v>
      </c>
      <c r="AC295" s="28" t="str">
        <f t="shared" ref="AC295:AC306" si="184">IF(ABS(AB295-F295)&lt;1,"ok","err")</f>
        <v>ok</v>
      </c>
    </row>
    <row r="296" spans="1:29" x14ac:dyDescent="0.25">
      <c r="A296" s="14" t="s">
        <v>426</v>
      </c>
      <c r="C296" s="14" t="s">
        <v>458</v>
      </c>
      <c r="D296" s="14" t="s">
        <v>23</v>
      </c>
      <c r="F296" s="50">
        <v>0</v>
      </c>
      <c r="H296" s="50">
        <f t="shared" si="171"/>
        <v>0</v>
      </c>
      <c r="I296" s="50">
        <f t="shared" si="172"/>
        <v>0</v>
      </c>
      <c r="J296" s="50"/>
      <c r="K296" s="50">
        <f t="shared" si="173"/>
        <v>0</v>
      </c>
      <c r="L296" s="50"/>
      <c r="M296" s="50">
        <f t="shared" si="174"/>
        <v>0</v>
      </c>
      <c r="N296" s="50"/>
      <c r="O296" s="50">
        <f t="shared" si="175"/>
        <v>0</v>
      </c>
      <c r="P296" s="50">
        <f t="shared" si="176"/>
        <v>0</v>
      </c>
      <c r="Q296" s="50"/>
      <c r="R296" s="50">
        <f t="shared" si="177"/>
        <v>0</v>
      </c>
      <c r="S296" s="50">
        <f t="shared" si="178"/>
        <v>0</v>
      </c>
      <c r="T296" s="50"/>
      <c r="U296" s="50">
        <f t="shared" si="179"/>
        <v>0</v>
      </c>
      <c r="V296" s="50"/>
      <c r="W296" s="50">
        <f t="shared" si="180"/>
        <v>0</v>
      </c>
      <c r="X296" s="50"/>
      <c r="Y296" s="50">
        <f t="shared" si="181"/>
        <v>0</v>
      </c>
      <c r="Z296" s="50"/>
      <c r="AA296" s="50">
        <f t="shared" si="182"/>
        <v>0</v>
      </c>
      <c r="AB296" s="50">
        <f t="shared" si="183"/>
        <v>0</v>
      </c>
      <c r="AC296" s="28" t="str">
        <f t="shared" si="184"/>
        <v>ok</v>
      </c>
    </row>
    <row r="297" spans="1:29" x14ac:dyDescent="0.25">
      <c r="A297" s="14" t="s">
        <v>427</v>
      </c>
      <c r="C297" s="14" t="s">
        <v>459</v>
      </c>
      <c r="D297" s="14" t="s">
        <v>26</v>
      </c>
      <c r="F297" s="50">
        <v>0</v>
      </c>
      <c r="H297" s="50">
        <f t="shared" si="171"/>
        <v>0</v>
      </c>
      <c r="I297" s="50">
        <f t="shared" si="172"/>
        <v>0</v>
      </c>
      <c r="J297" s="50"/>
      <c r="K297" s="50">
        <f t="shared" si="173"/>
        <v>0</v>
      </c>
      <c r="L297" s="50"/>
      <c r="M297" s="50">
        <f t="shared" si="174"/>
        <v>0</v>
      </c>
      <c r="N297" s="50"/>
      <c r="O297" s="50">
        <f t="shared" si="175"/>
        <v>0</v>
      </c>
      <c r="P297" s="50">
        <f t="shared" si="176"/>
        <v>0</v>
      </c>
      <c r="Q297" s="50"/>
      <c r="R297" s="50">
        <f t="shared" si="177"/>
        <v>0</v>
      </c>
      <c r="S297" s="50">
        <f t="shared" si="178"/>
        <v>0</v>
      </c>
      <c r="T297" s="50"/>
      <c r="U297" s="50">
        <f t="shared" si="179"/>
        <v>0</v>
      </c>
      <c r="V297" s="50"/>
      <c r="W297" s="50">
        <f t="shared" si="180"/>
        <v>0</v>
      </c>
      <c r="X297" s="50"/>
      <c r="Y297" s="50">
        <f t="shared" si="181"/>
        <v>0</v>
      </c>
      <c r="Z297" s="50"/>
      <c r="AA297" s="50">
        <f t="shared" si="182"/>
        <v>0</v>
      </c>
      <c r="AB297" s="50">
        <f t="shared" si="183"/>
        <v>0</v>
      </c>
      <c r="AC297" s="28" t="str">
        <f t="shared" si="184"/>
        <v>ok</v>
      </c>
    </row>
    <row r="298" spans="1:29" x14ac:dyDescent="0.25">
      <c r="A298" s="14" t="s">
        <v>428</v>
      </c>
      <c r="C298" s="14" t="s">
        <v>460</v>
      </c>
      <c r="D298" s="14" t="s">
        <v>29</v>
      </c>
      <c r="F298" s="50">
        <v>0</v>
      </c>
      <c r="H298" s="50">
        <f t="shared" si="171"/>
        <v>0</v>
      </c>
      <c r="I298" s="50">
        <f t="shared" si="172"/>
        <v>0</v>
      </c>
      <c r="J298" s="50"/>
      <c r="K298" s="50">
        <f t="shared" si="173"/>
        <v>0</v>
      </c>
      <c r="L298" s="50"/>
      <c r="M298" s="50">
        <f t="shared" si="174"/>
        <v>0</v>
      </c>
      <c r="N298" s="50"/>
      <c r="O298" s="50">
        <f t="shared" si="175"/>
        <v>0</v>
      </c>
      <c r="P298" s="50">
        <f t="shared" si="176"/>
        <v>0</v>
      </c>
      <c r="Q298" s="50"/>
      <c r="R298" s="50">
        <f t="shared" si="177"/>
        <v>0</v>
      </c>
      <c r="S298" s="50">
        <f t="shared" si="178"/>
        <v>0</v>
      </c>
      <c r="T298" s="50"/>
      <c r="U298" s="50">
        <f t="shared" si="179"/>
        <v>0</v>
      </c>
      <c r="V298" s="50"/>
      <c r="W298" s="50">
        <f t="shared" si="180"/>
        <v>0</v>
      </c>
      <c r="X298" s="50"/>
      <c r="Y298" s="50">
        <f t="shared" si="181"/>
        <v>0</v>
      </c>
      <c r="Z298" s="50"/>
      <c r="AA298" s="50">
        <f t="shared" si="182"/>
        <v>0</v>
      </c>
      <c r="AB298" s="50">
        <f t="shared" si="183"/>
        <v>0</v>
      </c>
      <c r="AC298" s="28" t="str">
        <f t="shared" si="184"/>
        <v>ok</v>
      </c>
    </row>
    <row r="299" spans="1:29" x14ac:dyDescent="0.25">
      <c r="A299" s="14" t="s">
        <v>446</v>
      </c>
      <c r="C299" s="14" t="s">
        <v>461</v>
      </c>
      <c r="D299" s="14" t="s">
        <v>32</v>
      </c>
      <c r="F299" s="50">
        <v>0</v>
      </c>
      <c r="H299" s="50">
        <f t="shared" si="171"/>
        <v>0</v>
      </c>
      <c r="I299" s="50">
        <f t="shared" si="172"/>
        <v>0</v>
      </c>
      <c r="J299" s="50"/>
      <c r="K299" s="50">
        <f t="shared" si="173"/>
        <v>0</v>
      </c>
      <c r="L299" s="50"/>
      <c r="M299" s="50">
        <f t="shared" si="174"/>
        <v>0</v>
      </c>
      <c r="N299" s="50"/>
      <c r="O299" s="50">
        <f t="shared" si="175"/>
        <v>0</v>
      </c>
      <c r="P299" s="50">
        <f t="shared" si="176"/>
        <v>0</v>
      </c>
      <c r="Q299" s="50"/>
      <c r="R299" s="50">
        <f t="shared" si="177"/>
        <v>0</v>
      </c>
      <c r="S299" s="50">
        <f t="shared" si="178"/>
        <v>0</v>
      </c>
      <c r="T299" s="50"/>
      <c r="U299" s="50">
        <f t="shared" si="179"/>
        <v>0</v>
      </c>
      <c r="V299" s="50"/>
      <c r="W299" s="50">
        <f t="shared" si="180"/>
        <v>0</v>
      </c>
      <c r="X299" s="50"/>
      <c r="Y299" s="50">
        <f t="shared" si="181"/>
        <v>0</v>
      </c>
      <c r="Z299" s="50"/>
      <c r="AA299" s="50">
        <f t="shared" si="182"/>
        <v>0</v>
      </c>
      <c r="AB299" s="50">
        <f t="shared" si="183"/>
        <v>0</v>
      </c>
      <c r="AC299" s="28" t="str">
        <f t="shared" si="184"/>
        <v>ok</v>
      </c>
    </row>
    <row r="300" spans="1:29" x14ac:dyDescent="0.25">
      <c r="A300" s="14" t="s">
        <v>429</v>
      </c>
      <c r="C300" s="14" t="s">
        <v>462</v>
      </c>
      <c r="D300" s="14" t="s">
        <v>35</v>
      </c>
      <c r="F300" s="50">
        <v>0</v>
      </c>
      <c r="H300" s="50">
        <f t="shared" si="171"/>
        <v>0</v>
      </c>
      <c r="I300" s="50">
        <f t="shared" si="172"/>
        <v>0</v>
      </c>
      <c r="J300" s="50"/>
      <c r="K300" s="50">
        <f t="shared" si="173"/>
        <v>0</v>
      </c>
      <c r="L300" s="50"/>
      <c r="M300" s="50">
        <f t="shared" si="174"/>
        <v>0</v>
      </c>
      <c r="N300" s="50"/>
      <c r="O300" s="50">
        <f t="shared" si="175"/>
        <v>0</v>
      </c>
      <c r="P300" s="50">
        <f t="shared" si="176"/>
        <v>0</v>
      </c>
      <c r="Q300" s="50"/>
      <c r="R300" s="50">
        <f t="shared" si="177"/>
        <v>0</v>
      </c>
      <c r="S300" s="50">
        <f t="shared" si="178"/>
        <v>0</v>
      </c>
      <c r="T300" s="50"/>
      <c r="U300" s="50">
        <f t="shared" si="179"/>
        <v>0</v>
      </c>
      <c r="V300" s="50"/>
      <c r="W300" s="50">
        <f t="shared" si="180"/>
        <v>0</v>
      </c>
      <c r="X300" s="50"/>
      <c r="Y300" s="50">
        <f t="shared" si="181"/>
        <v>0</v>
      </c>
      <c r="Z300" s="50"/>
      <c r="AA300" s="50">
        <f t="shared" si="182"/>
        <v>0</v>
      </c>
      <c r="AB300" s="50">
        <f t="shared" si="183"/>
        <v>0</v>
      </c>
      <c r="AC300" s="28" t="str">
        <f t="shared" si="184"/>
        <v>ok</v>
      </c>
    </row>
    <row r="301" spans="1:29" x14ac:dyDescent="0.25">
      <c r="A301" s="14" t="s">
        <v>430</v>
      </c>
      <c r="C301" s="14" t="s">
        <v>463</v>
      </c>
      <c r="D301" s="14" t="s">
        <v>37</v>
      </c>
      <c r="F301" s="50">
        <v>0</v>
      </c>
      <c r="H301" s="50">
        <f t="shared" si="171"/>
        <v>0</v>
      </c>
      <c r="I301" s="50">
        <f t="shared" si="172"/>
        <v>0</v>
      </c>
      <c r="J301" s="50"/>
      <c r="K301" s="50">
        <f t="shared" si="173"/>
        <v>0</v>
      </c>
      <c r="L301" s="50"/>
      <c r="M301" s="50">
        <f t="shared" si="174"/>
        <v>0</v>
      </c>
      <c r="N301" s="50"/>
      <c r="O301" s="50">
        <f t="shared" si="175"/>
        <v>0</v>
      </c>
      <c r="P301" s="50">
        <f t="shared" si="176"/>
        <v>0</v>
      </c>
      <c r="Q301" s="50"/>
      <c r="R301" s="50">
        <f t="shared" si="177"/>
        <v>0</v>
      </c>
      <c r="S301" s="50">
        <f t="shared" si="178"/>
        <v>0</v>
      </c>
      <c r="T301" s="50"/>
      <c r="U301" s="50">
        <f t="shared" si="179"/>
        <v>0</v>
      </c>
      <c r="V301" s="50"/>
      <c r="W301" s="50">
        <f t="shared" si="180"/>
        <v>0</v>
      </c>
      <c r="X301" s="50"/>
      <c r="Y301" s="50">
        <f t="shared" si="181"/>
        <v>0</v>
      </c>
      <c r="Z301" s="50"/>
      <c r="AA301" s="50">
        <f t="shared" si="182"/>
        <v>0</v>
      </c>
      <c r="AB301" s="50">
        <f t="shared" si="183"/>
        <v>0</v>
      </c>
      <c r="AC301" s="28" t="str">
        <f t="shared" si="184"/>
        <v>ok</v>
      </c>
    </row>
    <row r="302" spans="1:29" x14ac:dyDescent="0.25">
      <c r="A302" s="14" t="s">
        <v>431</v>
      </c>
      <c r="C302" s="14" t="s">
        <v>464</v>
      </c>
      <c r="D302" s="14" t="s">
        <v>40</v>
      </c>
      <c r="F302" s="50">
        <v>0</v>
      </c>
      <c r="H302" s="50">
        <f t="shared" si="171"/>
        <v>0</v>
      </c>
      <c r="I302" s="50">
        <f t="shared" si="172"/>
        <v>0</v>
      </c>
      <c r="J302" s="50"/>
      <c r="K302" s="50">
        <f t="shared" si="173"/>
        <v>0</v>
      </c>
      <c r="L302" s="50"/>
      <c r="M302" s="50">
        <f t="shared" si="174"/>
        <v>0</v>
      </c>
      <c r="N302" s="50"/>
      <c r="O302" s="50">
        <f t="shared" si="175"/>
        <v>0</v>
      </c>
      <c r="P302" s="50">
        <f t="shared" si="176"/>
        <v>0</v>
      </c>
      <c r="Q302" s="50"/>
      <c r="R302" s="50">
        <f t="shared" si="177"/>
        <v>0</v>
      </c>
      <c r="S302" s="50">
        <f t="shared" si="178"/>
        <v>0</v>
      </c>
      <c r="T302" s="50"/>
      <c r="U302" s="50">
        <f t="shared" si="179"/>
        <v>0</v>
      </c>
      <c r="V302" s="50"/>
      <c r="W302" s="50">
        <f t="shared" si="180"/>
        <v>0</v>
      </c>
      <c r="X302" s="50"/>
      <c r="Y302" s="50">
        <f t="shared" si="181"/>
        <v>0</v>
      </c>
      <c r="Z302" s="50"/>
      <c r="AA302" s="50">
        <f t="shared" si="182"/>
        <v>0</v>
      </c>
      <c r="AB302" s="50">
        <f t="shared" si="183"/>
        <v>0</v>
      </c>
      <c r="AC302" s="28" t="str">
        <f t="shared" si="184"/>
        <v>ok</v>
      </c>
    </row>
    <row r="303" spans="1:29" x14ac:dyDescent="0.25">
      <c r="A303" s="14" t="s">
        <v>432</v>
      </c>
      <c r="C303" s="14" t="s">
        <v>465</v>
      </c>
      <c r="D303" s="14" t="s">
        <v>43</v>
      </c>
      <c r="F303" s="50">
        <v>0</v>
      </c>
      <c r="H303" s="50">
        <f t="shared" si="171"/>
        <v>0</v>
      </c>
      <c r="I303" s="50">
        <f t="shared" si="172"/>
        <v>0</v>
      </c>
      <c r="J303" s="50"/>
      <c r="K303" s="50">
        <f t="shared" si="173"/>
        <v>0</v>
      </c>
      <c r="L303" s="50"/>
      <c r="M303" s="50">
        <f t="shared" si="174"/>
        <v>0</v>
      </c>
      <c r="N303" s="50"/>
      <c r="O303" s="50">
        <f t="shared" si="175"/>
        <v>0</v>
      </c>
      <c r="P303" s="50">
        <f t="shared" si="176"/>
        <v>0</v>
      </c>
      <c r="Q303" s="50"/>
      <c r="R303" s="50">
        <f t="shared" si="177"/>
        <v>0</v>
      </c>
      <c r="S303" s="50">
        <f t="shared" si="178"/>
        <v>0</v>
      </c>
      <c r="T303" s="50"/>
      <c r="U303" s="50">
        <f t="shared" si="179"/>
        <v>0</v>
      </c>
      <c r="V303" s="50"/>
      <c r="W303" s="50">
        <f t="shared" si="180"/>
        <v>0</v>
      </c>
      <c r="X303" s="50"/>
      <c r="Y303" s="50">
        <f t="shared" si="181"/>
        <v>0</v>
      </c>
      <c r="Z303" s="50"/>
      <c r="AA303" s="50">
        <f t="shared" si="182"/>
        <v>0</v>
      </c>
      <c r="AB303" s="50">
        <f t="shared" si="183"/>
        <v>0</v>
      </c>
      <c r="AC303" s="28" t="str">
        <f t="shared" si="184"/>
        <v>ok</v>
      </c>
    </row>
    <row r="304" spans="1:29" x14ac:dyDescent="0.25">
      <c r="A304" s="14" t="s">
        <v>433</v>
      </c>
      <c r="C304" s="14" t="s">
        <v>466</v>
      </c>
      <c r="D304" s="14" t="s">
        <v>46</v>
      </c>
      <c r="F304" s="50">
        <v>0</v>
      </c>
      <c r="H304" s="50">
        <f t="shared" si="171"/>
        <v>0</v>
      </c>
      <c r="I304" s="50">
        <f t="shared" si="172"/>
        <v>0</v>
      </c>
      <c r="J304" s="50"/>
      <c r="K304" s="50">
        <f t="shared" si="173"/>
        <v>0</v>
      </c>
      <c r="L304" s="50"/>
      <c r="M304" s="50">
        <f t="shared" si="174"/>
        <v>0</v>
      </c>
      <c r="N304" s="50"/>
      <c r="O304" s="50">
        <f t="shared" si="175"/>
        <v>0</v>
      </c>
      <c r="P304" s="50">
        <f t="shared" si="176"/>
        <v>0</v>
      </c>
      <c r="Q304" s="50"/>
      <c r="R304" s="50">
        <f t="shared" si="177"/>
        <v>0</v>
      </c>
      <c r="S304" s="50">
        <f t="shared" si="178"/>
        <v>0</v>
      </c>
      <c r="T304" s="50"/>
      <c r="U304" s="50">
        <f t="shared" si="179"/>
        <v>0</v>
      </c>
      <c r="V304" s="50"/>
      <c r="W304" s="50">
        <f t="shared" si="180"/>
        <v>0</v>
      </c>
      <c r="X304" s="50"/>
      <c r="Y304" s="50">
        <f t="shared" si="181"/>
        <v>0</v>
      </c>
      <c r="Z304" s="50"/>
      <c r="AA304" s="50">
        <f t="shared" si="182"/>
        <v>0</v>
      </c>
      <c r="AB304" s="50">
        <f t="shared" si="183"/>
        <v>0</v>
      </c>
      <c r="AC304" s="28" t="str">
        <f t="shared" si="184"/>
        <v>ok</v>
      </c>
    </row>
    <row r="305" spans="1:29" x14ac:dyDescent="0.25">
      <c r="A305" s="14" t="s">
        <v>434</v>
      </c>
      <c r="C305" s="14" t="s">
        <v>467</v>
      </c>
      <c r="D305" s="14" t="s">
        <v>48</v>
      </c>
      <c r="F305" s="50">
        <v>0</v>
      </c>
      <c r="H305" s="50">
        <f t="shared" si="171"/>
        <v>0</v>
      </c>
      <c r="I305" s="50">
        <f t="shared" si="172"/>
        <v>0</v>
      </c>
      <c r="J305" s="50"/>
      <c r="K305" s="50">
        <f t="shared" si="173"/>
        <v>0</v>
      </c>
      <c r="L305" s="50"/>
      <c r="M305" s="50">
        <f t="shared" si="174"/>
        <v>0</v>
      </c>
      <c r="N305" s="50"/>
      <c r="O305" s="50">
        <f t="shared" si="175"/>
        <v>0</v>
      </c>
      <c r="P305" s="50">
        <f t="shared" si="176"/>
        <v>0</v>
      </c>
      <c r="Q305" s="50"/>
      <c r="R305" s="50">
        <f t="shared" si="177"/>
        <v>0</v>
      </c>
      <c r="S305" s="50">
        <f t="shared" si="178"/>
        <v>0</v>
      </c>
      <c r="T305" s="50"/>
      <c r="U305" s="50">
        <f t="shared" si="179"/>
        <v>0</v>
      </c>
      <c r="V305" s="50"/>
      <c r="W305" s="50">
        <f t="shared" si="180"/>
        <v>0</v>
      </c>
      <c r="X305" s="50"/>
      <c r="Y305" s="50">
        <f t="shared" si="181"/>
        <v>0</v>
      </c>
      <c r="Z305" s="50"/>
      <c r="AA305" s="50">
        <f t="shared" si="182"/>
        <v>0</v>
      </c>
      <c r="AB305" s="50">
        <f t="shared" si="183"/>
        <v>0</v>
      </c>
      <c r="AC305" s="28" t="str">
        <f t="shared" si="184"/>
        <v>ok</v>
      </c>
    </row>
    <row r="306" spans="1:29" x14ac:dyDescent="0.25">
      <c r="A306" s="14" t="s">
        <v>579</v>
      </c>
      <c r="C306" s="14" t="s">
        <v>468</v>
      </c>
      <c r="D306" s="14" t="s">
        <v>16</v>
      </c>
      <c r="F306" s="50">
        <v>3723283</v>
      </c>
      <c r="H306" s="50">
        <f t="shared" si="171"/>
        <v>0</v>
      </c>
      <c r="I306" s="50">
        <f t="shared" si="172"/>
        <v>0</v>
      </c>
      <c r="J306" s="50"/>
      <c r="K306" s="50">
        <f t="shared" si="173"/>
        <v>0</v>
      </c>
      <c r="L306" s="50"/>
      <c r="M306" s="50">
        <f t="shared" si="174"/>
        <v>31581.01091845052</v>
      </c>
      <c r="N306" s="50"/>
      <c r="O306" s="50">
        <f t="shared" si="175"/>
        <v>2145816.5604510433</v>
      </c>
      <c r="P306" s="50">
        <f t="shared" si="176"/>
        <v>892729.74472494225</v>
      </c>
      <c r="Q306" s="50"/>
      <c r="R306" s="50">
        <f t="shared" si="177"/>
        <v>0</v>
      </c>
      <c r="S306" s="50">
        <f t="shared" si="178"/>
        <v>393487.815167883</v>
      </c>
      <c r="T306" s="50"/>
      <c r="U306" s="50">
        <f t="shared" si="179"/>
        <v>141813.06065440492</v>
      </c>
      <c r="V306" s="50"/>
      <c r="W306" s="50">
        <f t="shared" si="180"/>
        <v>117854.8080832764</v>
      </c>
      <c r="X306" s="50"/>
      <c r="Y306" s="50">
        <f t="shared" si="181"/>
        <v>0</v>
      </c>
      <c r="Z306" s="50"/>
      <c r="AA306" s="50">
        <f t="shared" si="182"/>
        <v>0</v>
      </c>
      <c r="AB306" s="50">
        <f t="shared" si="183"/>
        <v>3723283.0000000005</v>
      </c>
      <c r="AC306" s="28" t="str">
        <f t="shared" si="184"/>
        <v>ok</v>
      </c>
    </row>
    <row r="307" spans="1:29" x14ac:dyDescent="0.25">
      <c r="A307" s="14" t="s">
        <v>81</v>
      </c>
      <c r="C307" s="14" t="s">
        <v>414</v>
      </c>
      <c r="D307" s="14" t="s">
        <v>70</v>
      </c>
      <c r="F307" s="50">
        <v>196350</v>
      </c>
      <c r="H307" s="50">
        <f t="shared" si="171"/>
        <v>0</v>
      </c>
      <c r="I307" s="50">
        <f t="shared" si="172"/>
        <v>0</v>
      </c>
      <c r="J307" s="50"/>
      <c r="K307" s="50">
        <f t="shared" si="173"/>
        <v>0</v>
      </c>
      <c r="L307" s="50"/>
      <c r="M307" s="50">
        <f t="shared" si="174"/>
        <v>1665.4472662534006</v>
      </c>
      <c r="N307" s="50"/>
      <c r="O307" s="50">
        <f t="shared" si="175"/>
        <v>113161.17567334053</v>
      </c>
      <c r="P307" s="50">
        <f t="shared" si="176"/>
        <v>47078.74351123521</v>
      </c>
      <c r="Q307" s="50"/>
      <c r="R307" s="50">
        <f t="shared" si="177"/>
        <v>0</v>
      </c>
      <c r="S307" s="50">
        <f t="shared" si="178"/>
        <v>20750.862211713113</v>
      </c>
      <c r="T307" s="50"/>
      <c r="U307" s="50">
        <f t="shared" si="179"/>
        <v>7478.6134869394591</v>
      </c>
      <c r="V307" s="50"/>
      <c r="W307" s="50">
        <f t="shared" si="180"/>
        <v>6215.1578505182997</v>
      </c>
      <c r="X307" s="50"/>
      <c r="Y307" s="50">
        <f t="shared" si="181"/>
        <v>0</v>
      </c>
      <c r="Z307" s="50"/>
      <c r="AA307" s="50">
        <f t="shared" si="182"/>
        <v>0</v>
      </c>
      <c r="AB307" s="50">
        <f>SUM(H307:AA307)</f>
        <v>196350</v>
      </c>
      <c r="AC307" s="28" t="str">
        <f>IF(ABS(AB307-F307)&lt;1,"ok","err")</f>
        <v>ok</v>
      </c>
    </row>
    <row r="308" spans="1:29" x14ac:dyDescent="0.25">
      <c r="A308" s="14" t="s">
        <v>764</v>
      </c>
      <c r="C308" s="14" t="s">
        <v>414</v>
      </c>
      <c r="D308" s="14" t="s">
        <v>70</v>
      </c>
      <c r="F308" s="50">
        <v>0</v>
      </c>
      <c r="H308" s="50">
        <f t="shared" si="171"/>
        <v>0</v>
      </c>
      <c r="I308" s="50">
        <f t="shared" si="172"/>
        <v>0</v>
      </c>
      <c r="J308" s="50"/>
      <c r="K308" s="50">
        <f t="shared" si="173"/>
        <v>0</v>
      </c>
      <c r="L308" s="50"/>
      <c r="M308" s="50">
        <f t="shared" si="174"/>
        <v>0</v>
      </c>
      <c r="N308" s="50"/>
      <c r="O308" s="50">
        <f t="shared" si="175"/>
        <v>0</v>
      </c>
      <c r="P308" s="50">
        <f t="shared" si="176"/>
        <v>0</v>
      </c>
      <c r="Q308" s="50"/>
      <c r="R308" s="50">
        <f t="shared" si="177"/>
        <v>0</v>
      </c>
      <c r="S308" s="50">
        <f t="shared" si="178"/>
        <v>0</v>
      </c>
      <c r="T308" s="50"/>
      <c r="U308" s="50">
        <f t="shared" si="179"/>
        <v>0</v>
      </c>
      <c r="V308" s="50"/>
      <c r="W308" s="50">
        <f t="shared" si="180"/>
        <v>0</v>
      </c>
      <c r="X308" s="50"/>
      <c r="Y308" s="50">
        <f t="shared" si="181"/>
        <v>0</v>
      </c>
      <c r="Z308" s="50"/>
      <c r="AA308" s="50">
        <f t="shared" si="182"/>
        <v>0</v>
      </c>
      <c r="AB308" s="50">
        <f>SUM(H308:AA308)</f>
        <v>0</v>
      </c>
      <c r="AC308" s="28" t="str">
        <f>IF(ABS(AB308-F308)&lt;1,"ok","err")</f>
        <v>ok</v>
      </c>
    </row>
    <row r="309" spans="1:29" x14ac:dyDescent="0.25">
      <c r="A309" s="14" t="s">
        <v>386</v>
      </c>
      <c r="C309" s="14" t="s">
        <v>415</v>
      </c>
      <c r="D309" s="14" t="s">
        <v>391</v>
      </c>
      <c r="F309" s="50">
        <v>0</v>
      </c>
      <c r="H309" s="50">
        <f t="shared" si="171"/>
        <v>0</v>
      </c>
      <c r="I309" s="50">
        <f t="shared" si="172"/>
        <v>0</v>
      </c>
      <c r="J309" s="50"/>
      <c r="K309" s="50">
        <f t="shared" si="173"/>
        <v>0</v>
      </c>
      <c r="L309" s="50"/>
      <c r="M309" s="50">
        <f t="shared" si="174"/>
        <v>0</v>
      </c>
      <c r="N309" s="50"/>
      <c r="O309" s="50">
        <f t="shared" si="175"/>
        <v>0</v>
      </c>
      <c r="P309" s="50">
        <f t="shared" si="176"/>
        <v>0</v>
      </c>
      <c r="Q309" s="50"/>
      <c r="R309" s="50">
        <f t="shared" si="177"/>
        <v>0</v>
      </c>
      <c r="S309" s="50">
        <f t="shared" si="178"/>
        <v>0</v>
      </c>
      <c r="T309" s="50"/>
      <c r="U309" s="50">
        <f t="shared" si="179"/>
        <v>0</v>
      </c>
      <c r="V309" s="50"/>
      <c r="W309" s="50">
        <f t="shared" si="180"/>
        <v>0</v>
      </c>
      <c r="X309" s="50"/>
      <c r="Y309" s="50">
        <f t="shared" si="181"/>
        <v>0</v>
      </c>
      <c r="Z309" s="50"/>
      <c r="AA309" s="50">
        <f t="shared" si="182"/>
        <v>0</v>
      </c>
      <c r="AB309" s="50">
        <f>SUM(H309:AA309)</f>
        <v>0</v>
      </c>
      <c r="AC309" s="28" t="str">
        <f>IF(ABS(AB309-F309)&lt;1,"ok","err")</f>
        <v>ok</v>
      </c>
    </row>
    <row r="310" spans="1:29" x14ac:dyDescent="0.25">
      <c r="A310" s="14" t="s">
        <v>387</v>
      </c>
      <c r="C310" s="14" t="s">
        <v>416</v>
      </c>
      <c r="D310" s="14" t="s">
        <v>16</v>
      </c>
      <c r="F310" s="50">
        <v>0</v>
      </c>
      <c r="H310" s="50">
        <f t="shared" si="171"/>
        <v>0</v>
      </c>
      <c r="I310" s="50">
        <f t="shared" si="172"/>
        <v>0</v>
      </c>
      <c r="J310" s="50"/>
      <c r="K310" s="50">
        <f t="shared" si="173"/>
        <v>0</v>
      </c>
      <c r="L310" s="50"/>
      <c r="M310" s="50">
        <f t="shared" si="174"/>
        <v>0</v>
      </c>
      <c r="N310" s="50"/>
      <c r="O310" s="50">
        <f t="shared" si="175"/>
        <v>0</v>
      </c>
      <c r="P310" s="50">
        <f t="shared" si="176"/>
        <v>0</v>
      </c>
      <c r="Q310" s="50"/>
      <c r="R310" s="50">
        <f t="shared" si="177"/>
        <v>0</v>
      </c>
      <c r="S310" s="50">
        <f t="shared" si="178"/>
        <v>0</v>
      </c>
      <c r="T310" s="50"/>
      <c r="U310" s="50">
        <f t="shared" si="179"/>
        <v>0</v>
      </c>
      <c r="V310" s="50"/>
      <c r="W310" s="50">
        <f t="shared" si="180"/>
        <v>0</v>
      </c>
      <c r="X310" s="50"/>
      <c r="Y310" s="50">
        <f t="shared" si="181"/>
        <v>0</v>
      </c>
      <c r="Z310" s="50"/>
      <c r="AA310" s="50">
        <f t="shared" si="182"/>
        <v>0</v>
      </c>
      <c r="AB310" s="50">
        <f>SUM(H310:AA310)</f>
        <v>0</v>
      </c>
      <c r="AC310" s="28" t="str">
        <f>IF(ABS(AB310-F310)&lt;1,"ok","err")</f>
        <v>ok</v>
      </c>
    </row>
    <row r="311" spans="1:29" x14ac:dyDescent="0.25">
      <c r="F311" s="50"/>
      <c r="AC311" s="28"/>
    </row>
    <row r="312" spans="1:29" x14ac:dyDescent="0.25">
      <c r="A312" s="14" t="s">
        <v>185</v>
      </c>
      <c r="C312" s="14" t="s">
        <v>186</v>
      </c>
      <c r="F312" s="67">
        <f>SUM(F293:F311)</f>
        <v>3919633</v>
      </c>
      <c r="H312" s="50">
        <f>SUM(H293:H311)</f>
        <v>0</v>
      </c>
      <c r="I312" s="50">
        <f>SUM(I293:I311)</f>
        <v>0</v>
      </c>
      <c r="J312" s="50"/>
      <c r="K312" s="50">
        <f>SUM(K293:K311)</f>
        <v>0</v>
      </c>
      <c r="M312" s="50">
        <f>SUM(M293:M311)</f>
        <v>33246.458184703923</v>
      </c>
      <c r="O312" s="50">
        <f>SUM(O293:O311)</f>
        <v>2258977.7361243838</v>
      </c>
      <c r="P312" s="50">
        <f>SUM(P293:P311)</f>
        <v>939808.48823617748</v>
      </c>
      <c r="R312" s="50">
        <f>SUM(R293:R311)</f>
        <v>0</v>
      </c>
      <c r="S312" s="50">
        <f>SUM(S293:S311)</f>
        <v>414238.67737959611</v>
      </c>
      <c r="U312" s="50">
        <f>SUM(U293:U311)</f>
        <v>149291.67414134438</v>
      </c>
      <c r="W312" s="50">
        <f>SUM(W293:W311)</f>
        <v>124069.96593379469</v>
      </c>
      <c r="Y312" s="50">
        <f>SUM(Y293:Y311)</f>
        <v>0</v>
      </c>
      <c r="AA312" s="50">
        <f>SUM(AA293:AA311)</f>
        <v>0</v>
      </c>
      <c r="AB312" s="50">
        <f>SUM(H312:AA312)</f>
        <v>3919633.0000000005</v>
      </c>
      <c r="AC312" s="28" t="str">
        <f>IF(ABS(AB312-F312)&lt;1,"ok","err")</f>
        <v>ok</v>
      </c>
    </row>
    <row r="313" spans="1:29" x14ac:dyDescent="0.25">
      <c r="F313" s="50"/>
      <c r="AC313" s="28"/>
    </row>
    <row r="314" spans="1:29" x14ac:dyDescent="0.25">
      <c r="A314" s="14" t="s">
        <v>187</v>
      </c>
      <c r="C314" s="14" t="s">
        <v>188</v>
      </c>
      <c r="D314" s="14" t="s">
        <v>84</v>
      </c>
      <c r="F314" s="67">
        <v>0</v>
      </c>
      <c r="H314" s="50">
        <f>IF(VLOOKUP($D314,$C$5:$AA$492,6,)=0,0,((VLOOKUP($D314,$C$5:$AA$492,6,)/VLOOKUP($D314,$C$5:$AA$492,4,))*$F314))</f>
        <v>0</v>
      </c>
      <c r="I314" s="50">
        <f>IF(VLOOKUP($D314,$C$5:$AA$492,7,)=0,0,((VLOOKUP($D314,$C$5:$AA$492,7,)/VLOOKUP($D314,$C$5:$AA$492,4,))*$F314))</f>
        <v>0</v>
      </c>
      <c r="J314" s="50"/>
      <c r="K314" s="50">
        <f>IF(VLOOKUP($D314,$C$5:$AA$492,9,)=0,0,((VLOOKUP($D314,$C$5:$AA$492,9,)/VLOOKUP($D314,$C$5:$AA$492,4,))*$F314))</f>
        <v>0</v>
      </c>
      <c r="L314" s="50"/>
      <c r="M314" s="50">
        <f>IF(VLOOKUP($D314,$C$5:$AA$492,11,)=0,0,((VLOOKUP($D314,$C$5:$AA$492,11,)/VLOOKUP($D314,$C$5:$AA$492,4,))*$F314))</f>
        <v>0</v>
      </c>
      <c r="N314" s="50"/>
      <c r="O314" s="50">
        <f>IF(VLOOKUP($D314,$C$5:$AA$492,13,)=0,0,((VLOOKUP($D314,$C$5:$AA$492,13,)/VLOOKUP($D314,$C$5:$AA$492,4,))*$F314))</f>
        <v>0</v>
      </c>
      <c r="P314" s="50">
        <f>IF(VLOOKUP($D314,$C$5:$AA$492,14,)=0,0,((VLOOKUP($D314,$C$5:$AA$492,14,)/VLOOKUP($D314,$C$5:$AA$492,4,))*$F314))</f>
        <v>0</v>
      </c>
      <c r="Q314" s="50"/>
      <c r="R314" s="50">
        <f>IF(VLOOKUP($D314,$C$5:$AA$492,16,)=0,0,((VLOOKUP($D314,$C$5:$AA$492,16,)/VLOOKUP($D314,$C$5:$AA$492,4,))*$F314))</f>
        <v>0</v>
      </c>
      <c r="S314" s="50">
        <f>IF(VLOOKUP($D314,$C$5:$AA$492,17,)=0,0,((VLOOKUP($D314,$C$5:$AA$492,17,)/VLOOKUP($D314,$C$5:$AA$492,4,))*$F314))</f>
        <v>0</v>
      </c>
      <c r="T314" s="50"/>
      <c r="U314" s="50">
        <f>IF(VLOOKUP($D314,$C$5:$AA$492,19,)=0,0,((VLOOKUP($D314,$C$5:$AA$492,19,)/VLOOKUP($D314,$C$5:$AA$492,4,))*$F314))</f>
        <v>0</v>
      </c>
      <c r="V314" s="50"/>
      <c r="W314" s="50">
        <f>IF(VLOOKUP($D314,$C$5:$AA$492,21,)=0,0,((VLOOKUP($D314,$C$5:$AA$492,21,)/VLOOKUP($D314,$C$5:$AA$492,4,))*$F314))</f>
        <v>0</v>
      </c>
      <c r="X314" s="50"/>
      <c r="Y314" s="50">
        <f>IF(VLOOKUP($D314,$C$5:$AA$492,23,)=0,0,((VLOOKUP($D314,$C$5:$AA$492,23,)/VLOOKUP($D314,$C$5:$AA$492,4,))*$F314))</f>
        <v>0</v>
      </c>
      <c r="Z314" s="50"/>
      <c r="AA314" s="50">
        <f>IF(VLOOKUP($D314,$C$5:$AA$492,25,)=0,0,((VLOOKUP($D314,$C$5:$AA$492,25,)/VLOOKUP($D314,$C$5:$AA$492,4,))*$F314))</f>
        <v>0</v>
      </c>
      <c r="AB314" s="50">
        <f>SUM(H314:AA314)</f>
        <v>0</v>
      </c>
      <c r="AC314" s="28" t="str">
        <f>IF(ABS(AB314-F314)&lt;1,"ok","err")</f>
        <v>ok</v>
      </c>
    </row>
    <row r="315" spans="1:29" x14ac:dyDescent="0.25">
      <c r="AC315" s="28"/>
    </row>
    <row r="316" spans="1:29" x14ac:dyDescent="0.25">
      <c r="A316" s="14" t="s">
        <v>1009</v>
      </c>
      <c r="C316" s="14" t="s">
        <v>189</v>
      </c>
      <c r="D316" s="14" t="s">
        <v>84</v>
      </c>
      <c r="F316" s="67">
        <v>44865</v>
      </c>
      <c r="G316" s="67">
        <v>600157</v>
      </c>
      <c r="H316" s="50">
        <f>IF(VLOOKUP($D316,$C$5:$AA$492,6,)=0,0,((VLOOKUP($D316,$C$5:$AA$492,6,)/VLOOKUP($D316,$C$5:$AA$492,4,))*$F316))</f>
        <v>0</v>
      </c>
      <c r="I316" s="50">
        <f>IF(VLOOKUP($D316,$C$5:$AA$492,7,)=0,0,((VLOOKUP($D316,$C$5:$AA$492,7,)/VLOOKUP($D316,$C$5:$AA$492,4,))*$F316))</f>
        <v>0</v>
      </c>
      <c r="J316" s="50"/>
      <c r="K316" s="50">
        <f>IF(VLOOKUP($D316,$C$5:$AA$492,9,)=0,0,((VLOOKUP($D316,$C$5:$AA$492,9,)/VLOOKUP($D316,$C$5:$AA$492,4,))*$F316))</f>
        <v>0</v>
      </c>
      <c r="L316" s="50"/>
      <c r="M316" s="50">
        <f>IF(VLOOKUP($D316,$C$5:$AA$492,11,)=0,0,((VLOOKUP($D316,$C$5:$AA$492,11,)/VLOOKUP($D316,$C$5:$AA$492,4,))*$F316))</f>
        <v>380.54643035629647</v>
      </c>
      <c r="N316" s="50"/>
      <c r="O316" s="50">
        <f>IF(VLOOKUP($D316,$C$5:$AA$492,13,)=0,0,((VLOOKUP($D316,$C$5:$AA$492,13,)/VLOOKUP($D316,$C$5:$AA$492,4,))*$F316))</f>
        <v>25856.766725665504</v>
      </c>
      <c r="P316" s="50">
        <f>IF(VLOOKUP($D316,$C$5:$AA$492,14,)=0,0,((VLOOKUP($D316,$C$5:$AA$492,14,)/VLOOKUP($D316,$C$5:$AA$492,4,))*$F316))</f>
        <v>10757.259117043894</v>
      </c>
      <c r="Q316" s="50"/>
      <c r="R316" s="50">
        <f>IF(VLOOKUP($D316,$C$5:$AA$492,16,)=0,0,((VLOOKUP($D316,$C$5:$AA$492,16,)/VLOOKUP($D316,$C$5:$AA$492,4,))*$F316))</f>
        <v>0</v>
      </c>
      <c r="S316" s="50">
        <f>IF(VLOOKUP($D316,$C$5:$AA$492,17,)=0,0,((VLOOKUP($D316,$C$5:$AA$492,17,)/VLOOKUP($D316,$C$5:$AA$492,4,))*$F316))</f>
        <v>4741.4689744258148</v>
      </c>
      <c r="T316" s="50"/>
      <c r="U316" s="50">
        <f>IF(VLOOKUP($D316,$C$5:$AA$492,19,)=0,0,((VLOOKUP($D316,$C$5:$AA$492,19,)/VLOOKUP($D316,$C$5:$AA$492,4,))*$F316))</f>
        <v>1708.8260457934239</v>
      </c>
      <c r="V316" s="50"/>
      <c r="W316" s="50">
        <f>IF(VLOOKUP($D316,$C$5:$AA$492,21,)=0,0,((VLOOKUP($D316,$C$5:$AA$492,21,)/VLOOKUP($D316,$C$5:$AA$492,4,))*$F316))</f>
        <v>1420.1327067150671</v>
      </c>
      <c r="X316" s="50"/>
      <c r="Y316" s="50">
        <f>IF(VLOOKUP($D316,$C$5:$AA$492,23,)=0,0,((VLOOKUP($D316,$C$5:$AA$492,23,)/VLOOKUP($D316,$C$5:$AA$492,4,))*$F316))</f>
        <v>0</v>
      </c>
      <c r="Z316" s="50"/>
      <c r="AA316" s="50">
        <f>IF(VLOOKUP($D316,$C$5:$AA$492,25,)=0,0,((VLOOKUP($D316,$C$5:$AA$492,25,)/VLOOKUP($D316,$C$5:$AA$492,4,))*$F316))</f>
        <v>0</v>
      </c>
      <c r="AB316" s="50">
        <f>SUM(H316:AA316)</f>
        <v>44865</v>
      </c>
      <c r="AC316" s="28" t="str">
        <f>IF(ABS(AB316-F316)&lt;1,"ok","err")</f>
        <v>ok</v>
      </c>
    </row>
    <row r="317" spans="1:29" x14ac:dyDescent="0.25">
      <c r="Q317" s="14"/>
    </row>
    <row r="318" spans="1:29" x14ac:dyDescent="0.25">
      <c r="A318" s="14" t="s">
        <v>190</v>
      </c>
      <c r="C318" s="14" t="s">
        <v>191</v>
      </c>
      <c r="D318" s="14" t="s">
        <v>84</v>
      </c>
      <c r="F318" s="67">
        <v>2134628</v>
      </c>
      <c r="H318" s="50">
        <f>IF(VLOOKUP($D318,$C$5:$AA$492,6,)=0,0,((VLOOKUP($D318,$C$5:$AA$492,6,)/VLOOKUP($D318,$C$5:$AA$492,4,))*$F318))</f>
        <v>0</v>
      </c>
      <c r="I318" s="50">
        <f>IF(VLOOKUP($D318,$C$5:$AA$492,7,)=0,0,((VLOOKUP($D318,$C$5:$AA$492,7,)/VLOOKUP($D318,$C$5:$AA$492,4,))*$F318))</f>
        <v>0</v>
      </c>
      <c r="J318" s="50"/>
      <c r="K318" s="50">
        <f>IF(VLOOKUP($D318,$C$5:$AA$492,9,)=0,0,((VLOOKUP($D318,$C$5:$AA$492,9,)/VLOOKUP($D318,$C$5:$AA$492,4,))*$F318))</f>
        <v>0</v>
      </c>
      <c r="L318" s="50"/>
      <c r="M318" s="50">
        <f>IF(VLOOKUP($D318,$C$5:$AA$492,11,)=0,0,((VLOOKUP($D318,$C$5:$AA$492,11,)/VLOOKUP($D318,$C$5:$AA$492,4,))*$F318))</f>
        <v>18105.986081323983</v>
      </c>
      <c r="N318" s="50"/>
      <c r="O318" s="50">
        <f>IF(VLOOKUP($D318,$C$5:$AA$492,13,)=0,0,((VLOOKUP($D318,$C$5:$AA$492,13,)/VLOOKUP($D318,$C$5:$AA$492,4,))*$F318))</f>
        <v>1230236.8938387141</v>
      </c>
      <c r="P318" s="50">
        <f>IF(VLOOKUP($D318,$C$5:$AA$492,14,)=0,0,((VLOOKUP($D318,$C$5:$AA$492,14,)/VLOOKUP($D318,$C$5:$AA$492,4,))*$F318))</f>
        <v>511818.71201375622</v>
      </c>
      <c r="Q318" s="50"/>
      <c r="R318" s="50">
        <f>IF(VLOOKUP($D318,$C$5:$AA$492,16,)=0,0,((VLOOKUP($D318,$C$5:$AA$492,16,)/VLOOKUP($D318,$C$5:$AA$492,4,))*$F318))</f>
        <v>0</v>
      </c>
      <c r="S318" s="50">
        <f>IF(VLOOKUP($D318,$C$5:$AA$492,17,)=0,0,((VLOOKUP($D318,$C$5:$AA$492,17,)/VLOOKUP($D318,$C$5:$AA$492,4,))*$F318))</f>
        <v>225593.94703980006</v>
      </c>
      <c r="T318" s="50"/>
      <c r="U318" s="50">
        <f>IF(VLOOKUP($D318,$C$5:$AA$492,19,)=0,0,((VLOOKUP($D318,$C$5:$AA$492,19,)/VLOOKUP($D318,$C$5:$AA$492,4,))*$F318))</f>
        <v>81304.088364647818</v>
      </c>
      <c r="V318" s="50"/>
      <c r="W318" s="50">
        <f>IF(VLOOKUP($D318,$C$5:$AA$492,21,)=0,0,((VLOOKUP($D318,$C$5:$AA$492,21,)/VLOOKUP($D318,$C$5:$AA$492,4,))*$F318))</f>
        <v>67568.372661757952</v>
      </c>
      <c r="X318" s="50"/>
      <c r="Y318" s="50">
        <f>IF(VLOOKUP($D318,$C$5:$AA$492,23,)=0,0,((VLOOKUP($D318,$C$5:$AA$492,23,)/VLOOKUP($D318,$C$5:$AA$492,4,))*$F318))</f>
        <v>0</v>
      </c>
      <c r="Z318" s="50"/>
      <c r="AA318" s="50">
        <f>IF(VLOOKUP($D318,$C$5:$AA$492,25,)=0,0,((VLOOKUP($D318,$C$5:$AA$492,25,)/VLOOKUP($D318,$C$5:$AA$492,4,))*$F318))</f>
        <v>0</v>
      </c>
      <c r="AB318" s="50">
        <f>SUM(H318:AA318)</f>
        <v>2134628</v>
      </c>
      <c r="AC318" s="28" t="str">
        <f>IF(ABS(AB318-F318)&lt;1,"ok","err")</f>
        <v>ok</v>
      </c>
    </row>
    <row r="319" spans="1:29" x14ac:dyDescent="0.25">
      <c r="AC319" s="28"/>
    </row>
    <row r="320" spans="1:29" x14ac:dyDescent="0.25">
      <c r="A320" s="14" t="s">
        <v>192</v>
      </c>
      <c r="C320" s="14" t="s">
        <v>193</v>
      </c>
      <c r="D320" s="14" t="s">
        <v>84</v>
      </c>
      <c r="F320" s="67">
        <v>23555</v>
      </c>
      <c r="H320" s="50">
        <f>IF(VLOOKUP($D320,$C$5:$AA$492,6,)=0,0,((VLOOKUP($D320,$C$5:$AA$492,6,)/VLOOKUP($D320,$C$5:$AA$492,4,))*$F320))</f>
        <v>0</v>
      </c>
      <c r="I320" s="50">
        <f>IF(VLOOKUP($D320,$C$5:$AA$492,7,)=0,0,((VLOOKUP($D320,$C$5:$AA$492,7,)/VLOOKUP($D320,$C$5:$AA$492,4,))*$F320))</f>
        <v>0</v>
      </c>
      <c r="J320" s="50"/>
      <c r="K320" s="50">
        <f>IF(VLOOKUP($D320,$C$5:$AA$492,9,)=0,0,((VLOOKUP($D320,$C$5:$AA$492,9,)/VLOOKUP($D320,$C$5:$AA$492,4,))*$F320))</f>
        <v>0</v>
      </c>
      <c r="L320" s="50"/>
      <c r="M320" s="50">
        <f>IF(VLOOKUP($D320,$C$5:$AA$492,11,)=0,0,((VLOOKUP($D320,$C$5:$AA$492,11,)/VLOOKUP($D320,$C$5:$AA$492,4,))*$F320))</f>
        <v>199.79429771631703</v>
      </c>
      <c r="N320" s="50"/>
      <c r="O320" s="50">
        <f>IF(VLOOKUP($D320,$C$5:$AA$492,13,)=0,0,((VLOOKUP($D320,$C$5:$AA$492,13,)/VLOOKUP($D320,$C$5:$AA$492,4,))*$F320))</f>
        <v>13575.306814288442</v>
      </c>
      <c r="P320" s="50">
        <f>IF(VLOOKUP($D320,$C$5:$AA$492,14,)=0,0,((VLOOKUP($D320,$C$5:$AA$492,14,)/VLOOKUP($D320,$C$5:$AA$492,4,))*$F320))</f>
        <v>5647.7708347702865</v>
      </c>
      <c r="Q320" s="50"/>
      <c r="R320" s="50">
        <f>IF(VLOOKUP($D320,$C$5:$AA$492,16,)=0,0,((VLOOKUP($D320,$C$5:$AA$492,16,)/VLOOKUP($D320,$C$5:$AA$492,4,))*$F320))</f>
        <v>0</v>
      </c>
      <c r="S320" s="50">
        <f>IF(VLOOKUP($D320,$C$5:$AA$492,17,)=0,0,((VLOOKUP($D320,$C$5:$AA$492,17,)/VLOOKUP($D320,$C$5:$AA$492,4,))*$F320))</f>
        <v>2489.3636842215551</v>
      </c>
      <c r="T320" s="50"/>
      <c r="U320" s="50">
        <f>IF(VLOOKUP($D320,$C$5:$AA$492,19,)=0,0,((VLOOKUP($D320,$C$5:$AA$492,19,)/VLOOKUP($D320,$C$5:$AA$492,4,))*$F320))</f>
        <v>897.16700119612381</v>
      </c>
      <c r="V320" s="50"/>
      <c r="W320" s="50">
        <f>IF(VLOOKUP($D320,$C$5:$AA$492,21,)=0,0,((VLOOKUP($D320,$C$5:$AA$492,21,)/VLOOKUP($D320,$C$5:$AA$492,4,))*$F320))</f>
        <v>745.5973678072753</v>
      </c>
      <c r="X320" s="50"/>
      <c r="Y320" s="50">
        <f>IF(VLOOKUP($D320,$C$5:$AA$492,23,)=0,0,((VLOOKUP($D320,$C$5:$AA$492,23,)/VLOOKUP($D320,$C$5:$AA$492,4,))*$F320))</f>
        <v>0</v>
      </c>
      <c r="Z320" s="50"/>
      <c r="AA320" s="50">
        <f>IF(VLOOKUP($D320,$C$5:$AA$492,25,)=0,0,((VLOOKUP($D320,$C$5:$AA$492,25,)/VLOOKUP($D320,$C$5:$AA$492,4,))*$F320))</f>
        <v>0</v>
      </c>
      <c r="AB320" s="50">
        <f>SUM(H320:AA320)</f>
        <v>23555.000000000004</v>
      </c>
      <c r="AC320" s="28" t="str">
        <f>IF(ABS(AB320-F320)&lt;1,"ok","err")</f>
        <v>ok</v>
      </c>
    </row>
    <row r="321" spans="1:29" x14ac:dyDescent="0.25"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0"/>
      <c r="AC321" s="28"/>
    </row>
    <row r="322" spans="1:29" x14ac:dyDescent="0.25">
      <c r="A322" s="14" t="s">
        <v>194</v>
      </c>
      <c r="C322" s="14" t="s">
        <v>856</v>
      </c>
      <c r="D322" s="14" t="s">
        <v>84</v>
      </c>
      <c r="F322" s="67">
        <v>55730</v>
      </c>
      <c r="H322" s="50">
        <f>IF(VLOOKUP($D322,$C$5:$AA$492,6,)=0,0,((VLOOKUP($D322,$C$5:$AA$492,6,)/VLOOKUP($D322,$C$5:$AA$492,4,))*$F322))</f>
        <v>0</v>
      </c>
      <c r="I322" s="50">
        <f>IF(VLOOKUP($D322,$C$5:$AA$492,7,)=0,0,((VLOOKUP($D322,$C$5:$AA$492,7,)/VLOOKUP($D322,$C$5:$AA$492,4,))*$F322))</f>
        <v>0</v>
      </c>
      <c r="J322" s="50"/>
      <c r="K322" s="50">
        <f>IF(VLOOKUP($D322,$C$5:$AA$492,9,)=0,0,((VLOOKUP($D322,$C$5:$AA$492,9,)/VLOOKUP($D322,$C$5:$AA$492,4,))*$F322))</f>
        <v>0</v>
      </c>
      <c r="L322" s="50"/>
      <c r="M322" s="50">
        <f>IF(VLOOKUP($D322,$C$5:$AA$492,11,)=0,0,((VLOOKUP($D322,$C$5:$AA$492,11,)/VLOOKUP($D322,$C$5:$AA$492,4,))*$F322))</f>
        <v>472.70372369901713</v>
      </c>
      <c r="N322" s="50"/>
      <c r="O322" s="50">
        <f>IF(VLOOKUP($D322,$C$5:$AA$492,13,)=0,0,((VLOOKUP($D322,$C$5:$AA$492,13,)/VLOOKUP($D322,$C$5:$AA$492,4,))*$F322))</f>
        <v>32118.524676726593</v>
      </c>
      <c r="P322" s="50">
        <f>IF(VLOOKUP($D322,$C$5:$AA$492,14,)=0,0,((VLOOKUP($D322,$C$5:$AA$492,14,)/VLOOKUP($D322,$C$5:$AA$492,4,))*$F322))</f>
        <v>13362.354855518917</v>
      </c>
      <c r="Q322" s="50"/>
      <c r="R322" s="50">
        <f>IF(VLOOKUP($D322,$C$5:$AA$492,16,)=0,0,((VLOOKUP($D322,$C$5:$AA$492,16,)/VLOOKUP($D322,$C$5:$AA$492,4,))*$F322))</f>
        <v>0</v>
      </c>
      <c r="S322" s="50">
        <f>IF(VLOOKUP($D322,$C$5:$AA$492,17,)=0,0,((VLOOKUP($D322,$C$5:$AA$492,17,)/VLOOKUP($D322,$C$5:$AA$492,4,))*$F322))</f>
        <v>5889.7150550484939</v>
      </c>
      <c r="T322" s="50"/>
      <c r="U322" s="50">
        <f>IF(VLOOKUP($D322,$C$5:$AA$492,19,)=0,0,((VLOOKUP($D322,$C$5:$AA$492,19,)/VLOOKUP($D322,$C$5:$AA$492,4,))*$F322))</f>
        <v>2122.6540851904047</v>
      </c>
      <c r="V322" s="50"/>
      <c r="W322" s="50">
        <f>IF(VLOOKUP($D322,$C$5:$AA$492,21,)=0,0,((VLOOKUP($D322,$C$5:$AA$492,21,)/VLOOKUP($D322,$C$5:$AA$492,4,))*$F322))</f>
        <v>1764.0476038165764</v>
      </c>
      <c r="X322" s="50"/>
      <c r="Y322" s="50">
        <f>IF(VLOOKUP($D322,$C$5:$AA$492,23,)=0,0,((VLOOKUP($D322,$C$5:$AA$492,23,)/VLOOKUP($D322,$C$5:$AA$492,4,))*$F322))</f>
        <v>0</v>
      </c>
      <c r="Z322" s="50"/>
      <c r="AA322" s="50">
        <f>IF(VLOOKUP($D322,$C$5:$AA$492,25,)=0,0,((VLOOKUP($D322,$C$5:$AA$492,25,)/VLOOKUP($D322,$C$5:$AA$492,4,))*$F322))</f>
        <v>0</v>
      </c>
      <c r="AB322" s="50">
        <f>SUM(H322:AA322)</f>
        <v>55730.000000000007</v>
      </c>
      <c r="AC322" s="28" t="str">
        <f>IF(ABS(AB322-F322)&lt;1,"ok","err")</f>
        <v>ok</v>
      </c>
    </row>
    <row r="323" spans="1:29" x14ac:dyDescent="0.25"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0"/>
      <c r="AC323" s="28"/>
    </row>
    <row r="324" spans="1:29" x14ac:dyDescent="0.25">
      <c r="A324" s="13" t="s">
        <v>195</v>
      </c>
      <c r="C324" s="14" t="s">
        <v>196</v>
      </c>
      <c r="F324" s="90">
        <f>SUM(F312:F323)</f>
        <v>6178411</v>
      </c>
      <c r="G324" s="90"/>
      <c r="H324" s="90">
        <f>SUM(H312:H323)</f>
        <v>0</v>
      </c>
      <c r="I324" s="90">
        <f>SUM(I312:I323)</f>
        <v>0</v>
      </c>
      <c r="J324" s="90"/>
      <c r="K324" s="90">
        <f>SUM(K312:K323)</f>
        <v>0</v>
      </c>
      <c r="L324" s="90"/>
      <c r="M324" s="90">
        <f>SUM(M312:M323)</f>
        <v>52405.488717799541</v>
      </c>
      <c r="N324" s="90"/>
      <c r="O324" s="90">
        <f>SUM(O312:O323)</f>
        <v>3560765.228179778</v>
      </c>
      <c r="P324" s="90">
        <f>SUM(P312:P323)</f>
        <v>1481394.585057267</v>
      </c>
      <c r="Q324" s="90">
        <f>SUM(Q312:Q323)</f>
        <v>0</v>
      </c>
      <c r="R324" s="90">
        <f>SUM(R312:R323)</f>
        <v>0</v>
      </c>
      <c r="S324" s="90">
        <f>SUM(S312:S323)</f>
        <v>652953.17213309195</v>
      </c>
      <c r="T324" s="90" t="e">
        <f>T312+T314+T316+T318+T322+#REF!</f>
        <v>#REF!</v>
      </c>
      <c r="U324" s="90">
        <f>SUM(U312:U323)</f>
        <v>235324.40963817216</v>
      </c>
      <c r="V324" s="90" t="e">
        <f>V312+V314+V316+V318+V322+#REF!</f>
        <v>#REF!</v>
      </c>
      <c r="W324" s="90">
        <f>SUM(W312:W323)</f>
        <v>195568.11627389156</v>
      </c>
      <c r="X324" s="90" t="e">
        <f>X312+X314+X316+X318+X322+#REF!</f>
        <v>#REF!</v>
      </c>
      <c r="Y324" s="90">
        <f>SUM(Y312:Y323)</f>
        <v>0</v>
      </c>
      <c r="Z324" s="90" t="e">
        <f>Z312+Z314+Z316+Z318+Z322+#REF!</f>
        <v>#REF!</v>
      </c>
      <c r="AA324" s="90">
        <f>SUM(AA312:AA323)</f>
        <v>0</v>
      </c>
      <c r="AB324" s="50" t="e">
        <f>SUM(H324:AA324)</f>
        <v>#REF!</v>
      </c>
      <c r="AC324" s="28" t="e">
        <f>IF(ABS(AB324-F324)&lt;1,"ok","err")</f>
        <v>#REF!</v>
      </c>
    </row>
    <row r="325" spans="1:29" x14ac:dyDescent="0.25">
      <c r="D325" s="90"/>
      <c r="AC325" s="28"/>
    </row>
    <row r="326" spans="1:29" x14ac:dyDescent="0.25">
      <c r="A326" s="13" t="s">
        <v>388</v>
      </c>
      <c r="F326" s="90">
        <f>F285+F324</f>
        <v>55104707.18</v>
      </c>
      <c r="G326" s="90">
        <f>G285+G324</f>
        <v>0</v>
      </c>
      <c r="H326" s="90">
        <f>H285+H324</f>
        <v>9006886.8765010126</v>
      </c>
      <c r="I326" s="90">
        <f>I285+I324</f>
        <v>32964492.123498984</v>
      </c>
      <c r="J326" s="90"/>
      <c r="K326" s="90">
        <f>K285+K324</f>
        <v>0</v>
      </c>
      <c r="L326" s="90"/>
      <c r="M326" s="90">
        <f>M285+M324</f>
        <v>62251.849548151709</v>
      </c>
      <c r="N326" s="90"/>
      <c r="O326" s="90">
        <f t="shared" ref="O326:AA326" si="185">O285+O324</f>
        <v>7625504.38566483</v>
      </c>
      <c r="P326" s="90">
        <f t="shared" si="185"/>
        <v>2586776.2206589831</v>
      </c>
      <c r="Q326" s="90">
        <f t="shared" si="185"/>
        <v>0</v>
      </c>
      <c r="R326" s="90">
        <f t="shared" si="185"/>
        <v>0</v>
      </c>
      <c r="S326" s="90">
        <f t="shared" si="185"/>
        <v>1018714.9750912738</v>
      </c>
      <c r="T326" s="90" t="e">
        <f t="shared" si="185"/>
        <v>#REF!</v>
      </c>
      <c r="U326" s="90">
        <f t="shared" si="185"/>
        <v>563413.68983956706</v>
      </c>
      <c r="V326" s="90" t="e">
        <f t="shared" si="185"/>
        <v>#REF!</v>
      </c>
      <c r="W326" s="90">
        <f t="shared" si="185"/>
        <v>234353.99522871067</v>
      </c>
      <c r="X326" s="90" t="e">
        <f t="shared" si="185"/>
        <v>#REF!</v>
      </c>
      <c r="Y326" s="90">
        <f t="shared" si="185"/>
        <v>1041506.8847499352</v>
      </c>
      <c r="Z326" s="90" t="e">
        <f t="shared" si="185"/>
        <v>#REF!</v>
      </c>
      <c r="AA326" s="90">
        <f t="shared" si="185"/>
        <v>806.17921854920337</v>
      </c>
      <c r="AB326" s="50" t="e">
        <f>SUM(H326:AA326)</f>
        <v>#REF!</v>
      </c>
      <c r="AC326" s="28" t="e">
        <f>IF(ABS(AB326-F326)&lt;1,"ok","err")</f>
        <v>#REF!</v>
      </c>
    </row>
    <row r="327" spans="1:29" x14ac:dyDescent="0.25">
      <c r="F327" s="90"/>
      <c r="AC327" s="28"/>
    </row>
    <row r="328" spans="1:29" x14ac:dyDescent="0.25">
      <c r="AC328" s="28"/>
    </row>
    <row r="329" spans="1:29" x14ac:dyDescent="0.25">
      <c r="AC329" s="28"/>
    </row>
    <row r="330" spans="1:29" x14ac:dyDescent="0.25">
      <c r="A330" s="26" t="s">
        <v>182</v>
      </c>
      <c r="Q330" s="14"/>
      <c r="AC330" s="28"/>
    </row>
    <row r="331" spans="1:29" x14ac:dyDescent="0.25">
      <c r="A331" s="26"/>
      <c r="Q331" s="14"/>
      <c r="AC331" s="28"/>
    </row>
    <row r="332" spans="1:29" x14ac:dyDescent="0.25">
      <c r="A332" s="13" t="s">
        <v>787</v>
      </c>
      <c r="Q332" s="14"/>
      <c r="AC332" s="28"/>
    </row>
    <row r="333" spans="1:29" x14ac:dyDescent="0.25">
      <c r="A333" s="14">
        <v>500</v>
      </c>
      <c r="B333" s="14" t="s">
        <v>792</v>
      </c>
      <c r="C333" s="14" t="s">
        <v>839</v>
      </c>
      <c r="D333" s="14" t="s">
        <v>781</v>
      </c>
      <c r="F333" s="67">
        <v>0</v>
      </c>
      <c r="H333" s="50">
        <f t="shared" ref="H333:H341" si="186">IF(VLOOKUP($D333,$C$5:$AA$492,6,)=0,0,((VLOOKUP($D333,$C$5:$AA$492,6,)/VLOOKUP($D333,$C$5:$AA$492,4,))*$F333))</f>
        <v>0</v>
      </c>
      <c r="I333" s="50">
        <f t="shared" ref="I333:I341" si="187">IF(VLOOKUP($D333,$C$5:$AA$492,7,)=0,0,((VLOOKUP($D333,$C$5:$AA$492,7,)/VLOOKUP($D333,$C$5:$AA$492,4,))*$F333))</f>
        <v>0</v>
      </c>
      <c r="J333" s="50"/>
      <c r="K333" s="50">
        <f t="shared" ref="K333:K341" si="188">IF(VLOOKUP($D333,$C$5:$AA$492,9,)=0,0,((VLOOKUP($D333,$C$5:$AA$492,9,)/VLOOKUP($D333,$C$5:$AA$492,4,))*$F333))</f>
        <v>0</v>
      </c>
      <c r="L333" s="50"/>
      <c r="M333" s="50">
        <f t="shared" ref="M333:M341" si="189">IF(VLOOKUP($D333,$C$5:$AA$492,11,)=0,0,((VLOOKUP($D333,$C$5:$AA$492,11,)/VLOOKUP($D333,$C$5:$AA$492,4,))*$F333))</f>
        <v>0</v>
      </c>
      <c r="N333" s="50"/>
      <c r="O333" s="50">
        <f t="shared" ref="O333:O341" si="190">IF(VLOOKUP($D333,$C$5:$AA$492,13,)=0,0,((VLOOKUP($D333,$C$5:$AA$492,13,)/VLOOKUP($D333,$C$5:$AA$492,4,))*$F333))</f>
        <v>0</v>
      </c>
      <c r="P333" s="50">
        <f t="shared" ref="P333:P341" si="191">IF(VLOOKUP($D333,$C$5:$AA$492,14,)=0,0,((VLOOKUP($D333,$C$5:$AA$492,14,)/VLOOKUP($D333,$C$5:$AA$492,4,))*$F333))</f>
        <v>0</v>
      </c>
      <c r="Q333" s="50"/>
      <c r="R333" s="50">
        <f t="shared" ref="R333:R341" si="192">IF(VLOOKUP($D333,$C$5:$AA$492,16,)=0,0,((VLOOKUP($D333,$C$5:$AA$492,16,)/VLOOKUP($D333,$C$5:$AA$492,4,))*$F333))</f>
        <v>0</v>
      </c>
      <c r="S333" s="50">
        <f t="shared" ref="S333:S341" si="193">IF(VLOOKUP($D333,$C$5:$AA$492,17,)=0,0,((VLOOKUP($D333,$C$5:$AA$492,17,)/VLOOKUP($D333,$C$5:$AA$492,4,))*$F333))</f>
        <v>0</v>
      </c>
      <c r="T333" s="50"/>
      <c r="U333" s="50">
        <f t="shared" ref="U333:U341" si="194">IF(VLOOKUP($D333,$C$5:$AA$492,19,)=0,0,((VLOOKUP($D333,$C$5:$AA$492,19,)/VLOOKUP($D333,$C$5:$AA$492,4,))*$F333))</f>
        <v>0</v>
      </c>
      <c r="V333" s="50"/>
      <c r="W333" s="50">
        <f t="shared" ref="W333:W341" si="195">IF(VLOOKUP($D333,$C$5:$AA$492,21,)=0,0,((VLOOKUP($D333,$C$5:$AA$492,21,)/VLOOKUP($D333,$C$5:$AA$492,4,))*$F333))</f>
        <v>0</v>
      </c>
      <c r="X333" s="50"/>
      <c r="Y333" s="50">
        <f t="shared" ref="Y333:Y341" si="196">IF(VLOOKUP($D333,$C$5:$AA$492,23,)=0,0,((VLOOKUP($D333,$C$5:$AA$492,23,)/VLOOKUP($D333,$C$5:$AA$492,4,))*$F333))</f>
        <v>0</v>
      </c>
      <c r="Z333" s="50"/>
      <c r="AA333" s="50">
        <f t="shared" ref="AA333:AA341" si="197">IF(VLOOKUP($D333,$C$5:$AA$492,25,)=0,0,((VLOOKUP($D333,$C$5:$AA$492,25,)/VLOOKUP($D333,$C$5:$AA$492,4,))*$F333))</f>
        <v>0</v>
      </c>
      <c r="AB333" s="50">
        <f t="shared" ref="AB333:AB341" si="198">SUM(H333:AA333)</f>
        <v>0</v>
      </c>
      <c r="AC333" s="28" t="str">
        <f t="shared" ref="AC333:AC341" si="199">IF(ABS(AB333-F333)&lt;1,"ok","err")</f>
        <v>ok</v>
      </c>
    </row>
    <row r="334" spans="1:29" x14ac:dyDescent="0.25">
      <c r="A334" s="14">
        <v>501</v>
      </c>
      <c r="B334" s="14" t="s">
        <v>793</v>
      </c>
      <c r="C334" s="14" t="s">
        <v>840</v>
      </c>
      <c r="D334" s="14" t="s">
        <v>785</v>
      </c>
      <c r="F334" s="50">
        <v>0</v>
      </c>
      <c r="H334" s="50">
        <f t="shared" si="186"/>
        <v>0</v>
      </c>
      <c r="I334" s="50">
        <f t="shared" si="187"/>
        <v>0</v>
      </c>
      <c r="J334" s="50"/>
      <c r="K334" s="50">
        <f t="shared" si="188"/>
        <v>0</v>
      </c>
      <c r="L334" s="50"/>
      <c r="M334" s="50">
        <f t="shared" si="189"/>
        <v>0</v>
      </c>
      <c r="N334" s="50"/>
      <c r="O334" s="50">
        <f t="shared" si="190"/>
        <v>0</v>
      </c>
      <c r="P334" s="50">
        <f t="shared" si="191"/>
        <v>0</v>
      </c>
      <c r="Q334" s="50"/>
      <c r="R334" s="50">
        <f t="shared" si="192"/>
        <v>0</v>
      </c>
      <c r="S334" s="50">
        <f t="shared" si="193"/>
        <v>0</v>
      </c>
      <c r="T334" s="50"/>
      <c r="U334" s="50">
        <f t="shared" si="194"/>
        <v>0</v>
      </c>
      <c r="V334" s="50"/>
      <c r="W334" s="50">
        <f t="shared" si="195"/>
        <v>0</v>
      </c>
      <c r="X334" s="50"/>
      <c r="Y334" s="50">
        <f t="shared" si="196"/>
        <v>0</v>
      </c>
      <c r="Z334" s="50"/>
      <c r="AA334" s="50">
        <f t="shared" si="197"/>
        <v>0</v>
      </c>
      <c r="AB334" s="50">
        <f t="shared" si="198"/>
        <v>0</v>
      </c>
      <c r="AC334" s="28" t="str">
        <f t="shared" si="199"/>
        <v>ok</v>
      </c>
    </row>
    <row r="335" spans="1:29" x14ac:dyDescent="0.25">
      <c r="A335" s="14">
        <v>502</v>
      </c>
      <c r="B335" s="14" t="s">
        <v>794</v>
      </c>
      <c r="C335" s="14" t="s">
        <v>841</v>
      </c>
      <c r="D335" s="14" t="s">
        <v>551</v>
      </c>
      <c r="F335" s="50">
        <v>0</v>
      </c>
      <c r="H335" s="50">
        <f t="shared" si="186"/>
        <v>0</v>
      </c>
      <c r="I335" s="50">
        <f t="shared" si="187"/>
        <v>0</v>
      </c>
      <c r="J335" s="50"/>
      <c r="K335" s="50">
        <f t="shared" si="188"/>
        <v>0</v>
      </c>
      <c r="L335" s="50"/>
      <c r="M335" s="50">
        <f t="shared" si="189"/>
        <v>0</v>
      </c>
      <c r="N335" s="50"/>
      <c r="O335" s="50">
        <f t="shared" si="190"/>
        <v>0</v>
      </c>
      <c r="P335" s="50">
        <f t="shared" si="191"/>
        <v>0</v>
      </c>
      <c r="Q335" s="50"/>
      <c r="R335" s="50">
        <f t="shared" si="192"/>
        <v>0</v>
      </c>
      <c r="S335" s="50">
        <f t="shared" si="193"/>
        <v>0</v>
      </c>
      <c r="T335" s="50"/>
      <c r="U335" s="50">
        <f t="shared" si="194"/>
        <v>0</v>
      </c>
      <c r="V335" s="50"/>
      <c r="W335" s="50">
        <f t="shared" si="195"/>
        <v>0</v>
      </c>
      <c r="X335" s="50"/>
      <c r="Y335" s="50">
        <f t="shared" si="196"/>
        <v>0</v>
      </c>
      <c r="Z335" s="50"/>
      <c r="AA335" s="50">
        <f t="shared" si="197"/>
        <v>0</v>
      </c>
      <c r="AB335" s="50">
        <f t="shared" si="198"/>
        <v>0</v>
      </c>
      <c r="AC335" s="28" t="str">
        <f t="shared" si="199"/>
        <v>ok</v>
      </c>
    </row>
    <row r="336" spans="1:29" x14ac:dyDescent="0.25">
      <c r="A336" s="14">
        <v>503</v>
      </c>
      <c r="B336" s="14" t="s">
        <v>795</v>
      </c>
      <c r="C336" s="14" t="s">
        <v>842</v>
      </c>
      <c r="D336" s="14" t="s">
        <v>551</v>
      </c>
      <c r="F336" s="50">
        <v>0</v>
      </c>
      <c r="H336" s="50">
        <f t="shared" si="186"/>
        <v>0</v>
      </c>
      <c r="I336" s="50">
        <f t="shared" si="187"/>
        <v>0</v>
      </c>
      <c r="J336" s="50"/>
      <c r="K336" s="50">
        <f t="shared" si="188"/>
        <v>0</v>
      </c>
      <c r="L336" s="50"/>
      <c r="M336" s="50">
        <f t="shared" si="189"/>
        <v>0</v>
      </c>
      <c r="N336" s="50"/>
      <c r="O336" s="50">
        <f t="shared" si="190"/>
        <v>0</v>
      </c>
      <c r="P336" s="50">
        <f t="shared" si="191"/>
        <v>0</v>
      </c>
      <c r="Q336" s="50"/>
      <c r="R336" s="50">
        <f t="shared" si="192"/>
        <v>0</v>
      </c>
      <c r="S336" s="50">
        <f t="shared" si="193"/>
        <v>0</v>
      </c>
      <c r="T336" s="50"/>
      <c r="U336" s="50">
        <f t="shared" si="194"/>
        <v>0</v>
      </c>
      <c r="V336" s="50"/>
      <c r="W336" s="50">
        <f t="shared" si="195"/>
        <v>0</v>
      </c>
      <c r="X336" s="50"/>
      <c r="Y336" s="50">
        <f t="shared" si="196"/>
        <v>0</v>
      </c>
      <c r="Z336" s="50"/>
      <c r="AA336" s="50">
        <f t="shared" si="197"/>
        <v>0</v>
      </c>
      <c r="AB336" s="50">
        <f t="shared" si="198"/>
        <v>0</v>
      </c>
      <c r="AC336" s="28" t="str">
        <f t="shared" si="199"/>
        <v>ok</v>
      </c>
    </row>
    <row r="337" spans="1:29" x14ac:dyDescent="0.25">
      <c r="A337" s="14">
        <v>504</v>
      </c>
      <c r="B337" s="14" t="s">
        <v>796</v>
      </c>
      <c r="C337" s="14" t="s">
        <v>843</v>
      </c>
      <c r="D337" s="14" t="s">
        <v>551</v>
      </c>
      <c r="F337" s="50">
        <v>0</v>
      </c>
      <c r="H337" s="50">
        <f t="shared" si="186"/>
        <v>0</v>
      </c>
      <c r="I337" s="50">
        <f t="shared" si="187"/>
        <v>0</v>
      </c>
      <c r="J337" s="50"/>
      <c r="K337" s="50">
        <f t="shared" si="188"/>
        <v>0</v>
      </c>
      <c r="L337" s="50"/>
      <c r="M337" s="50">
        <f t="shared" si="189"/>
        <v>0</v>
      </c>
      <c r="N337" s="50"/>
      <c r="O337" s="50">
        <f t="shared" si="190"/>
        <v>0</v>
      </c>
      <c r="P337" s="50">
        <f t="shared" si="191"/>
        <v>0</v>
      </c>
      <c r="Q337" s="50"/>
      <c r="R337" s="50">
        <f t="shared" si="192"/>
        <v>0</v>
      </c>
      <c r="S337" s="50">
        <f t="shared" si="193"/>
        <v>0</v>
      </c>
      <c r="T337" s="50"/>
      <c r="U337" s="50">
        <f t="shared" si="194"/>
        <v>0</v>
      </c>
      <c r="V337" s="50"/>
      <c r="W337" s="50">
        <f t="shared" si="195"/>
        <v>0</v>
      </c>
      <c r="X337" s="50"/>
      <c r="Y337" s="50">
        <f t="shared" si="196"/>
        <v>0</v>
      </c>
      <c r="Z337" s="50"/>
      <c r="AA337" s="50">
        <f t="shared" si="197"/>
        <v>0</v>
      </c>
      <c r="AB337" s="50">
        <f t="shared" si="198"/>
        <v>0</v>
      </c>
      <c r="AC337" s="28" t="str">
        <f t="shared" si="199"/>
        <v>ok</v>
      </c>
    </row>
    <row r="338" spans="1:29" x14ac:dyDescent="0.25">
      <c r="A338" s="14">
        <v>505</v>
      </c>
      <c r="B338" s="14" t="s">
        <v>797</v>
      </c>
      <c r="C338" s="14" t="s">
        <v>844</v>
      </c>
      <c r="D338" s="14" t="s">
        <v>551</v>
      </c>
      <c r="F338" s="50">
        <v>0</v>
      </c>
      <c r="H338" s="50">
        <f t="shared" si="186"/>
        <v>0</v>
      </c>
      <c r="I338" s="50">
        <f t="shared" si="187"/>
        <v>0</v>
      </c>
      <c r="J338" s="50"/>
      <c r="K338" s="50">
        <f t="shared" si="188"/>
        <v>0</v>
      </c>
      <c r="L338" s="50"/>
      <c r="M338" s="50">
        <f t="shared" si="189"/>
        <v>0</v>
      </c>
      <c r="N338" s="50"/>
      <c r="O338" s="50">
        <f t="shared" si="190"/>
        <v>0</v>
      </c>
      <c r="P338" s="50">
        <f t="shared" si="191"/>
        <v>0</v>
      </c>
      <c r="Q338" s="50"/>
      <c r="R338" s="50">
        <f t="shared" si="192"/>
        <v>0</v>
      </c>
      <c r="S338" s="50">
        <f t="shared" si="193"/>
        <v>0</v>
      </c>
      <c r="T338" s="50"/>
      <c r="U338" s="50">
        <f t="shared" si="194"/>
        <v>0</v>
      </c>
      <c r="V338" s="50"/>
      <c r="W338" s="50">
        <f t="shared" si="195"/>
        <v>0</v>
      </c>
      <c r="X338" s="50"/>
      <c r="Y338" s="50">
        <f t="shared" si="196"/>
        <v>0</v>
      </c>
      <c r="Z338" s="50"/>
      <c r="AA338" s="50">
        <f t="shared" si="197"/>
        <v>0</v>
      </c>
      <c r="AB338" s="50">
        <f t="shared" si="198"/>
        <v>0</v>
      </c>
      <c r="AC338" s="28" t="str">
        <f t="shared" si="199"/>
        <v>ok</v>
      </c>
    </row>
    <row r="339" spans="1:29" x14ac:dyDescent="0.25">
      <c r="A339" s="14">
        <v>506</v>
      </c>
      <c r="B339" s="14" t="s">
        <v>798</v>
      </c>
      <c r="C339" s="14" t="s">
        <v>845</v>
      </c>
      <c r="D339" s="14" t="s">
        <v>551</v>
      </c>
      <c r="F339" s="50">
        <v>0</v>
      </c>
      <c r="H339" s="50">
        <f t="shared" si="186"/>
        <v>0</v>
      </c>
      <c r="I339" s="50">
        <f t="shared" si="187"/>
        <v>0</v>
      </c>
      <c r="J339" s="50"/>
      <c r="K339" s="50">
        <f t="shared" si="188"/>
        <v>0</v>
      </c>
      <c r="L339" s="50"/>
      <c r="M339" s="50">
        <f t="shared" si="189"/>
        <v>0</v>
      </c>
      <c r="N339" s="50"/>
      <c r="O339" s="50">
        <f t="shared" si="190"/>
        <v>0</v>
      </c>
      <c r="P339" s="50">
        <f t="shared" si="191"/>
        <v>0</v>
      </c>
      <c r="Q339" s="50"/>
      <c r="R339" s="50">
        <f t="shared" si="192"/>
        <v>0</v>
      </c>
      <c r="S339" s="50">
        <f t="shared" si="193"/>
        <v>0</v>
      </c>
      <c r="T339" s="50"/>
      <c r="U339" s="50">
        <f t="shared" si="194"/>
        <v>0</v>
      </c>
      <c r="V339" s="50"/>
      <c r="W339" s="50">
        <f t="shared" si="195"/>
        <v>0</v>
      </c>
      <c r="X339" s="50"/>
      <c r="Y339" s="50">
        <f t="shared" si="196"/>
        <v>0</v>
      </c>
      <c r="Z339" s="50"/>
      <c r="AA339" s="50">
        <f t="shared" si="197"/>
        <v>0</v>
      </c>
      <c r="AB339" s="50">
        <f t="shared" si="198"/>
        <v>0</v>
      </c>
      <c r="AC339" s="28" t="str">
        <f t="shared" si="199"/>
        <v>ok</v>
      </c>
    </row>
    <row r="340" spans="1:29" x14ac:dyDescent="0.25">
      <c r="A340" s="14">
        <v>507</v>
      </c>
      <c r="B340" s="14" t="s">
        <v>114</v>
      </c>
      <c r="C340" s="14" t="s">
        <v>846</v>
      </c>
      <c r="D340" s="14" t="s">
        <v>551</v>
      </c>
      <c r="F340" s="50">
        <v>0</v>
      </c>
      <c r="H340" s="50">
        <f t="shared" si="186"/>
        <v>0</v>
      </c>
      <c r="I340" s="50">
        <f t="shared" si="187"/>
        <v>0</v>
      </c>
      <c r="J340" s="50"/>
      <c r="K340" s="50">
        <f t="shared" si="188"/>
        <v>0</v>
      </c>
      <c r="L340" s="50"/>
      <c r="M340" s="50">
        <f t="shared" si="189"/>
        <v>0</v>
      </c>
      <c r="N340" s="50"/>
      <c r="O340" s="50">
        <f t="shared" si="190"/>
        <v>0</v>
      </c>
      <c r="P340" s="50">
        <f t="shared" si="191"/>
        <v>0</v>
      </c>
      <c r="Q340" s="50"/>
      <c r="R340" s="50">
        <f t="shared" si="192"/>
        <v>0</v>
      </c>
      <c r="S340" s="50">
        <f t="shared" si="193"/>
        <v>0</v>
      </c>
      <c r="T340" s="50"/>
      <c r="U340" s="50">
        <f t="shared" si="194"/>
        <v>0</v>
      </c>
      <c r="V340" s="50"/>
      <c r="W340" s="50">
        <f t="shared" si="195"/>
        <v>0</v>
      </c>
      <c r="X340" s="50"/>
      <c r="Y340" s="50">
        <f t="shared" si="196"/>
        <v>0</v>
      </c>
      <c r="Z340" s="50"/>
      <c r="AA340" s="50">
        <f t="shared" si="197"/>
        <v>0</v>
      </c>
      <c r="AB340" s="50">
        <f t="shared" si="198"/>
        <v>0</v>
      </c>
      <c r="AC340" s="28" t="str">
        <f t="shared" si="199"/>
        <v>ok</v>
      </c>
    </row>
    <row r="341" spans="1:29" x14ac:dyDescent="0.25">
      <c r="A341" s="14">
        <v>509</v>
      </c>
      <c r="B341" s="14" t="s">
        <v>799</v>
      </c>
      <c r="C341" s="14" t="s">
        <v>847</v>
      </c>
      <c r="D341" s="14" t="s">
        <v>785</v>
      </c>
      <c r="F341" s="50">
        <v>0</v>
      </c>
      <c r="H341" s="50">
        <f t="shared" si="186"/>
        <v>0</v>
      </c>
      <c r="I341" s="50">
        <f t="shared" si="187"/>
        <v>0</v>
      </c>
      <c r="J341" s="50"/>
      <c r="K341" s="50">
        <f t="shared" si="188"/>
        <v>0</v>
      </c>
      <c r="L341" s="50"/>
      <c r="M341" s="50">
        <f t="shared" si="189"/>
        <v>0</v>
      </c>
      <c r="N341" s="50"/>
      <c r="O341" s="50">
        <f t="shared" si="190"/>
        <v>0</v>
      </c>
      <c r="P341" s="50">
        <f t="shared" si="191"/>
        <v>0</v>
      </c>
      <c r="Q341" s="50"/>
      <c r="R341" s="50">
        <f t="shared" si="192"/>
        <v>0</v>
      </c>
      <c r="S341" s="50">
        <f t="shared" si="193"/>
        <v>0</v>
      </c>
      <c r="T341" s="50"/>
      <c r="U341" s="50">
        <f t="shared" si="194"/>
        <v>0</v>
      </c>
      <c r="V341" s="50"/>
      <c r="W341" s="50">
        <f t="shared" si="195"/>
        <v>0</v>
      </c>
      <c r="X341" s="50"/>
      <c r="Y341" s="50">
        <f t="shared" si="196"/>
        <v>0</v>
      </c>
      <c r="Z341" s="50"/>
      <c r="AA341" s="50">
        <f t="shared" si="197"/>
        <v>0</v>
      </c>
      <c r="AB341" s="50">
        <f t="shared" si="198"/>
        <v>0</v>
      </c>
      <c r="AC341" s="28" t="str">
        <f t="shared" si="199"/>
        <v>ok</v>
      </c>
    </row>
    <row r="342" spans="1:29" x14ac:dyDescent="0.25"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C342" s="28"/>
    </row>
    <row r="343" spans="1:29" x14ac:dyDescent="0.25">
      <c r="A343" s="14" t="s">
        <v>791</v>
      </c>
      <c r="C343" s="14" t="s">
        <v>848</v>
      </c>
      <c r="F343" s="67">
        <f>SUM(F333:F342)</f>
        <v>0</v>
      </c>
      <c r="H343" s="67">
        <f>SUM(H333:H342)</f>
        <v>0</v>
      </c>
      <c r="I343" s="67">
        <f>SUM(I333:I342)</f>
        <v>0</v>
      </c>
      <c r="J343" s="67"/>
      <c r="K343" s="67">
        <f>SUM(K333:K342)</f>
        <v>0</v>
      </c>
      <c r="L343" s="67"/>
      <c r="M343" s="67">
        <f>SUM(M333:M342)</f>
        <v>0</v>
      </c>
      <c r="N343" s="67"/>
      <c r="O343" s="67">
        <f>SUM(O333:O342)</f>
        <v>0</v>
      </c>
      <c r="P343" s="67">
        <f>SUM(P333:P342)</f>
        <v>0</v>
      </c>
      <c r="Q343" s="67"/>
      <c r="R343" s="67">
        <f>SUM(R333:R342)</f>
        <v>0</v>
      </c>
      <c r="S343" s="67">
        <f>SUM(S333:S342)</f>
        <v>0</v>
      </c>
      <c r="T343" s="67"/>
      <c r="U343" s="67">
        <f>SUM(U333:U342)</f>
        <v>0</v>
      </c>
      <c r="V343" s="67"/>
      <c r="W343" s="67">
        <f>SUM(W333:W342)</f>
        <v>0</v>
      </c>
      <c r="X343" s="67"/>
      <c r="Y343" s="67">
        <f>SUM(Y333:Y342)</f>
        <v>0</v>
      </c>
      <c r="Z343" s="67"/>
      <c r="AA343" s="67">
        <f>SUM(AA333:AA342)</f>
        <v>0</v>
      </c>
      <c r="AB343" s="50">
        <f>SUM(H343:AA343)</f>
        <v>0</v>
      </c>
      <c r="AC343" s="28" t="str">
        <f>IF(ABS(AB343-F343)&lt;1,"ok","err")</f>
        <v>ok</v>
      </c>
    </row>
    <row r="344" spans="1:29" x14ac:dyDescent="0.25">
      <c r="A344" s="13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C344" s="28"/>
    </row>
    <row r="345" spans="1:29" x14ac:dyDescent="0.25">
      <c r="A345" s="13" t="s">
        <v>788</v>
      </c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C345" s="28"/>
    </row>
    <row r="346" spans="1:29" x14ac:dyDescent="0.25">
      <c r="A346" s="14">
        <v>510</v>
      </c>
      <c r="B346" s="14" t="s">
        <v>800</v>
      </c>
      <c r="C346" s="14" t="s">
        <v>849</v>
      </c>
      <c r="D346" s="14" t="s">
        <v>785</v>
      </c>
      <c r="F346" s="67">
        <v>0</v>
      </c>
      <c r="H346" s="50">
        <f>IF(VLOOKUP($D346,$C$5:$AA$492,6,)=0,0,((VLOOKUP($D346,$C$5:$AA$492,6,)/VLOOKUP($D346,$C$5:$AA$492,4,))*$F346))</f>
        <v>0</v>
      </c>
      <c r="I346" s="50">
        <f>IF(VLOOKUP($D346,$C$5:$AA$492,7,)=0,0,((VLOOKUP($D346,$C$5:$AA$492,7,)/VLOOKUP($D346,$C$5:$AA$492,4,))*$F346))</f>
        <v>0</v>
      </c>
      <c r="J346" s="50"/>
      <c r="K346" s="50">
        <f>IF(VLOOKUP($D346,$C$5:$AA$492,9,)=0,0,((VLOOKUP($D346,$C$5:$AA$492,9,)/VLOOKUP($D346,$C$5:$AA$492,4,))*$F346))</f>
        <v>0</v>
      </c>
      <c r="L346" s="50"/>
      <c r="M346" s="50">
        <f>IF(VLOOKUP($D346,$C$5:$AA$492,11,)=0,0,((VLOOKUP($D346,$C$5:$AA$492,11,)/VLOOKUP($D346,$C$5:$AA$492,4,))*$F346))</f>
        <v>0</v>
      </c>
      <c r="N346" s="50"/>
      <c r="O346" s="50">
        <f>IF(VLOOKUP($D346,$C$5:$AA$492,13,)=0,0,((VLOOKUP($D346,$C$5:$AA$492,13,)/VLOOKUP($D346,$C$5:$AA$492,4,))*$F346))</f>
        <v>0</v>
      </c>
      <c r="P346" s="50">
        <f>IF(VLOOKUP($D346,$C$5:$AA$492,14,)=0,0,((VLOOKUP($D346,$C$5:$AA$492,14,)/VLOOKUP($D346,$C$5:$AA$492,4,))*$F346))</f>
        <v>0</v>
      </c>
      <c r="Q346" s="50"/>
      <c r="R346" s="50">
        <f>IF(VLOOKUP($D346,$C$5:$AA$492,16,)=0,0,((VLOOKUP($D346,$C$5:$AA$492,16,)/VLOOKUP($D346,$C$5:$AA$492,4,))*$F346))</f>
        <v>0</v>
      </c>
      <c r="S346" s="50">
        <f>IF(VLOOKUP($D346,$C$5:$AA$492,17,)=0,0,((VLOOKUP($D346,$C$5:$AA$492,17,)/VLOOKUP($D346,$C$5:$AA$492,4,))*$F346))</f>
        <v>0</v>
      </c>
      <c r="T346" s="50"/>
      <c r="U346" s="50">
        <f>IF(VLOOKUP($D346,$C$5:$AA$492,19,)=0,0,((VLOOKUP($D346,$C$5:$AA$492,19,)/VLOOKUP($D346,$C$5:$AA$492,4,))*$F346))</f>
        <v>0</v>
      </c>
      <c r="V346" s="50"/>
      <c r="W346" s="50">
        <f>IF(VLOOKUP($D346,$C$5:$AA$492,21,)=0,0,((VLOOKUP($D346,$C$5:$AA$492,21,)/VLOOKUP($D346,$C$5:$AA$492,4,))*$F346))</f>
        <v>0</v>
      </c>
      <c r="X346" s="50"/>
      <c r="Y346" s="50">
        <f>IF(VLOOKUP($D346,$C$5:$AA$492,23,)=0,0,((VLOOKUP($D346,$C$5:$AA$492,23,)/VLOOKUP($D346,$C$5:$AA$492,4,))*$F346))</f>
        <v>0</v>
      </c>
      <c r="Z346" s="50"/>
      <c r="AA346" s="50">
        <f>IF(VLOOKUP($D346,$C$5:$AA$492,25,)=0,0,((VLOOKUP($D346,$C$5:$AA$492,25,)/VLOOKUP($D346,$C$5:$AA$492,4,))*$F346))</f>
        <v>0</v>
      </c>
      <c r="AB346" s="50">
        <f>SUM(H346:AA346)</f>
        <v>0</v>
      </c>
      <c r="AC346" s="28" t="str">
        <f>IF(ABS(AB346-F346)&lt;1,"ok","err")</f>
        <v>ok</v>
      </c>
    </row>
    <row r="347" spans="1:29" x14ac:dyDescent="0.25">
      <c r="A347" s="14">
        <v>511</v>
      </c>
      <c r="B347" s="14" t="s">
        <v>801</v>
      </c>
      <c r="C347" s="14" t="s">
        <v>850</v>
      </c>
      <c r="D347" s="14" t="s">
        <v>551</v>
      </c>
      <c r="F347" s="50">
        <v>0</v>
      </c>
      <c r="H347" s="50">
        <f>IF(VLOOKUP($D347,$C$5:$AA$492,6,)=0,0,((VLOOKUP($D347,$C$5:$AA$492,6,)/VLOOKUP($D347,$C$5:$AA$492,4,))*$F347))</f>
        <v>0</v>
      </c>
      <c r="I347" s="50">
        <f>IF(VLOOKUP($D347,$C$5:$AA$492,7,)=0,0,((VLOOKUP($D347,$C$5:$AA$492,7,)/VLOOKUP($D347,$C$5:$AA$492,4,))*$F347))</f>
        <v>0</v>
      </c>
      <c r="J347" s="50"/>
      <c r="K347" s="50">
        <f>IF(VLOOKUP($D347,$C$5:$AA$492,9,)=0,0,((VLOOKUP($D347,$C$5:$AA$492,9,)/VLOOKUP($D347,$C$5:$AA$492,4,))*$F347))</f>
        <v>0</v>
      </c>
      <c r="L347" s="50"/>
      <c r="M347" s="50">
        <f>IF(VLOOKUP($D347,$C$5:$AA$492,11,)=0,0,((VLOOKUP($D347,$C$5:$AA$492,11,)/VLOOKUP($D347,$C$5:$AA$492,4,))*$F347))</f>
        <v>0</v>
      </c>
      <c r="N347" s="50"/>
      <c r="O347" s="50">
        <f>IF(VLOOKUP($D347,$C$5:$AA$492,13,)=0,0,((VLOOKUP($D347,$C$5:$AA$492,13,)/VLOOKUP($D347,$C$5:$AA$492,4,))*$F347))</f>
        <v>0</v>
      </c>
      <c r="P347" s="50">
        <f>IF(VLOOKUP($D347,$C$5:$AA$492,14,)=0,0,((VLOOKUP($D347,$C$5:$AA$492,14,)/VLOOKUP($D347,$C$5:$AA$492,4,))*$F347))</f>
        <v>0</v>
      </c>
      <c r="Q347" s="50"/>
      <c r="R347" s="50">
        <f>IF(VLOOKUP($D347,$C$5:$AA$492,16,)=0,0,((VLOOKUP($D347,$C$5:$AA$492,16,)/VLOOKUP($D347,$C$5:$AA$492,4,))*$F347))</f>
        <v>0</v>
      </c>
      <c r="S347" s="50">
        <f>IF(VLOOKUP($D347,$C$5:$AA$492,17,)=0,0,((VLOOKUP($D347,$C$5:$AA$492,17,)/VLOOKUP($D347,$C$5:$AA$492,4,))*$F347))</f>
        <v>0</v>
      </c>
      <c r="T347" s="50"/>
      <c r="U347" s="50">
        <f>IF(VLOOKUP($D347,$C$5:$AA$492,19,)=0,0,((VLOOKUP($D347,$C$5:$AA$492,19,)/VLOOKUP($D347,$C$5:$AA$492,4,))*$F347))</f>
        <v>0</v>
      </c>
      <c r="V347" s="50"/>
      <c r="W347" s="50">
        <f>IF(VLOOKUP($D347,$C$5:$AA$492,21,)=0,0,((VLOOKUP($D347,$C$5:$AA$492,21,)/VLOOKUP($D347,$C$5:$AA$492,4,))*$F347))</f>
        <v>0</v>
      </c>
      <c r="X347" s="50"/>
      <c r="Y347" s="50">
        <f>IF(VLOOKUP($D347,$C$5:$AA$492,23,)=0,0,((VLOOKUP($D347,$C$5:$AA$492,23,)/VLOOKUP($D347,$C$5:$AA$492,4,))*$F347))</f>
        <v>0</v>
      </c>
      <c r="Z347" s="50"/>
      <c r="AA347" s="50">
        <f>IF(VLOOKUP($D347,$C$5:$AA$492,25,)=0,0,((VLOOKUP($D347,$C$5:$AA$492,25,)/VLOOKUP($D347,$C$5:$AA$492,4,))*$F347))</f>
        <v>0</v>
      </c>
      <c r="AB347" s="50">
        <f>SUM(H347:AA347)</f>
        <v>0</v>
      </c>
      <c r="AC347" s="28" t="str">
        <f>IF(ABS(AB347-F347)&lt;1,"ok","err")</f>
        <v>ok</v>
      </c>
    </row>
    <row r="348" spans="1:29" x14ac:dyDescent="0.25">
      <c r="A348" s="14">
        <v>512</v>
      </c>
      <c r="B348" s="14" t="s">
        <v>802</v>
      </c>
      <c r="C348" s="14" t="s">
        <v>851</v>
      </c>
      <c r="D348" s="14" t="s">
        <v>785</v>
      </c>
      <c r="F348" s="50">
        <v>0</v>
      </c>
      <c r="H348" s="50">
        <f>IF(VLOOKUP($D348,$C$5:$AA$492,6,)=0,0,((VLOOKUP($D348,$C$5:$AA$492,6,)/VLOOKUP($D348,$C$5:$AA$492,4,))*$F348))</f>
        <v>0</v>
      </c>
      <c r="I348" s="50">
        <f>IF(VLOOKUP($D348,$C$5:$AA$492,7,)=0,0,((VLOOKUP($D348,$C$5:$AA$492,7,)/VLOOKUP($D348,$C$5:$AA$492,4,))*$F348))</f>
        <v>0</v>
      </c>
      <c r="J348" s="50"/>
      <c r="K348" s="50">
        <f>IF(VLOOKUP($D348,$C$5:$AA$492,9,)=0,0,((VLOOKUP($D348,$C$5:$AA$492,9,)/VLOOKUP($D348,$C$5:$AA$492,4,))*$F348))</f>
        <v>0</v>
      </c>
      <c r="L348" s="50"/>
      <c r="M348" s="50">
        <f>IF(VLOOKUP($D348,$C$5:$AA$492,11,)=0,0,((VLOOKUP($D348,$C$5:$AA$492,11,)/VLOOKUP($D348,$C$5:$AA$492,4,))*$F348))</f>
        <v>0</v>
      </c>
      <c r="N348" s="50"/>
      <c r="O348" s="50">
        <f>IF(VLOOKUP($D348,$C$5:$AA$492,13,)=0,0,((VLOOKUP($D348,$C$5:$AA$492,13,)/VLOOKUP($D348,$C$5:$AA$492,4,))*$F348))</f>
        <v>0</v>
      </c>
      <c r="P348" s="50">
        <f>IF(VLOOKUP($D348,$C$5:$AA$492,14,)=0,0,((VLOOKUP($D348,$C$5:$AA$492,14,)/VLOOKUP($D348,$C$5:$AA$492,4,))*$F348))</f>
        <v>0</v>
      </c>
      <c r="Q348" s="50"/>
      <c r="R348" s="50">
        <f>IF(VLOOKUP($D348,$C$5:$AA$492,16,)=0,0,((VLOOKUP($D348,$C$5:$AA$492,16,)/VLOOKUP($D348,$C$5:$AA$492,4,))*$F348))</f>
        <v>0</v>
      </c>
      <c r="S348" s="50">
        <f>IF(VLOOKUP($D348,$C$5:$AA$492,17,)=0,0,((VLOOKUP($D348,$C$5:$AA$492,17,)/VLOOKUP($D348,$C$5:$AA$492,4,))*$F348))</f>
        <v>0</v>
      </c>
      <c r="T348" s="50"/>
      <c r="U348" s="50">
        <f>IF(VLOOKUP($D348,$C$5:$AA$492,19,)=0,0,((VLOOKUP($D348,$C$5:$AA$492,19,)/VLOOKUP($D348,$C$5:$AA$492,4,))*$F348))</f>
        <v>0</v>
      </c>
      <c r="V348" s="50"/>
      <c r="W348" s="50">
        <f>IF(VLOOKUP($D348,$C$5:$AA$492,21,)=0,0,((VLOOKUP($D348,$C$5:$AA$492,21,)/VLOOKUP($D348,$C$5:$AA$492,4,))*$F348))</f>
        <v>0</v>
      </c>
      <c r="X348" s="50"/>
      <c r="Y348" s="50">
        <f>IF(VLOOKUP($D348,$C$5:$AA$492,23,)=0,0,((VLOOKUP($D348,$C$5:$AA$492,23,)/VLOOKUP($D348,$C$5:$AA$492,4,))*$F348))</f>
        <v>0</v>
      </c>
      <c r="Z348" s="50"/>
      <c r="AA348" s="50">
        <f>IF(VLOOKUP($D348,$C$5:$AA$492,25,)=0,0,((VLOOKUP($D348,$C$5:$AA$492,25,)/VLOOKUP($D348,$C$5:$AA$492,4,))*$F348))</f>
        <v>0</v>
      </c>
      <c r="AB348" s="50">
        <f>SUM(H348:AA348)</f>
        <v>0</v>
      </c>
      <c r="AC348" s="28" t="str">
        <f>IF(ABS(AB348-F348)&lt;1,"ok","err")</f>
        <v>ok</v>
      </c>
    </row>
    <row r="349" spans="1:29" x14ac:dyDescent="0.25">
      <c r="A349" s="14">
        <v>513</v>
      </c>
      <c r="B349" s="14" t="s">
        <v>803</v>
      </c>
      <c r="C349" s="14" t="s">
        <v>852</v>
      </c>
      <c r="D349" s="14" t="s">
        <v>785</v>
      </c>
      <c r="F349" s="50">
        <v>0</v>
      </c>
      <c r="H349" s="50">
        <f>IF(VLOOKUP($D349,$C$5:$AA$492,6,)=0,0,((VLOOKUP($D349,$C$5:$AA$492,6,)/VLOOKUP($D349,$C$5:$AA$492,4,))*$F349))</f>
        <v>0</v>
      </c>
      <c r="I349" s="50">
        <f>IF(VLOOKUP($D349,$C$5:$AA$492,7,)=0,0,((VLOOKUP($D349,$C$5:$AA$492,7,)/VLOOKUP($D349,$C$5:$AA$492,4,))*$F349))</f>
        <v>0</v>
      </c>
      <c r="J349" s="50"/>
      <c r="K349" s="50">
        <f>IF(VLOOKUP($D349,$C$5:$AA$492,9,)=0,0,((VLOOKUP($D349,$C$5:$AA$492,9,)/VLOOKUP($D349,$C$5:$AA$492,4,))*$F349))</f>
        <v>0</v>
      </c>
      <c r="L349" s="50"/>
      <c r="M349" s="50">
        <f>IF(VLOOKUP($D349,$C$5:$AA$492,11,)=0,0,((VLOOKUP($D349,$C$5:$AA$492,11,)/VLOOKUP($D349,$C$5:$AA$492,4,))*$F349))</f>
        <v>0</v>
      </c>
      <c r="N349" s="50"/>
      <c r="O349" s="50">
        <f>IF(VLOOKUP($D349,$C$5:$AA$492,13,)=0,0,((VLOOKUP($D349,$C$5:$AA$492,13,)/VLOOKUP($D349,$C$5:$AA$492,4,))*$F349))</f>
        <v>0</v>
      </c>
      <c r="P349" s="50">
        <f>IF(VLOOKUP($D349,$C$5:$AA$492,14,)=0,0,((VLOOKUP($D349,$C$5:$AA$492,14,)/VLOOKUP($D349,$C$5:$AA$492,4,))*$F349))</f>
        <v>0</v>
      </c>
      <c r="Q349" s="50"/>
      <c r="R349" s="50">
        <f>IF(VLOOKUP($D349,$C$5:$AA$492,16,)=0,0,((VLOOKUP($D349,$C$5:$AA$492,16,)/VLOOKUP($D349,$C$5:$AA$492,4,))*$F349))</f>
        <v>0</v>
      </c>
      <c r="S349" s="50">
        <f>IF(VLOOKUP($D349,$C$5:$AA$492,17,)=0,0,((VLOOKUP($D349,$C$5:$AA$492,17,)/VLOOKUP($D349,$C$5:$AA$492,4,))*$F349))</f>
        <v>0</v>
      </c>
      <c r="T349" s="50"/>
      <c r="U349" s="50">
        <f>IF(VLOOKUP($D349,$C$5:$AA$492,19,)=0,0,((VLOOKUP($D349,$C$5:$AA$492,19,)/VLOOKUP($D349,$C$5:$AA$492,4,))*$F349))</f>
        <v>0</v>
      </c>
      <c r="V349" s="50"/>
      <c r="W349" s="50">
        <f>IF(VLOOKUP($D349,$C$5:$AA$492,21,)=0,0,((VLOOKUP($D349,$C$5:$AA$492,21,)/VLOOKUP($D349,$C$5:$AA$492,4,))*$F349))</f>
        <v>0</v>
      </c>
      <c r="X349" s="50"/>
      <c r="Y349" s="50">
        <f>IF(VLOOKUP($D349,$C$5:$AA$492,23,)=0,0,((VLOOKUP($D349,$C$5:$AA$492,23,)/VLOOKUP($D349,$C$5:$AA$492,4,))*$F349))</f>
        <v>0</v>
      </c>
      <c r="Z349" s="50"/>
      <c r="AA349" s="50">
        <f>IF(VLOOKUP($D349,$C$5:$AA$492,25,)=0,0,((VLOOKUP($D349,$C$5:$AA$492,25,)/VLOOKUP($D349,$C$5:$AA$492,4,))*$F349))</f>
        <v>0</v>
      </c>
      <c r="AB349" s="50">
        <f>SUM(H349:AA349)</f>
        <v>0</v>
      </c>
      <c r="AC349" s="28" t="str">
        <f>IF(ABS(AB349-F349)&lt;1,"ok","err")</f>
        <v>ok</v>
      </c>
    </row>
    <row r="350" spans="1:29" x14ac:dyDescent="0.25">
      <c r="A350" s="14">
        <v>514</v>
      </c>
      <c r="B350" s="14" t="s">
        <v>804</v>
      </c>
      <c r="C350" s="14" t="s">
        <v>853</v>
      </c>
      <c r="D350" s="14" t="s">
        <v>551</v>
      </c>
      <c r="F350" s="50">
        <v>0</v>
      </c>
      <c r="H350" s="50">
        <f>IF(VLOOKUP($D350,$C$5:$AA$492,6,)=0,0,((VLOOKUP($D350,$C$5:$AA$492,6,)/VLOOKUP($D350,$C$5:$AA$492,4,))*$F350))</f>
        <v>0</v>
      </c>
      <c r="I350" s="50">
        <f>IF(VLOOKUP($D350,$C$5:$AA$492,7,)=0,0,((VLOOKUP($D350,$C$5:$AA$492,7,)/VLOOKUP($D350,$C$5:$AA$492,4,))*$F350))</f>
        <v>0</v>
      </c>
      <c r="J350" s="50"/>
      <c r="K350" s="50">
        <f>IF(VLOOKUP($D350,$C$5:$AA$492,9,)=0,0,((VLOOKUP($D350,$C$5:$AA$492,9,)/VLOOKUP($D350,$C$5:$AA$492,4,))*$F350))</f>
        <v>0</v>
      </c>
      <c r="L350" s="50"/>
      <c r="M350" s="50">
        <f>IF(VLOOKUP($D350,$C$5:$AA$492,11,)=0,0,((VLOOKUP($D350,$C$5:$AA$492,11,)/VLOOKUP($D350,$C$5:$AA$492,4,))*$F350))</f>
        <v>0</v>
      </c>
      <c r="N350" s="50"/>
      <c r="O350" s="50">
        <f>IF(VLOOKUP($D350,$C$5:$AA$492,13,)=0,0,((VLOOKUP($D350,$C$5:$AA$492,13,)/VLOOKUP($D350,$C$5:$AA$492,4,))*$F350))</f>
        <v>0</v>
      </c>
      <c r="P350" s="50">
        <f>IF(VLOOKUP($D350,$C$5:$AA$492,14,)=0,0,((VLOOKUP($D350,$C$5:$AA$492,14,)/VLOOKUP($D350,$C$5:$AA$492,4,))*$F350))</f>
        <v>0</v>
      </c>
      <c r="Q350" s="50"/>
      <c r="R350" s="50">
        <f>IF(VLOOKUP($D350,$C$5:$AA$492,16,)=0,0,((VLOOKUP($D350,$C$5:$AA$492,16,)/VLOOKUP($D350,$C$5:$AA$492,4,))*$F350))</f>
        <v>0</v>
      </c>
      <c r="S350" s="50">
        <f>IF(VLOOKUP($D350,$C$5:$AA$492,17,)=0,0,((VLOOKUP($D350,$C$5:$AA$492,17,)/VLOOKUP($D350,$C$5:$AA$492,4,))*$F350))</f>
        <v>0</v>
      </c>
      <c r="T350" s="50"/>
      <c r="U350" s="50">
        <f>IF(VLOOKUP($D350,$C$5:$AA$492,19,)=0,0,((VLOOKUP($D350,$C$5:$AA$492,19,)/VLOOKUP($D350,$C$5:$AA$492,4,))*$F350))</f>
        <v>0</v>
      </c>
      <c r="V350" s="50"/>
      <c r="W350" s="50">
        <f>IF(VLOOKUP($D350,$C$5:$AA$492,21,)=0,0,((VLOOKUP($D350,$C$5:$AA$492,21,)/VLOOKUP($D350,$C$5:$AA$492,4,))*$F350))</f>
        <v>0</v>
      </c>
      <c r="X350" s="50"/>
      <c r="Y350" s="50">
        <f>IF(VLOOKUP($D350,$C$5:$AA$492,23,)=0,0,((VLOOKUP($D350,$C$5:$AA$492,23,)/VLOOKUP($D350,$C$5:$AA$492,4,))*$F350))</f>
        <v>0</v>
      </c>
      <c r="Z350" s="50"/>
      <c r="AA350" s="50">
        <f>IF(VLOOKUP($D350,$C$5:$AA$492,25,)=0,0,((VLOOKUP($D350,$C$5:$AA$492,25,)/VLOOKUP($D350,$C$5:$AA$492,4,))*$F350))</f>
        <v>0</v>
      </c>
      <c r="AB350" s="50">
        <f>SUM(H350:AA350)</f>
        <v>0</v>
      </c>
      <c r="AC350" s="28" t="str">
        <f>IF(ABS(AB350-F350)&lt;1,"ok","err")</f>
        <v>ok</v>
      </c>
    </row>
    <row r="351" spans="1:29" x14ac:dyDescent="0.25"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0"/>
      <c r="AC351" s="28"/>
    </row>
    <row r="352" spans="1:29" x14ac:dyDescent="0.25">
      <c r="A352" s="14" t="s">
        <v>789</v>
      </c>
      <c r="C352" s="14" t="s">
        <v>854</v>
      </c>
      <c r="F352" s="67">
        <f>SUM(F346:F351)</f>
        <v>0</v>
      </c>
      <c r="H352" s="67">
        <f>SUM(H346:H351)</f>
        <v>0</v>
      </c>
      <c r="I352" s="67">
        <f>SUM(I346:I351)</f>
        <v>0</v>
      </c>
      <c r="J352" s="67"/>
      <c r="K352" s="67">
        <f>SUM(K346:K351)</f>
        <v>0</v>
      </c>
      <c r="L352" s="67"/>
      <c r="M352" s="67">
        <f>SUM(M346:M351)</f>
        <v>0</v>
      </c>
      <c r="N352" s="67"/>
      <c r="O352" s="67">
        <f>SUM(O346:O351)</f>
        <v>0</v>
      </c>
      <c r="P352" s="67">
        <f>SUM(P346:P351)</f>
        <v>0</v>
      </c>
      <c r="Q352" s="67"/>
      <c r="R352" s="67">
        <f>SUM(R346:R351)</f>
        <v>0</v>
      </c>
      <c r="S352" s="67">
        <f>SUM(S346:S351)</f>
        <v>0</v>
      </c>
      <c r="T352" s="67"/>
      <c r="U352" s="67">
        <f>SUM(U346:U351)</f>
        <v>0</v>
      </c>
      <c r="V352" s="67"/>
      <c r="W352" s="67">
        <f>SUM(W346:W351)</f>
        <v>0</v>
      </c>
      <c r="X352" s="67"/>
      <c r="Y352" s="67">
        <f>SUM(Y346:Y351)</f>
        <v>0</v>
      </c>
      <c r="Z352" s="67"/>
      <c r="AA352" s="67">
        <f>SUM(AA346:AA351)</f>
        <v>0</v>
      </c>
      <c r="AB352" s="50">
        <f>SUM(H352:AA352)</f>
        <v>0</v>
      </c>
      <c r="AC352" s="28" t="str">
        <f>IF(ABS(AB352-F352)&lt;1,"ok","err")</f>
        <v>ok</v>
      </c>
    </row>
    <row r="353" spans="1:29" x14ac:dyDescent="0.25">
      <c r="F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C353" s="28"/>
    </row>
    <row r="354" spans="1:29" x14ac:dyDescent="0.25">
      <c r="A354" s="14" t="s">
        <v>790</v>
      </c>
      <c r="C354" s="14" t="s">
        <v>855</v>
      </c>
      <c r="F354" s="50">
        <f>F343+F352</f>
        <v>0</v>
      </c>
      <c r="H354" s="50">
        <f>H343+H352</f>
        <v>0</v>
      </c>
      <c r="I354" s="50">
        <f>I343+I352</f>
        <v>0</v>
      </c>
      <c r="J354" s="50"/>
      <c r="K354" s="50">
        <f>K343+K352</f>
        <v>0</v>
      </c>
      <c r="L354" s="50"/>
      <c r="M354" s="50">
        <f>M343+M352</f>
        <v>0</v>
      </c>
      <c r="N354" s="50"/>
      <c r="O354" s="50">
        <f>O343+O352</f>
        <v>0</v>
      </c>
      <c r="P354" s="50">
        <f>P343+P352</f>
        <v>0</v>
      </c>
      <c r="Q354" s="50"/>
      <c r="R354" s="50">
        <f>R343+R352</f>
        <v>0</v>
      </c>
      <c r="S354" s="50">
        <f>S343+S352</f>
        <v>0</v>
      </c>
      <c r="T354" s="50"/>
      <c r="U354" s="50">
        <f>U343+U352</f>
        <v>0</v>
      </c>
      <c r="V354" s="50"/>
      <c r="W354" s="50">
        <f>W343+W352</f>
        <v>0</v>
      </c>
      <c r="X354" s="50"/>
      <c r="Y354" s="50">
        <f>Y343+Y352</f>
        <v>0</v>
      </c>
      <c r="Z354" s="50"/>
      <c r="AA354" s="50">
        <f>AA343+AA352</f>
        <v>0</v>
      </c>
      <c r="AB354" s="50">
        <f>SUM(H354:AA354)</f>
        <v>0</v>
      </c>
      <c r="AC354" s="28" t="str">
        <f>IF(ABS(AB354-F354)&lt;1,"ok","err")</f>
        <v>ok</v>
      </c>
    </row>
    <row r="355" spans="1:29" x14ac:dyDescent="0.25">
      <c r="A355" s="26"/>
      <c r="Q355" s="14"/>
      <c r="AC355" s="28"/>
    </row>
    <row r="356" spans="1:29" x14ac:dyDescent="0.25">
      <c r="A356" s="26"/>
      <c r="Q356" s="14"/>
      <c r="AC356" s="28"/>
    </row>
    <row r="357" spans="1:29" x14ac:dyDescent="0.25">
      <c r="A357" s="26" t="s">
        <v>472</v>
      </c>
      <c r="Q357" s="14"/>
      <c r="AC357" s="28"/>
    </row>
    <row r="358" spans="1:29" x14ac:dyDescent="0.25">
      <c r="A358" s="26"/>
      <c r="Q358" s="14"/>
      <c r="AC358" s="28"/>
    </row>
    <row r="359" spans="1:29" x14ac:dyDescent="0.25">
      <c r="A359" s="13" t="s">
        <v>95</v>
      </c>
      <c r="Q359" s="14"/>
      <c r="AC359" s="28"/>
    </row>
    <row r="360" spans="1:29" x14ac:dyDescent="0.25">
      <c r="A360" s="14">
        <v>555</v>
      </c>
      <c r="B360" s="14" t="s">
        <v>377</v>
      </c>
      <c r="C360" s="14" t="s">
        <v>529</v>
      </c>
      <c r="D360" s="14" t="s">
        <v>96</v>
      </c>
      <c r="F360" s="67">
        <v>0</v>
      </c>
      <c r="G360" s="67"/>
      <c r="H360" s="50">
        <f>IF(VLOOKUP($D360,$C$5:$AA$492,6,)=0,0,((VLOOKUP($D360,$C$5:$AA$492,6,)/VLOOKUP($D360,$C$5:$AA$492,4,))*$F360))</f>
        <v>0</v>
      </c>
      <c r="I360" s="50">
        <f>IF(VLOOKUP($D360,$C$5:$AA$492,7,)=0,0,((VLOOKUP($D360,$C$5:$AA$492,7,)/VLOOKUP($D360,$C$5:$AA$492,4,))*$F360))</f>
        <v>0</v>
      </c>
      <c r="J360" s="50"/>
      <c r="K360" s="50">
        <f>IF(VLOOKUP($D360,$C$5:$AA$492,9,)=0,0,((VLOOKUP($D360,$C$5:$AA$492,9,)/VLOOKUP($D360,$C$5:$AA$492,4,))*$F360))</f>
        <v>0</v>
      </c>
      <c r="L360" s="50"/>
      <c r="M360" s="50">
        <f>IF(VLOOKUP($D360,$C$5:$AA$492,11,)=0,0,((VLOOKUP($D360,$C$5:$AA$492,11,)/VLOOKUP($D360,$C$5:$AA$492,4,))*$F360))</f>
        <v>0</v>
      </c>
      <c r="N360" s="50"/>
      <c r="O360" s="50">
        <f>IF(VLOOKUP($D360,$C$5:$AA$492,13,)=0,0,((VLOOKUP($D360,$C$5:$AA$492,13,)/VLOOKUP($D360,$C$5:$AA$492,4,))*$F360))</f>
        <v>0</v>
      </c>
      <c r="P360" s="50">
        <f>IF(VLOOKUP($D360,$C$5:$AA$492,14,)=0,0,((VLOOKUP($D360,$C$5:$AA$492,14,)/VLOOKUP($D360,$C$5:$AA$492,4,))*$F360))</f>
        <v>0</v>
      </c>
      <c r="Q360" s="50"/>
      <c r="R360" s="50">
        <f>IF(VLOOKUP($D360,$C$5:$AA$492,16,)=0,0,((VLOOKUP($D360,$C$5:$AA$492,16,)/VLOOKUP($D360,$C$5:$AA$492,4,))*$F360))</f>
        <v>0</v>
      </c>
      <c r="S360" s="50">
        <f>IF(VLOOKUP($D360,$C$5:$AA$492,17,)=0,0,((VLOOKUP($D360,$C$5:$AA$492,17,)/VLOOKUP($D360,$C$5:$AA$492,4,))*$F360))</f>
        <v>0</v>
      </c>
      <c r="T360" s="50"/>
      <c r="U360" s="50">
        <f>IF(VLOOKUP($D360,$C$5:$AA$492,19,)=0,0,((VLOOKUP($D360,$C$5:$AA$492,19,)/VLOOKUP($D360,$C$5:$AA$492,4,))*$F360))</f>
        <v>0</v>
      </c>
      <c r="V360" s="50"/>
      <c r="W360" s="50">
        <f>IF(VLOOKUP($D360,$C$5:$AA$492,21,)=0,0,((VLOOKUP($D360,$C$5:$AA$492,21,)/VLOOKUP($D360,$C$5:$AA$492,4,))*$F360))</f>
        <v>0</v>
      </c>
      <c r="X360" s="50"/>
      <c r="Y360" s="50">
        <f>IF(VLOOKUP($D360,$C$5:$AA$492,23,)=0,0,((VLOOKUP($D360,$C$5:$AA$492,23,)/VLOOKUP($D360,$C$5:$AA$492,4,))*$F360))</f>
        <v>0</v>
      </c>
      <c r="Z360" s="50"/>
      <c r="AA360" s="50">
        <f>IF(VLOOKUP($D360,$C$5:$AA$492,25,)=0,0,((VLOOKUP($D360,$C$5:$AA$492,25,)/VLOOKUP($D360,$C$5:$AA$492,4,))*$F360))</f>
        <v>0</v>
      </c>
      <c r="AB360" s="50">
        <f>SUM(H360:AA360)</f>
        <v>0</v>
      </c>
      <c r="AC360" s="28" t="str">
        <f>IF(ABS(AB360-F360)&lt;1,"ok","err")</f>
        <v>ok</v>
      </c>
    </row>
    <row r="361" spans="1:29" x14ac:dyDescent="0.25">
      <c r="A361" s="14">
        <v>557</v>
      </c>
      <c r="B361" s="14" t="s">
        <v>397</v>
      </c>
      <c r="C361" s="14" t="s">
        <v>474</v>
      </c>
      <c r="D361" s="14" t="s">
        <v>96</v>
      </c>
      <c r="F361" s="50"/>
      <c r="G361" s="67"/>
      <c r="H361" s="50">
        <f>IF(VLOOKUP($D361,$C$5:$AA$492,6,)=0,0,((VLOOKUP($D361,$C$5:$AA$492,6,)/VLOOKUP($D361,$C$5:$AA$492,4,))*$F361))</f>
        <v>0</v>
      </c>
      <c r="I361" s="50">
        <f>IF(VLOOKUP($D361,$C$5:$AA$492,7,)=0,0,((VLOOKUP($D361,$C$5:$AA$492,7,)/VLOOKUP($D361,$C$5:$AA$492,4,))*$F361))</f>
        <v>0</v>
      </c>
      <c r="J361" s="50"/>
      <c r="K361" s="50">
        <f>IF(VLOOKUP($D361,$C$5:$AA$492,9,)=0,0,((VLOOKUP($D361,$C$5:$AA$492,9,)/VLOOKUP($D361,$C$5:$AA$492,4,))*$F361))</f>
        <v>0</v>
      </c>
      <c r="L361" s="50"/>
      <c r="M361" s="50">
        <f>IF(VLOOKUP($D361,$C$5:$AA$492,11,)=0,0,((VLOOKUP($D361,$C$5:$AA$492,11,)/VLOOKUP($D361,$C$5:$AA$492,4,))*$F361))</f>
        <v>0</v>
      </c>
      <c r="N361" s="50"/>
      <c r="O361" s="50">
        <f>IF(VLOOKUP($D361,$C$5:$AA$492,13,)=0,0,((VLOOKUP($D361,$C$5:$AA$492,13,)/VLOOKUP($D361,$C$5:$AA$492,4,))*$F361))</f>
        <v>0</v>
      </c>
      <c r="P361" s="50">
        <f>IF(VLOOKUP($D361,$C$5:$AA$492,14,)=0,0,((VLOOKUP($D361,$C$5:$AA$492,14,)/VLOOKUP($D361,$C$5:$AA$492,4,))*$F361))</f>
        <v>0</v>
      </c>
      <c r="Q361" s="50"/>
      <c r="R361" s="50">
        <f>IF(VLOOKUP($D361,$C$5:$AA$492,16,)=0,0,((VLOOKUP($D361,$C$5:$AA$492,16,)/VLOOKUP($D361,$C$5:$AA$492,4,))*$F361))</f>
        <v>0</v>
      </c>
      <c r="S361" s="50">
        <f>IF(VLOOKUP($D361,$C$5:$AA$492,17,)=0,0,((VLOOKUP($D361,$C$5:$AA$492,17,)/VLOOKUP($D361,$C$5:$AA$492,4,))*$F361))</f>
        <v>0</v>
      </c>
      <c r="T361" s="50"/>
      <c r="U361" s="50">
        <f>IF(VLOOKUP($D361,$C$5:$AA$492,19,)=0,0,((VLOOKUP($D361,$C$5:$AA$492,19,)/VLOOKUP($D361,$C$5:$AA$492,4,))*$F361))</f>
        <v>0</v>
      </c>
      <c r="V361" s="50"/>
      <c r="W361" s="50">
        <f>IF(VLOOKUP($D361,$C$5:$AA$492,21,)=0,0,((VLOOKUP($D361,$C$5:$AA$492,21,)/VLOOKUP($D361,$C$5:$AA$492,4,))*$F361))</f>
        <v>0</v>
      </c>
      <c r="X361" s="50"/>
      <c r="Y361" s="50">
        <f>IF(VLOOKUP($D361,$C$5:$AA$492,23,)=0,0,((VLOOKUP($D361,$C$5:$AA$492,23,)/VLOOKUP($D361,$C$5:$AA$492,4,))*$F361))</f>
        <v>0</v>
      </c>
      <c r="Z361" s="50"/>
      <c r="AA361" s="50">
        <f>IF(VLOOKUP($D361,$C$5:$AA$492,25,)=0,0,((VLOOKUP($D361,$C$5:$AA$492,25,)/VLOOKUP($D361,$C$5:$AA$492,4,))*$F361))</f>
        <v>0</v>
      </c>
      <c r="AB361" s="50">
        <f>SUM(H361:AA361)</f>
        <v>0</v>
      </c>
      <c r="AC361" s="28" t="str">
        <f>IF(ABS(AB361-F361)&lt;1,"ok","err")</f>
        <v>ok</v>
      </c>
    </row>
    <row r="362" spans="1:29" x14ac:dyDescent="0.25">
      <c r="F362" s="50"/>
      <c r="G362" s="67"/>
      <c r="H362" s="67"/>
      <c r="I362" s="67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  <c r="U362" s="67"/>
      <c r="V362" s="67"/>
      <c r="W362" s="67"/>
      <c r="X362" s="67"/>
      <c r="Y362" s="67"/>
      <c r="Z362" s="67"/>
      <c r="AA362" s="67"/>
      <c r="AB362" s="50"/>
      <c r="AC362" s="28"/>
    </row>
    <row r="363" spans="1:29" x14ac:dyDescent="0.25">
      <c r="B363" s="14" t="s">
        <v>531</v>
      </c>
      <c r="C363" s="14" t="s">
        <v>473</v>
      </c>
      <c r="F363" s="67">
        <f>SUM(F360:F362)</f>
        <v>0</v>
      </c>
      <c r="G363" s="67"/>
      <c r="H363" s="67">
        <f>SUM(H360:H362)</f>
        <v>0</v>
      </c>
      <c r="I363" s="67">
        <f>SUM(I360:I362)</f>
        <v>0</v>
      </c>
      <c r="J363" s="67"/>
      <c r="K363" s="67">
        <f>SUM(K360:K362)</f>
        <v>0</v>
      </c>
      <c r="L363" s="67"/>
      <c r="M363" s="67">
        <f>SUM(M360:M362)</f>
        <v>0</v>
      </c>
      <c r="N363" s="67"/>
      <c r="O363" s="67">
        <f>SUM(O360:O362)</f>
        <v>0</v>
      </c>
      <c r="P363" s="67">
        <f>SUM(P360:P362)</f>
        <v>0</v>
      </c>
      <c r="Q363" s="67"/>
      <c r="R363" s="67">
        <f>SUM(R360:R362)</f>
        <v>0</v>
      </c>
      <c r="S363" s="67">
        <f>SUM(S360:S362)</f>
        <v>0</v>
      </c>
      <c r="T363" s="67"/>
      <c r="U363" s="67">
        <f>SUM(U360:U362)</f>
        <v>0</v>
      </c>
      <c r="V363" s="67"/>
      <c r="W363" s="67">
        <f>SUM(W360:W362)</f>
        <v>0</v>
      </c>
      <c r="X363" s="67"/>
      <c r="Y363" s="67">
        <f>SUM(Y360:Y362)</f>
        <v>0</v>
      </c>
      <c r="Z363" s="67"/>
      <c r="AA363" s="67">
        <f>SUM(AA360:AA362)</f>
        <v>0</v>
      </c>
      <c r="AB363" s="50">
        <f>SUM(H363:AA363)</f>
        <v>0</v>
      </c>
      <c r="AC363" s="28" t="str">
        <f>IF(ABS(AB363-F363)&lt;1,"ok","err")</f>
        <v>ok</v>
      </c>
    </row>
    <row r="364" spans="1:29" x14ac:dyDescent="0.25">
      <c r="F364" s="67"/>
      <c r="G364" s="67"/>
      <c r="H364" s="67"/>
      <c r="I364" s="67"/>
      <c r="J364" s="67"/>
      <c r="K364" s="67"/>
      <c r="L364" s="67"/>
      <c r="M364" s="67"/>
      <c r="N364" s="67"/>
      <c r="O364" s="67"/>
      <c r="P364" s="67"/>
      <c r="Q364" s="67"/>
      <c r="R364" s="67"/>
      <c r="S364" s="67"/>
      <c r="T364" s="67"/>
      <c r="U364" s="67"/>
      <c r="V364" s="67"/>
      <c r="W364" s="67"/>
      <c r="X364" s="67"/>
      <c r="Y364" s="67"/>
      <c r="Z364" s="67"/>
      <c r="AA364" s="67"/>
      <c r="AB364" s="50"/>
      <c r="AC364" s="28"/>
    </row>
    <row r="365" spans="1:29" x14ac:dyDescent="0.25">
      <c r="A365" s="13" t="s">
        <v>533</v>
      </c>
      <c r="F365" s="67"/>
      <c r="G365" s="67"/>
      <c r="H365" s="67"/>
      <c r="I365" s="67"/>
      <c r="J365" s="67"/>
      <c r="K365" s="67"/>
      <c r="L365" s="67"/>
      <c r="M365" s="67"/>
      <c r="N365" s="67"/>
      <c r="O365" s="67"/>
      <c r="P365" s="67"/>
      <c r="Q365" s="67"/>
      <c r="R365" s="67"/>
      <c r="S365" s="67"/>
      <c r="T365" s="67"/>
      <c r="U365" s="67"/>
      <c r="V365" s="67"/>
      <c r="W365" s="67"/>
      <c r="X365" s="67"/>
      <c r="Y365" s="67"/>
      <c r="Z365" s="67"/>
      <c r="AA365" s="67"/>
      <c r="AB365" s="50"/>
      <c r="AC365" s="28"/>
    </row>
    <row r="366" spans="1:29" x14ac:dyDescent="0.25">
      <c r="A366" s="14">
        <v>560</v>
      </c>
      <c r="B366" s="14" t="s">
        <v>372</v>
      </c>
      <c r="C366" s="14" t="s">
        <v>530</v>
      </c>
      <c r="D366" s="14" t="s">
        <v>389</v>
      </c>
      <c r="F366" s="67">
        <v>0</v>
      </c>
      <c r="G366" s="67"/>
      <c r="H366" s="50">
        <f t="shared" ref="H366:H373" si="200">IF((VLOOKUP($D366,$C$5:$AA$492,6,)=0),0,((VLOOKUP($D366,$C$5:$AA$492,6,)/VLOOKUP($D366,$C$5:$AA$492,4,))*$F366))</f>
        <v>0</v>
      </c>
      <c r="I366" s="50">
        <f t="shared" ref="I366:I373" si="201">IF((VLOOKUP($D366,$C$5:$AA$492,7,)=0),0,((VLOOKUP($D366,$C$5:$AA$492,7,)/VLOOKUP($D366,$C$5:$AA$492,4,))*$F366))</f>
        <v>0</v>
      </c>
      <c r="J366" s="50"/>
      <c r="K366" s="50">
        <f t="shared" ref="K366:K373" si="202">IF((VLOOKUP($D366,$C$5:$AA$492,9,)=0),0,((VLOOKUP($D366,$C$5:$AA$492,9,)/VLOOKUP($D366,$C$5:$AA$492,4,))*$F366))</f>
        <v>0</v>
      </c>
      <c r="L366" s="50"/>
      <c r="M366" s="50">
        <f t="shared" ref="M366:M373" si="203">IF((VLOOKUP($D366,$C$5:$AA$492,11,)=0),0,((VLOOKUP($D366,$C$5:$AA$492,11,)/VLOOKUP($D366,$C$5:$AA$492,4,))*$F366))</f>
        <v>0</v>
      </c>
      <c r="N366" s="50"/>
      <c r="O366" s="50">
        <f t="shared" ref="O366:O373" si="204">IF((VLOOKUP($D366,$C$5:$AA$492,13,)=0),0,((VLOOKUP($D366,$C$5:$AA$492,13,)/VLOOKUP($D366,$C$5:$AA$492,4,))*$F366))</f>
        <v>0</v>
      </c>
      <c r="P366" s="50">
        <f t="shared" ref="P366:P373" si="205">IF((VLOOKUP($D366,$C$5:$AA$492,14,)=0),0,((VLOOKUP($D366,$C$5:$AA$492,14,)/VLOOKUP($D366,$C$5:$AA$492,4,))*$F366))</f>
        <v>0</v>
      </c>
      <c r="Q366" s="50"/>
      <c r="R366" s="50">
        <f t="shared" ref="R366:R373" si="206">IF((VLOOKUP($D366,$C$5:$AA$492,16,)=0),0,((VLOOKUP($D366,$C$5:$AA$492,16,)/VLOOKUP($D366,$C$5:$AA$492,4,))*$F366))</f>
        <v>0</v>
      </c>
      <c r="S366" s="50">
        <f t="shared" ref="S366:S373" si="207">IF((VLOOKUP($D366,$C$5:$AA$492,17,)=0),0,((VLOOKUP($D366,$C$5:$AA$492,17,)/VLOOKUP($D366,$C$5:$AA$492,4,))*$F366))</f>
        <v>0</v>
      </c>
      <c r="T366" s="50"/>
      <c r="U366" s="50">
        <f t="shared" ref="U366:U373" si="208">IF((VLOOKUP($D366,$C$5:$AA$492,19,)=0),0,((VLOOKUP($D366,$C$5:$AA$492,19,)/VLOOKUP($D366,$C$5:$AA$492,4,))*$F366))</f>
        <v>0</v>
      </c>
      <c r="V366" s="50"/>
      <c r="W366" s="50">
        <f t="shared" ref="W366:W373" si="209">IF((VLOOKUP($D366,$C$5:$AA$492,21,)=0),0,((VLOOKUP($D366,$C$5:$AA$492,21,)/VLOOKUP($D366,$C$5:$AA$492,4,))*$F366))</f>
        <v>0</v>
      </c>
      <c r="X366" s="50"/>
      <c r="Y366" s="50">
        <f t="shared" ref="Y366:Y373" si="210">IF((VLOOKUP($D366,$C$5:$AA$492,23,)=0),0,((VLOOKUP($D366,$C$5:$AA$492,23,)/VLOOKUP($D366,$C$5:$AA$492,4,))*$F366))</f>
        <v>0</v>
      </c>
      <c r="Z366" s="50"/>
      <c r="AA366" s="50">
        <f t="shared" ref="AA366:AA373" si="211">IF((VLOOKUP($D366,$C$5:$AA$492,25,)=0),0,((VLOOKUP($D366,$C$5:$AA$492,25,)/VLOOKUP($D366,$C$5:$AA$492,4,))*$F366))</f>
        <v>0</v>
      </c>
      <c r="AB366" s="50">
        <f t="shared" ref="AB366:AB373" si="212">SUM(H366:AA366)</f>
        <v>0</v>
      </c>
      <c r="AC366" s="28" t="str">
        <f t="shared" ref="AC366:AC373" si="213">IF(ABS(AB366-F366)&lt;1,"ok","err")</f>
        <v>ok</v>
      </c>
    </row>
    <row r="367" spans="1:29" x14ac:dyDescent="0.25">
      <c r="A367" s="14">
        <v>561</v>
      </c>
      <c r="B367" s="14" t="s">
        <v>100</v>
      </c>
      <c r="C367" s="14" t="s">
        <v>475</v>
      </c>
      <c r="D367" s="14" t="s">
        <v>389</v>
      </c>
      <c r="F367" s="50">
        <v>0</v>
      </c>
      <c r="G367" s="67"/>
      <c r="H367" s="50">
        <f t="shared" si="200"/>
        <v>0</v>
      </c>
      <c r="I367" s="50">
        <f t="shared" si="201"/>
        <v>0</v>
      </c>
      <c r="J367" s="50"/>
      <c r="K367" s="50">
        <f t="shared" si="202"/>
        <v>0</v>
      </c>
      <c r="L367" s="50"/>
      <c r="M367" s="50">
        <f t="shared" si="203"/>
        <v>0</v>
      </c>
      <c r="N367" s="50"/>
      <c r="O367" s="50">
        <f t="shared" si="204"/>
        <v>0</v>
      </c>
      <c r="P367" s="50">
        <f t="shared" si="205"/>
        <v>0</v>
      </c>
      <c r="Q367" s="50"/>
      <c r="R367" s="50">
        <f t="shared" si="206"/>
        <v>0</v>
      </c>
      <c r="S367" s="50">
        <f t="shared" si="207"/>
        <v>0</v>
      </c>
      <c r="T367" s="50"/>
      <c r="U367" s="50">
        <f t="shared" si="208"/>
        <v>0</v>
      </c>
      <c r="V367" s="50"/>
      <c r="W367" s="50">
        <f t="shared" si="209"/>
        <v>0</v>
      </c>
      <c r="X367" s="50"/>
      <c r="Y367" s="50">
        <f t="shared" si="210"/>
        <v>0</v>
      </c>
      <c r="Z367" s="50"/>
      <c r="AA367" s="50">
        <f t="shared" si="211"/>
        <v>0</v>
      </c>
      <c r="AB367" s="50">
        <f t="shared" si="212"/>
        <v>0</v>
      </c>
      <c r="AC367" s="28" t="str">
        <f t="shared" si="213"/>
        <v>ok</v>
      </c>
    </row>
    <row r="368" spans="1:29" x14ac:dyDescent="0.25">
      <c r="A368" s="14">
        <v>562</v>
      </c>
      <c r="B368" s="14" t="s">
        <v>370</v>
      </c>
      <c r="C368" s="14" t="s">
        <v>476</v>
      </c>
      <c r="D368" s="14" t="s">
        <v>389</v>
      </c>
      <c r="F368" s="50">
        <v>0</v>
      </c>
      <c r="G368" s="67"/>
      <c r="H368" s="50">
        <f t="shared" si="200"/>
        <v>0</v>
      </c>
      <c r="I368" s="50">
        <f t="shared" si="201"/>
        <v>0</v>
      </c>
      <c r="J368" s="50"/>
      <c r="K368" s="50">
        <f t="shared" si="202"/>
        <v>0</v>
      </c>
      <c r="L368" s="50"/>
      <c r="M368" s="50">
        <f t="shared" si="203"/>
        <v>0</v>
      </c>
      <c r="N368" s="50"/>
      <c r="O368" s="50">
        <f t="shared" si="204"/>
        <v>0</v>
      </c>
      <c r="P368" s="50">
        <f t="shared" si="205"/>
        <v>0</v>
      </c>
      <c r="Q368" s="50"/>
      <c r="R368" s="50">
        <f t="shared" si="206"/>
        <v>0</v>
      </c>
      <c r="S368" s="50">
        <f t="shared" si="207"/>
        <v>0</v>
      </c>
      <c r="T368" s="50"/>
      <c r="U368" s="50">
        <f t="shared" si="208"/>
        <v>0</v>
      </c>
      <c r="V368" s="50"/>
      <c r="W368" s="50">
        <f t="shared" si="209"/>
        <v>0</v>
      </c>
      <c r="X368" s="50"/>
      <c r="Y368" s="50">
        <f t="shared" si="210"/>
        <v>0</v>
      </c>
      <c r="Z368" s="50"/>
      <c r="AA368" s="50">
        <f t="shared" si="211"/>
        <v>0</v>
      </c>
      <c r="AB368" s="50">
        <f t="shared" si="212"/>
        <v>0</v>
      </c>
      <c r="AC368" s="28" t="str">
        <f t="shared" si="213"/>
        <v>ok</v>
      </c>
    </row>
    <row r="369" spans="1:29" x14ac:dyDescent="0.25">
      <c r="A369" s="14">
        <v>563</v>
      </c>
      <c r="B369" s="14" t="s">
        <v>102</v>
      </c>
      <c r="C369" s="14" t="s">
        <v>477</v>
      </c>
      <c r="D369" s="14" t="s">
        <v>389</v>
      </c>
      <c r="F369" s="50">
        <v>0</v>
      </c>
      <c r="G369" s="67"/>
      <c r="H369" s="50">
        <f t="shared" si="200"/>
        <v>0</v>
      </c>
      <c r="I369" s="50">
        <f t="shared" si="201"/>
        <v>0</v>
      </c>
      <c r="J369" s="50"/>
      <c r="K369" s="50">
        <f t="shared" si="202"/>
        <v>0</v>
      </c>
      <c r="L369" s="50"/>
      <c r="M369" s="50">
        <f t="shared" si="203"/>
        <v>0</v>
      </c>
      <c r="N369" s="50"/>
      <c r="O369" s="50">
        <f t="shared" si="204"/>
        <v>0</v>
      </c>
      <c r="P369" s="50">
        <f t="shared" si="205"/>
        <v>0</v>
      </c>
      <c r="Q369" s="50"/>
      <c r="R369" s="50">
        <f t="shared" si="206"/>
        <v>0</v>
      </c>
      <c r="S369" s="50">
        <f t="shared" si="207"/>
        <v>0</v>
      </c>
      <c r="T369" s="50"/>
      <c r="U369" s="50">
        <f t="shared" si="208"/>
        <v>0</v>
      </c>
      <c r="V369" s="50"/>
      <c r="W369" s="50">
        <f t="shared" si="209"/>
        <v>0</v>
      </c>
      <c r="X369" s="50"/>
      <c r="Y369" s="50">
        <f t="shared" si="210"/>
        <v>0</v>
      </c>
      <c r="Z369" s="50"/>
      <c r="AA369" s="50">
        <f t="shared" si="211"/>
        <v>0</v>
      </c>
      <c r="AB369" s="50">
        <f t="shared" si="212"/>
        <v>0</v>
      </c>
      <c r="AC369" s="28" t="str">
        <f t="shared" si="213"/>
        <v>ok</v>
      </c>
    </row>
    <row r="370" spans="1:29" x14ac:dyDescent="0.25">
      <c r="A370" s="14">
        <v>566</v>
      </c>
      <c r="B370" s="14" t="s">
        <v>585</v>
      </c>
      <c r="C370" s="14" t="s">
        <v>589</v>
      </c>
      <c r="D370" s="14" t="s">
        <v>389</v>
      </c>
      <c r="F370" s="50">
        <v>0</v>
      </c>
      <c r="G370" s="67"/>
      <c r="H370" s="50">
        <f t="shared" si="200"/>
        <v>0</v>
      </c>
      <c r="I370" s="50">
        <f t="shared" si="201"/>
        <v>0</v>
      </c>
      <c r="J370" s="50"/>
      <c r="K370" s="50">
        <f t="shared" si="202"/>
        <v>0</v>
      </c>
      <c r="L370" s="50"/>
      <c r="M370" s="50">
        <f t="shared" si="203"/>
        <v>0</v>
      </c>
      <c r="N370" s="50"/>
      <c r="O370" s="50">
        <f t="shared" si="204"/>
        <v>0</v>
      </c>
      <c r="P370" s="50">
        <f t="shared" si="205"/>
        <v>0</v>
      </c>
      <c r="Q370" s="50"/>
      <c r="R370" s="50">
        <f t="shared" si="206"/>
        <v>0</v>
      </c>
      <c r="S370" s="50">
        <f t="shared" si="207"/>
        <v>0</v>
      </c>
      <c r="T370" s="50"/>
      <c r="U370" s="50">
        <f t="shared" si="208"/>
        <v>0</v>
      </c>
      <c r="V370" s="50"/>
      <c r="W370" s="50">
        <f t="shared" si="209"/>
        <v>0</v>
      </c>
      <c r="X370" s="50"/>
      <c r="Y370" s="50">
        <f t="shared" si="210"/>
        <v>0</v>
      </c>
      <c r="Z370" s="50"/>
      <c r="AA370" s="50">
        <f t="shared" si="211"/>
        <v>0</v>
      </c>
      <c r="AB370" s="50">
        <f>SUM(H370:AA370)</f>
        <v>0</v>
      </c>
      <c r="AC370" s="28" t="str">
        <f>IF(ABS(AB370-F370)&lt;1,"ok","err")</f>
        <v>ok</v>
      </c>
    </row>
    <row r="371" spans="1:29" x14ac:dyDescent="0.25">
      <c r="A371" s="14">
        <v>568</v>
      </c>
      <c r="B371" s="14" t="s">
        <v>371</v>
      </c>
      <c r="C371" s="14" t="s">
        <v>478</v>
      </c>
      <c r="D371" s="14" t="s">
        <v>389</v>
      </c>
      <c r="F371" s="50">
        <v>0</v>
      </c>
      <c r="G371" s="67"/>
      <c r="H371" s="50">
        <f t="shared" si="200"/>
        <v>0</v>
      </c>
      <c r="I371" s="50">
        <f t="shared" si="201"/>
        <v>0</v>
      </c>
      <c r="J371" s="50"/>
      <c r="K371" s="50">
        <f t="shared" si="202"/>
        <v>0</v>
      </c>
      <c r="L371" s="50"/>
      <c r="M371" s="50">
        <f t="shared" si="203"/>
        <v>0</v>
      </c>
      <c r="N371" s="50"/>
      <c r="O371" s="50">
        <f t="shared" si="204"/>
        <v>0</v>
      </c>
      <c r="P371" s="50">
        <f t="shared" si="205"/>
        <v>0</v>
      </c>
      <c r="Q371" s="50"/>
      <c r="R371" s="50">
        <f t="shared" si="206"/>
        <v>0</v>
      </c>
      <c r="S371" s="50">
        <f t="shared" si="207"/>
        <v>0</v>
      </c>
      <c r="T371" s="50"/>
      <c r="U371" s="50">
        <f t="shared" si="208"/>
        <v>0</v>
      </c>
      <c r="V371" s="50"/>
      <c r="W371" s="50">
        <f t="shared" si="209"/>
        <v>0</v>
      </c>
      <c r="X371" s="50"/>
      <c r="Y371" s="50">
        <f t="shared" si="210"/>
        <v>0</v>
      </c>
      <c r="Z371" s="50"/>
      <c r="AA371" s="50">
        <f t="shared" si="211"/>
        <v>0</v>
      </c>
      <c r="AB371" s="50">
        <f t="shared" si="212"/>
        <v>0</v>
      </c>
      <c r="AC371" s="28" t="str">
        <f t="shared" si="213"/>
        <v>ok</v>
      </c>
    </row>
    <row r="372" spans="1:29" x14ac:dyDescent="0.25">
      <c r="A372" s="14">
        <v>570</v>
      </c>
      <c r="B372" s="14" t="s">
        <v>373</v>
      </c>
      <c r="C372" s="14" t="s">
        <v>479</v>
      </c>
      <c r="D372" s="14" t="s">
        <v>389</v>
      </c>
      <c r="F372" s="50">
        <v>0</v>
      </c>
      <c r="G372" s="67"/>
      <c r="H372" s="50">
        <f t="shared" si="200"/>
        <v>0</v>
      </c>
      <c r="I372" s="50">
        <f t="shared" si="201"/>
        <v>0</v>
      </c>
      <c r="J372" s="50"/>
      <c r="K372" s="50">
        <f t="shared" si="202"/>
        <v>0</v>
      </c>
      <c r="L372" s="50"/>
      <c r="M372" s="50">
        <f t="shared" si="203"/>
        <v>0</v>
      </c>
      <c r="N372" s="50"/>
      <c r="O372" s="50">
        <f t="shared" si="204"/>
        <v>0</v>
      </c>
      <c r="P372" s="50">
        <f t="shared" si="205"/>
        <v>0</v>
      </c>
      <c r="Q372" s="50"/>
      <c r="R372" s="50">
        <f t="shared" si="206"/>
        <v>0</v>
      </c>
      <c r="S372" s="50">
        <f t="shared" si="207"/>
        <v>0</v>
      </c>
      <c r="T372" s="50"/>
      <c r="U372" s="50">
        <f t="shared" si="208"/>
        <v>0</v>
      </c>
      <c r="V372" s="50"/>
      <c r="W372" s="50">
        <f t="shared" si="209"/>
        <v>0</v>
      </c>
      <c r="X372" s="50"/>
      <c r="Y372" s="50">
        <f t="shared" si="210"/>
        <v>0</v>
      </c>
      <c r="Z372" s="50"/>
      <c r="AA372" s="50">
        <f t="shared" si="211"/>
        <v>0</v>
      </c>
      <c r="AB372" s="50">
        <f t="shared" si="212"/>
        <v>0</v>
      </c>
      <c r="AC372" s="28" t="str">
        <f t="shared" si="213"/>
        <v>ok</v>
      </c>
    </row>
    <row r="373" spans="1:29" x14ac:dyDescent="0.25">
      <c r="A373" s="14">
        <v>571</v>
      </c>
      <c r="B373" s="14" t="s">
        <v>374</v>
      </c>
      <c r="C373" s="14" t="s">
        <v>480</v>
      </c>
      <c r="D373" s="14" t="s">
        <v>389</v>
      </c>
      <c r="F373" s="50">
        <v>0</v>
      </c>
      <c r="G373" s="67"/>
      <c r="H373" s="50">
        <f t="shared" si="200"/>
        <v>0</v>
      </c>
      <c r="I373" s="50">
        <f t="shared" si="201"/>
        <v>0</v>
      </c>
      <c r="J373" s="50"/>
      <c r="K373" s="50">
        <f t="shared" si="202"/>
        <v>0</v>
      </c>
      <c r="L373" s="50"/>
      <c r="M373" s="50">
        <f t="shared" si="203"/>
        <v>0</v>
      </c>
      <c r="N373" s="50"/>
      <c r="O373" s="50">
        <f t="shared" si="204"/>
        <v>0</v>
      </c>
      <c r="P373" s="50">
        <f t="shared" si="205"/>
        <v>0</v>
      </c>
      <c r="Q373" s="50"/>
      <c r="R373" s="50">
        <f t="shared" si="206"/>
        <v>0</v>
      </c>
      <c r="S373" s="50">
        <f t="shared" si="207"/>
        <v>0</v>
      </c>
      <c r="T373" s="50"/>
      <c r="U373" s="50">
        <f t="shared" si="208"/>
        <v>0</v>
      </c>
      <c r="V373" s="50"/>
      <c r="W373" s="50">
        <f t="shared" si="209"/>
        <v>0</v>
      </c>
      <c r="X373" s="50"/>
      <c r="Y373" s="50">
        <f t="shared" si="210"/>
        <v>0</v>
      </c>
      <c r="Z373" s="50"/>
      <c r="AA373" s="50">
        <f t="shared" si="211"/>
        <v>0</v>
      </c>
      <c r="AB373" s="50">
        <f t="shared" si="212"/>
        <v>0</v>
      </c>
      <c r="AC373" s="28" t="str">
        <f t="shared" si="213"/>
        <v>ok</v>
      </c>
    </row>
    <row r="374" spans="1:29" x14ac:dyDescent="0.25">
      <c r="F374" s="67"/>
      <c r="G374" s="67"/>
      <c r="H374" s="67"/>
      <c r="I374" s="67"/>
      <c r="J374" s="67"/>
      <c r="K374" s="67"/>
      <c r="L374" s="67"/>
      <c r="M374" s="67"/>
      <c r="N374" s="67"/>
      <c r="O374" s="67"/>
      <c r="P374" s="67"/>
      <c r="Q374" s="67"/>
      <c r="R374" s="67"/>
      <c r="S374" s="67"/>
      <c r="T374" s="67"/>
      <c r="U374" s="67"/>
      <c r="V374" s="67"/>
      <c r="W374" s="67"/>
      <c r="X374" s="67"/>
      <c r="Y374" s="67"/>
      <c r="Z374" s="67"/>
      <c r="AA374" s="67"/>
      <c r="AB374" s="50"/>
      <c r="AC374" s="28"/>
    </row>
    <row r="375" spans="1:29" x14ac:dyDescent="0.25">
      <c r="A375" s="14" t="s">
        <v>532</v>
      </c>
      <c r="F375" s="90">
        <f>SUM(F366:F373)</f>
        <v>0</v>
      </c>
      <c r="G375" s="90">
        <f>SUM(G366:G373)</f>
        <v>0</v>
      </c>
      <c r="H375" s="90">
        <f>SUM(H366:H373)</f>
        <v>0</v>
      </c>
      <c r="I375" s="90">
        <f>SUM(I366:I373)</f>
        <v>0</v>
      </c>
      <c r="J375" s="90"/>
      <c r="K375" s="90">
        <f>SUM(K366:K373)</f>
        <v>0</v>
      </c>
      <c r="L375" s="90"/>
      <c r="M375" s="90">
        <f>SUM(M366:M373)</f>
        <v>0</v>
      </c>
      <c r="N375" s="90"/>
      <c r="O375" s="90">
        <f>SUM(O366:O373)</f>
        <v>0</v>
      </c>
      <c r="P375" s="90">
        <f>SUM(P366:P373)</f>
        <v>0</v>
      </c>
      <c r="Q375" s="90"/>
      <c r="R375" s="90">
        <f>SUM(R366:R373)</f>
        <v>0</v>
      </c>
      <c r="S375" s="90">
        <f>SUM(S366:S373)</f>
        <v>0</v>
      </c>
      <c r="T375" s="90"/>
      <c r="U375" s="90">
        <f>SUM(U366:U373)</f>
        <v>0</v>
      </c>
      <c r="V375" s="90"/>
      <c r="W375" s="90">
        <f>SUM(W366:W373)</f>
        <v>0</v>
      </c>
      <c r="X375" s="90"/>
      <c r="Y375" s="90">
        <f>SUM(Y366:Y373)</f>
        <v>0</v>
      </c>
      <c r="Z375" s="90"/>
      <c r="AA375" s="90">
        <f>SUM(AA366:AA373)</f>
        <v>0</v>
      </c>
      <c r="AB375" s="67">
        <f>SUM(H375:AA375)</f>
        <v>0</v>
      </c>
      <c r="AC375" s="28" t="str">
        <f>IF(ABS(AB375-F375)&lt;1,"ok","err")</f>
        <v>ok</v>
      </c>
    </row>
    <row r="376" spans="1:29" x14ac:dyDescent="0.25">
      <c r="Q376" s="14"/>
      <c r="AC376" s="28"/>
    </row>
    <row r="377" spans="1:29" x14ac:dyDescent="0.25">
      <c r="A377" s="13" t="s">
        <v>534</v>
      </c>
      <c r="Q377" s="14"/>
      <c r="AC377" s="28"/>
    </row>
    <row r="378" spans="1:29" x14ac:dyDescent="0.25">
      <c r="A378" s="14">
        <v>580</v>
      </c>
      <c r="B378" s="14" t="s">
        <v>98</v>
      </c>
      <c r="C378" s="14" t="s">
        <v>481</v>
      </c>
      <c r="D378" s="14" t="s">
        <v>16</v>
      </c>
      <c r="F378" s="67">
        <v>144022.82999999999</v>
      </c>
      <c r="H378" s="50">
        <f t="shared" ref="H378:H388" si="214">IF(VLOOKUP($D378,$C$5:$AA$492,6,)=0,0,((VLOOKUP($D378,$C$5:$AA$492,6,)/VLOOKUP($D378,$C$5:$AA$492,4,))*$F378))</f>
        <v>0</v>
      </c>
      <c r="I378" s="50">
        <f t="shared" ref="I378:I388" si="215">IF(VLOOKUP($D378,$C$5:$AA$492,7,)=0,0,((VLOOKUP($D378,$C$5:$AA$492,7,)/VLOOKUP($D378,$C$5:$AA$492,4,))*$F378))</f>
        <v>0</v>
      </c>
      <c r="J378" s="50"/>
      <c r="K378" s="50">
        <f t="shared" ref="K378:K388" si="216">IF(VLOOKUP($D378,$C$5:$AA$492,9,)=0,0,((VLOOKUP($D378,$C$5:$AA$492,9,)/VLOOKUP($D378,$C$5:$AA$492,4,))*$F378))</f>
        <v>0</v>
      </c>
      <c r="L378" s="50"/>
      <c r="M378" s="50">
        <f t="shared" ref="M378:M388" si="217">IF(VLOOKUP($D378,$C$5:$AA$492,11,)=0,0,((VLOOKUP($D378,$C$5:$AA$492,11,)/VLOOKUP($D378,$C$5:$AA$492,4,))*$F378))</f>
        <v>1221.6064604103806</v>
      </c>
      <c r="N378" s="50"/>
      <c r="O378" s="50">
        <f t="shared" ref="O378:O388" si="218">IF(VLOOKUP($D378,$C$5:$AA$492,13,)=0,0,((VLOOKUP($D378,$C$5:$AA$492,13,)/VLOOKUP($D378,$C$5:$AA$492,4,))*$F378))</f>
        <v>83003.782870392955</v>
      </c>
      <c r="P378" s="50">
        <f t="shared" ref="P378:P388" si="219">IF(VLOOKUP($D378,$C$5:$AA$492,14,)=0,0,((VLOOKUP($D378,$C$5:$AA$492,14,)/VLOOKUP($D378,$C$5:$AA$492,4,))*$F378))</f>
        <v>34532.283541289704</v>
      </c>
      <c r="Q378" s="50"/>
      <c r="R378" s="50">
        <f t="shared" ref="R378:R388" si="220">IF(VLOOKUP($D378,$C$5:$AA$492,16,)=0,0,((VLOOKUP($D378,$C$5:$AA$492,16,)/VLOOKUP($D378,$C$5:$AA$492,4,))*$F378))</f>
        <v>0</v>
      </c>
      <c r="S378" s="50">
        <f t="shared" ref="S378:S388" si="221">IF(VLOOKUP($D378,$C$5:$AA$492,17,)=0,0,((VLOOKUP($D378,$C$5:$AA$492,17,)/VLOOKUP($D378,$C$5:$AA$492,4,))*$F378))</f>
        <v>15220.768529009325</v>
      </c>
      <c r="T378" s="50"/>
      <c r="U378" s="50">
        <f t="shared" ref="U378:U388" si="222">IF(VLOOKUP($D378,$C$5:$AA$492,19,)=0,0,((VLOOKUP($D378,$C$5:$AA$492,19,)/VLOOKUP($D378,$C$5:$AA$492,4,))*$F378))</f>
        <v>5485.5669919286411</v>
      </c>
      <c r="V378" s="50"/>
      <c r="W378" s="50">
        <f t="shared" ref="W378:W388" si="223">IF(VLOOKUP($D378,$C$5:$AA$492,21,)=0,0,((VLOOKUP($D378,$C$5:$AA$492,21,)/VLOOKUP($D378,$C$5:$AA$492,4,))*$F378))</f>
        <v>4558.8216069689952</v>
      </c>
      <c r="X378" s="50"/>
      <c r="Y378" s="50">
        <f t="shared" ref="Y378:Y388" si="224">IF(VLOOKUP($D378,$C$5:$AA$492,23,)=0,0,((VLOOKUP($D378,$C$5:$AA$492,23,)/VLOOKUP($D378,$C$5:$AA$492,4,))*$F378))</f>
        <v>0</v>
      </c>
      <c r="Z378" s="50"/>
      <c r="AA378" s="50">
        <f t="shared" ref="AA378:AA388" si="225">IF(VLOOKUP($D378,$C$5:$AA$492,25,)=0,0,((VLOOKUP($D378,$C$5:$AA$492,25,)/VLOOKUP($D378,$C$5:$AA$492,4,))*$F378))</f>
        <v>0</v>
      </c>
      <c r="AB378" s="50">
        <f t="shared" ref="AB378:AB388" si="226">SUM(H378:AA378)</f>
        <v>144022.83000000002</v>
      </c>
      <c r="AC378" s="28" t="str">
        <f t="shared" ref="AC378:AC388" si="227">IF(ABS(AB378-F378)&lt;1,"ok","err")</f>
        <v>ok</v>
      </c>
    </row>
    <row r="379" spans="1:29" x14ac:dyDescent="0.25">
      <c r="A379" s="14">
        <v>581</v>
      </c>
      <c r="B379" s="14" t="s">
        <v>100</v>
      </c>
      <c r="C379" s="14" t="s">
        <v>482</v>
      </c>
      <c r="D379" s="14" t="s">
        <v>23</v>
      </c>
      <c r="F379" s="50">
        <v>0</v>
      </c>
      <c r="H379" s="50">
        <f t="shared" si="214"/>
        <v>0</v>
      </c>
      <c r="I379" s="50">
        <f t="shared" si="215"/>
        <v>0</v>
      </c>
      <c r="J379" s="50"/>
      <c r="K379" s="50">
        <f t="shared" si="216"/>
        <v>0</v>
      </c>
      <c r="L379" s="50"/>
      <c r="M379" s="50">
        <f t="shared" si="217"/>
        <v>0</v>
      </c>
      <c r="N379" s="50"/>
      <c r="O379" s="50">
        <f t="shared" si="218"/>
        <v>0</v>
      </c>
      <c r="P379" s="50">
        <f t="shared" si="219"/>
        <v>0</v>
      </c>
      <c r="Q379" s="50"/>
      <c r="R379" s="50">
        <f t="shared" si="220"/>
        <v>0</v>
      </c>
      <c r="S379" s="50">
        <f t="shared" si="221"/>
        <v>0</v>
      </c>
      <c r="T379" s="50"/>
      <c r="U379" s="50">
        <f t="shared" si="222"/>
        <v>0</v>
      </c>
      <c r="V379" s="50"/>
      <c r="W379" s="50">
        <f t="shared" si="223"/>
        <v>0</v>
      </c>
      <c r="X379" s="50"/>
      <c r="Y379" s="50">
        <f t="shared" si="224"/>
        <v>0</v>
      </c>
      <c r="Z379" s="50"/>
      <c r="AA379" s="50">
        <f t="shared" si="225"/>
        <v>0</v>
      </c>
      <c r="AB379" s="50">
        <f t="shared" si="226"/>
        <v>0</v>
      </c>
      <c r="AC379" s="28" t="str">
        <f t="shared" si="227"/>
        <v>ok</v>
      </c>
    </row>
    <row r="380" spans="1:29" x14ac:dyDescent="0.25">
      <c r="A380" s="14">
        <v>582</v>
      </c>
      <c r="B380" s="14" t="s">
        <v>370</v>
      </c>
      <c r="C380" s="14" t="s">
        <v>483</v>
      </c>
      <c r="D380" s="14" t="s">
        <v>23</v>
      </c>
      <c r="F380" s="50">
        <v>0</v>
      </c>
      <c r="H380" s="50">
        <f t="shared" si="214"/>
        <v>0</v>
      </c>
      <c r="I380" s="50">
        <f t="shared" si="215"/>
        <v>0</v>
      </c>
      <c r="J380" s="50"/>
      <c r="K380" s="50">
        <f t="shared" si="216"/>
        <v>0</v>
      </c>
      <c r="L380" s="50"/>
      <c r="M380" s="50">
        <f t="shared" si="217"/>
        <v>0</v>
      </c>
      <c r="N380" s="50"/>
      <c r="O380" s="50">
        <f t="shared" si="218"/>
        <v>0</v>
      </c>
      <c r="P380" s="50">
        <f t="shared" si="219"/>
        <v>0</v>
      </c>
      <c r="Q380" s="50"/>
      <c r="R380" s="50">
        <f t="shared" si="220"/>
        <v>0</v>
      </c>
      <c r="S380" s="50">
        <f t="shared" si="221"/>
        <v>0</v>
      </c>
      <c r="T380" s="50"/>
      <c r="U380" s="50">
        <f t="shared" si="222"/>
        <v>0</v>
      </c>
      <c r="V380" s="50"/>
      <c r="W380" s="50">
        <f t="shared" si="223"/>
        <v>0</v>
      </c>
      <c r="X380" s="50"/>
      <c r="Y380" s="50">
        <f t="shared" si="224"/>
        <v>0</v>
      </c>
      <c r="Z380" s="50"/>
      <c r="AA380" s="50">
        <f t="shared" si="225"/>
        <v>0</v>
      </c>
      <c r="AB380" s="50">
        <f t="shared" si="226"/>
        <v>0</v>
      </c>
      <c r="AC380" s="28" t="str">
        <f t="shared" si="227"/>
        <v>ok</v>
      </c>
    </row>
    <row r="381" spans="1:29" x14ac:dyDescent="0.25">
      <c r="A381" s="14">
        <v>583</v>
      </c>
      <c r="B381" s="14" t="s">
        <v>102</v>
      </c>
      <c r="C381" s="14" t="s">
        <v>484</v>
      </c>
      <c r="D381" s="14" t="s">
        <v>29</v>
      </c>
      <c r="F381" s="50">
        <v>201185.88</v>
      </c>
      <c r="H381" s="50">
        <f t="shared" si="214"/>
        <v>0</v>
      </c>
      <c r="I381" s="50">
        <f t="shared" si="215"/>
        <v>0</v>
      </c>
      <c r="J381" s="50"/>
      <c r="K381" s="50">
        <f t="shared" si="216"/>
        <v>0</v>
      </c>
      <c r="L381" s="50"/>
      <c r="M381" s="50">
        <f t="shared" si="217"/>
        <v>0</v>
      </c>
      <c r="N381" s="50"/>
      <c r="O381" s="50">
        <f t="shared" si="218"/>
        <v>166353.20390453975</v>
      </c>
      <c r="P381" s="50">
        <f t="shared" si="219"/>
        <v>34832.676095460243</v>
      </c>
      <c r="Q381" s="50"/>
      <c r="R381" s="50">
        <f t="shared" si="220"/>
        <v>0</v>
      </c>
      <c r="S381" s="50">
        <f t="shared" si="221"/>
        <v>0</v>
      </c>
      <c r="T381" s="50"/>
      <c r="U381" s="50">
        <f t="shared" si="222"/>
        <v>0</v>
      </c>
      <c r="V381" s="50"/>
      <c r="W381" s="50">
        <f t="shared" si="223"/>
        <v>0</v>
      </c>
      <c r="X381" s="50"/>
      <c r="Y381" s="50">
        <f t="shared" si="224"/>
        <v>0</v>
      </c>
      <c r="Z381" s="50"/>
      <c r="AA381" s="50">
        <f t="shared" si="225"/>
        <v>0</v>
      </c>
      <c r="AB381" s="50">
        <f t="shared" si="226"/>
        <v>201185.88</v>
      </c>
      <c r="AC381" s="28" t="str">
        <f t="shared" si="227"/>
        <v>ok</v>
      </c>
    </row>
    <row r="382" spans="1:29" x14ac:dyDescent="0.25">
      <c r="A382" s="14">
        <v>584</v>
      </c>
      <c r="B382" s="14" t="s">
        <v>104</v>
      </c>
      <c r="C382" s="14" t="s">
        <v>485</v>
      </c>
      <c r="D382" s="14" t="s">
        <v>35</v>
      </c>
      <c r="F382" s="50">
        <v>57047.54</v>
      </c>
      <c r="H382" s="50">
        <f t="shared" si="214"/>
        <v>0</v>
      </c>
      <c r="I382" s="50">
        <f t="shared" si="215"/>
        <v>0</v>
      </c>
      <c r="J382" s="50"/>
      <c r="K382" s="50">
        <f t="shared" si="216"/>
        <v>0</v>
      </c>
      <c r="L382" s="50"/>
      <c r="M382" s="50">
        <f t="shared" si="217"/>
        <v>0</v>
      </c>
      <c r="N382" s="50"/>
      <c r="O382" s="50">
        <f t="shared" si="218"/>
        <v>25646.915698506495</v>
      </c>
      <c r="P382" s="50">
        <f t="shared" si="219"/>
        <v>31400.624301493506</v>
      </c>
      <c r="Q382" s="50"/>
      <c r="R382" s="50">
        <f t="shared" si="220"/>
        <v>0</v>
      </c>
      <c r="S382" s="50">
        <f t="shared" si="221"/>
        <v>0</v>
      </c>
      <c r="T382" s="50"/>
      <c r="U382" s="50">
        <f t="shared" si="222"/>
        <v>0</v>
      </c>
      <c r="V382" s="50"/>
      <c r="W382" s="50">
        <f t="shared" si="223"/>
        <v>0</v>
      </c>
      <c r="X382" s="50"/>
      <c r="Y382" s="50">
        <f t="shared" si="224"/>
        <v>0</v>
      </c>
      <c r="Z382" s="50"/>
      <c r="AA382" s="50">
        <f t="shared" si="225"/>
        <v>0</v>
      </c>
      <c r="AB382" s="50">
        <f t="shared" si="226"/>
        <v>57047.54</v>
      </c>
      <c r="AC382" s="28" t="str">
        <f t="shared" si="227"/>
        <v>ok</v>
      </c>
    </row>
    <row r="383" spans="1:29" x14ac:dyDescent="0.25">
      <c r="A383" s="14">
        <v>585</v>
      </c>
      <c r="B383" s="14" t="s">
        <v>106</v>
      </c>
      <c r="C383" s="14" t="s">
        <v>486</v>
      </c>
      <c r="D383" s="14" t="s">
        <v>46</v>
      </c>
      <c r="F383" s="50">
        <v>0</v>
      </c>
      <c r="H383" s="50">
        <f t="shared" si="214"/>
        <v>0</v>
      </c>
      <c r="I383" s="50">
        <f t="shared" si="215"/>
        <v>0</v>
      </c>
      <c r="J383" s="50"/>
      <c r="K383" s="50">
        <f t="shared" si="216"/>
        <v>0</v>
      </c>
      <c r="L383" s="50"/>
      <c r="M383" s="50">
        <f t="shared" si="217"/>
        <v>0</v>
      </c>
      <c r="N383" s="50"/>
      <c r="O383" s="50">
        <f t="shared" si="218"/>
        <v>0</v>
      </c>
      <c r="P383" s="50">
        <f t="shared" si="219"/>
        <v>0</v>
      </c>
      <c r="Q383" s="50"/>
      <c r="R383" s="50">
        <f t="shared" si="220"/>
        <v>0</v>
      </c>
      <c r="S383" s="50">
        <f t="shared" si="221"/>
        <v>0</v>
      </c>
      <c r="T383" s="50"/>
      <c r="U383" s="50">
        <f t="shared" si="222"/>
        <v>0</v>
      </c>
      <c r="V383" s="50"/>
      <c r="W383" s="50">
        <f t="shared" si="223"/>
        <v>0</v>
      </c>
      <c r="X383" s="50"/>
      <c r="Y383" s="50">
        <f t="shared" si="224"/>
        <v>0</v>
      </c>
      <c r="Z383" s="50"/>
      <c r="AA383" s="50">
        <f t="shared" si="225"/>
        <v>0</v>
      </c>
      <c r="AB383" s="50">
        <f t="shared" si="226"/>
        <v>0</v>
      </c>
      <c r="AC383" s="28" t="str">
        <f t="shared" si="227"/>
        <v>ok</v>
      </c>
    </row>
    <row r="384" spans="1:29" x14ac:dyDescent="0.25">
      <c r="A384" s="14">
        <v>586</v>
      </c>
      <c r="B384" s="14" t="s">
        <v>108</v>
      </c>
      <c r="C384" s="14" t="s">
        <v>487</v>
      </c>
      <c r="D384" s="14" t="s">
        <v>43</v>
      </c>
      <c r="F384" s="50">
        <v>156633.91</v>
      </c>
      <c r="H384" s="50">
        <f t="shared" si="214"/>
        <v>0</v>
      </c>
      <c r="I384" s="50">
        <f t="shared" si="215"/>
        <v>0</v>
      </c>
      <c r="J384" s="50"/>
      <c r="K384" s="50">
        <f t="shared" si="216"/>
        <v>0</v>
      </c>
      <c r="L384" s="50"/>
      <c r="M384" s="50">
        <f t="shared" si="217"/>
        <v>0</v>
      </c>
      <c r="N384" s="50"/>
      <c r="O384" s="50">
        <f t="shared" si="218"/>
        <v>0</v>
      </c>
      <c r="P384" s="50">
        <f t="shared" si="219"/>
        <v>0</v>
      </c>
      <c r="Q384" s="50"/>
      <c r="R384" s="50">
        <f t="shared" si="220"/>
        <v>0</v>
      </c>
      <c r="S384" s="50">
        <f t="shared" si="221"/>
        <v>0</v>
      </c>
      <c r="T384" s="50"/>
      <c r="U384" s="50">
        <f t="shared" si="222"/>
        <v>156633.91</v>
      </c>
      <c r="V384" s="50"/>
      <c r="W384" s="50">
        <f t="shared" si="223"/>
        <v>0</v>
      </c>
      <c r="X384" s="50"/>
      <c r="Y384" s="50">
        <f t="shared" si="224"/>
        <v>0</v>
      </c>
      <c r="Z384" s="50"/>
      <c r="AA384" s="50">
        <f t="shared" si="225"/>
        <v>0</v>
      </c>
      <c r="AB384" s="50">
        <f t="shared" si="226"/>
        <v>156633.91</v>
      </c>
      <c r="AC384" s="28" t="str">
        <f t="shared" si="227"/>
        <v>ok</v>
      </c>
    </row>
    <row r="385" spans="1:29" x14ac:dyDescent="0.25">
      <c r="A385" s="14">
        <v>586</v>
      </c>
      <c r="B385" s="14" t="s">
        <v>449</v>
      </c>
      <c r="C385" s="14" t="s">
        <v>488</v>
      </c>
      <c r="D385" s="14" t="s">
        <v>470</v>
      </c>
      <c r="F385" s="50">
        <v>0</v>
      </c>
      <c r="H385" s="50">
        <f t="shared" si="214"/>
        <v>0</v>
      </c>
      <c r="I385" s="50">
        <f t="shared" si="215"/>
        <v>0</v>
      </c>
      <c r="J385" s="50"/>
      <c r="K385" s="50">
        <f t="shared" si="216"/>
        <v>0</v>
      </c>
      <c r="L385" s="50"/>
      <c r="M385" s="50">
        <f t="shared" si="217"/>
        <v>0</v>
      </c>
      <c r="N385" s="50"/>
      <c r="O385" s="50">
        <f t="shared" si="218"/>
        <v>0</v>
      </c>
      <c r="P385" s="50">
        <f t="shared" si="219"/>
        <v>0</v>
      </c>
      <c r="Q385" s="50"/>
      <c r="R385" s="50">
        <f t="shared" si="220"/>
        <v>0</v>
      </c>
      <c r="S385" s="50">
        <f t="shared" si="221"/>
        <v>0</v>
      </c>
      <c r="T385" s="50"/>
      <c r="U385" s="50">
        <f t="shared" si="222"/>
        <v>0</v>
      </c>
      <c r="V385" s="50"/>
      <c r="W385" s="50">
        <f t="shared" si="223"/>
        <v>0</v>
      </c>
      <c r="X385" s="50"/>
      <c r="Y385" s="50">
        <f t="shared" si="224"/>
        <v>0</v>
      </c>
      <c r="Z385" s="50"/>
      <c r="AA385" s="50">
        <f t="shared" si="225"/>
        <v>0</v>
      </c>
      <c r="AB385" s="50">
        <f t="shared" si="226"/>
        <v>0</v>
      </c>
      <c r="AC385" s="28" t="str">
        <f t="shared" si="227"/>
        <v>ok</v>
      </c>
    </row>
    <row r="386" spans="1:29" x14ac:dyDescent="0.25">
      <c r="A386" s="14">
        <v>587</v>
      </c>
      <c r="B386" s="14" t="s">
        <v>110</v>
      </c>
      <c r="C386" s="14" t="s">
        <v>489</v>
      </c>
      <c r="D386" s="14" t="s">
        <v>40</v>
      </c>
      <c r="F386" s="50">
        <v>0</v>
      </c>
      <c r="H386" s="50">
        <f t="shared" si="214"/>
        <v>0</v>
      </c>
      <c r="I386" s="50">
        <f t="shared" si="215"/>
        <v>0</v>
      </c>
      <c r="J386" s="50"/>
      <c r="K386" s="50">
        <f t="shared" si="216"/>
        <v>0</v>
      </c>
      <c r="L386" s="50"/>
      <c r="M386" s="50">
        <f t="shared" si="217"/>
        <v>0</v>
      </c>
      <c r="N386" s="50"/>
      <c r="O386" s="50">
        <f t="shared" si="218"/>
        <v>0</v>
      </c>
      <c r="P386" s="50">
        <f t="shared" si="219"/>
        <v>0</v>
      </c>
      <c r="Q386" s="50"/>
      <c r="R386" s="50">
        <f t="shared" si="220"/>
        <v>0</v>
      </c>
      <c r="S386" s="50">
        <f t="shared" si="221"/>
        <v>0</v>
      </c>
      <c r="T386" s="50"/>
      <c r="U386" s="50">
        <f t="shared" si="222"/>
        <v>0</v>
      </c>
      <c r="V386" s="50"/>
      <c r="W386" s="50">
        <f t="shared" si="223"/>
        <v>0</v>
      </c>
      <c r="X386" s="50"/>
      <c r="Y386" s="50">
        <f t="shared" si="224"/>
        <v>0</v>
      </c>
      <c r="Z386" s="50"/>
      <c r="AA386" s="50">
        <f t="shared" si="225"/>
        <v>0</v>
      </c>
      <c r="AB386" s="50">
        <f t="shared" si="226"/>
        <v>0</v>
      </c>
      <c r="AC386" s="28" t="str">
        <f t="shared" si="227"/>
        <v>ok</v>
      </c>
    </row>
    <row r="387" spans="1:29" x14ac:dyDescent="0.25">
      <c r="A387" s="14">
        <v>588</v>
      </c>
      <c r="B387" s="14" t="s">
        <v>112</v>
      </c>
      <c r="C387" s="14" t="s">
        <v>490</v>
      </c>
      <c r="D387" s="14" t="s">
        <v>16</v>
      </c>
      <c r="F387" s="50">
        <v>297839.01</v>
      </c>
      <c r="H387" s="50">
        <f t="shared" si="214"/>
        <v>0</v>
      </c>
      <c r="I387" s="50">
        <f t="shared" si="215"/>
        <v>0</v>
      </c>
      <c r="J387" s="50"/>
      <c r="K387" s="50">
        <f t="shared" si="216"/>
        <v>0</v>
      </c>
      <c r="L387" s="50"/>
      <c r="M387" s="50">
        <f t="shared" si="217"/>
        <v>2526.2804430258175</v>
      </c>
      <c r="N387" s="50"/>
      <c r="O387" s="50">
        <f t="shared" si="218"/>
        <v>171651.70630498513</v>
      </c>
      <c r="P387" s="50">
        <f t="shared" si="219"/>
        <v>71412.713824447274</v>
      </c>
      <c r="Q387" s="50"/>
      <c r="R387" s="50">
        <f t="shared" si="220"/>
        <v>0</v>
      </c>
      <c r="S387" s="50">
        <f t="shared" si="221"/>
        <v>31476.527923519447</v>
      </c>
      <c r="T387" s="50"/>
      <c r="U387" s="50">
        <f t="shared" si="222"/>
        <v>11344.144828737948</v>
      </c>
      <c r="V387" s="50"/>
      <c r="W387" s="50">
        <f t="shared" si="223"/>
        <v>9427.6366752844315</v>
      </c>
      <c r="X387" s="50"/>
      <c r="Y387" s="50">
        <f t="shared" si="224"/>
        <v>0</v>
      </c>
      <c r="Z387" s="50"/>
      <c r="AA387" s="50">
        <f t="shared" si="225"/>
        <v>0</v>
      </c>
      <c r="AB387" s="50">
        <f t="shared" si="226"/>
        <v>297839.01</v>
      </c>
      <c r="AC387" s="28" t="str">
        <f t="shared" si="227"/>
        <v>ok</v>
      </c>
    </row>
    <row r="388" spans="1:29" x14ac:dyDescent="0.25">
      <c r="A388" s="14">
        <v>589</v>
      </c>
      <c r="B388" s="14" t="s">
        <v>114</v>
      </c>
      <c r="C388" s="14" t="s">
        <v>491</v>
      </c>
      <c r="D388" s="14" t="s">
        <v>16</v>
      </c>
      <c r="F388" s="50">
        <v>0</v>
      </c>
      <c r="H388" s="50">
        <f t="shared" si="214"/>
        <v>0</v>
      </c>
      <c r="I388" s="50">
        <f t="shared" si="215"/>
        <v>0</v>
      </c>
      <c r="J388" s="50"/>
      <c r="K388" s="50">
        <f t="shared" si="216"/>
        <v>0</v>
      </c>
      <c r="L388" s="50"/>
      <c r="M388" s="50">
        <f t="shared" si="217"/>
        <v>0</v>
      </c>
      <c r="N388" s="50"/>
      <c r="O388" s="50">
        <f t="shared" si="218"/>
        <v>0</v>
      </c>
      <c r="P388" s="50">
        <f t="shared" si="219"/>
        <v>0</v>
      </c>
      <c r="Q388" s="50"/>
      <c r="R388" s="50">
        <f t="shared" si="220"/>
        <v>0</v>
      </c>
      <c r="S388" s="50">
        <f t="shared" si="221"/>
        <v>0</v>
      </c>
      <c r="T388" s="50"/>
      <c r="U388" s="50">
        <f t="shared" si="222"/>
        <v>0</v>
      </c>
      <c r="V388" s="50"/>
      <c r="W388" s="50">
        <f t="shared" si="223"/>
        <v>0</v>
      </c>
      <c r="X388" s="50"/>
      <c r="Y388" s="50">
        <f t="shared" si="224"/>
        <v>0</v>
      </c>
      <c r="Z388" s="50"/>
      <c r="AA388" s="50">
        <f t="shared" si="225"/>
        <v>0</v>
      </c>
      <c r="AB388" s="50">
        <f t="shared" si="226"/>
        <v>0</v>
      </c>
      <c r="AC388" s="28" t="str">
        <f t="shared" si="227"/>
        <v>ok</v>
      </c>
    </row>
    <row r="389" spans="1:29" x14ac:dyDescent="0.25">
      <c r="F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C389" s="28"/>
    </row>
    <row r="390" spans="1:29" x14ac:dyDescent="0.25">
      <c r="A390" s="14" t="s">
        <v>535</v>
      </c>
      <c r="C390" s="14" t="s">
        <v>492</v>
      </c>
      <c r="F390" s="67">
        <f>SUM(F378:F389)</f>
        <v>856729.16999999993</v>
      </c>
      <c r="G390" s="67">
        <f>SUM(G378:G389)</f>
        <v>0</v>
      </c>
      <c r="H390" s="67">
        <f>SUM(H378:H389)</f>
        <v>0</v>
      </c>
      <c r="I390" s="67">
        <f>SUM(I378:I389)</f>
        <v>0</v>
      </c>
      <c r="J390" s="67"/>
      <c r="K390" s="67">
        <f>SUM(K378:K389)</f>
        <v>0</v>
      </c>
      <c r="L390" s="67"/>
      <c r="M390" s="67">
        <f>SUM(M378:M389)</f>
        <v>3747.8869034361978</v>
      </c>
      <c r="N390" s="67"/>
      <c r="O390" s="67">
        <f>SUM(O378:O389)</f>
        <v>446655.60877842433</v>
      </c>
      <c r="P390" s="67">
        <f>SUM(P378:P389)</f>
        <v>172178.29776269072</v>
      </c>
      <c r="Q390" s="67"/>
      <c r="R390" s="67">
        <f>SUM(R378:R389)</f>
        <v>0</v>
      </c>
      <c r="S390" s="67">
        <f>SUM(S378:S389)</f>
        <v>46697.296452528768</v>
      </c>
      <c r="T390" s="67"/>
      <c r="U390" s="67">
        <f>SUM(U378:U389)</f>
        <v>173463.62182066659</v>
      </c>
      <c r="V390" s="67"/>
      <c r="W390" s="67">
        <f>SUM(W378:W389)</f>
        <v>13986.458282253427</v>
      </c>
      <c r="X390" s="67"/>
      <c r="Y390" s="67">
        <f>SUM(Y378:Y389)</f>
        <v>0</v>
      </c>
      <c r="Z390" s="67"/>
      <c r="AA390" s="67">
        <f>SUM(AA378:AA389)</f>
        <v>0</v>
      </c>
      <c r="AB390" s="50">
        <f>SUM(H390:AA390)</f>
        <v>856729.17000000016</v>
      </c>
      <c r="AC390" s="28" t="str">
        <f>IF(ABS(AB390-F390)&lt;1,"ok","err")</f>
        <v>ok</v>
      </c>
    </row>
    <row r="391" spans="1:29" x14ac:dyDescent="0.25">
      <c r="F391" s="67"/>
      <c r="G391" s="67"/>
      <c r="H391" s="67"/>
      <c r="I391" s="67"/>
      <c r="J391" s="67"/>
      <c r="K391" s="67"/>
      <c r="L391" s="67"/>
      <c r="M391" s="67"/>
      <c r="N391" s="67"/>
      <c r="O391" s="67"/>
      <c r="P391" s="67"/>
      <c r="Q391" s="67"/>
      <c r="R391" s="67"/>
      <c r="S391" s="67"/>
      <c r="T391" s="67"/>
      <c r="U391" s="67"/>
      <c r="V391" s="67"/>
      <c r="W391" s="67"/>
      <c r="X391" s="67"/>
      <c r="Y391" s="67"/>
      <c r="Z391" s="67"/>
      <c r="AA391" s="67"/>
      <c r="AB391" s="50"/>
      <c r="AC391" s="28"/>
    </row>
    <row r="392" spans="1:29" x14ac:dyDescent="0.25">
      <c r="F392" s="67"/>
      <c r="G392" s="67"/>
      <c r="H392" s="67"/>
      <c r="I392" s="67"/>
      <c r="J392" s="67"/>
      <c r="K392" s="67"/>
      <c r="L392" s="67"/>
      <c r="M392" s="67"/>
      <c r="N392" s="67"/>
      <c r="O392" s="67"/>
      <c r="P392" s="67"/>
      <c r="Q392" s="67"/>
      <c r="R392" s="67"/>
      <c r="S392" s="67"/>
      <c r="T392" s="67"/>
      <c r="U392" s="67"/>
      <c r="V392" s="67"/>
      <c r="W392" s="67"/>
      <c r="X392" s="67"/>
      <c r="Y392" s="67"/>
      <c r="Z392" s="67"/>
      <c r="AA392" s="67"/>
      <c r="AB392" s="50"/>
      <c r="AC392" s="28"/>
    </row>
    <row r="393" spans="1:29" x14ac:dyDescent="0.25">
      <c r="A393" s="13"/>
      <c r="F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C393" s="28"/>
    </row>
    <row r="394" spans="1:29" x14ac:dyDescent="0.25">
      <c r="A394" s="26" t="s">
        <v>472</v>
      </c>
      <c r="F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C394" s="28"/>
    </row>
    <row r="395" spans="1:29" x14ac:dyDescent="0.25">
      <c r="F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C395" s="28"/>
    </row>
    <row r="396" spans="1:29" x14ac:dyDescent="0.25">
      <c r="A396" s="13" t="s">
        <v>536</v>
      </c>
      <c r="F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C396" s="28"/>
    </row>
    <row r="397" spans="1:29" x14ac:dyDescent="0.25">
      <c r="A397" s="14">
        <v>590</v>
      </c>
      <c r="B397" s="14" t="s">
        <v>119</v>
      </c>
      <c r="C397" s="14" t="s">
        <v>493</v>
      </c>
      <c r="D397" s="14" t="s">
        <v>16</v>
      </c>
      <c r="F397" s="50">
        <v>32784</v>
      </c>
      <c r="H397" s="50">
        <f t="shared" ref="H397:H404" si="228">IF(VLOOKUP($D397,$C$5:$AA$492,6,)=0,0,((VLOOKUP($D397,$C$5:$AA$492,6,)/VLOOKUP($D397,$C$5:$AA$492,4,))*$F397))</f>
        <v>0</v>
      </c>
      <c r="I397" s="50">
        <f t="shared" ref="I397:I404" si="229">IF(VLOOKUP($D397,$C$5:$AA$492,7,)=0,0,((VLOOKUP($D397,$C$5:$AA$492,7,)/VLOOKUP($D397,$C$5:$AA$492,4,))*$F397))</f>
        <v>0</v>
      </c>
      <c r="J397" s="50"/>
      <c r="K397" s="50">
        <f t="shared" ref="K397:K404" si="230">IF(VLOOKUP($D397,$C$5:$AA$492,9,)=0,0,((VLOOKUP($D397,$C$5:$AA$492,9,)/VLOOKUP($D397,$C$5:$AA$492,4,))*$F397))</f>
        <v>0</v>
      </c>
      <c r="L397" s="50"/>
      <c r="M397" s="50">
        <f t="shared" ref="M397:M404" si="231">IF(VLOOKUP($D397,$C$5:$AA$492,11,)=0,0,((VLOOKUP($D397,$C$5:$AA$492,11,)/VLOOKUP($D397,$C$5:$AA$492,4,))*$F397))</f>
        <v>278.07498434861975</v>
      </c>
      <c r="N397" s="50"/>
      <c r="O397" s="50">
        <f t="shared" ref="O397:O404" si="232">IF(VLOOKUP($D397,$C$5:$AA$492,13,)=0,0,((VLOOKUP($D397,$C$5:$AA$492,13,)/VLOOKUP($D397,$C$5:$AA$492,4,))*$F397))</f>
        <v>18894.199049018567</v>
      </c>
      <c r="P397" s="50">
        <f t="shared" ref="P397:P404" si="233">IF(VLOOKUP($D397,$C$5:$AA$492,14,)=0,0,((VLOOKUP($D397,$C$5:$AA$492,14,)/VLOOKUP($D397,$C$5:$AA$492,4,))*$F397))</f>
        <v>7860.6036530294659</v>
      </c>
      <c r="Q397" s="50"/>
      <c r="R397" s="50">
        <f t="shared" ref="R397:R404" si="234">IF(VLOOKUP($D397,$C$5:$AA$492,16,)=0,0,((VLOOKUP($D397,$C$5:$AA$492,16,)/VLOOKUP($D397,$C$5:$AA$492,4,))*$F397))</f>
        <v>0</v>
      </c>
      <c r="S397" s="50">
        <f t="shared" ref="S397:S404" si="235">IF(VLOOKUP($D397,$C$5:$AA$492,17,)=0,0,((VLOOKUP($D397,$C$5:$AA$492,17,)/VLOOKUP($D397,$C$5:$AA$492,4,))*$F397))</f>
        <v>3464.7123338365295</v>
      </c>
      <c r="T397" s="50"/>
      <c r="U397" s="50">
        <f t="shared" ref="U397:U404" si="236">IF(VLOOKUP($D397,$C$5:$AA$492,19,)=0,0,((VLOOKUP($D397,$C$5:$AA$492,19,)/VLOOKUP($D397,$C$5:$AA$492,4,))*$F397))</f>
        <v>1248.6827835794406</v>
      </c>
      <c r="V397" s="50"/>
      <c r="W397" s="50">
        <f t="shared" ref="W397:W404" si="237">IF(VLOOKUP($D397,$C$5:$AA$492,21,)=0,0,((VLOOKUP($D397,$C$5:$AA$492,21,)/VLOOKUP($D397,$C$5:$AA$492,4,))*$F397))</f>
        <v>1037.7271961873791</v>
      </c>
      <c r="X397" s="50"/>
      <c r="Y397" s="50">
        <f t="shared" ref="Y397:Y404" si="238">IF(VLOOKUP($D397,$C$5:$AA$492,23,)=0,0,((VLOOKUP($D397,$C$5:$AA$492,23,)/VLOOKUP($D397,$C$5:$AA$492,4,))*$F397))</f>
        <v>0</v>
      </c>
      <c r="Z397" s="50"/>
      <c r="AA397" s="50">
        <f t="shared" ref="AA397:AA404" si="239">IF(VLOOKUP($D397,$C$5:$AA$492,25,)=0,0,((VLOOKUP($D397,$C$5:$AA$492,25,)/VLOOKUP($D397,$C$5:$AA$492,4,))*$F397))</f>
        <v>0</v>
      </c>
      <c r="AB397" s="50">
        <f t="shared" ref="AB397:AB404" si="240">SUM(H397:AA397)</f>
        <v>32784</v>
      </c>
      <c r="AC397" s="28" t="str">
        <f t="shared" ref="AC397:AC404" si="241">IF(ABS(AB397-F397)&lt;1,"ok","err")</f>
        <v>ok</v>
      </c>
    </row>
    <row r="398" spans="1:29" x14ac:dyDescent="0.25">
      <c r="A398" s="14">
        <v>592</v>
      </c>
      <c r="B398" s="14" t="s">
        <v>121</v>
      </c>
      <c r="C398" s="14" t="s">
        <v>494</v>
      </c>
      <c r="D398" s="14" t="s">
        <v>23</v>
      </c>
      <c r="F398" s="50">
        <v>0</v>
      </c>
      <c r="H398" s="50">
        <f t="shared" si="228"/>
        <v>0</v>
      </c>
      <c r="I398" s="50">
        <f t="shared" si="229"/>
        <v>0</v>
      </c>
      <c r="J398" s="50"/>
      <c r="K398" s="50">
        <f t="shared" si="230"/>
        <v>0</v>
      </c>
      <c r="L398" s="50"/>
      <c r="M398" s="50">
        <f t="shared" si="231"/>
        <v>0</v>
      </c>
      <c r="N398" s="50"/>
      <c r="O398" s="50">
        <f t="shared" si="232"/>
        <v>0</v>
      </c>
      <c r="P398" s="50">
        <f t="shared" si="233"/>
        <v>0</v>
      </c>
      <c r="Q398" s="50"/>
      <c r="R398" s="50">
        <f t="shared" si="234"/>
        <v>0</v>
      </c>
      <c r="S398" s="50">
        <f t="shared" si="235"/>
        <v>0</v>
      </c>
      <c r="T398" s="50"/>
      <c r="U398" s="50">
        <f t="shared" si="236"/>
        <v>0</v>
      </c>
      <c r="V398" s="50"/>
      <c r="W398" s="50">
        <f t="shared" si="237"/>
        <v>0</v>
      </c>
      <c r="X398" s="50"/>
      <c r="Y398" s="50">
        <f t="shared" si="238"/>
        <v>0</v>
      </c>
      <c r="Z398" s="50"/>
      <c r="AA398" s="50">
        <f t="shared" si="239"/>
        <v>0</v>
      </c>
      <c r="AB398" s="50">
        <f t="shared" si="240"/>
        <v>0</v>
      </c>
      <c r="AC398" s="28" t="str">
        <f t="shared" si="241"/>
        <v>ok</v>
      </c>
    </row>
    <row r="399" spans="1:29" x14ac:dyDescent="0.25">
      <c r="A399" s="14">
        <v>593</v>
      </c>
      <c r="B399" s="14" t="s">
        <v>123</v>
      </c>
      <c r="C399" s="14" t="s">
        <v>495</v>
      </c>
      <c r="D399" s="14" t="s">
        <v>29</v>
      </c>
      <c r="F399" s="50">
        <v>772863.46000000008</v>
      </c>
      <c r="H399" s="50">
        <f t="shared" si="228"/>
        <v>0</v>
      </c>
      <c r="I399" s="50">
        <f t="shared" si="229"/>
        <v>0</v>
      </c>
      <c r="J399" s="50"/>
      <c r="K399" s="50">
        <f t="shared" si="230"/>
        <v>0</v>
      </c>
      <c r="L399" s="50"/>
      <c r="M399" s="50">
        <f t="shared" si="231"/>
        <v>0</v>
      </c>
      <c r="N399" s="50"/>
      <c r="O399" s="50">
        <f t="shared" si="232"/>
        <v>639052.36665589118</v>
      </c>
      <c r="P399" s="50">
        <f t="shared" si="233"/>
        <v>133811.0933441089</v>
      </c>
      <c r="Q399" s="50"/>
      <c r="R399" s="50">
        <f t="shared" si="234"/>
        <v>0</v>
      </c>
      <c r="S399" s="50">
        <f t="shared" si="235"/>
        <v>0</v>
      </c>
      <c r="T399" s="50"/>
      <c r="U399" s="50">
        <f t="shared" si="236"/>
        <v>0</v>
      </c>
      <c r="V399" s="50"/>
      <c r="W399" s="50">
        <f t="shared" si="237"/>
        <v>0</v>
      </c>
      <c r="X399" s="50"/>
      <c r="Y399" s="50">
        <f t="shared" si="238"/>
        <v>0</v>
      </c>
      <c r="Z399" s="50"/>
      <c r="AA399" s="50">
        <f t="shared" si="239"/>
        <v>0</v>
      </c>
      <c r="AB399" s="50">
        <f t="shared" si="240"/>
        <v>772863.46000000008</v>
      </c>
      <c r="AC399" s="28" t="str">
        <f t="shared" si="241"/>
        <v>ok</v>
      </c>
    </row>
    <row r="400" spans="1:29" x14ac:dyDescent="0.25">
      <c r="A400" s="14">
        <v>594</v>
      </c>
      <c r="B400" s="14" t="s">
        <v>125</v>
      </c>
      <c r="C400" s="14" t="s">
        <v>496</v>
      </c>
      <c r="D400" s="14" t="s">
        <v>35</v>
      </c>
      <c r="F400" s="50">
        <v>0</v>
      </c>
      <c r="H400" s="50">
        <f t="shared" si="228"/>
        <v>0</v>
      </c>
      <c r="I400" s="50">
        <f t="shared" si="229"/>
        <v>0</v>
      </c>
      <c r="J400" s="50"/>
      <c r="K400" s="50">
        <f t="shared" si="230"/>
        <v>0</v>
      </c>
      <c r="L400" s="50"/>
      <c r="M400" s="50">
        <f t="shared" si="231"/>
        <v>0</v>
      </c>
      <c r="N400" s="50"/>
      <c r="O400" s="50">
        <f t="shared" si="232"/>
        <v>0</v>
      </c>
      <c r="P400" s="50">
        <f t="shared" si="233"/>
        <v>0</v>
      </c>
      <c r="Q400" s="50"/>
      <c r="R400" s="50">
        <f t="shared" si="234"/>
        <v>0</v>
      </c>
      <c r="S400" s="50">
        <f t="shared" si="235"/>
        <v>0</v>
      </c>
      <c r="T400" s="50"/>
      <c r="U400" s="50">
        <f t="shared" si="236"/>
        <v>0</v>
      </c>
      <c r="V400" s="50"/>
      <c r="W400" s="50">
        <f t="shared" si="237"/>
        <v>0</v>
      </c>
      <c r="X400" s="50"/>
      <c r="Y400" s="50">
        <f t="shared" si="238"/>
        <v>0</v>
      </c>
      <c r="Z400" s="50"/>
      <c r="AA400" s="50">
        <f t="shared" si="239"/>
        <v>0</v>
      </c>
      <c r="AB400" s="50">
        <f t="shared" si="240"/>
        <v>0</v>
      </c>
      <c r="AC400" s="28" t="str">
        <f t="shared" si="241"/>
        <v>ok</v>
      </c>
    </row>
    <row r="401" spans="1:29" x14ac:dyDescent="0.25">
      <c r="A401" s="14">
        <v>595</v>
      </c>
      <c r="B401" s="14" t="s">
        <v>127</v>
      </c>
      <c r="C401" s="14" t="s">
        <v>497</v>
      </c>
      <c r="D401" s="14" t="s">
        <v>37</v>
      </c>
      <c r="F401" s="50">
        <v>0</v>
      </c>
      <c r="H401" s="50">
        <f t="shared" si="228"/>
        <v>0</v>
      </c>
      <c r="I401" s="50">
        <f t="shared" si="229"/>
        <v>0</v>
      </c>
      <c r="J401" s="50"/>
      <c r="K401" s="50">
        <f t="shared" si="230"/>
        <v>0</v>
      </c>
      <c r="L401" s="50"/>
      <c r="M401" s="50">
        <f t="shared" si="231"/>
        <v>0</v>
      </c>
      <c r="N401" s="50"/>
      <c r="O401" s="50">
        <f t="shared" si="232"/>
        <v>0</v>
      </c>
      <c r="P401" s="50">
        <f t="shared" si="233"/>
        <v>0</v>
      </c>
      <c r="Q401" s="50"/>
      <c r="R401" s="50">
        <f t="shared" si="234"/>
        <v>0</v>
      </c>
      <c r="S401" s="50">
        <f t="shared" si="235"/>
        <v>0</v>
      </c>
      <c r="T401" s="50"/>
      <c r="U401" s="50">
        <f t="shared" si="236"/>
        <v>0</v>
      </c>
      <c r="V401" s="50"/>
      <c r="W401" s="50">
        <f t="shared" si="237"/>
        <v>0</v>
      </c>
      <c r="X401" s="50"/>
      <c r="Y401" s="50">
        <f t="shared" si="238"/>
        <v>0</v>
      </c>
      <c r="Z401" s="50"/>
      <c r="AA401" s="50">
        <f t="shared" si="239"/>
        <v>0</v>
      </c>
      <c r="AB401" s="50">
        <f t="shared" si="240"/>
        <v>0</v>
      </c>
      <c r="AC401" s="28" t="str">
        <f t="shared" si="241"/>
        <v>ok</v>
      </c>
    </row>
    <row r="402" spans="1:29" x14ac:dyDescent="0.25">
      <c r="A402" s="14">
        <v>596</v>
      </c>
      <c r="B402" s="14" t="s">
        <v>378</v>
      </c>
      <c r="C402" s="14" t="s">
        <v>498</v>
      </c>
      <c r="D402" s="14" t="s">
        <v>48</v>
      </c>
      <c r="F402" s="50">
        <v>0</v>
      </c>
      <c r="H402" s="50">
        <f t="shared" si="228"/>
        <v>0</v>
      </c>
      <c r="I402" s="50">
        <f t="shared" si="229"/>
        <v>0</v>
      </c>
      <c r="J402" s="50"/>
      <c r="K402" s="50">
        <f t="shared" si="230"/>
        <v>0</v>
      </c>
      <c r="L402" s="50"/>
      <c r="M402" s="50">
        <f t="shared" si="231"/>
        <v>0</v>
      </c>
      <c r="N402" s="50"/>
      <c r="O402" s="50">
        <f t="shared" si="232"/>
        <v>0</v>
      </c>
      <c r="P402" s="50">
        <f t="shared" si="233"/>
        <v>0</v>
      </c>
      <c r="Q402" s="50"/>
      <c r="R402" s="50">
        <f t="shared" si="234"/>
        <v>0</v>
      </c>
      <c r="S402" s="50">
        <f t="shared" si="235"/>
        <v>0</v>
      </c>
      <c r="T402" s="50"/>
      <c r="U402" s="50">
        <f t="shared" si="236"/>
        <v>0</v>
      </c>
      <c r="V402" s="50"/>
      <c r="W402" s="50">
        <f t="shared" si="237"/>
        <v>0</v>
      </c>
      <c r="X402" s="50"/>
      <c r="Y402" s="50">
        <f t="shared" si="238"/>
        <v>0</v>
      </c>
      <c r="Z402" s="50"/>
      <c r="AA402" s="50">
        <f t="shared" si="239"/>
        <v>0</v>
      </c>
      <c r="AB402" s="50">
        <f t="shared" si="240"/>
        <v>0</v>
      </c>
      <c r="AC402" s="28" t="str">
        <f t="shared" si="241"/>
        <v>ok</v>
      </c>
    </row>
    <row r="403" spans="1:29" x14ac:dyDescent="0.25">
      <c r="A403" s="14">
        <v>597</v>
      </c>
      <c r="B403" s="14" t="s">
        <v>129</v>
      </c>
      <c r="C403" s="14" t="s">
        <v>499</v>
      </c>
      <c r="D403" s="14" t="s">
        <v>43</v>
      </c>
      <c r="F403" s="50">
        <v>19348.060000000001</v>
      </c>
      <c r="H403" s="50">
        <f t="shared" si="228"/>
        <v>0</v>
      </c>
      <c r="I403" s="50">
        <f t="shared" si="229"/>
        <v>0</v>
      </c>
      <c r="J403" s="50"/>
      <c r="K403" s="50">
        <f t="shared" si="230"/>
        <v>0</v>
      </c>
      <c r="L403" s="50"/>
      <c r="M403" s="50">
        <f t="shared" si="231"/>
        <v>0</v>
      </c>
      <c r="N403" s="50"/>
      <c r="O403" s="50">
        <f t="shared" si="232"/>
        <v>0</v>
      </c>
      <c r="P403" s="50">
        <f t="shared" si="233"/>
        <v>0</v>
      </c>
      <c r="Q403" s="50"/>
      <c r="R403" s="50">
        <f t="shared" si="234"/>
        <v>0</v>
      </c>
      <c r="S403" s="50">
        <f t="shared" si="235"/>
        <v>0</v>
      </c>
      <c r="T403" s="50"/>
      <c r="U403" s="50">
        <f t="shared" si="236"/>
        <v>19348.060000000001</v>
      </c>
      <c r="V403" s="50"/>
      <c r="W403" s="50">
        <f t="shared" si="237"/>
        <v>0</v>
      </c>
      <c r="X403" s="50"/>
      <c r="Y403" s="50">
        <f t="shared" si="238"/>
        <v>0</v>
      </c>
      <c r="Z403" s="50"/>
      <c r="AA403" s="50">
        <f t="shared" si="239"/>
        <v>0</v>
      </c>
      <c r="AB403" s="50">
        <f t="shared" si="240"/>
        <v>19348.060000000001</v>
      </c>
      <c r="AC403" s="28" t="str">
        <f t="shared" si="241"/>
        <v>ok</v>
      </c>
    </row>
    <row r="404" spans="1:29" x14ac:dyDescent="0.25">
      <c r="A404" s="14">
        <v>598</v>
      </c>
      <c r="B404" s="14" t="s">
        <v>382</v>
      </c>
      <c r="C404" s="14" t="s">
        <v>500</v>
      </c>
      <c r="D404" s="14" t="s">
        <v>16</v>
      </c>
      <c r="F404" s="50">
        <v>180881.44</v>
      </c>
      <c r="H404" s="50">
        <f t="shared" si="228"/>
        <v>0</v>
      </c>
      <c r="I404" s="50">
        <f t="shared" si="229"/>
        <v>0</v>
      </c>
      <c r="J404" s="50"/>
      <c r="K404" s="50">
        <f t="shared" si="230"/>
        <v>0</v>
      </c>
      <c r="L404" s="50"/>
      <c r="M404" s="50">
        <f t="shared" si="231"/>
        <v>1534.2424230403794</v>
      </c>
      <c r="N404" s="50"/>
      <c r="O404" s="50">
        <f t="shared" si="232"/>
        <v>104246.27658714951</v>
      </c>
      <c r="P404" s="50">
        <f t="shared" si="233"/>
        <v>43369.854442082426</v>
      </c>
      <c r="Q404" s="50"/>
      <c r="R404" s="50">
        <f t="shared" si="234"/>
        <v>0</v>
      </c>
      <c r="S404" s="50">
        <f t="shared" si="235"/>
        <v>19116.09797859054</v>
      </c>
      <c r="T404" s="50"/>
      <c r="U404" s="50">
        <f t="shared" si="236"/>
        <v>6889.4442410034644</v>
      </c>
      <c r="V404" s="50"/>
      <c r="W404" s="50">
        <f t="shared" si="237"/>
        <v>5725.5243281337134</v>
      </c>
      <c r="X404" s="50"/>
      <c r="Y404" s="50">
        <f t="shared" si="238"/>
        <v>0</v>
      </c>
      <c r="Z404" s="50"/>
      <c r="AA404" s="50">
        <f t="shared" si="239"/>
        <v>0</v>
      </c>
      <c r="AB404" s="50">
        <f t="shared" si="240"/>
        <v>180881.44000000003</v>
      </c>
      <c r="AC404" s="28" t="str">
        <f t="shared" si="241"/>
        <v>ok</v>
      </c>
    </row>
    <row r="405" spans="1:29" x14ac:dyDescent="0.25">
      <c r="F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0"/>
      <c r="AC405" s="28"/>
    </row>
    <row r="406" spans="1:29" x14ac:dyDescent="0.25">
      <c r="A406" s="14" t="s">
        <v>537</v>
      </c>
      <c r="C406" s="14" t="s">
        <v>501</v>
      </c>
      <c r="F406" s="67">
        <f>SUM(F397:F405)</f>
        <v>1005876.9600000002</v>
      </c>
      <c r="G406" s="67">
        <f>SUM(G397:G405)</f>
        <v>0</v>
      </c>
      <c r="H406" s="67">
        <f>SUM(H397:H405)</f>
        <v>0</v>
      </c>
      <c r="I406" s="67">
        <f>SUM(I397:I405)</f>
        <v>0</v>
      </c>
      <c r="J406" s="67"/>
      <c r="K406" s="67">
        <f>SUM(K397:K405)</f>
        <v>0</v>
      </c>
      <c r="L406" s="67"/>
      <c r="M406" s="67">
        <f>SUM(M397:M405)</f>
        <v>1812.3174073889991</v>
      </c>
      <c r="N406" s="67"/>
      <c r="O406" s="67">
        <f>SUM(O397:O405)</f>
        <v>762192.84229205921</v>
      </c>
      <c r="P406" s="67">
        <f>SUM(P397:P405)</f>
        <v>185041.55143922081</v>
      </c>
      <c r="Q406" s="67"/>
      <c r="R406" s="67">
        <f>SUM(R397:R405)</f>
        <v>0</v>
      </c>
      <c r="S406" s="67">
        <f>SUM(S397:S405)</f>
        <v>22580.810312427071</v>
      </c>
      <c r="T406" s="67"/>
      <c r="U406" s="67">
        <f>SUM(U397:U405)</f>
        <v>27486.187024582905</v>
      </c>
      <c r="V406" s="67"/>
      <c r="W406" s="67">
        <f>SUM(W397:W405)</f>
        <v>6763.2515243210928</v>
      </c>
      <c r="X406" s="67"/>
      <c r="Y406" s="67">
        <f>SUM(Y397:Y405)</f>
        <v>0</v>
      </c>
      <c r="Z406" s="67"/>
      <c r="AA406" s="67">
        <f>SUM(AA397:AA405)</f>
        <v>0</v>
      </c>
      <c r="AB406" s="50">
        <f>SUM(H406:AA406)</f>
        <v>1005876.9600000001</v>
      </c>
      <c r="AC406" s="28" t="str">
        <f>IF(ABS(AB406-F406)&lt;1,"ok","err")</f>
        <v>ok</v>
      </c>
    </row>
    <row r="407" spans="1:29" x14ac:dyDescent="0.25">
      <c r="F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C407" s="28"/>
    </row>
    <row r="408" spans="1:29" x14ac:dyDescent="0.25">
      <c r="A408" s="14" t="s">
        <v>538</v>
      </c>
      <c r="F408" s="50">
        <f>F390+F406</f>
        <v>1862606.1300000001</v>
      </c>
      <c r="G408" s="50">
        <f>G390+G406</f>
        <v>0</v>
      </c>
      <c r="H408" s="50">
        <f>H390+H406</f>
        <v>0</v>
      </c>
      <c r="I408" s="50">
        <f>I390+I406</f>
        <v>0</v>
      </c>
      <c r="J408" s="50"/>
      <c r="K408" s="50">
        <f>K390+K406</f>
        <v>0</v>
      </c>
      <c r="L408" s="50"/>
      <c r="M408" s="50">
        <f>M390+M406</f>
        <v>5560.2043108251964</v>
      </c>
      <c r="N408" s="50"/>
      <c r="O408" s="50">
        <f>O390+O406</f>
        <v>1208848.4510704835</v>
      </c>
      <c r="P408" s="50">
        <f>P390+P406</f>
        <v>357219.84920191154</v>
      </c>
      <c r="Q408" s="50"/>
      <c r="R408" s="50">
        <f>R390+R406</f>
        <v>0</v>
      </c>
      <c r="S408" s="50">
        <f>S390+S406</f>
        <v>69278.106764955839</v>
      </c>
      <c r="T408" s="50"/>
      <c r="U408" s="50">
        <f>U390+U406</f>
        <v>200949.8088452495</v>
      </c>
      <c r="V408" s="50"/>
      <c r="W408" s="50">
        <f>W390+W406</f>
        <v>20749.709806574519</v>
      </c>
      <c r="X408" s="50"/>
      <c r="Y408" s="50">
        <f>Y390+Y406</f>
        <v>0</v>
      </c>
      <c r="Z408" s="50"/>
      <c r="AA408" s="50">
        <f>AA390+AA406</f>
        <v>0</v>
      </c>
      <c r="AB408" s="50">
        <f>SUM(H408:AA408)</f>
        <v>1862606.1300000001</v>
      </c>
      <c r="AC408" s="28" t="str">
        <f>IF(ABS(AB408-F408)&lt;1,"ok","err")</f>
        <v>ok</v>
      </c>
    </row>
    <row r="409" spans="1:29" x14ac:dyDescent="0.25"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C409" s="28"/>
    </row>
    <row r="410" spans="1:29" x14ac:dyDescent="0.25">
      <c r="A410" s="14" t="s">
        <v>539</v>
      </c>
      <c r="F410" s="50">
        <f>F408+F375</f>
        <v>1862606.1300000001</v>
      </c>
      <c r="G410" s="50">
        <f>G408+G375</f>
        <v>0</v>
      </c>
      <c r="H410" s="50">
        <f>H408+H375</f>
        <v>0</v>
      </c>
      <c r="I410" s="50">
        <f>I408+I375</f>
        <v>0</v>
      </c>
      <c r="J410" s="50"/>
      <c r="K410" s="50">
        <f>K408+K375</f>
        <v>0</v>
      </c>
      <c r="L410" s="50"/>
      <c r="M410" s="50">
        <f>M408+M375</f>
        <v>5560.2043108251964</v>
      </c>
      <c r="N410" s="50"/>
      <c r="O410" s="50">
        <f>O408+O375</f>
        <v>1208848.4510704835</v>
      </c>
      <c r="P410" s="50">
        <f>P408+P375</f>
        <v>357219.84920191154</v>
      </c>
      <c r="Q410" s="50"/>
      <c r="R410" s="50">
        <f>R408+R375</f>
        <v>0</v>
      </c>
      <c r="S410" s="50">
        <f>S408+S375</f>
        <v>69278.106764955839</v>
      </c>
      <c r="T410" s="50"/>
      <c r="U410" s="50">
        <f>U408+U375</f>
        <v>200949.8088452495</v>
      </c>
      <c r="V410" s="50"/>
      <c r="W410" s="50">
        <f>W408+W375</f>
        <v>20749.709806574519</v>
      </c>
      <c r="X410" s="50"/>
      <c r="Y410" s="50">
        <f>Y408+Y375</f>
        <v>0</v>
      </c>
      <c r="Z410" s="50"/>
      <c r="AA410" s="50">
        <f>AA408+AA375</f>
        <v>0</v>
      </c>
      <c r="AB410" s="50">
        <f>SUM(H410:AA410)</f>
        <v>1862606.1300000001</v>
      </c>
      <c r="AC410" s="28" t="str">
        <f>IF(ABS(AB410-F410)&lt;1,"ok","err")</f>
        <v>ok</v>
      </c>
    </row>
    <row r="411" spans="1:29" x14ac:dyDescent="0.25"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C411" s="28"/>
    </row>
    <row r="412" spans="1:29" x14ac:dyDescent="0.25">
      <c r="A412" s="14" t="s">
        <v>540</v>
      </c>
      <c r="C412" s="14" t="s">
        <v>502</v>
      </c>
      <c r="F412" s="67">
        <f>F410+F363</f>
        <v>1862606.1300000001</v>
      </c>
      <c r="G412" s="67">
        <f>G410+G363</f>
        <v>0</v>
      </c>
      <c r="H412" s="67">
        <f>H410+H363</f>
        <v>0</v>
      </c>
      <c r="I412" s="67">
        <f>I410+I363</f>
        <v>0</v>
      </c>
      <c r="J412" s="67"/>
      <c r="K412" s="67">
        <f>K410+K363</f>
        <v>0</v>
      </c>
      <c r="L412" s="67"/>
      <c r="M412" s="67">
        <f>M410+M363</f>
        <v>5560.2043108251964</v>
      </c>
      <c r="N412" s="67"/>
      <c r="O412" s="67">
        <f>O410+O363</f>
        <v>1208848.4510704835</v>
      </c>
      <c r="P412" s="67">
        <f>P410+P363</f>
        <v>357219.84920191154</v>
      </c>
      <c r="Q412" s="67"/>
      <c r="R412" s="67">
        <f>R410+R363</f>
        <v>0</v>
      </c>
      <c r="S412" s="67">
        <f>S410+S363</f>
        <v>69278.106764955839</v>
      </c>
      <c r="T412" s="67"/>
      <c r="U412" s="67">
        <f>U410+U363</f>
        <v>200949.8088452495</v>
      </c>
      <c r="V412" s="67"/>
      <c r="W412" s="67">
        <f>W410+W363</f>
        <v>20749.709806574519</v>
      </c>
      <c r="X412" s="67"/>
      <c r="Y412" s="67">
        <f>Y410+Y363</f>
        <v>0</v>
      </c>
      <c r="Z412" s="67"/>
      <c r="AA412" s="67">
        <f>AA410+AA363</f>
        <v>0</v>
      </c>
      <c r="AB412" s="50">
        <f>SUM(H412:AA412)</f>
        <v>1862606.1300000001</v>
      </c>
      <c r="AC412" s="28" t="str">
        <f>IF(ABS(AB412-F412)&lt;1,"ok","err")</f>
        <v>ok</v>
      </c>
    </row>
    <row r="413" spans="1:29" x14ac:dyDescent="0.25">
      <c r="A413" s="13"/>
      <c r="F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C413" s="28"/>
    </row>
    <row r="414" spans="1:29" x14ac:dyDescent="0.25">
      <c r="A414" s="13" t="s">
        <v>136</v>
      </c>
      <c r="F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C414" s="28"/>
    </row>
    <row r="415" spans="1:29" x14ac:dyDescent="0.25">
      <c r="A415" s="14">
        <v>901</v>
      </c>
      <c r="B415" s="14" t="s">
        <v>137</v>
      </c>
      <c r="C415" s="14" t="s">
        <v>503</v>
      </c>
      <c r="D415" s="14" t="s">
        <v>139</v>
      </c>
      <c r="F415" s="67">
        <v>130495.54</v>
      </c>
      <c r="H415" s="50">
        <f>IF(VLOOKUP($D415,$C$5:$AA$492,6,)=0,0,((VLOOKUP($D415,$C$5:$AA$492,6,)/VLOOKUP($D415,$C$5:$AA$492,4,))*$F415))</f>
        <v>0</v>
      </c>
      <c r="I415" s="50">
        <f>IF(VLOOKUP($D415,$C$5:$AA$492,7,)=0,0,((VLOOKUP($D415,$C$5:$AA$492,7,)/VLOOKUP($D415,$C$5:$AA$492,4,))*$F415))</f>
        <v>0</v>
      </c>
      <c r="J415" s="50"/>
      <c r="K415" s="50">
        <f>IF(VLOOKUP($D415,$C$5:$AA$492,9,)=0,0,((VLOOKUP($D415,$C$5:$AA$492,9,)/VLOOKUP($D415,$C$5:$AA$492,4,))*$F415))</f>
        <v>0</v>
      </c>
      <c r="L415" s="50"/>
      <c r="M415" s="50">
        <f>IF(VLOOKUP($D415,$C$5:$AA$492,11,)=0,0,((VLOOKUP($D415,$C$5:$AA$492,11,)/VLOOKUP($D415,$C$5:$AA$492,4,))*$F415))</f>
        <v>0</v>
      </c>
      <c r="N415" s="50"/>
      <c r="O415" s="50">
        <f>IF(VLOOKUP($D415,$C$5:$AA$492,13,)=0,0,((VLOOKUP($D415,$C$5:$AA$492,13,)/VLOOKUP($D415,$C$5:$AA$492,4,))*$F415))</f>
        <v>0</v>
      </c>
      <c r="P415" s="50">
        <f>IF(VLOOKUP($D415,$C$5:$AA$492,14,)=0,0,((VLOOKUP($D415,$C$5:$AA$492,14,)/VLOOKUP($D415,$C$5:$AA$492,4,))*$F415))</f>
        <v>0</v>
      </c>
      <c r="Q415" s="50"/>
      <c r="R415" s="50">
        <f>IF(VLOOKUP($D415,$C$5:$AA$492,16,)=0,0,((VLOOKUP($D415,$C$5:$AA$492,16,)/VLOOKUP($D415,$C$5:$AA$492,4,))*$F415))</f>
        <v>0</v>
      </c>
      <c r="S415" s="50">
        <f>IF(VLOOKUP($D415,$C$5:$AA$492,17,)=0,0,((VLOOKUP($D415,$C$5:$AA$492,17,)/VLOOKUP($D415,$C$5:$AA$492,4,))*$F415))</f>
        <v>0</v>
      </c>
      <c r="T415" s="50"/>
      <c r="U415" s="50">
        <f>IF(VLOOKUP($D415,$C$5:$AA$492,19,)=0,0,((VLOOKUP($D415,$C$5:$AA$492,19,)/VLOOKUP($D415,$C$5:$AA$492,4,))*$F415))</f>
        <v>0</v>
      </c>
      <c r="V415" s="50"/>
      <c r="W415" s="50">
        <f>IF(VLOOKUP($D415,$C$5:$AA$492,21,)=0,0,((VLOOKUP($D415,$C$5:$AA$492,21,)/VLOOKUP($D415,$C$5:$AA$492,4,))*$F415))</f>
        <v>0</v>
      </c>
      <c r="X415" s="50"/>
      <c r="Y415" s="50">
        <f>IF(VLOOKUP($D415,$C$5:$AA$492,23,)=0,0,((VLOOKUP($D415,$C$5:$AA$492,23,)/VLOOKUP($D415,$C$5:$AA$492,4,))*$F415))</f>
        <v>130495.54</v>
      </c>
      <c r="Z415" s="50"/>
      <c r="AA415" s="50">
        <f>IF(VLOOKUP($D415,$C$5:$AA$492,25,)=0,0,((VLOOKUP($D415,$C$5:$AA$492,25,)/VLOOKUP($D415,$C$5:$AA$492,4,))*$F415))</f>
        <v>0</v>
      </c>
      <c r="AB415" s="50">
        <f>SUM(H415:AA415)</f>
        <v>130495.54</v>
      </c>
      <c r="AC415" s="28" t="str">
        <f>IF(ABS(AB415-F415)&lt;1,"ok","err")</f>
        <v>ok</v>
      </c>
    </row>
    <row r="416" spans="1:29" x14ac:dyDescent="0.25">
      <c r="A416" s="14">
        <v>902</v>
      </c>
      <c r="B416" s="14" t="s">
        <v>140</v>
      </c>
      <c r="C416" s="14" t="s">
        <v>504</v>
      </c>
      <c r="D416" s="14" t="s">
        <v>139</v>
      </c>
      <c r="F416" s="50">
        <v>81604.89</v>
      </c>
      <c r="H416" s="50">
        <f>IF(VLOOKUP($D416,$C$5:$AA$492,6,)=0,0,((VLOOKUP($D416,$C$5:$AA$492,6,)/VLOOKUP($D416,$C$5:$AA$492,4,))*$F416))</f>
        <v>0</v>
      </c>
      <c r="I416" s="50">
        <f>IF(VLOOKUP($D416,$C$5:$AA$492,7,)=0,0,((VLOOKUP($D416,$C$5:$AA$492,7,)/VLOOKUP($D416,$C$5:$AA$492,4,))*$F416))</f>
        <v>0</v>
      </c>
      <c r="J416" s="50"/>
      <c r="K416" s="50">
        <f>IF(VLOOKUP($D416,$C$5:$AA$492,9,)=0,0,((VLOOKUP($D416,$C$5:$AA$492,9,)/VLOOKUP($D416,$C$5:$AA$492,4,))*$F416))</f>
        <v>0</v>
      </c>
      <c r="L416" s="50"/>
      <c r="M416" s="50">
        <f>IF(VLOOKUP($D416,$C$5:$AA$492,11,)=0,0,((VLOOKUP($D416,$C$5:$AA$492,11,)/VLOOKUP($D416,$C$5:$AA$492,4,))*$F416))</f>
        <v>0</v>
      </c>
      <c r="N416" s="50"/>
      <c r="O416" s="50">
        <f>IF(VLOOKUP($D416,$C$5:$AA$492,13,)=0,0,((VLOOKUP($D416,$C$5:$AA$492,13,)/VLOOKUP($D416,$C$5:$AA$492,4,))*$F416))</f>
        <v>0</v>
      </c>
      <c r="P416" s="50">
        <f>IF(VLOOKUP($D416,$C$5:$AA$492,14,)=0,0,((VLOOKUP($D416,$C$5:$AA$492,14,)/VLOOKUP($D416,$C$5:$AA$492,4,))*$F416))</f>
        <v>0</v>
      </c>
      <c r="Q416" s="50"/>
      <c r="R416" s="50">
        <f>IF(VLOOKUP($D416,$C$5:$AA$492,16,)=0,0,((VLOOKUP($D416,$C$5:$AA$492,16,)/VLOOKUP($D416,$C$5:$AA$492,4,))*$F416))</f>
        <v>0</v>
      </c>
      <c r="S416" s="50">
        <f>IF(VLOOKUP($D416,$C$5:$AA$492,17,)=0,0,((VLOOKUP($D416,$C$5:$AA$492,17,)/VLOOKUP($D416,$C$5:$AA$492,4,))*$F416))</f>
        <v>0</v>
      </c>
      <c r="T416" s="50"/>
      <c r="U416" s="50">
        <f>IF(VLOOKUP($D416,$C$5:$AA$492,19,)=0,0,((VLOOKUP($D416,$C$5:$AA$492,19,)/VLOOKUP($D416,$C$5:$AA$492,4,))*$F416))</f>
        <v>0</v>
      </c>
      <c r="V416" s="50"/>
      <c r="W416" s="50">
        <f>IF(VLOOKUP($D416,$C$5:$AA$492,21,)=0,0,((VLOOKUP($D416,$C$5:$AA$492,21,)/VLOOKUP($D416,$C$5:$AA$492,4,))*$F416))</f>
        <v>0</v>
      </c>
      <c r="X416" s="50"/>
      <c r="Y416" s="50">
        <f>IF(VLOOKUP($D416,$C$5:$AA$492,23,)=0,0,((VLOOKUP($D416,$C$5:$AA$492,23,)/VLOOKUP($D416,$C$5:$AA$492,4,))*$F416))</f>
        <v>81604.89</v>
      </c>
      <c r="Z416" s="50"/>
      <c r="AA416" s="50">
        <f>IF(VLOOKUP($D416,$C$5:$AA$492,25,)=0,0,((VLOOKUP($D416,$C$5:$AA$492,25,)/VLOOKUP($D416,$C$5:$AA$492,4,))*$F416))</f>
        <v>0</v>
      </c>
      <c r="AB416" s="50">
        <f>SUM(H416:AA416)</f>
        <v>81604.89</v>
      </c>
      <c r="AC416" s="28" t="str">
        <f>IF(ABS(AB416-F416)&lt;1,"ok","err")</f>
        <v>ok</v>
      </c>
    </row>
    <row r="417" spans="1:29" x14ac:dyDescent="0.25">
      <c r="A417" s="14">
        <v>903</v>
      </c>
      <c r="B417" s="14" t="s">
        <v>451</v>
      </c>
      <c r="C417" s="14" t="s">
        <v>505</v>
      </c>
      <c r="D417" s="14" t="s">
        <v>139</v>
      </c>
      <c r="F417" s="50">
        <v>104228.66</v>
      </c>
      <c r="H417" s="50">
        <f>IF(VLOOKUP($D417,$C$5:$AA$492,6,)=0,0,((VLOOKUP($D417,$C$5:$AA$492,6,)/VLOOKUP($D417,$C$5:$AA$492,4,))*$F417))</f>
        <v>0</v>
      </c>
      <c r="I417" s="50">
        <f>IF(VLOOKUP($D417,$C$5:$AA$492,7,)=0,0,((VLOOKUP($D417,$C$5:$AA$492,7,)/VLOOKUP($D417,$C$5:$AA$492,4,))*$F417))</f>
        <v>0</v>
      </c>
      <c r="J417" s="50"/>
      <c r="K417" s="50">
        <f>IF(VLOOKUP($D417,$C$5:$AA$492,9,)=0,0,((VLOOKUP($D417,$C$5:$AA$492,9,)/VLOOKUP($D417,$C$5:$AA$492,4,))*$F417))</f>
        <v>0</v>
      </c>
      <c r="L417" s="50"/>
      <c r="M417" s="50">
        <f>IF(VLOOKUP($D417,$C$5:$AA$492,11,)=0,0,((VLOOKUP($D417,$C$5:$AA$492,11,)/VLOOKUP($D417,$C$5:$AA$492,4,))*$F417))</f>
        <v>0</v>
      </c>
      <c r="N417" s="50"/>
      <c r="O417" s="50">
        <f>IF(VLOOKUP($D417,$C$5:$AA$492,13,)=0,0,((VLOOKUP($D417,$C$5:$AA$492,13,)/VLOOKUP($D417,$C$5:$AA$492,4,))*$F417))</f>
        <v>0</v>
      </c>
      <c r="P417" s="50">
        <f>IF(VLOOKUP($D417,$C$5:$AA$492,14,)=0,0,((VLOOKUP($D417,$C$5:$AA$492,14,)/VLOOKUP($D417,$C$5:$AA$492,4,))*$F417))</f>
        <v>0</v>
      </c>
      <c r="Q417" s="50"/>
      <c r="R417" s="50">
        <f>IF(VLOOKUP($D417,$C$5:$AA$492,16,)=0,0,((VLOOKUP($D417,$C$5:$AA$492,16,)/VLOOKUP($D417,$C$5:$AA$492,4,))*$F417))</f>
        <v>0</v>
      </c>
      <c r="S417" s="50">
        <f>IF(VLOOKUP($D417,$C$5:$AA$492,17,)=0,0,((VLOOKUP($D417,$C$5:$AA$492,17,)/VLOOKUP($D417,$C$5:$AA$492,4,))*$F417))</f>
        <v>0</v>
      </c>
      <c r="T417" s="50"/>
      <c r="U417" s="50">
        <f>IF(VLOOKUP($D417,$C$5:$AA$492,19,)=0,0,((VLOOKUP($D417,$C$5:$AA$492,19,)/VLOOKUP($D417,$C$5:$AA$492,4,))*$F417))</f>
        <v>0</v>
      </c>
      <c r="V417" s="50"/>
      <c r="W417" s="50">
        <f>IF(VLOOKUP($D417,$C$5:$AA$492,21,)=0,0,((VLOOKUP($D417,$C$5:$AA$492,21,)/VLOOKUP($D417,$C$5:$AA$492,4,))*$F417))</f>
        <v>0</v>
      </c>
      <c r="X417" s="50"/>
      <c r="Y417" s="50">
        <f>IF(VLOOKUP($D417,$C$5:$AA$492,23,)=0,0,((VLOOKUP($D417,$C$5:$AA$492,23,)/VLOOKUP($D417,$C$5:$AA$492,4,))*$F417))</f>
        <v>104228.66</v>
      </c>
      <c r="Z417" s="50"/>
      <c r="AA417" s="50">
        <f>IF(VLOOKUP($D417,$C$5:$AA$492,25,)=0,0,((VLOOKUP($D417,$C$5:$AA$492,25,)/VLOOKUP($D417,$C$5:$AA$492,4,))*$F417))</f>
        <v>0</v>
      </c>
      <c r="AB417" s="50">
        <f>SUM(H417:AA417)</f>
        <v>104228.66</v>
      </c>
      <c r="AC417" s="28" t="str">
        <f>IF(ABS(AB417-F417)&lt;1,"ok","err")</f>
        <v>ok</v>
      </c>
    </row>
    <row r="418" spans="1:29" x14ac:dyDescent="0.25">
      <c r="A418" s="14">
        <v>904</v>
      </c>
      <c r="B418" s="14" t="s">
        <v>143</v>
      </c>
      <c r="C418" s="14" t="s">
        <v>506</v>
      </c>
      <c r="D418" s="14" t="s">
        <v>139</v>
      </c>
      <c r="F418" s="50">
        <v>0</v>
      </c>
      <c r="H418" s="50">
        <f>IF(VLOOKUP($D418,$C$5:$AA$492,6,)=0,0,((VLOOKUP($D418,$C$5:$AA$492,6,)/VLOOKUP($D418,$C$5:$AA$492,4,))*$F418))</f>
        <v>0</v>
      </c>
      <c r="I418" s="50">
        <f>IF(VLOOKUP($D418,$C$5:$AA$492,7,)=0,0,((VLOOKUP($D418,$C$5:$AA$492,7,)/VLOOKUP($D418,$C$5:$AA$492,4,))*$F418))</f>
        <v>0</v>
      </c>
      <c r="J418" s="50"/>
      <c r="K418" s="50">
        <f>IF(VLOOKUP($D418,$C$5:$AA$492,9,)=0,0,((VLOOKUP($D418,$C$5:$AA$492,9,)/VLOOKUP($D418,$C$5:$AA$492,4,))*$F418))</f>
        <v>0</v>
      </c>
      <c r="L418" s="50"/>
      <c r="M418" s="50">
        <f>IF(VLOOKUP($D418,$C$5:$AA$492,11,)=0,0,((VLOOKUP($D418,$C$5:$AA$492,11,)/VLOOKUP($D418,$C$5:$AA$492,4,))*$F418))</f>
        <v>0</v>
      </c>
      <c r="N418" s="50"/>
      <c r="O418" s="50">
        <f>IF(VLOOKUP($D418,$C$5:$AA$492,13,)=0,0,((VLOOKUP($D418,$C$5:$AA$492,13,)/VLOOKUP($D418,$C$5:$AA$492,4,))*$F418))</f>
        <v>0</v>
      </c>
      <c r="P418" s="50">
        <f>IF(VLOOKUP($D418,$C$5:$AA$492,14,)=0,0,((VLOOKUP($D418,$C$5:$AA$492,14,)/VLOOKUP($D418,$C$5:$AA$492,4,))*$F418))</f>
        <v>0</v>
      </c>
      <c r="Q418" s="50"/>
      <c r="R418" s="50">
        <f>IF(VLOOKUP($D418,$C$5:$AA$492,16,)=0,0,((VLOOKUP($D418,$C$5:$AA$492,16,)/VLOOKUP($D418,$C$5:$AA$492,4,))*$F418))</f>
        <v>0</v>
      </c>
      <c r="S418" s="50">
        <f>IF(VLOOKUP($D418,$C$5:$AA$492,17,)=0,0,((VLOOKUP($D418,$C$5:$AA$492,17,)/VLOOKUP($D418,$C$5:$AA$492,4,))*$F418))</f>
        <v>0</v>
      </c>
      <c r="T418" s="50"/>
      <c r="U418" s="50">
        <f>IF(VLOOKUP($D418,$C$5:$AA$492,19,)=0,0,((VLOOKUP($D418,$C$5:$AA$492,19,)/VLOOKUP($D418,$C$5:$AA$492,4,))*$F418))</f>
        <v>0</v>
      </c>
      <c r="V418" s="50"/>
      <c r="W418" s="50">
        <f>IF(VLOOKUP($D418,$C$5:$AA$492,21,)=0,0,((VLOOKUP($D418,$C$5:$AA$492,21,)/VLOOKUP($D418,$C$5:$AA$492,4,))*$F418))</f>
        <v>0</v>
      </c>
      <c r="X418" s="50"/>
      <c r="Y418" s="50">
        <f>IF(VLOOKUP($D418,$C$5:$AA$492,23,)=0,0,((VLOOKUP($D418,$C$5:$AA$492,23,)/VLOOKUP($D418,$C$5:$AA$492,4,))*$F418))</f>
        <v>0</v>
      </c>
      <c r="Z418" s="50"/>
      <c r="AA418" s="50">
        <f>IF(VLOOKUP($D418,$C$5:$AA$492,25,)=0,0,((VLOOKUP($D418,$C$5:$AA$492,25,)/VLOOKUP($D418,$C$5:$AA$492,4,))*$F418))</f>
        <v>0</v>
      </c>
      <c r="AB418" s="50">
        <f>SUM(H418:AA418)</f>
        <v>0</v>
      </c>
      <c r="AC418" s="28" t="str">
        <f>IF(ABS(AB418-F418)&lt;1,"ok","err")</f>
        <v>ok</v>
      </c>
    </row>
    <row r="419" spans="1:29" x14ac:dyDescent="0.25">
      <c r="A419" s="14">
        <v>905</v>
      </c>
      <c r="B419" s="14" t="s">
        <v>452</v>
      </c>
      <c r="C419" s="14" t="s">
        <v>505</v>
      </c>
      <c r="D419" s="14" t="s">
        <v>139</v>
      </c>
      <c r="F419" s="50">
        <v>0</v>
      </c>
      <c r="H419" s="50">
        <f>IF(VLOOKUP($D419,$C$5:$AA$492,6,)=0,0,((VLOOKUP($D419,$C$5:$AA$492,6,)/VLOOKUP($D419,$C$5:$AA$492,4,))*$F419))</f>
        <v>0</v>
      </c>
      <c r="I419" s="50">
        <f>IF(VLOOKUP($D419,$C$5:$AA$492,7,)=0,0,((VLOOKUP($D419,$C$5:$AA$492,7,)/VLOOKUP($D419,$C$5:$AA$492,4,))*$F419))</f>
        <v>0</v>
      </c>
      <c r="J419" s="50"/>
      <c r="K419" s="50">
        <f>IF(VLOOKUP($D419,$C$5:$AA$492,9,)=0,0,((VLOOKUP($D419,$C$5:$AA$492,9,)/VLOOKUP($D419,$C$5:$AA$492,4,))*$F419))</f>
        <v>0</v>
      </c>
      <c r="L419" s="50"/>
      <c r="M419" s="50">
        <f>IF(VLOOKUP($D419,$C$5:$AA$492,11,)=0,0,((VLOOKUP($D419,$C$5:$AA$492,11,)/VLOOKUP($D419,$C$5:$AA$492,4,))*$F419))</f>
        <v>0</v>
      </c>
      <c r="N419" s="50"/>
      <c r="O419" s="50">
        <f>IF(VLOOKUP($D419,$C$5:$AA$492,13,)=0,0,((VLOOKUP($D419,$C$5:$AA$492,13,)/VLOOKUP($D419,$C$5:$AA$492,4,))*$F419))</f>
        <v>0</v>
      </c>
      <c r="P419" s="50">
        <f>IF(VLOOKUP($D419,$C$5:$AA$492,14,)=0,0,((VLOOKUP($D419,$C$5:$AA$492,14,)/VLOOKUP($D419,$C$5:$AA$492,4,))*$F419))</f>
        <v>0</v>
      </c>
      <c r="Q419" s="50"/>
      <c r="R419" s="50">
        <f>IF(VLOOKUP($D419,$C$5:$AA$492,16,)=0,0,((VLOOKUP($D419,$C$5:$AA$492,16,)/VLOOKUP($D419,$C$5:$AA$492,4,))*$F419))</f>
        <v>0</v>
      </c>
      <c r="S419" s="50">
        <f>IF(VLOOKUP($D419,$C$5:$AA$492,17,)=0,0,((VLOOKUP($D419,$C$5:$AA$492,17,)/VLOOKUP($D419,$C$5:$AA$492,4,))*$F419))</f>
        <v>0</v>
      </c>
      <c r="T419" s="50"/>
      <c r="U419" s="50">
        <f>IF(VLOOKUP($D419,$C$5:$AA$492,19,)=0,0,((VLOOKUP($D419,$C$5:$AA$492,19,)/VLOOKUP($D419,$C$5:$AA$492,4,))*$F419))</f>
        <v>0</v>
      </c>
      <c r="V419" s="50"/>
      <c r="W419" s="50">
        <f>IF(VLOOKUP($D419,$C$5:$AA$492,21,)=0,0,((VLOOKUP($D419,$C$5:$AA$492,21,)/VLOOKUP($D419,$C$5:$AA$492,4,))*$F419))</f>
        <v>0</v>
      </c>
      <c r="X419" s="50"/>
      <c r="Y419" s="50">
        <f>IF(VLOOKUP($D419,$C$5:$AA$492,23,)=0,0,((VLOOKUP($D419,$C$5:$AA$492,23,)/VLOOKUP($D419,$C$5:$AA$492,4,))*$F419))</f>
        <v>0</v>
      </c>
      <c r="Z419" s="50"/>
      <c r="AA419" s="50">
        <f>IF(VLOOKUP($D419,$C$5:$AA$492,25,)=0,0,((VLOOKUP($D419,$C$5:$AA$492,25,)/VLOOKUP($D419,$C$5:$AA$492,4,))*$F419))</f>
        <v>0</v>
      </c>
      <c r="AB419" s="50">
        <f>SUM(H419:AA419)</f>
        <v>0</v>
      </c>
      <c r="AC419" s="28" t="str">
        <f>IF(ABS(AB419-F419)&lt;1,"ok","err")</f>
        <v>ok</v>
      </c>
    </row>
    <row r="420" spans="1:29" x14ac:dyDescent="0.25">
      <c r="A420" s="13"/>
      <c r="F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0"/>
      <c r="AC420" s="28"/>
    </row>
    <row r="421" spans="1:29" x14ac:dyDescent="0.25">
      <c r="A421" s="14" t="s">
        <v>541</v>
      </c>
      <c r="C421" s="14" t="s">
        <v>507</v>
      </c>
      <c r="F421" s="67">
        <f>SUM(F415:F420)</f>
        <v>316329.08999999997</v>
      </c>
      <c r="G421" s="67">
        <f>SUM(G415:G420)</f>
        <v>0</v>
      </c>
      <c r="H421" s="67">
        <f>SUM(H415:H420)</f>
        <v>0</v>
      </c>
      <c r="I421" s="67">
        <f>SUM(I415:I420)</f>
        <v>0</v>
      </c>
      <c r="J421" s="67"/>
      <c r="K421" s="67">
        <f>SUM(K415:K420)</f>
        <v>0</v>
      </c>
      <c r="L421" s="67"/>
      <c r="M421" s="67">
        <f>SUM(M415:M420)</f>
        <v>0</v>
      </c>
      <c r="N421" s="67"/>
      <c r="O421" s="67">
        <f>SUM(O415:O420)</f>
        <v>0</v>
      </c>
      <c r="P421" s="67">
        <f>SUM(P415:P420)</f>
        <v>0</v>
      </c>
      <c r="Q421" s="67"/>
      <c r="R421" s="67">
        <f>SUM(R415:R420)</f>
        <v>0</v>
      </c>
      <c r="S421" s="67">
        <f>SUM(S415:S420)</f>
        <v>0</v>
      </c>
      <c r="T421" s="67"/>
      <c r="U421" s="67">
        <f>SUM(U415:U420)</f>
        <v>0</v>
      </c>
      <c r="V421" s="67"/>
      <c r="W421" s="67">
        <f>SUM(W415:W420)</f>
        <v>0</v>
      </c>
      <c r="X421" s="67"/>
      <c r="Y421" s="67">
        <f>SUM(Y415:Y420)</f>
        <v>316329.08999999997</v>
      </c>
      <c r="Z421" s="67"/>
      <c r="AA421" s="67">
        <f>SUM(AA415:AA420)</f>
        <v>0</v>
      </c>
      <c r="AB421" s="50">
        <f>SUM(H421:AA421)</f>
        <v>316329.08999999997</v>
      </c>
      <c r="AC421" s="28" t="str">
        <f>IF(ABS(AB421-F421)&lt;1,"ok","err")</f>
        <v>ok</v>
      </c>
    </row>
    <row r="422" spans="1:29" x14ac:dyDescent="0.25">
      <c r="F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C422" s="28"/>
    </row>
    <row r="423" spans="1:29" x14ac:dyDescent="0.25">
      <c r="A423" s="13" t="s">
        <v>147</v>
      </c>
      <c r="F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C423" s="28"/>
    </row>
    <row r="424" spans="1:29" x14ac:dyDescent="0.25">
      <c r="A424" s="14">
        <v>907</v>
      </c>
      <c r="B424" s="14" t="s">
        <v>383</v>
      </c>
      <c r="C424" s="14" t="s">
        <v>508</v>
      </c>
      <c r="D424" s="14" t="s">
        <v>149</v>
      </c>
      <c r="F424" s="67">
        <v>0</v>
      </c>
      <c r="H424" s="50">
        <f t="shared" ref="H424:H434" si="242">IF(VLOOKUP($D424,$C$5:$AA$492,6,)=0,0,((VLOOKUP($D424,$C$5:$AA$492,6,)/VLOOKUP($D424,$C$5:$AA$492,4,))*$F424))</f>
        <v>0</v>
      </c>
      <c r="I424" s="50">
        <f t="shared" ref="I424:I434" si="243">IF(VLOOKUP($D424,$C$5:$AA$492,7,)=0,0,((VLOOKUP($D424,$C$5:$AA$492,7,)/VLOOKUP($D424,$C$5:$AA$492,4,))*$F424))</f>
        <v>0</v>
      </c>
      <c r="J424" s="50"/>
      <c r="K424" s="50">
        <f t="shared" ref="K424:K434" si="244">IF(VLOOKUP($D424,$C$5:$AA$492,9,)=0,0,((VLOOKUP($D424,$C$5:$AA$492,9,)/VLOOKUP($D424,$C$5:$AA$492,4,))*$F424))</f>
        <v>0</v>
      </c>
      <c r="L424" s="50"/>
      <c r="M424" s="50">
        <f t="shared" ref="M424:M434" si="245">IF(VLOOKUP($D424,$C$5:$AA$492,11,)=0,0,((VLOOKUP($D424,$C$5:$AA$492,11,)/VLOOKUP($D424,$C$5:$AA$492,4,))*$F424))</f>
        <v>0</v>
      </c>
      <c r="N424" s="50"/>
      <c r="O424" s="50">
        <f t="shared" ref="O424:O434" si="246">IF(VLOOKUP($D424,$C$5:$AA$492,13,)=0,0,((VLOOKUP($D424,$C$5:$AA$492,13,)/VLOOKUP($D424,$C$5:$AA$492,4,))*$F424))</f>
        <v>0</v>
      </c>
      <c r="P424" s="50">
        <f t="shared" ref="P424:P434" si="247">IF(VLOOKUP($D424,$C$5:$AA$492,14,)=0,0,((VLOOKUP($D424,$C$5:$AA$492,14,)/VLOOKUP($D424,$C$5:$AA$492,4,))*$F424))</f>
        <v>0</v>
      </c>
      <c r="Q424" s="50"/>
      <c r="R424" s="50">
        <f t="shared" ref="R424:R434" si="248">IF(VLOOKUP($D424,$C$5:$AA$492,16,)=0,0,((VLOOKUP($D424,$C$5:$AA$492,16,)/VLOOKUP($D424,$C$5:$AA$492,4,))*$F424))</f>
        <v>0</v>
      </c>
      <c r="S424" s="50">
        <f t="shared" ref="S424:S434" si="249">IF(VLOOKUP($D424,$C$5:$AA$492,17,)=0,0,((VLOOKUP($D424,$C$5:$AA$492,17,)/VLOOKUP($D424,$C$5:$AA$492,4,))*$F424))</f>
        <v>0</v>
      </c>
      <c r="T424" s="50"/>
      <c r="U424" s="50">
        <f t="shared" ref="U424:U434" si="250">IF(VLOOKUP($D424,$C$5:$AA$492,19,)=0,0,((VLOOKUP($D424,$C$5:$AA$492,19,)/VLOOKUP($D424,$C$5:$AA$492,4,))*$F424))</f>
        <v>0</v>
      </c>
      <c r="V424" s="50"/>
      <c r="W424" s="50">
        <f t="shared" ref="W424:W434" si="251">IF(VLOOKUP($D424,$C$5:$AA$492,21,)=0,0,((VLOOKUP($D424,$C$5:$AA$492,21,)/VLOOKUP($D424,$C$5:$AA$492,4,))*$F424))</f>
        <v>0</v>
      </c>
      <c r="X424" s="50"/>
      <c r="Y424" s="50">
        <f t="shared" ref="Y424:Y434" si="252">IF(VLOOKUP($D424,$C$5:$AA$492,23,)=0,0,((VLOOKUP($D424,$C$5:$AA$492,23,)/VLOOKUP($D424,$C$5:$AA$492,4,))*$F424))</f>
        <v>0</v>
      </c>
      <c r="Z424" s="50"/>
      <c r="AA424" s="50">
        <f t="shared" ref="AA424:AA434" si="253">IF(VLOOKUP($D424,$C$5:$AA$492,25,)=0,0,((VLOOKUP($D424,$C$5:$AA$492,25,)/VLOOKUP($D424,$C$5:$AA$492,4,))*$F424))</f>
        <v>0</v>
      </c>
      <c r="AB424" s="50">
        <f t="shared" ref="AB424:AB434" si="254">SUM(H424:AA424)</f>
        <v>0</v>
      </c>
      <c r="AC424" s="28" t="str">
        <f t="shared" ref="AC424:AC434" si="255">IF(ABS(AB424-F424)&lt;1,"ok","err")</f>
        <v>ok</v>
      </c>
    </row>
    <row r="425" spans="1:29" x14ac:dyDescent="0.25">
      <c r="A425" s="14">
        <v>908</v>
      </c>
      <c r="B425" s="14" t="s">
        <v>150</v>
      </c>
      <c r="C425" s="14" t="s">
        <v>509</v>
      </c>
      <c r="D425" s="14" t="s">
        <v>149</v>
      </c>
      <c r="F425" s="50">
        <v>94403.38</v>
      </c>
      <c r="H425" s="50">
        <f t="shared" si="242"/>
        <v>0</v>
      </c>
      <c r="I425" s="50">
        <f t="shared" si="243"/>
        <v>0</v>
      </c>
      <c r="J425" s="50"/>
      <c r="K425" s="50">
        <f t="shared" si="244"/>
        <v>0</v>
      </c>
      <c r="L425" s="50"/>
      <c r="M425" s="50">
        <f t="shared" si="245"/>
        <v>0</v>
      </c>
      <c r="N425" s="50"/>
      <c r="O425" s="50">
        <f t="shared" si="246"/>
        <v>0</v>
      </c>
      <c r="P425" s="50">
        <f t="shared" si="247"/>
        <v>0</v>
      </c>
      <c r="Q425" s="50"/>
      <c r="R425" s="50">
        <f t="shared" si="248"/>
        <v>0</v>
      </c>
      <c r="S425" s="50">
        <f t="shared" si="249"/>
        <v>0</v>
      </c>
      <c r="T425" s="50"/>
      <c r="U425" s="50">
        <f t="shared" si="250"/>
        <v>0</v>
      </c>
      <c r="V425" s="50"/>
      <c r="W425" s="50">
        <f t="shared" si="251"/>
        <v>0</v>
      </c>
      <c r="X425" s="50"/>
      <c r="Y425" s="50">
        <f t="shared" si="252"/>
        <v>94403.38</v>
      </c>
      <c r="Z425" s="50"/>
      <c r="AA425" s="50">
        <f t="shared" si="253"/>
        <v>0</v>
      </c>
      <c r="AB425" s="50">
        <f t="shared" si="254"/>
        <v>94403.38</v>
      </c>
      <c r="AC425" s="28" t="str">
        <f t="shared" si="255"/>
        <v>ok</v>
      </c>
    </row>
    <row r="426" spans="1:29" x14ac:dyDescent="0.25">
      <c r="A426" s="14">
        <v>908</v>
      </c>
      <c r="B426" s="14" t="s">
        <v>453</v>
      </c>
      <c r="C426" s="14" t="s">
        <v>510</v>
      </c>
      <c r="D426" s="14" t="s">
        <v>470</v>
      </c>
      <c r="F426" s="50"/>
      <c r="H426" s="50">
        <f t="shared" si="242"/>
        <v>0</v>
      </c>
      <c r="I426" s="50">
        <f t="shared" si="243"/>
        <v>0</v>
      </c>
      <c r="J426" s="50"/>
      <c r="K426" s="50">
        <f t="shared" si="244"/>
        <v>0</v>
      </c>
      <c r="L426" s="50"/>
      <c r="M426" s="50">
        <f t="shared" si="245"/>
        <v>0</v>
      </c>
      <c r="N426" s="50"/>
      <c r="O426" s="50">
        <f t="shared" si="246"/>
        <v>0</v>
      </c>
      <c r="P426" s="50">
        <f t="shared" si="247"/>
        <v>0</v>
      </c>
      <c r="Q426" s="50"/>
      <c r="R426" s="50">
        <f t="shared" si="248"/>
        <v>0</v>
      </c>
      <c r="S426" s="50">
        <f t="shared" si="249"/>
        <v>0</v>
      </c>
      <c r="T426" s="50"/>
      <c r="U426" s="50">
        <f t="shared" si="250"/>
        <v>0</v>
      </c>
      <c r="V426" s="50"/>
      <c r="W426" s="50">
        <f t="shared" si="251"/>
        <v>0</v>
      </c>
      <c r="X426" s="50"/>
      <c r="Y426" s="50">
        <f t="shared" si="252"/>
        <v>0</v>
      </c>
      <c r="Z426" s="50"/>
      <c r="AA426" s="50">
        <f t="shared" si="253"/>
        <v>0</v>
      </c>
      <c r="AB426" s="50">
        <f t="shared" si="254"/>
        <v>0</v>
      </c>
      <c r="AC426" s="28" t="str">
        <f t="shared" si="255"/>
        <v>ok</v>
      </c>
    </row>
    <row r="427" spans="1:29" x14ac:dyDescent="0.25">
      <c r="A427" s="14">
        <v>909</v>
      </c>
      <c r="B427" s="14" t="s">
        <v>152</v>
      </c>
      <c r="C427" s="14" t="s">
        <v>511</v>
      </c>
      <c r="D427" s="14" t="s">
        <v>149</v>
      </c>
      <c r="F427" s="50">
        <v>4533.53</v>
      </c>
      <c r="H427" s="50">
        <f t="shared" si="242"/>
        <v>0</v>
      </c>
      <c r="I427" s="50">
        <f t="shared" si="243"/>
        <v>0</v>
      </c>
      <c r="J427" s="50"/>
      <c r="K427" s="50">
        <f t="shared" si="244"/>
        <v>0</v>
      </c>
      <c r="L427" s="50"/>
      <c r="M427" s="50">
        <f t="shared" si="245"/>
        <v>0</v>
      </c>
      <c r="N427" s="50"/>
      <c r="O427" s="50">
        <f t="shared" si="246"/>
        <v>0</v>
      </c>
      <c r="P427" s="50">
        <f t="shared" si="247"/>
        <v>0</v>
      </c>
      <c r="Q427" s="50"/>
      <c r="R427" s="50">
        <f t="shared" si="248"/>
        <v>0</v>
      </c>
      <c r="S427" s="50">
        <f t="shared" si="249"/>
        <v>0</v>
      </c>
      <c r="T427" s="50"/>
      <c r="U427" s="50">
        <f t="shared" si="250"/>
        <v>0</v>
      </c>
      <c r="V427" s="50"/>
      <c r="W427" s="50">
        <f t="shared" si="251"/>
        <v>0</v>
      </c>
      <c r="X427" s="50"/>
      <c r="Y427" s="50">
        <f t="shared" si="252"/>
        <v>4533.53</v>
      </c>
      <c r="Z427" s="50"/>
      <c r="AA427" s="50">
        <f t="shared" si="253"/>
        <v>0</v>
      </c>
      <c r="AB427" s="50">
        <f t="shared" si="254"/>
        <v>4533.53</v>
      </c>
      <c r="AC427" s="28" t="str">
        <f t="shared" si="255"/>
        <v>ok</v>
      </c>
    </row>
    <row r="428" spans="1:29" x14ac:dyDescent="0.25">
      <c r="A428" s="14">
        <v>909</v>
      </c>
      <c r="B428" s="14" t="s">
        <v>455</v>
      </c>
      <c r="C428" s="14" t="s">
        <v>512</v>
      </c>
      <c r="D428" s="14" t="s">
        <v>470</v>
      </c>
      <c r="F428" s="50">
        <v>0</v>
      </c>
      <c r="H428" s="50">
        <f t="shared" si="242"/>
        <v>0</v>
      </c>
      <c r="I428" s="50">
        <f t="shared" si="243"/>
        <v>0</v>
      </c>
      <c r="J428" s="50"/>
      <c r="K428" s="50">
        <f t="shared" si="244"/>
        <v>0</v>
      </c>
      <c r="L428" s="50"/>
      <c r="M428" s="50">
        <f t="shared" si="245"/>
        <v>0</v>
      </c>
      <c r="N428" s="50"/>
      <c r="O428" s="50">
        <f t="shared" si="246"/>
        <v>0</v>
      </c>
      <c r="P428" s="50">
        <f t="shared" si="247"/>
        <v>0</v>
      </c>
      <c r="Q428" s="50"/>
      <c r="R428" s="50">
        <f t="shared" si="248"/>
        <v>0</v>
      </c>
      <c r="S428" s="50">
        <f t="shared" si="249"/>
        <v>0</v>
      </c>
      <c r="T428" s="50"/>
      <c r="U428" s="50">
        <f t="shared" si="250"/>
        <v>0</v>
      </c>
      <c r="V428" s="50"/>
      <c r="W428" s="50">
        <f t="shared" si="251"/>
        <v>0</v>
      </c>
      <c r="X428" s="50"/>
      <c r="Y428" s="50">
        <f t="shared" si="252"/>
        <v>0</v>
      </c>
      <c r="Z428" s="50"/>
      <c r="AA428" s="50">
        <f t="shared" si="253"/>
        <v>0</v>
      </c>
      <c r="AB428" s="50">
        <f t="shared" si="254"/>
        <v>0</v>
      </c>
      <c r="AC428" s="28" t="str">
        <f t="shared" si="255"/>
        <v>ok</v>
      </c>
    </row>
    <row r="429" spans="1:29" x14ac:dyDescent="0.25">
      <c r="A429" s="14">
        <v>910</v>
      </c>
      <c r="B429" s="14" t="s">
        <v>154</v>
      </c>
      <c r="C429" s="14" t="s">
        <v>513</v>
      </c>
      <c r="D429" s="14" t="s">
        <v>149</v>
      </c>
      <c r="F429" s="50">
        <v>244655.63</v>
      </c>
      <c r="H429" s="50">
        <f t="shared" si="242"/>
        <v>0</v>
      </c>
      <c r="I429" s="50">
        <f t="shared" si="243"/>
        <v>0</v>
      </c>
      <c r="J429" s="50"/>
      <c r="K429" s="50">
        <f t="shared" si="244"/>
        <v>0</v>
      </c>
      <c r="L429" s="50"/>
      <c r="M429" s="50">
        <f t="shared" si="245"/>
        <v>0</v>
      </c>
      <c r="N429" s="50"/>
      <c r="O429" s="50">
        <f t="shared" si="246"/>
        <v>0</v>
      </c>
      <c r="P429" s="50">
        <f t="shared" si="247"/>
        <v>0</v>
      </c>
      <c r="Q429" s="50"/>
      <c r="R429" s="50">
        <f t="shared" si="248"/>
        <v>0</v>
      </c>
      <c r="S429" s="50">
        <f t="shared" si="249"/>
        <v>0</v>
      </c>
      <c r="T429" s="50"/>
      <c r="U429" s="50">
        <f t="shared" si="250"/>
        <v>0</v>
      </c>
      <c r="V429" s="50"/>
      <c r="W429" s="50">
        <f t="shared" si="251"/>
        <v>0</v>
      </c>
      <c r="X429" s="50"/>
      <c r="Y429" s="50">
        <f t="shared" si="252"/>
        <v>244655.63</v>
      </c>
      <c r="Z429" s="50"/>
      <c r="AA429" s="50">
        <f t="shared" si="253"/>
        <v>0</v>
      </c>
      <c r="AB429" s="50">
        <f t="shared" si="254"/>
        <v>244655.63</v>
      </c>
      <c r="AC429" s="28" t="str">
        <f t="shared" si="255"/>
        <v>ok</v>
      </c>
    </row>
    <row r="430" spans="1:29" x14ac:dyDescent="0.25">
      <c r="A430" s="14">
        <v>911</v>
      </c>
      <c r="B430" s="14" t="s">
        <v>383</v>
      </c>
      <c r="C430" s="14" t="s">
        <v>711</v>
      </c>
      <c r="D430" s="14" t="s">
        <v>149</v>
      </c>
      <c r="F430" s="50">
        <v>0</v>
      </c>
      <c r="H430" s="50">
        <f t="shared" si="242"/>
        <v>0</v>
      </c>
      <c r="I430" s="50">
        <f t="shared" si="243"/>
        <v>0</v>
      </c>
      <c r="J430" s="50"/>
      <c r="K430" s="50">
        <f t="shared" si="244"/>
        <v>0</v>
      </c>
      <c r="L430" s="50"/>
      <c r="M430" s="50">
        <f t="shared" si="245"/>
        <v>0</v>
      </c>
      <c r="N430" s="50"/>
      <c r="O430" s="50">
        <f t="shared" si="246"/>
        <v>0</v>
      </c>
      <c r="P430" s="50">
        <f t="shared" si="247"/>
        <v>0</v>
      </c>
      <c r="Q430" s="50"/>
      <c r="R430" s="50">
        <f t="shared" si="248"/>
        <v>0</v>
      </c>
      <c r="S430" s="50">
        <f t="shared" si="249"/>
        <v>0</v>
      </c>
      <c r="T430" s="50"/>
      <c r="U430" s="50">
        <f t="shared" si="250"/>
        <v>0</v>
      </c>
      <c r="V430" s="50"/>
      <c r="W430" s="50">
        <f t="shared" si="251"/>
        <v>0</v>
      </c>
      <c r="X430" s="50"/>
      <c r="Y430" s="50">
        <f t="shared" si="252"/>
        <v>0</v>
      </c>
      <c r="Z430" s="50"/>
      <c r="AA430" s="50">
        <f t="shared" si="253"/>
        <v>0</v>
      </c>
      <c r="AB430" s="50">
        <f>SUM(H430:AA430)</f>
        <v>0</v>
      </c>
      <c r="AC430" s="28" t="str">
        <f>IF(ABS(AB430-F430)&lt;1,"ok","err")</f>
        <v>ok</v>
      </c>
    </row>
    <row r="431" spans="1:29" x14ac:dyDescent="0.25">
      <c r="A431" s="14">
        <v>912</v>
      </c>
      <c r="B431" s="14" t="s">
        <v>587</v>
      </c>
      <c r="C431" s="14" t="s">
        <v>590</v>
      </c>
      <c r="D431" s="14" t="s">
        <v>470</v>
      </c>
      <c r="F431" s="50">
        <v>0</v>
      </c>
      <c r="H431" s="50">
        <f t="shared" si="242"/>
        <v>0</v>
      </c>
      <c r="I431" s="50">
        <f t="shared" si="243"/>
        <v>0</v>
      </c>
      <c r="J431" s="50"/>
      <c r="K431" s="50">
        <f t="shared" si="244"/>
        <v>0</v>
      </c>
      <c r="L431" s="50"/>
      <c r="M431" s="50">
        <f t="shared" si="245"/>
        <v>0</v>
      </c>
      <c r="N431" s="50"/>
      <c r="O431" s="50">
        <f t="shared" si="246"/>
        <v>0</v>
      </c>
      <c r="P431" s="50">
        <f t="shared" si="247"/>
        <v>0</v>
      </c>
      <c r="Q431" s="50"/>
      <c r="R431" s="50">
        <f t="shared" si="248"/>
        <v>0</v>
      </c>
      <c r="S431" s="50">
        <f t="shared" si="249"/>
        <v>0</v>
      </c>
      <c r="T431" s="50"/>
      <c r="U431" s="50">
        <f t="shared" si="250"/>
        <v>0</v>
      </c>
      <c r="V431" s="50"/>
      <c r="W431" s="50">
        <f t="shared" si="251"/>
        <v>0</v>
      </c>
      <c r="X431" s="50"/>
      <c r="Y431" s="50">
        <f t="shared" si="252"/>
        <v>0</v>
      </c>
      <c r="Z431" s="50"/>
      <c r="AA431" s="50">
        <f t="shared" si="253"/>
        <v>0</v>
      </c>
      <c r="AB431" s="50">
        <f t="shared" si="254"/>
        <v>0</v>
      </c>
      <c r="AC431" s="28" t="str">
        <f t="shared" si="255"/>
        <v>ok</v>
      </c>
    </row>
    <row r="432" spans="1:29" x14ac:dyDescent="0.25">
      <c r="A432" s="14">
        <v>913</v>
      </c>
      <c r="B432" s="14" t="s">
        <v>575</v>
      </c>
      <c r="C432" s="14" t="s">
        <v>591</v>
      </c>
      <c r="D432" s="14" t="s">
        <v>470</v>
      </c>
      <c r="F432" s="50">
        <v>0</v>
      </c>
      <c r="H432" s="50">
        <f t="shared" si="242"/>
        <v>0</v>
      </c>
      <c r="I432" s="50">
        <f t="shared" si="243"/>
        <v>0</v>
      </c>
      <c r="J432" s="50"/>
      <c r="K432" s="50">
        <f t="shared" si="244"/>
        <v>0</v>
      </c>
      <c r="L432" s="50"/>
      <c r="M432" s="50">
        <f t="shared" si="245"/>
        <v>0</v>
      </c>
      <c r="N432" s="50"/>
      <c r="O432" s="50">
        <f t="shared" si="246"/>
        <v>0</v>
      </c>
      <c r="P432" s="50">
        <f t="shared" si="247"/>
        <v>0</v>
      </c>
      <c r="Q432" s="50"/>
      <c r="R432" s="50">
        <f t="shared" si="248"/>
        <v>0</v>
      </c>
      <c r="S432" s="50">
        <f t="shared" si="249"/>
        <v>0</v>
      </c>
      <c r="T432" s="50"/>
      <c r="U432" s="50">
        <f t="shared" si="250"/>
        <v>0</v>
      </c>
      <c r="V432" s="50"/>
      <c r="W432" s="50">
        <f t="shared" si="251"/>
        <v>0</v>
      </c>
      <c r="X432" s="50"/>
      <c r="Y432" s="50">
        <f t="shared" si="252"/>
        <v>0</v>
      </c>
      <c r="Z432" s="50"/>
      <c r="AA432" s="50">
        <f t="shared" si="253"/>
        <v>0</v>
      </c>
      <c r="AB432" s="50">
        <f t="shared" si="254"/>
        <v>0</v>
      </c>
      <c r="AC432" s="28" t="str">
        <f t="shared" si="255"/>
        <v>ok</v>
      </c>
    </row>
    <row r="433" spans="1:29" x14ac:dyDescent="0.25">
      <c r="A433" s="14">
        <v>915</v>
      </c>
      <c r="B433" s="14" t="s">
        <v>638</v>
      </c>
      <c r="C433" s="14" t="s">
        <v>641</v>
      </c>
      <c r="D433" s="14" t="s">
        <v>470</v>
      </c>
      <c r="F433" s="50">
        <v>0</v>
      </c>
      <c r="H433" s="50">
        <f t="shared" si="242"/>
        <v>0</v>
      </c>
      <c r="I433" s="50">
        <f t="shared" si="243"/>
        <v>0</v>
      </c>
      <c r="J433" s="50"/>
      <c r="K433" s="50">
        <f t="shared" si="244"/>
        <v>0</v>
      </c>
      <c r="L433" s="50"/>
      <c r="M433" s="50">
        <f t="shared" si="245"/>
        <v>0</v>
      </c>
      <c r="N433" s="50"/>
      <c r="O433" s="50">
        <f t="shared" si="246"/>
        <v>0</v>
      </c>
      <c r="P433" s="50">
        <f t="shared" si="247"/>
        <v>0</v>
      </c>
      <c r="Q433" s="50"/>
      <c r="R433" s="50">
        <f t="shared" si="248"/>
        <v>0</v>
      </c>
      <c r="S433" s="50">
        <f t="shared" si="249"/>
        <v>0</v>
      </c>
      <c r="T433" s="50"/>
      <c r="U433" s="50">
        <f t="shared" si="250"/>
        <v>0</v>
      </c>
      <c r="V433" s="50"/>
      <c r="W433" s="50">
        <f t="shared" si="251"/>
        <v>0</v>
      </c>
      <c r="X433" s="50"/>
      <c r="Y433" s="50">
        <f t="shared" si="252"/>
        <v>0</v>
      </c>
      <c r="Z433" s="50"/>
      <c r="AA433" s="50">
        <f t="shared" si="253"/>
        <v>0</v>
      </c>
      <c r="AB433" s="50">
        <f t="shared" si="254"/>
        <v>0</v>
      </c>
      <c r="AC433" s="28" t="str">
        <f t="shared" si="255"/>
        <v>ok</v>
      </c>
    </row>
    <row r="434" spans="1:29" x14ac:dyDescent="0.25">
      <c r="A434" s="14">
        <v>916</v>
      </c>
      <c r="B434" s="14" t="s">
        <v>639</v>
      </c>
      <c r="C434" s="14" t="s">
        <v>642</v>
      </c>
      <c r="D434" s="14" t="s">
        <v>470</v>
      </c>
      <c r="F434" s="50">
        <v>0</v>
      </c>
      <c r="H434" s="50">
        <f t="shared" si="242"/>
        <v>0</v>
      </c>
      <c r="I434" s="50">
        <f t="shared" si="243"/>
        <v>0</v>
      </c>
      <c r="J434" s="50"/>
      <c r="K434" s="50">
        <f t="shared" si="244"/>
        <v>0</v>
      </c>
      <c r="L434" s="50"/>
      <c r="M434" s="50">
        <f t="shared" si="245"/>
        <v>0</v>
      </c>
      <c r="N434" s="50"/>
      <c r="O434" s="50">
        <f t="shared" si="246"/>
        <v>0</v>
      </c>
      <c r="P434" s="50">
        <f t="shared" si="247"/>
        <v>0</v>
      </c>
      <c r="Q434" s="50"/>
      <c r="R434" s="50">
        <f t="shared" si="248"/>
        <v>0</v>
      </c>
      <c r="S434" s="50">
        <f t="shared" si="249"/>
        <v>0</v>
      </c>
      <c r="T434" s="50"/>
      <c r="U434" s="50">
        <f t="shared" si="250"/>
        <v>0</v>
      </c>
      <c r="V434" s="50"/>
      <c r="W434" s="50">
        <f t="shared" si="251"/>
        <v>0</v>
      </c>
      <c r="X434" s="50"/>
      <c r="Y434" s="50">
        <f t="shared" si="252"/>
        <v>0</v>
      </c>
      <c r="Z434" s="50"/>
      <c r="AA434" s="50">
        <f t="shared" si="253"/>
        <v>0</v>
      </c>
      <c r="AB434" s="50">
        <f t="shared" si="254"/>
        <v>0</v>
      </c>
      <c r="AC434" s="28" t="str">
        <f t="shared" si="255"/>
        <v>ok</v>
      </c>
    </row>
    <row r="435" spans="1:29" x14ac:dyDescent="0.25">
      <c r="F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0"/>
      <c r="AC435" s="28"/>
    </row>
    <row r="436" spans="1:29" x14ac:dyDescent="0.25">
      <c r="A436" s="14" t="s">
        <v>542</v>
      </c>
      <c r="C436" s="14" t="s">
        <v>514</v>
      </c>
      <c r="F436" s="67">
        <f>SUM(F424:F435)</f>
        <v>343592.54000000004</v>
      </c>
      <c r="G436" s="67">
        <f>SUM(G424:G435)</f>
        <v>0</v>
      </c>
      <c r="H436" s="67">
        <f>SUM(H424:H435)</f>
        <v>0</v>
      </c>
      <c r="I436" s="67">
        <f>SUM(I424:I435)</f>
        <v>0</v>
      </c>
      <c r="J436" s="67"/>
      <c r="K436" s="67">
        <f>SUM(K424:K435)</f>
        <v>0</v>
      </c>
      <c r="L436" s="67"/>
      <c r="M436" s="67">
        <f>SUM(M424:M435)</f>
        <v>0</v>
      </c>
      <c r="N436" s="67"/>
      <c r="O436" s="67">
        <f>SUM(O424:O435)</f>
        <v>0</v>
      </c>
      <c r="P436" s="67">
        <f>SUM(P424:P435)</f>
        <v>0</v>
      </c>
      <c r="Q436" s="67"/>
      <c r="R436" s="67">
        <f>SUM(R424:R435)</f>
        <v>0</v>
      </c>
      <c r="S436" s="67">
        <f>SUM(S424:S435)</f>
        <v>0</v>
      </c>
      <c r="T436" s="67"/>
      <c r="U436" s="67">
        <f>SUM(U424:U435)</f>
        <v>0</v>
      </c>
      <c r="V436" s="67"/>
      <c r="W436" s="67">
        <f>SUM(W424:W435)</f>
        <v>0</v>
      </c>
      <c r="X436" s="67"/>
      <c r="Y436" s="67">
        <f>SUM(Y424:Y435)</f>
        <v>343592.54000000004</v>
      </c>
      <c r="Z436" s="67"/>
      <c r="AA436" s="67">
        <f>SUM(AA424:AA435)</f>
        <v>0</v>
      </c>
      <c r="AB436" s="50">
        <f>SUM(H436:AA436)</f>
        <v>343592.54000000004</v>
      </c>
      <c r="AC436" s="28" t="str">
        <f>IF(ABS(AB436-F436)&lt;1,"ok","err")</f>
        <v>ok</v>
      </c>
    </row>
    <row r="437" spans="1:29" x14ac:dyDescent="0.25">
      <c r="F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C437" s="28"/>
    </row>
    <row r="438" spans="1:29" x14ac:dyDescent="0.25">
      <c r="A438" s="14" t="s">
        <v>543</v>
      </c>
      <c r="C438" s="14" t="s">
        <v>515</v>
      </c>
      <c r="F438" s="50">
        <f>F410+F421+F436</f>
        <v>2522527.7600000002</v>
      </c>
      <c r="G438" s="50">
        <f>G410+G421+G436</f>
        <v>0</v>
      </c>
      <c r="H438" s="50">
        <f>H410+H421+H436</f>
        <v>0</v>
      </c>
      <c r="I438" s="50">
        <f>I410+I421+I436</f>
        <v>0</v>
      </c>
      <c r="J438" s="50"/>
      <c r="K438" s="50">
        <f>K410+K421+K436</f>
        <v>0</v>
      </c>
      <c r="L438" s="50"/>
      <c r="M438" s="50">
        <f>M410+M421+M436</f>
        <v>5560.2043108251964</v>
      </c>
      <c r="N438" s="50"/>
      <c r="O438" s="50">
        <f>O410+O421+O436</f>
        <v>1208848.4510704835</v>
      </c>
      <c r="P438" s="50">
        <f>P410+P421+P436</f>
        <v>357219.84920191154</v>
      </c>
      <c r="Q438" s="50"/>
      <c r="R438" s="50">
        <f>R410+R421+R436</f>
        <v>0</v>
      </c>
      <c r="S438" s="50">
        <f>S410+S421+S436</f>
        <v>69278.106764955839</v>
      </c>
      <c r="T438" s="50"/>
      <c r="U438" s="50">
        <f>U410+U421+U436</f>
        <v>200949.8088452495</v>
      </c>
      <c r="V438" s="50"/>
      <c r="W438" s="50">
        <f>W410+W421+W436</f>
        <v>20749.709806574519</v>
      </c>
      <c r="X438" s="50"/>
      <c r="Y438" s="50">
        <f>Y410+Y421+Y436</f>
        <v>659921.63</v>
      </c>
      <c r="Z438" s="50"/>
      <c r="AA438" s="50">
        <f>AA410+AA421+AA436</f>
        <v>0</v>
      </c>
      <c r="AB438" s="50">
        <f>SUM(H438:AA438)</f>
        <v>2522527.7600000002</v>
      </c>
      <c r="AC438" s="28" t="str">
        <f>IF(ABS(AB438-F438)&lt;1,"ok","err")</f>
        <v>ok</v>
      </c>
    </row>
    <row r="439" spans="1:29" x14ac:dyDescent="0.25">
      <c r="F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C439" s="28"/>
    </row>
    <row r="440" spans="1:29" x14ac:dyDescent="0.25">
      <c r="F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C440" s="28"/>
    </row>
    <row r="441" spans="1:29" x14ac:dyDescent="0.25">
      <c r="A441" s="26" t="s">
        <v>472</v>
      </c>
      <c r="F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C441" s="28"/>
    </row>
    <row r="442" spans="1:29" x14ac:dyDescent="0.25">
      <c r="C442" s="90"/>
      <c r="F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C442" s="28"/>
    </row>
    <row r="443" spans="1:29" x14ac:dyDescent="0.25">
      <c r="A443" s="13" t="s">
        <v>158</v>
      </c>
      <c r="F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C443" s="28"/>
    </row>
    <row r="444" spans="1:29" x14ac:dyDescent="0.25">
      <c r="A444" s="14">
        <v>920</v>
      </c>
      <c r="B444" s="14" t="s">
        <v>159</v>
      </c>
      <c r="C444" s="14" t="s">
        <v>516</v>
      </c>
      <c r="D444" s="14" t="s">
        <v>410</v>
      </c>
      <c r="F444" s="67">
        <v>235882.25</v>
      </c>
      <c r="H444" s="50">
        <f t="shared" ref="H444:H455" si="256">IF(VLOOKUP($D444,$C$5:$AA$492,6,)=0,0,((VLOOKUP($D444,$C$5:$AA$492,6,)/VLOOKUP($D444,$C$5:$AA$492,4,))*$F444))</f>
        <v>0</v>
      </c>
      <c r="I444" s="50">
        <f t="shared" ref="I444:I455" si="257">IF(VLOOKUP($D444,$C$5:$AA$492,7,)=0,0,((VLOOKUP($D444,$C$5:$AA$492,7,)/VLOOKUP($D444,$C$5:$AA$492,4,))*$F444))</f>
        <v>0</v>
      </c>
      <c r="J444" s="50"/>
      <c r="K444" s="50">
        <f t="shared" ref="K444:K455" si="258">IF(VLOOKUP($D444,$C$5:$AA$492,9,)=0,0,((VLOOKUP($D444,$C$5:$AA$492,9,)/VLOOKUP($D444,$C$5:$AA$492,4,))*$F444))</f>
        <v>0</v>
      </c>
      <c r="L444" s="50"/>
      <c r="M444" s="50">
        <f t="shared" ref="M444:M455" si="259">IF(VLOOKUP($D444,$C$5:$AA$492,11,)=0,0,((VLOOKUP($D444,$C$5:$AA$492,11,)/VLOOKUP($D444,$C$5:$AA$492,4,))*$F444))</f>
        <v>316.01286099399061</v>
      </c>
      <c r="N444" s="50"/>
      <c r="O444" s="50">
        <f t="shared" ref="O444:O455" si="260">IF(VLOOKUP($D444,$C$5:$AA$492,13,)=0,0,((VLOOKUP($D444,$C$5:$AA$492,13,)/VLOOKUP($D444,$C$5:$AA$492,4,))*$F444))</f>
        <v>137889.17888278235</v>
      </c>
      <c r="P444" s="50">
        <f t="shared" ref="P444:P455" si="261">IF(VLOOKUP($D444,$C$5:$AA$492,14,)=0,0,((VLOOKUP($D444,$C$5:$AA$492,14,)/VLOOKUP($D444,$C$5:$AA$492,4,))*$F444))</f>
        <v>37287.189379670446</v>
      </c>
      <c r="Q444" s="50"/>
      <c r="R444" s="50">
        <f t="shared" ref="R444:R455" si="262">IF(VLOOKUP($D444,$C$5:$AA$492,16,)=0,0,((VLOOKUP($D444,$C$5:$AA$492,16,)/VLOOKUP($D444,$C$5:$AA$492,4,))*$F444))</f>
        <v>0</v>
      </c>
      <c r="S444" s="50">
        <f t="shared" ref="S444:S455" si="263">IF(VLOOKUP($D444,$C$5:$AA$492,17,)=0,0,((VLOOKUP($D444,$C$5:$AA$492,17,)/VLOOKUP($D444,$C$5:$AA$492,4,))*$F444))</f>
        <v>12273.152002376239</v>
      </c>
      <c r="T444" s="50"/>
      <c r="U444" s="50">
        <f t="shared" ref="U444:U455" si="264">IF(VLOOKUP($D444,$C$5:$AA$492,19,)=0,0,((VLOOKUP($D444,$C$5:$AA$492,19,)/VLOOKUP($D444,$C$5:$AA$492,4,))*$F444))</f>
        <v>11147.514252112043</v>
      </c>
      <c r="V444" s="50"/>
      <c r="W444" s="50">
        <f t="shared" ref="W444:W455" si="265">IF(VLOOKUP($D444,$C$5:$AA$492,21,)=0,0,((VLOOKUP($D444,$C$5:$AA$492,21,)/VLOOKUP($D444,$C$5:$AA$492,4,))*$F444))</f>
        <v>1249.2945731530506</v>
      </c>
      <c r="X444" s="50"/>
      <c r="Y444" s="50">
        <f t="shared" ref="Y444:Y455" si="266">IF(VLOOKUP($D444,$C$5:$AA$492,23,)=0,0,((VLOOKUP($D444,$C$5:$AA$492,23,)/VLOOKUP($D444,$C$5:$AA$492,4,))*$F444))</f>
        <v>35692.262363480339</v>
      </c>
      <c r="Z444" s="50"/>
      <c r="AA444" s="50">
        <f t="shared" ref="AA444:AA455" si="267">IF(VLOOKUP($D444,$C$5:$AA$492,25,)=0,0,((VLOOKUP($D444,$C$5:$AA$492,25,)/VLOOKUP($D444,$C$5:$AA$492,4,))*$F444))</f>
        <v>27.645685431566498</v>
      </c>
      <c r="AB444" s="50">
        <f t="shared" ref="AB444:AB455" si="268">SUM(H444:AA444)</f>
        <v>235882.25000000006</v>
      </c>
      <c r="AC444" s="28" t="str">
        <f t="shared" ref="AC444:AC455" si="269">IF(ABS(AB444-F444)&lt;1,"ok","err")</f>
        <v>ok</v>
      </c>
    </row>
    <row r="445" spans="1:29" x14ac:dyDescent="0.25">
      <c r="A445" s="14">
        <v>921</v>
      </c>
      <c r="B445" s="14" t="s">
        <v>161</v>
      </c>
      <c r="C445" s="14" t="s">
        <v>517</v>
      </c>
      <c r="D445" s="14" t="s">
        <v>515</v>
      </c>
      <c r="F445" s="50">
        <v>0</v>
      </c>
      <c r="H445" s="50">
        <f t="shared" si="256"/>
        <v>0</v>
      </c>
      <c r="I445" s="50">
        <f t="shared" si="257"/>
        <v>0</v>
      </c>
      <c r="J445" s="50"/>
      <c r="K445" s="50">
        <f t="shared" si="258"/>
        <v>0</v>
      </c>
      <c r="L445" s="50"/>
      <c r="M445" s="50">
        <f t="shared" si="259"/>
        <v>0</v>
      </c>
      <c r="N445" s="50"/>
      <c r="O445" s="50">
        <f t="shared" si="260"/>
        <v>0</v>
      </c>
      <c r="P445" s="50">
        <f t="shared" si="261"/>
        <v>0</v>
      </c>
      <c r="Q445" s="50"/>
      <c r="R445" s="50">
        <f t="shared" si="262"/>
        <v>0</v>
      </c>
      <c r="S445" s="50">
        <f t="shared" si="263"/>
        <v>0</v>
      </c>
      <c r="T445" s="50"/>
      <c r="U445" s="50">
        <f t="shared" si="264"/>
        <v>0</v>
      </c>
      <c r="V445" s="50"/>
      <c r="W445" s="50">
        <f t="shared" si="265"/>
        <v>0</v>
      </c>
      <c r="X445" s="50"/>
      <c r="Y445" s="50">
        <f t="shared" si="266"/>
        <v>0</v>
      </c>
      <c r="Z445" s="50"/>
      <c r="AA445" s="50">
        <f t="shared" si="267"/>
        <v>0</v>
      </c>
      <c r="AB445" s="50">
        <f t="shared" si="268"/>
        <v>0</v>
      </c>
      <c r="AC445" s="28" t="str">
        <f t="shared" si="269"/>
        <v>ok</v>
      </c>
    </row>
    <row r="446" spans="1:29" x14ac:dyDescent="0.25">
      <c r="A446" s="14">
        <v>923</v>
      </c>
      <c r="B446" s="14" t="s">
        <v>163</v>
      </c>
      <c r="C446" s="14" t="s">
        <v>518</v>
      </c>
      <c r="D446" s="14" t="s">
        <v>410</v>
      </c>
      <c r="F446" s="50">
        <v>0</v>
      </c>
      <c r="H446" s="50">
        <f t="shared" si="256"/>
        <v>0</v>
      </c>
      <c r="I446" s="50">
        <f t="shared" si="257"/>
        <v>0</v>
      </c>
      <c r="J446" s="50"/>
      <c r="K446" s="50">
        <f t="shared" si="258"/>
        <v>0</v>
      </c>
      <c r="L446" s="50"/>
      <c r="M446" s="50">
        <f t="shared" si="259"/>
        <v>0</v>
      </c>
      <c r="N446" s="50"/>
      <c r="O446" s="50">
        <f t="shared" si="260"/>
        <v>0</v>
      </c>
      <c r="P446" s="50">
        <f t="shared" si="261"/>
        <v>0</v>
      </c>
      <c r="Q446" s="50"/>
      <c r="R446" s="50">
        <f t="shared" si="262"/>
        <v>0</v>
      </c>
      <c r="S446" s="50">
        <f t="shared" si="263"/>
        <v>0</v>
      </c>
      <c r="T446" s="50"/>
      <c r="U446" s="50">
        <f t="shared" si="264"/>
        <v>0</v>
      </c>
      <c r="V446" s="50"/>
      <c r="W446" s="50">
        <f t="shared" si="265"/>
        <v>0</v>
      </c>
      <c r="X446" s="50"/>
      <c r="Y446" s="50">
        <f t="shared" si="266"/>
        <v>0</v>
      </c>
      <c r="Z446" s="50"/>
      <c r="AA446" s="50">
        <f t="shared" si="267"/>
        <v>0</v>
      </c>
      <c r="AB446" s="50">
        <f t="shared" si="268"/>
        <v>0</v>
      </c>
      <c r="AC446" s="28" t="str">
        <f t="shared" si="269"/>
        <v>ok</v>
      </c>
    </row>
    <row r="447" spans="1:29" x14ac:dyDescent="0.25">
      <c r="A447" s="14">
        <v>924</v>
      </c>
      <c r="B447" s="14" t="s">
        <v>165</v>
      </c>
      <c r="C447" s="14" t="s">
        <v>519</v>
      </c>
      <c r="D447" s="14" t="s">
        <v>84</v>
      </c>
      <c r="F447" s="50">
        <v>0</v>
      </c>
      <c r="H447" s="50">
        <f t="shared" si="256"/>
        <v>0</v>
      </c>
      <c r="I447" s="50">
        <f t="shared" si="257"/>
        <v>0</v>
      </c>
      <c r="J447" s="50"/>
      <c r="K447" s="50">
        <f t="shared" si="258"/>
        <v>0</v>
      </c>
      <c r="L447" s="50"/>
      <c r="M447" s="50">
        <f t="shared" si="259"/>
        <v>0</v>
      </c>
      <c r="N447" s="50"/>
      <c r="O447" s="50">
        <f t="shared" si="260"/>
        <v>0</v>
      </c>
      <c r="P447" s="50">
        <f t="shared" si="261"/>
        <v>0</v>
      </c>
      <c r="Q447" s="50"/>
      <c r="R447" s="50">
        <f t="shared" si="262"/>
        <v>0</v>
      </c>
      <c r="S447" s="50">
        <f t="shared" si="263"/>
        <v>0</v>
      </c>
      <c r="T447" s="50"/>
      <c r="U447" s="50">
        <f t="shared" si="264"/>
        <v>0</v>
      </c>
      <c r="V447" s="50"/>
      <c r="W447" s="50">
        <f t="shared" si="265"/>
        <v>0</v>
      </c>
      <c r="X447" s="50"/>
      <c r="Y447" s="50">
        <f t="shared" si="266"/>
        <v>0</v>
      </c>
      <c r="Z447" s="50"/>
      <c r="AA447" s="50">
        <f t="shared" si="267"/>
        <v>0</v>
      </c>
      <c r="AB447" s="50">
        <f t="shared" si="268"/>
        <v>0</v>
      </c>
      <c r="AC447" s="28" t="str">
        <f t="shared" si="269"/>
        <v>ok</v>
      </c>
    </row>
    <row r="448" spans="1:29" x14ac:dyDescent="0.25">
      <c r="A448" s="14">
        <v>925</v>
      </c>
      <c r="B448" s="14" t="s">
        <v>167</v>
      </c>
      <c r="C448" s="14" t="s">
        <v>520</v>
      </c>
      <c r="D448" s="14" t="s">
        <v>515</v>
      </c>
      <c r="F448" s="50">
        <v>0</v>
      </c>
      <c r="H448" s="50">
        <f t="shared" si="256"/>
        <v>0</v>
      </c>
      <c r="I448" s="50">
        <f t="shared" si="257"/>
        <v>0</v>
      </c>
      <c r="J448" s="50"/>
      <c r="K448" s="50">
        <f t="shared" si="258"/>
        <v>0</v>
      </c>
      <c r="L448" s="50"/>
      <c r="M448" s="50">
        <f t="shared" si="259"/>
        <v>0</v>
      </c>
      <c r="N448" s="50"/>
      <c r="O448" s="50">
        <f t="shared" si="260"/>
        <v>0</v>
      </c>
      <c r="P448" s="50">
        <f t="shared" si="261"/>
        <v>0</v>
      </c>
      <c r="Q448" s="50"/>
      <c r="R448" s="50">
        <f t="shared" si="262"/>
        <v>0</v>
      </c>
      <c r="S448" s="50">
        <f t="shared" si="263"/>
        <v>0</v>
      </c>
      <c r="T448" s="50"/>
      <c r="U448" s="50">
        <f t="shared" si="264"/>
        <v>0</v>
      </c>
      <c r="V448" s="50"/>
      <c r="W448" s="50">
        <f t="shared" si="265"/>
        <v>0</v>
      </c>
      <c r="X448" s="50"/>
      <c r="Y448" s="50">
        <f t="shared" si="266"/>
        <v>0</v>
      </c>
      <c r="Z448" s="50"/>
      <c r="AA448" s="50">
        <f t="shared" si="267"/>
        <v>0</v>
      </c>
      <c r="AB448" s="50">
        <f t="shared" si="268"/>
        <v>0</v>
      </c>
      <c r="AC448" s="28" t="str">
        <f t="shared" si="269"/>
        <v>ok</v>
      </c>
    </row>
    <row r="449" spans="1:29" x14ac:dyDescent="0.25">
      <c r="A449" s="14">
        <v>926</v>
      </c>
      <c r="B449" s="14" t="s">
        <v>169</v>
      </c>
      <c r="C449" s="14" t="s">
        <v>521</v>
      </c>
      <c r="D449" s="14" t="s">
        <v>515</v>
      </c>
      <c r="F449" s="50">
        <v>261349.33</v>
      </c>
      <c r="H449" s="50">
        <f t="shared" si="256"/>
        <v>0</v>
      </c>
      <c r="I449" s="50">
        <f t="shared" si="257"/>
        <v>0</v>
      </c>
      <c r="J449" s="50"/>
      <c r="K449" s="50">
        <f t="shared" si="258"/>
        <v>0</v>
      </c>
      <c r="L449" s="50"/>
      <c r="M449" s="50">
        <f t="shared" si="259"/>
        <v>576.07123074723927</v>
      </c>
      <c r="N449" s="50"/>
      <c r="O449" s="50">
        <f t="shared" si="260"/>
        <v>125244.10544398078</v>
      </c>
      <c r="P449" s="50">
        <f t="shared" si="261"/>
        <v>37010.164856073025</v>
      </c>
      <c r="Q449" s="50"/>
      <c r="R449" s="50">
        <f t="shared" si="262"/>
        <v>0</v>
      </c>
      <c r="S449" s="50">
        <f t="shared" si="263"/>
        <v>7177.6362876140056</v>
      </c>
      <c r="T449" s="50"/>
      <c r="U449" s="50">
        <f t="shared" si="264"/>
        <v>20819.631299254372</v>
      </c>
      <c r="V449" s="50"/>
      <c r="W449" s="50">
        <f t="shared" si="265"/>
        <v>2149.7970573940006</v>
      </c>
      <c r="X449" s="50"/>
      <c r="Y449" s="50">
        <f t="shared" si="266"/>
        <v>68371.923824936574</v>
      </c>
      <c r="Z449" s="50"/>
      <c r="AA449" s="50">
        <f t="shared" si="267"/>
        <v>0</v>
      </c>
      <c r="AB449" s="50">
        <f t="shared" si="268"/>
        <v>261349.32999999996</v>
      </c>
      <c r="AC449" s="28" t="str">
        <f t="shared" si="269"/>
        <v>ok</v>
      </c>
    </row>
    <row r="450" spans="1:29" x14ac:dyDescent="0.25">
      <c r="A450" s="14">
        <v>928</v>
      </c>
      <c r="B450" s="14" t="s">
        <v>171</v>
      </c>
      <c r="C450" s="14" t="s">
        <v>522</v>
      </c>
      <c r="D450" s="14" t="s">
        <v>410</v>
      </c>
      <c r="F450" s="50">
        <v>0</v>
      </c>
      <c r="H450" s="50">
        <f t="shared" si="256"/>
        <v>0</v>
      </c>
      <c r="I450" s="50">
        <f t="shared" si="257"/>
        <v>0</v>
      </c>
      <c r="J450" s="50"/>
      <c r="K450" s="50">
        <f t="shared" si="258"/>
        <v>0</v>
      </c>
      <c r="L450" s="50"/>
      <c r="M450" s="50">
        <f t="shared" si="259"/>
        <v>0</v>
      </c>
      <c r="N450" s="50"/>
      <c r="O450" s="50">
        <f t="shared" si="260"/>
        <v>0</v>
      </c>
      <c r="P450" s="50">
        <f t="shared" si="261"/>
        <v>0</v>
      </c>
      <c r="Q450" s="50"/>
      <c r="R450" s="50">
        <f t="shared" si="262"/>
        <v>0</v>
      </c>
      <c r="S450" s="50">
        <f t="shared" si="263"/>
        <v>0</v>
      </c>
      <c r="T450" s="50"/>
      <c r="U450" s="50">
        <f t="shared" si="264"/>
        <v>0</v>
      </c>
      <c r="V450" s="50"/>
      <c r="W450" s="50">
        <f t="shared" si="265"/>
        <v>0</v>
      </c>
      <c r="X450" s="50"/>
      <c r="Y450" s="50">
        <f t="shared" si="266"/>
        <v>0</v>
      </c>
      <c r="Z450" s="50"/>
      <c r="AA450" s="50">
        <f t="shared" si="267"/>
        <v>0</v>
      </c>
      <c r="AB450" s="50">
        <f t="shared" si="268"/>
        <v>0</v>
      </c>
      <c r="AC450" s="28" t="str">
        <f t="shared" si="269"/>
        <v>ok</v>
      </c>
    </row>
    <row r="451" spans="1:29" x14ac:dyDescent="0.25">
      <c r="A451" s="14">
        <v>929</v>
      </c>
      <c r="B451" s="14" t="s">
        <v>384</v>
      </c>
      <c r="C451" s="14" t="s">
        <v>523</v>
      </c>
      <c r="D451" s="14" t="s">
        <v>410</v>
      </c>
      <c r="F451" s="50">
        <v>0</v>
      </c>
      <c r="H451" s="50">
        <f t="shared" si="256"/>
        <v>0</v>
      </c>
      <c r="I451" s="50">
        <f t="shared" si="257"/>
        <v>0</v>
      </c>
      <c r="J451" s="50"/>
      <c r="K451" s="50">
        <f t="shared" si="258"/>
        <v>0</v>
      </c>
      <c r="L451" s="50"/>
      <c r="M451" s="50">
        <f t="shared" si="259"/>
        <v>0</v>
      </c>
      <c r="N451" s="50"/>
      <c r="O451" s="50">
        <f t="shared" si="260"/>
        <v>0</v>
      </c>
      <c r="P451" s="50">
        <f t="shared" si="261"/>
        <v>0</v>
      </c>
      <c r="Q451" s="50"/>
      <c r="R451" s="50">
        <f t="shared" si="262"/>
        <v>0</v>
      </c>
      <c r="S451" s="50">
        <f t="shared" si="263"/>
        <v>0</v>
      </c>
      <c r="T451" s="50"/>
      <c r="U451" s="50">
        <f t="shared" si="264"/>
        <v>0</v>
      </c>
      <c r="V451" s="50"/>
      <c r="W451" s="50">
        <f t="shared" si="265"/>
        <v>0</v>
      </c>
      <c r="X451" s="50"/>
      <c r="Y451" s="50">
        <f t="shared" si="266"/>
        <v>0</v>
      </c>
      <c r="Z451" s="50"/>
      <c r="AA451" s="50">
        <f t="shared" si="267"/>
        <v>0</v>
      </c>
      <c r="AB451" s="50">
        <f t="shared" si="268"/>
        <v>0</v>
      </c>
      <c r="AC451" s="28" t="str">
        <f t="shared" si="269"/>
        <v>ok</v>
      </c>
    </row>
    <row r="452" spans="1:29" x14ac:dyDescent="0.25">
      <c r="A452" s="14">
        <v>930</v>
      </c>
      <c r="B452" s="14" t="s">
        <v>173</v>
      </c>
      <c r="C452" s="14" t="s">
        <v>524</v>
      </c>
      <c r="D452" s="14" t="s">
        <v>410</v>
      </c>
      <c r="F452" s="50">
        <v>34189.82</v>
      </c>
      <c r="H452" s="50">
        <f t="shared" si="256"/>
        <v>0</v>
      </c>
      <c r="I452" s="50">
        <f t="shared" si="257"/>
        <v>0</v>
      </c>
      <c r="J452" s="50"/>
      <c r="K452" s="50">
        <f t="shared" si="258"/>
        <v>0</v>
      </c>
      <c r="L452" s="50"/>
      <c r="M452" s="50">
        <f t="shared" si="259"/>
        <v>45.804306322623084</v>
      </c>
      <c r="N452" s="50"/>
      <c r="O452" s="50">
        <f t="shared" si="260"/>
        <v>19986.269445666767</v>
      </c>
      <c r="P452" s="50">
        <f t="shared" si="261"/>
        <v>5404.5706838765709</v>
      </c>
      <c r="Q452" s="50"/>
      <c r="R452" s="50">
        <f t="shared" si="262"/>
        <v>0</v>
      </c>
      <c r="S452" s="50">
        <f t="shared" si="263"/>
        <v>1778.9251111259248</v>
      </c>
      <c r="T452" s="50"/>
      <c r="U452" s="50">
        <f t="shared" si="264"/>
        <v>1615.7701807878525</v>
      </c>
      <c r="V452" s="50"/>
      <c r="W452" s="50">
        <f t="shared" si="265"/>
        <v>181.07829895246309</v>
      </c>
      <c r="X452" s="50"/>
      <c r="Y452" s="50">
        <f t="shared" si="266"/>
        <v>5173.3948849486014</v>
      </c>
      <c r="Z452" s="50"/>
      <c r="AA452" s="50">
        <f t="shared" si="267"/>
        <v>4.0070883192011308</v>
      </c>
      <c r="AB452" s="50">
        <f t="shared" si="268"/>
        <v>34189.82</v>
      </c>
      <c r="AC452" s="28" t="str">
        <f t="shared" si="269"/>
        <v>ok</v>
      </c>
    </row>
    <row r="453" spans="1:29" x14ac:dyDescent="0.25">
      <c r="A453" s="14">
        <v>931</v>
      </c>
      <c r="B453" s="14" t="s">
        <v>175</v>
      </c>
      <c r="C453" s="14" t="s">
        <v>525</v>
      </c>
      <c r="D453" s="14" t="s">
        <v>84</v>
      </c>
      <c r="F453" s="50">
        <v>0</v>
      </c>
      <c r="H453" s="50">
        <f t="shared" si="256"/>
        <v>0</v>
      </c>
      <c r="I453" s="50">
        <f t="shared" si="257"/>
        <v>0</v>
      </c>
      <c r="J453" s="50"/>
      <c r="K453" s="50">
        <f t="shared" si="258"/>
        <v>0</v>
      </c>
      <c r="L453" s="50"/>
      <c r="M453" s="50">
        <f t="shared" si="259"/>
        <v>0</v>
      </c>
      <c r="N453" s="50"/>
      <c r="O453" s="50">
        <f t="shared" si="260"/>
        <v>0</v>
      </c>
      <c r="P453" s="50">
        <f t="shared" si="261"/>
        <v>0</v>
      </c>
      <c r="Q453" s="50"/>
      <c r="R453" s="50">
        <f t="shared" si="262"/>
        <v>0</v>
      </c>
      <c r="S453" s="50">
        <f t="shared" si="263"/>
        <v>0</v>
      </c>
      <c r="T453" s="50"/>
      <c r="U453" s="50">
        <f t="shared" si="264"/>
        <v>0</v>
      </c>
      <c r="V453" s="50"/>
      <c r="W453" s="50">
        <f t="shared" si="265"/>
        <v>0</v>
      </c>
      <c r="X453" s="50"/>
      <c r="Y453" s="50">
        <f t="shared" si="266"/>
        <v>0</v>
      </c>
      <c r="Z453" s="50"/>
      <c r="AA453" s="50">
        <f t="shared" si="267"/>
        <v>0</v>
      </c>
      <c r="AB453" s="50">
        <f t="shared" si="268"/>
        <v>0</v>
      </c>
      <c r="AC453" s="28" t="str">
        <f t="shared" si="269"/>
        <v>ok</v>
      </c>
    </row>
    <row r="454" spans="1:29" x14ac:dyDescent="0.25">
      <c r="A454" s="14">
        <v>935</v>
      </c>
      <c r="B454" s="14" t="s">
        <v>177</v>
      </c>
      <c r="C454" s="14" t="s">
        <v>712</v>
      </c>
      <c r="D454" s="14" t="s">
        <v>70</v>
      </c>
      <c r="F454" s="50">
        <v>2661.47</v>
      </c>
      <c r="H454" s="50">
        <f t="shared" si="256"/>
        <v>0</v>
      </c>
      <c r="I454" s="50">
        <f t="shared" si="257"/>
        <v>0</v>
      </c>
      <c r="J454" s="50"/>
      <c r="K454" s="50">
        <f t="shared" si="258"/>
        <v>0</v>
      </c>
      <c r="L454" s="50"/>
      <c r="M454" s="50">
        <f t="shared" si="259"/>
        <v>22.574677543750639</v>
      </c>
      <c r="N454" s="50"/>
      <c r="O454" s="50">
        <f t="shared" si="260"/>
        <v>1533.8684706866595</v>
      </c>
      <c r="P454" s="50">
        <f t="shared" si="261"/>
        <v>638.13936079881421</v>
      </c>
      <c r="Q454" s="50"/>
      <c r="R454" s="50">
        <f t="shared" si="262"/>
        <v>0</v>
      </c>
      <c r="S454" s="50">
        <f t="shared" si="263"/>
        <v>281.27220397559506</v>
      </c>
      <c r="T454" s="50"/>
      <c r="U454" s="50">
        <f t="shared" si="264"/>
        <v>101.37053953188062</v>
      </c>
      <c r="V454" s="50"/>
      <c r="W454" s="50">
        <f t="shared" si="265"/>
        <v>84.244747463299916</v>
      </c>
      <c r="X454" s="50"/>
      <c r="Y454" s="50">
        <f t="shared" si="266"/>
        <v>0</v>
      </c>
      <c r="Z454" s="50"/>
      <c r="AA454" s="50">
        <f t="shared" si="267"/>
        <v>0</v>
      </c>
      <c r="AB454" s="50">
        <f t="shared" si="268"/>
        <v>2661.47</v>
      </c>
      <c r="AC454" s="28" t="str">
        <f t="shared" si="269"/>
        <v>ok</v>
      </c>
    </row>
    <row r="455" spans="1:29" x14ac:dyDescent="0.25">
      <c r="A455" s="14">
        <v>950</v>
      </c>
      <c r="B455" s="14" t="s">
        <v>592</v>
      </c>
      <c r="C455" s="14" t="s">
        <v>593</v>
      </c>
      <c r="D455" s="14" t="s">
        <v>70</v>
      </c>
      <c r="F455" s="50">
        <v>0</v>
      </c>
      <c r="H455" s="50">
        <f t="shared" si="256"/>
        <v>0</v>
      </c>
      <c r="I455" s="50">
        <f t="shared" si="257"/>
        <v>0</v>
      </c>
      <c r="J455" s="50"/>
      <c r="K455" s="50">
        <f t="shared" si="258"/>
        <v>0</v>
      </c>
      <c r="L455" s="50"/>
      <c r="M455" s="50">
        <f t="shared" si="259"/>
        <v>0</v>
      </c>
      <c r="N455" s="50"/>
      <c r="O455" s="50">
        <f t="shared" si="260"/>
        <v>0</v>
      </c>
      <c r="P455" s="50">
        <f t="shared" si="261"/>
        <v>0</v>
      </c>
      <c r="Q455" s="50"/>
      <c r="R455" s="50">
        <f t="shared" si="262"/>
        <v>0</v>
      </c>
      <c r="S455" s="50">
        <f t="shared" si="263"/>
        <v>0</v>
      </c>
      <c r="T455" s="50"/>
      <c r="U455" s="50">
        <f t="shared" si="264"/>
        <v>0</v>
      </c>
      <c r="V455" s="50"/>
      <c r="W455" s="50">
        <f t="shared" si="265"/>
        <v>0</v>
      </c>
      <c r="X455" s="50"/>
      <c r="Y455" s="50">
        <f t="shared" si="266"/>
        <v>0</v>
      </c>
      <c r="Z455" s="50"/>
      <c r="AA455" s="50">
        <f t="shared" si="267"/>
        <v>0</v>
      </c>
      <c r="AB455" s="50">
        <f t="shared" si="268"/>
        <v>0</v>
      </c>
      <c r="AC455" s="28" t="str">
        <f t="shared" si="269"/>
        <v>ok</v>
      </c>
    </row>
    <row r="456" spans="1:29" x14ac:dyDescent="0.25">
      <c r="F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0"/>
      <c r="AC456" s="28"/>
    </row>
    <row r="457" spans="1:29" x14ac:dyDescent="0.25">
      <c r="A457" s="14" t="s">
        <v>178</v>
      </c>
      <c r="C457" s="14" t="s">
        <v>526</v>
      </c>
      <c r="F457" s="67">
        <f>SUM(F444:F456)</f>
        <v>534082.86999999988</v>
      </c>
      <c r="G457" s="67">
        <f>SUM(G444:G456)</f>
        <v>0</v>
      </c>
      <c r="H457" s="67">
        <f>SUM(H444:H456)</f>
        <v>0</v>
      </c>
      <c r="I457" s="67">
        <f>SUM(I444:I456)</f>
        <v>0</v>
      </c>
      <c r="J457" s="67"/>
      <c r="K457" s="67">
        <f>SUM(K444:K456)</f>
        <v>0</v>
      </c>
      <c r="L457" s="67"/>
      <c r="M457" s="67">
        <f>SUM(M444:M456)</f>
        <v>960.46307560760374</v>
      </c>
      <c r="N457" s="67"/>
      <c r="O457" s="67">
        <f>SUM(O444:O456)</f>
        <v>284653.42224311654</v>
      </c>
      <c r="P457" s="67">
        <f>SUM(P444:P456)</f>
        <v>80340.064280418854</v>
      </c>
      <c r="Q457" s="67"/>
      <c r="R457" s="67">
        <f>SUM(R444:R456)</f>
        <v>0</v>
      </c>
      <c r="S457" s="67">
        <f>SUM(S444:S456)</f>
        <v>21510.985605091762</v>
      </c>
      <c r="T457" s="67"/>
      <c r="U457" s="67">
        <f>SUM(U444:U456)</f>
        <v>33684.286271686149</v>
      </c>
      <c r="V457" s="67"/>
      <c r="W457" s="67">
        <f>SUM(W444:W456)</f>
        <v>3664.4146769628142</v>
      </c>
      <c r="X457" s="67"/>
      <c r="Y457" s="67">
        <f>SUM(Y444:Y456)</f>
        <v>109237.58107336551</v>
      </c>
      <c r="Z457" s="67"/>
      <c r="AA457" s="67">
        <f>SUM(AA444:AA456)</f>
        <v>31.652773750767629</v>
      </c>
      <c r="AB457" s="50">
        <f>SUM(H457:AA457)</f>
        <v>534082.87</v>
      </c>
      <c r="AC457" s="28" t="str">
        <f>IF(ABS(AB457-F457)&lt;1,"ok","err")</f>
        <v>ok</v>
      </c>
    </row>
    <row r="458" spans="1:29" x14ac:dyDescent="0.25">
      <c r="F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0"/>
      <c r="AC458" s="28"/>
    </row>
    <row r="459" spans="1:29" x14ac:dyDescent="0.25">
      <c r="A459" s="14" t="s">
        <v>180</v>
      </c>
      <c r="C459" s="14" t="s">
        <v>527</v>
      </c>
      <c r="F459" s="67">
        <f>F354+F412+F421+F436+F457</f>
        <v>3056610.63</v>
      </c>
      <c r="G459" s="67"/>
      <c r="H459" s="67">
        <f>H354+H412+H421+H436+H457</f>
        <v>0</v>
      </c>
      <c r="I459" s="67">
        <f>I354+I412+I421+I436+I457</f>
        <v>0</v>
      </c>
      <c r="J459" s="67"/>
      <c r="K459" s="67">
        <f>K354+K412+K421+K436+K457</f>
        <v>0</v>
      </c>
      <c r="L459" s="67"/>
      <c r="M459" s="67">
        <f>M354+M412+M421+M436+M457</f>
        <v>6520.6673864328004</v>
      </c>
      <c r="N459" s="67"/>
      <c r="O459" s="67">
        <f>O354+O412+O421+O436+O457</f>
        <v>1493501.8733136002</v>
      </c>
      <c r="P459" s="67">
        <f>P354+P412+P421+P436+P457</f>
        <v>437559.91348233039</v>
      </c>
      <c r="Q459" s="67"/>
      <c r="R459" s="67">
        <f>R354+R412+R421+R436+R457</f>
        <v>0</v>
      </c>
      <c r="S459" s="67">
        <f>S354+S412+S421+S436+S457</f>
        <v>90789.092370047598</v>
      </c>
      <c r="T459" s="67"/>
      <c r="U459" s="67">
        <f>U354+U412+U421+U436+U457</f>
        <v>234634.09511693564</v>
      </c>
      <c r="V459" s="67"/>
      <c r="W459" s="67">
        <f>W354+W412+W421+W436+W457</f>
        <v>24414.124483537333</v>
      </c>
      <c r="X459" s="67"/>
      <c r="Y459" s="67">
        <f>Y354+Y412+Y421+Y436+Y457</f>
        <v>769159.21107336553</v>
      </c>
      <c r="Z459" s="67"/>
      <c r="AA459" s="67">
        <f>AA354+AA412+AA421+AA436+AA457</f>
        <v>31.652773750767629</v>
      </c>
      <c r="AB459" s="50">
        <f>SUM(H459:AA459)</f>
        <v>3056610.6300000008</v>
      </c>
      <c r="AC459" s="28" t="str">
        <f>IF(ABS(AB459-F459)&lt;1,"ok","err")</f>
        <v>ok</v>
      </c>
    </row>
    <row r="460" spans="1:29" x14ac:dyDescent="0.25">
      <c r="F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0"/>
      <c r="AC460" s="28"/>
    </row>
    <row r="461" spans="1:29" x14ac:dyDescent="0.25">
      <c r="A461" s="14" t="s">
        <v>411</v>
      </c>
      <c r="C461" s="14" t="s">
        <v>528</v>
      </c>
      <c r="F461" s="90">
        <f>F459-F360</f>
        <v>3056610.63</v>
      </c>
      <c r="G461" s="90">
        <f>G459-G360</f>
        <v>0</v>
      </c>
      <c r="H461" s="90">
        <f>H459-H360</f>
        <v>0</v>
      </c>
      <c r="I461" s="90">
        <f>I459-I360</f>
        <v>0</v>
      </c>
      <c r="J461" s="90"/>
      <c r="K461" s="90">
        <f>K459-K360</f>
        <v>0</v>
      </c>
      <c r="L461" s="90"/>
      <c r="M461" s="90">
        <f>M459-M360</f>
        <v>6520.6673864328004</v>
      </c>
      <c r="N461" s="90"/>
      <c r="O461" s="90">
        <f>O459-O360</f>
        <v>1493501.8733136002</v>
      </c>
      <c r="P461" s="90">
        <f>P459-P360</f>
        <v>437559.91348233039</v>
      </c>
      <c r="Q461" s="90"/>
      <c r="R461" s="90">
        <f>R459-R360</f>
        <v>0</v>
      </c>
      <c r="S461" s="90">
        <f>S459-S360</f>
        <v>90789.092370047598</v>
      </c>
      <c r="T461" s="90"/>
      <c r="U461" s="90">
        <f>U459-U360</f>
        <v>234634.09511693564</v>
      </c>
      <c r="V461" s="90"/>
      <c r="W461" s="90">
        <f>W459-W360</f>
        <v>24414.124483537333</v>
      </c>
      <c r="X461" s="90"/>
      <c r="Y461" s="90">
        <f>Y459-Y360</f>
        <v>769159.21107336553</v>
      </c>
      <c r="Z461" s="90"/>
      <c r="AA461" s="90">
        <f>AA459-AA360</f>
        <v>31.652773750767629</v>
      </c>
      <c r="AB461" s="50">
        <f>SUM(H461:AA461)</f>
        <v>3056610.6300000008</v>
      </c>
      <c r="AC461" s="28" t="str">
        <f>IF(ABS(AB461-F461)&lt;1,"ok","err")</f>
        <v>ok</v>
      </c>
    </row>
    <row r="462" spans="1:29" x14ac:dyDescent="0.25">
      <c r="F462" s="90"/>
      <c r="G462" s="90"/>
      <c r="H462" s="90"/>
      <c r="I462" s="90"/>
      <c r="J462" s="90"/>
      <c r="K462" s="90"/>
      <c r="L462" s="90"/>
      <c r="M462" s="90"/>
      <c r="N462" s="90"/>
      <c r="O462" s="90"/>
      <c r="P462" s="90"/>
      <c r="Q462" s="90"/>
      <c r="R462" s="90"/>
      <c r="S462" s="90"/>
      <c r="T462" s="90"/>
      <c r="U462" s="90"/>
      <c r="V462" s="90"/>
      <c r="W462" s="90"/>
      <c r="X462" s="90"/>
      <c r="Y462" s="90"/>
      <c r="Z462" s="90"/>
      <c r="AA462" s="90"/>
      <c r="AB462" s="50"/>
      <c r="AC462" s="28"/>
    </row>
    <row r="463" spans="1:29" x14ac:dyDescent="0.25">
      <c r="A463" s="26" t="s">
        <v>197</v>
      </c>
      <c r="AC463" s="28"/>
    </row>
    <row r="464" spans="1:29" x14ac:dyDescent="0.25">
      <c r="AC464" s="28"/>
    </row>
    <row r="465" spans="1:29" x14ac:dyDescent="0.25">
      <c r="A465" s="14" t="s">
        <v>1</v>
      </c>
      <c r="C465" s="14" t="s">
        <v>24</v>
      </c>
      <c r="F465" s="94">
        <v>1</v>
      </c>
      <c r="G465" s="94"/>
      <c r="H465" s="95">
        <v>0</v>
      </c>
      <c r="I465" s="95">
        <v>0</v>
      </c>
      <c r="J465" s="95"/>
      <c r="K465" s="95">
        <v>0</v>
      </c>
      <c r="L465" s="94"/>
      <c r="M465" s="95">
        <v>1</v>
      </c>
      <c r="N465" s="94"/>
      <c r="O465" s="95">
        <v>0</v>
      </c>
      <c r="P465" s="95">
        <v>0</v>
      </c>
      <c r="Q465" s="96"/>
      <c r="R465" s="94">
        <v>0</v>
      </c>
      <c r="S465" s="94">
        <v>0</v>
      </c>
      <c r="T465" s="94"/>
      <c r="U465" s="94">
        <v>0</v>
      </c>
      <c r="V465" s="94"/>
      <c r="W465" s="94">
        <v>0</v>
      </c>
      <c r="X465" s="94"/>
      <c r="Y465" s="94">
        <v>0</v>
      </c>
      <c r="Z465" s="94"/>
      <c r="AA465" s="94">
        <v>0</v>
      </c>
      <c r="AB465" s="95">
        <f>SUM(H465:AA465)</f>
        <v>1</v>
      </c>
      <c r="AC465" s="28" t="str">
        <f t="shared" ref="AC465:AC475" si="270">IF(ABS(AB465-F465)&lt;0.0000001,"ok","err")</f>
        <v>ok</v>
      </c>
    </row>
    <row r="466" spans="1:29" x14ac:dyDescent="0.25">
      <c r="A466" s="14" t="s">
        <v>198</v>
      </c>
      <c r="C466" s="14" t="s">
        <v>27</v>
      </c>
      <c r="F466" s="94">
        <v>1</v>
      </c>
      <c r="G466" s="94"/>
      <c r="H466" s="95">
        <v>0</v>
      </c>
      <c r="I466" s="95">
        <v>0</v>
      </c>
      <c r="J466" s="95"/>
      <c r="K466" s="95">
        <v>0</v>
      </c>
      <c r="L466" s="94"/>
      <c r="M466" s="95">
        <v>0</v>
      </c>
      <c r="N466" s="94"/>
      <c r="O466" s="95">
        <f>O467</f>
        <v>0.82686321676521113</v>
      </c>
      <c r="P466" s="95">
        <f>P467</f>
        <v>0.17313678323478884</v>
      </c>
      <c r="Q466" s="96"/>
      <c r="R466" s="94">
        <v>0</v>
      </c>
      <c r="S466" s="94">
        <v>0</v>
      </c>
      <c r="T466" s="94"/>
      <c r="U466" s="94">
        <v>0</v>
      </c>
      <c r="V466" s="94"/>
      <c r="W466" s="94">
        <v>0</v>
      </c>
      <c r="X466" s="94"/>
      <c r="Y466" s="94">
        <v>0</v>
      </c>
      <c r="Z466" s="94"/>
      <c r="AA466" s="94">
        <v>0</v>
      </c>
      <c r="AB466" s="95">
        <f t="shared" ref="AB466:AB474" si="271">SUM(H466:AA466)</f>
        <v>1</v>
      </c>
      <c r="AC466" s="28" t="str">
        <f t="shared" si="270"/>
        <v>ok</v>
      </c>
    </row>
    <row r="467" spans="1:29" x14ac:dyDescent="0.25">
      <c r="A467" s="14" t="s">
        <v>199</v>
      </c>
      <c r="C467" s="14" t="s">
        <v>30</v>
      </c>
      <c r="F467" s="94">
        <v>1</v>
      </c>
      <c r="G467" s="94"/>
      <c r="H467" s="95">
        <v>0</v>
      </c>
      <c r="I467" s="95">
        <v>0</v>
      </c>
      <c r="J467" s="95"/>
      <c r="K467" s="95">
        <v>0</v>
      </c>
      <c r="L467" s="94"/>
      <c r="M467" s="95">
        <v>0</v>
      </c>
      <c r="N467" s="94"/>
      <c r="O467" s="95">
        <f>ZeroInt!D107</f>
        <v>0.82686321676521113</v>
      </c>
      <c r="P467" s="95">
        <f>ZeroInt!E107</f>
        <v>0.17313678323478884</v>
      </c>
      <c r="Q467" s="96"/>
      <c r="R467" s="94">
        <v>0</v>
      </c>
      <c r="S467" s="94">
        <v>0</v>
      </c>
      <c r="T467" s="94"/>
      <c r="U467" s="94">
        <v>0</v>
      </c>
      <c r="V467" s="94"/>
      <c r="W467" s="94">
        <v>0</v>
      </c>
      <c r="X467" s="94"/>
      <c r="Y467" s="94">
        <v>0</v>
      </c>
      <c r="Z467" s="94"/>
      <c r="AA467" s="94">
        <v>0</v>
      </c>
      <c r="AB467" s="95">
        <f t="shared" si="271"/>
        <v>1</v>
      </c>
      <c r="AC467" s="28" t="str">
        <f t="shared" si="270"/>
        <v>ok</v>
      </c>
    </row>
    <row r="468" spans="1:29" x14ac:dyDescent="0.25">
      <c r="A468" s="14" t="s">
        <v>200</v>
      </c>
      <c r="C468" s="14" t="s">
        <v>33</v>
      </c>
      <c r="F468" s="94">
        <v>1</v>
      </c>
      <c r="G468" s="94"/>
      <c r="H468" s="95">
        <v>0</v>
      </c>
      <c r="I468" s="95">
        <v>0</v>
      </c>
      <c r="J468" s="95"/>
      <c r="K468" s="95">
        <v>0</v>
      </c>
      <c r="L468" s="94"/>
      <c r="M468" s="95">
        <v>0</v>
      </c>
      <c r="N468" s="94"/>
      <c r="O468" s="95">
        <f>ZeroInt!D108</f>
        <v>0.44957093151617922</v>
      </c>
      <c r="P468" s="95">
        <f>ZeroInt!E108</f>
        <v>0.55042906848382078</v>
      </c>
      <c r="Q468" s="96"/>
      <c r="R468" s="94">
        <v>0</v>
      </c>
      <c r="S468" s="94">
        <v>0</v>
      </c>
      <c r="T468" s="94"/>
      <c r="U468" s="94">
        <v>0</v>
      </c>
      <c r="V468" s="94"/>
      <c r="W468" s="94">
        <v>0</v>
      </c>
      <c r="X468" s="94"/>
      <c r="Y468" s="94">
        <v>0</v>
      </c>
      <c r="Z468" s="94"/>
      <c r="AA468" s="94">
        <v>0</v>
      </c>
      <c r="AB468" s="95">
        <f t="shared" si="271"/>
        <v>1</v>
      </c>
      <c r="AC468" s="28" t="str">
        <f t="shared" si="270"/>
        <v>ok</v>
      </c>
    </row>
    <row r="469" spans="1:29" x14ac:dyDescent="0.25">
      <c r="A469" s="14" t="s">
        <v>201</v>
      </c>
      <c r="C469" s="14" t="s">
        <v>38</v>
      </c>
      <c r="F469" s="94">
        <v>1</v>
      </c>
      <c r="G469" s="94"/>
      <c r="H469" s="95">
        <v>0</v>
      </c>
      <c r="I469" s="95">
        <v>0</v>
      </c>
      <c r="J469" s="95"/>
      <c r="K469" s="95">
        <v>0</v>
      </c>
      <c r="L469" s="94"/>
      <c r="M469" s="95">
        <v>0</v>
      </c>
      <c r="N469" s="94"/>
      <c r="O469" s="95">
        <f>ZeroInt!D109</f>
        <v>0.38531948453523768</v>
      </c>
      <c r="P469" s="95">
        <f>ZeroInt!E109</f>
        <v>0.61468051546476232</v>
      </c>
      <c r="Q469" s="96"/>
      <c r="R469" s="94">
        <v>0</v>
      </c>
      <c r="S469" s="94">
        <v>0</v>
      </c>
      <c r="T469" s="94"/>
      <c r="U469" s="94">
        <v>0</v>
      </c>
      <c r="V469" s="94"/>
      <c r="W469" s="94">
        <v>0</v>
      </c>
      <c r="X469" s="94"/>
      <c r="Y469" s="94">
        <v>0</v>
      </c>
      <c r="Z469" s="94"/>
      <c r="AA469" s="94">
        <v>0</v>
      </c>
      <c r="AB469" s="95">
        <f t="shared" si="271"/>
        <v>1</v>
      </c>
      <c r="AC469" s="28" t="str">
        <f t="shared" si="270"/>
        <v>ok</v>
      </c>
    </row>
    <row r="470" spans="1:29" x14ac:dyDescent="0.25">
      <c r="A470" s="14" t="s">
        <v>202</v>
      </c>
      <c r="C470" s="14" t="s">
        <v>41</v>
      </c>
      <c r="F470" s="94">
        <v>1</v>
      </c>
      <c r="G470" s="94"/>
      <c r="H470" s="95">
        <v>0</v>
      </c>
      <c r="I470" s="95">
        <v>0</v>
      </c>
      <c r="J470" s="95"/>
      <c r="K470" s="95">
        <v>0</v>
      </c>
      <c r="L470" s="94"/>
      <c r="M470" s="95">
        <v>0</v>
      </c>
      <c r="N470" s="94"/>
      <c r="O470" s="95">
        <v>0</v>
      </c>
      <c r="P470" s="95">
        <v>0</v>
      </c>
      <c r="Q470" s="96"/>
      <c r="R470" s="94">
        <v>0</v>
      </c>
      <c r="S470" s="94">
        <v>1</v>
      </c>
      <c r="T470" s="94"/>
      <c r="U470" s="94">
        <v>0</v>
      </c>
      <c r="V470" s="94"/>
      <c r="W470" s="94">
        <v>0</v>
      </c>
      <c r="X470" s="94"/>
      <c r="Y470" s="94">
        <v>0</v>
      </c>
      <c r="Z470" s="94"/>
      <c r="AA470" s="94">
        <v>0</v>
      </c>
      <c r="AB470" s="95">
        <f t="shared" si="271"/>
        <v>1</v>
      </c>
      <c r="AC470" s="28" t="str">
        <f t="shared" si="270"/>
        <v>ok</v>
      </c>
    </row>
    <row r="471" spans="1:29" x14ac:dyDescent="0.25">
      <c r="A471" s="14" t="s">
        <v>4</v>
      </c>
      <c r="C471" s="14" t="s">
        <v>44</v>
      </c>
      <c r="F471" s="94">
        <v>1</v>
      </c>
      <c r="G471" s="94"/>
      <c r="H471" s="95">
        <v>0</v>
      </c>
      <c r="I471" s="95">
        <v>0</v>
      </c>
      <c r="J471" s="95"/>
      <c r="K471" s="95">
        <v>0</v>
      </c>
      <c r="L471" s="94"/>
      <c r="M471" s="95">
        <v>0</v>
      </c>
      <c r="N471" s="94"/>
      <c r="O471" s="95">
        <v>0</v>
      </c>
      <c r="P471" s="95">
        <v>0</v>
      </c>
      <c r="Q471" s="96"/>
      <c r="R471" s="94">
        <v>0</v>
      </c>
      <c r="S471" s="94">
        <v>0</v>
      </c>
      <c r="T471" s="94"/>
      <c r="U471" s="94">
        <v>1</v>
      </c>
      <c r="V471" s="94"/>
      <c r="W471" s="94">
        <v>0</v>
      </c>
      <c r="X471" s="94"/>
      <c r="Y471" s="94">
        <v>0</v>
      </c>
      <c r="Z471" s="94"/>
      <c r="AA471" s="94">
        <v>0</v>
      </c>
      <c r="AB471" s="95">
        <f t="shared" si="271"/>
        <v>1</v>
      </c>
      <c r="AC471" s="28" t="str">
        <f t="shared" si="270"/>
        <v>ok</v>
      </c>
    </row>
    <row r="472" spans="1:29" x14ac:dyDescent="0.25">
      <c r="A472" s="14" t="s">
        <v>203</v>
      </c>
      <c r="C472" s="14" t="s">
        <v>49</v>
      </c>
      <c r="F472" s="94">
        <v>1</v>
      </c>
      <c r="G472" s="94"/>
      <c r="H472" s="95">
        <v>0</v>
      </c>
      <c r="I472" s="95">
        <v>0</v>
      </c>
      <c r="J472" s="95"/>
      <c r="K472" s="95">
        <v>0</v>
      </c>
      <c r="L472" s="94"/>
      <c r="M472" s="95">
        <v>0</v>
      </c>
      <c r="N472" s="94"/>
      <c r="O472" s="95">
        <v>0</v>
      </c>
      <c r="P472" s="95">
        <v>0</v>
      </c>
      <c r="Q472" s="96"/>
      <c r="R472" s="94">
        <v>0</v>
      </c>
      <c r="S472" s="94">
        <v>0</v>
      </c>
      <c r="T472" s="94"/>
      <c r="U472" s="94">
        <v>0</v>
      </c>
      <c r="V472" s="94"/>
      <c r="W472" s="94">
        <v>1</v>
      </c>
      <c r="X472" s="94"/>
      <c r="Y472" s="94">
        <v>0</v>
      </c>
      <c r="Z472" s="94"/>
      <c r="AA472" s="94">
        <v>0</v>
      </c>
      <c r="AB472" s="95">
        <f t="shared" si="271"/>
        <v>1</v>
      </c>
      <c r="AC472" s="28" t="str">
        <f t="shared" si="270"/>
        <v>ok</v>
      </c>
    </row>
    <row r="473" spans="1:29" x14ac:dyDescent="0.25">
      <c r="A473" s="14" t="s">
        <v>204</v>
      </c>
      <c r="C473" s="14" t="s">
        <v>139</v>
      </c>
      <c r="F473" s="94">
        <v>1</v>
      </c>
      <c r="G473" s="94"/>
      <c r="H473" s="95">
        <v>0</v>
      </c>
      <c r="I473" s="95">
        <v>0</v>
      </c>
      <c r="J473" s="95"/>
      <c r="K473" s="95">
        <v>0</v>
      </c>
      <c r="L473" s="94"/>
      <c r="M473" s="95">
        <v>0</v>
      </c>
      <c r="N473" s="94"/>
      <c r="O473" s="95">
        <v>0</v>
      </c>
      <c r="P473" s="95">
        <v>0</v>
      </c>
      <c r="Q473" s="96"/>
      <c r="R473" s="94">
        <v>0</v>
      </c>
      <c r="S473" s="94">
        <v>0</v>
      </c>
      <c r="T473" s="94"/>
      <c r="U473" s="94">
        <v>0</v>
      </c>
      <c r="V473" s="94"/>
      <c r="W473" s="94">
        <v>0</v>
      </c>
      <c r="X473" s="94"/>
      <c r="Y473" s="94">
        <v>1</v>
      </c>
      <c r="Z473" s="94"/>
      <c r="AA473" s="94">
        <v>0</v>
      </c>
      <c r="AB473" s="95">
        <f t="shared" si="271"/>
        <v>1</v>
      </c>
      <c r="AC473" s="28" t="str">
        <f t="shared" si="270"/>
        <v>ok</v>
      </c>
    </row>
    <row r="474" spans="1:29" x14ac:dyDescent="0.25">
      <c r="A474" s="14" t="s">
        <v>205</v>
      </c>
      <c r="C474" s="14" t="s">
        <v>149</v>
      </c>
      <c r="F474" s="94">
        <v>1</v>
      </c>
      <c r="G474" s="94"/>
      <c r="H474" s="95">
        <v>0</v>
      </c>
      <c r="I474" s="95">
        <v>0</v>
      </c>
      <c r="J474" s="95"/>
      <c r="K474" s="95">
        <v>0</v>
      </c>
      <c r="L474" s="94"/>
      <c r="M474" s="95">
        <v>0</v>
      </c>
      <c r="N474" s="94"/>
      <c r="O474" s="95">
        <v>0</v>
      </c>
      <c r="P474" s="95">
        <v>0</v>
      </c>
      <c r="Q474" s="96"/>
      <c r="R474" s="94">
        <v>0</v>
      </c>
      <c r="S474" s="94">
        <v>0</v>
      </c>
      <c r="T474" s="94"/>
      <c r="U474" s="94">
        <v>0</v>
      </c>
      <c r="V474" s="94"/>
      <c r="W474" s="94">
        <v>0</v>
      </c>
      <c r="X474" s="94"/>
      <c r="Y474" s="94">
        <v>1</v>
      </c>
      <c r="Z474" s="94"/>
      <c r="AA474" s="94">
        <v>0</v>
      </c>
      <c r="AB474" s="95">
        <f t="shared" si="271"/>
        <v>1</v>
      </c>
      <c r="AC474" s="28" t="str">
        <f t="shared" si="270"/>
        <v>ok</v>
      </c>
    </row>
    <row r="475" spans="1:29" x14ac:dyDescent="0.25">
      <c r="A475" s="14" t="s">
        <v>348</v>
      </c>
      <c r="C475" s="14" t="s">
        <v>390</v>
      </c>
      <c r="F475" s="94">
        <v>1</v>
      </c>
      <c r="G475" s="94"/>
      <c r="H475" s="95">
        <v>0</v>
      </c>
      <c r="I475" s="95">
        <v>0</v>
      </c>
      <c r="J475" s="95"/>
      <c r="K475" s="95">
        <v>1</v>
      </c>
      <c r="L475" s="94"/>
      <c r="M475" s="95">
        <v>0</v>
      </c>
      <c r="N475" s="94"/>
      <c r="O475" s="95">
        <v>0</v>
      </c>
      <c r="P475" s="95">
        <v>0</v>
      </c>
      <c r="Q475" s="96"/>
      <c r="R475" s="94">
        <v>0</v>
      </c>
      <c r="S475" s="94">
        <v>0</v>
      </c>
      <c r="T475" s="94"/>
      <c r="U475" s="94">
        <v>0</v>
      </c>
      <c r="V475" s="94"/>
      <c r="W475" s="94">
        <v>0</v>
      </c>
      <c r="X475" s="94"/>
      <c r="Y475" s="94">
        <v>0</v>
      </c>
      <c r="Z475" s="94"/>
      <c r="AA475" s="94">
        <v>0</v>
      </c>
      <c r="AB475" s="95">
        <f>SUM(H475:AA475)</f>
        <v>1</v>
      </c>
      <c r="AC475" s="28" t="str">
        <f t="shared" si="270"/>
        <v>ok</v>
      </c>
    </row>
    <row r="476" spans="1:29" x14ac:dyDescent="0.25">
      <c r="A476" s="14" t="s">
        <v>469</v>
      </c>
      <c r="C476" s="14" t="s">
        <v>470</v>
      </c>
      <c r="F476" s="94">
        <v>1</v>
      </c>
      <c r="G476" s="94"/>
      <c r="H476" s="95">
        <v>0</v>
      </c>
      <c r="I476" s="95">
        <v>0</v>
      </c>
      <c r="J476" s="95"/>
      <c r="K476" s="95">
        <v>0</v>
      </c>
      <c r="L476" s="94"/>
      <c r="M476" s="95">
        <v>0</v>
      </c>
      <c r="N476" s="94"/>
      <c r="O476" s="95">
        <v>0</v>
      </c>
      <c r="P476" s="95">
        <v>0</v>
      </c>
      <c r="Q476" s="96"/>
      <c r="R476" s="94">
        <v>0</v>
      </c>
      <c r="S476" s="94">
        <v>0</v>
      </c>
      <c r="T476" s="94"/>
      <c r="U476" s="94">
        <v>0</v>
      </c>
      <c r="V476" s="94"/>
      <c r="W476" s="94">
        <v>0</v>
      </c>
      <c r="X476" s="94"/>
      <c r="Y476" s="94">
        <v>0</v>
      </c>
      <c r="Z476" s="94"/>
      <c r="AA476" s="94">
        <v>1</v>
      </c>
      <c r="AB476" s="95">
        <f>SUM(H476:AA476)</f>
        <v>1</v>
      </c>
      <c r="AC476" s="28" t="str">
        <f>IF(ABS(AB476-F476)&lt;0.0000001,"ok","err")</f>
        <v>ok</v>
      </c>
    </row>
    <row r="477" spans="1:29" x14ac:dyDescent="0.25">
      <c r="F477" s="94"/>
      <c r="H477" s="95"/>
      <c r="I477" s="95"/>
      <c r="J477" s="95"/>
      <c r="K477" s="95"/>
      <c r="L477" s="95"/>
      <c r="M477" s="95"/>
      <c r="O477" s="95"/>
      <c r="P477" s="95"/>
      <c r="Q477" s="95"/>
      <c r="R477" s="95"/>
      <c r="S477" s="95"/>
      <c r="T477" s="95"/>
      <c r="U477" s="95"/>
      <c r="V477" s="95"/>
      <c r="W477" s="95"/>
      <c r="X477" s="95"/>
      <c r="Y477" s="95"/>
      <c r="Z477" s="95"/>
      <c r="AA477" s="95"/>
      <c r="AB477" s="95"/>
      <c r="AC477" s="28"/>
    </row>
    <row r="478" spans="1:29" x14ac:dyDescent="0.25">
      <c r="H478" s="149"/>
      <c r="I478" s="149"/>
      <c r="AC478" s="28"/>
    </row>
    <row r="479" spans="1:29" x14ac:dyDescent="0.25">
      <c r="A479" s="13" t="s">
        <v>401</v>
      </c>
      <c r="C479" s="14" t="s">
        <v>96</v>
      </c>
      <c r="F479" s="94">
        <v>1</v>
      </c>
      <c r="G479" s="50"/>
      <c r="H479" s="142">
        <f>'Purchased Power'!O44</f>
        <v>0.2145959244393903</v>
      </c>
      <c r="I479" s="142">
        <f>'Purchased Power'!O45</f>
        <v>0.78540407556060965</v>
      </c>
      <c r="J479" s="50"/>
      <c r="K479" s="50">
        <v>0</v>
      </c>
      <c r="L479" s="50"/>
      <c r="M479" s="50">
        <v>0</v>
      </c>
      <c r="N479" s="50"/>
      <c r="O479" s="50">
        <v>0</v>
      </c>
      <c r="P479" s="50">
        <v>0</v>
      </c>
      <c r="Q479" s="97"/>
      <c r="R479" s="50">
        <v>0</v>
      </c>
      <c r="S479" s="50">
        <v>0</v>
      </c>
      <c r="T479" s="50"/>
      <c r="U479" s="50">
        <v>0</v>
      </c>
      <c r="V479" s="50"/>
      <c r="W479" s="50">
        <v>0</v>
      </c>
      <c r="X479" s="50"/>
      <c r="Y479" s="50">
        <v>0</v>
      </c>
      <c r="Z479" s="50"/>
      <c r="AA479" s="50">
        <v>0</v>
      </c>
      <c r="AB479" s="49">
        <f>SUM(H479:AA479)</f>
        <v>1</v>
      </c>
      <c r="AC479" s="28" t="str">
        <f>IF(ABS(AB479-F479)&lt;1,"ok","err")</f>
        <v>ok</v>
      </c>
    </row>
    <row r="480" spans="1:29" x14ac:dyDescent="0.25">
      <c r="F480" s="94"/>
      <c r="AC480" s="28"/>
    </row>
    <row r="481" spans="1:29" x14ac:dyDescent="0.25">
      <c r="A481" s="14" t="s">
        <v>547</v>
      </c>
      <c r="C481" s="14" t="s">
        <v>545</v>
      </c>
      <c r="F481" s="94">
        <v>1</v>
      </c>
      <c r="H481" s="95">
        <v>0</v>
      </c>
      <c r="I481" s="95">
        <v>0</v>
      </c>
      <c r="J481" s="95"/>
      <c r="K481" s="95">
        <v>0</v>
      </c>
      <c r="L481" s="95"/>
      <c r="M481" s="95">
        <v>0</v>
      </c>
      <c r="N481" s="95"/>
      <c r="O481" s="95">
        <v>0</v>
      </c>
      <c r="P481" s="95">
        <v>0</v>
      </c>
      <c r="Q481" s="95"/>
      <c r="R481" s="95">
        <v>0</v>
      </c>
      <c r="S481" s="95">
        <v>0</v>
      </c>
      <c r="T481" s="95"/>
      <c r="U481" s="95">
        <v>0</v>
      </c>
      <c r="V481" s="95"/>
      <c r="W481" s="95">
        <v>1</v>
      </c>
      <c r="X481" s="95"/>
      <c r="Y481" s="95">
        <v>0</v>
      </c>
      <c r="Z481" s="95"/>
      <c r="AA481" s="95">
        <v>0</v>
      </c>
      <c r="AB481" s="95">
        <f>SUM(H481:AA481)</f>
        <v>1</v>
      </c>
      <c r="AC481" s="28" t="str">
        <f>IF(ABS(AB481-F481)&lt;1,"ok","err")</f>
        <v>ok</v>
      </c>
    </row>
    <row r="482" spans="1:29" x14ac:dyDescent="0.25">
      <c r="A482" s="14" t="s">
        <v>548</v>
      </c>
      <c r="C482" s="14" t="s">
        <v>546</v>
      </c>
      <c r="F482" s="94">
        <v>1</v>
      </c>
      <c r="H482" s="95">
        <v>0</v>
      </c>
      <c r="I482" s="95">
        <v>0</v>
      </c>
      <c r="J482" s="95"/>
      <c r="K482" s="95">
        <v>0</v>
      </c>
      <c r="L482" s="95"/>
      <c r="M482" s="95">
        <v>0</v>
      </c>
      <c r="N482" s="95"/>
      <c r="O482" s="95">
        <v>0</v>
      </c>
      <c r="P482" s="95">
        <v>0</v>
      </c>
      <c r="Q482" s="95"/>
      <c r="R482" s="95">
        <v>0</v>
      </c>
      <c r="S482" s="95">
        <v>0</v>
      </c>
      <c r="T482" s="95"/>
      <c r="U482" s="95">
        <v>0</v>
      </c>
      <c r="V482" s="95"/>
      <c r="W482" s="95">
        <v>1</v>
      </c>
      <c r="X482" s="95"/>
      <c r="Y482" s="95">
        <v>0</v>
      </c>
      <c r="Z482" s="95"/>
      <c r="AA482" s="95">
        <v>0</v>
      </c>
      <c r="AB482" s="95">
        <f>SUM(H482:AA482)</f>
        <v>1</v>
      </c>
      <c r="AC482" s="28" t="str">
        <f>IF(ABS(AB482-F482)&lt;1,"ok","err")</f>
        <v>ok</v>
      </c>
    </row>
    <row r="483" spans="1:29" x14ac:dyDescent="0.25">
      <c r="A483" s="14" t="s">
        <v>707</v>
      </c>
      <c r="C483" s="14" t="s">
        <v>550</v>
      </c>
      <c r="F483" s="94">
        <v>1</v>
      </c>
      <c r="G483" s="94"/>
      <c r="H483" s="95">
        <v>0</v>
      </c>
      <c r="I483" s="95">
        <v>0</v>
      </c>
      <c r="J483" s="95"/>
      <c r="K483" s="95">
        <v>0</v>
      </c>
      <c r="L483" s="94"/>
      <c r="M483" s="95">
        <v>0</v>
      </c>
      <c r="N483" s="94"/>
      <c r="O483" s="95">
        <v>0</v>
      </c>
      <c r="P483" s="95">
        <v>1</v>
      </c>
      <c r="Q483" s="96"/>
      <c r="R483" s="94">
        <v>0</v>
      </c>
      <c r="S483" s="94">
        <v>0</v>
      </c>
      <c r="T483" s="94"/>
      <c r="U483" s="94">
        <v>0</v>
      </c>
      <c r="V483" s="94"/>
      <c r="W483" s="94">
        <v>0</v>
      </c>
      <c r="X483" s="94"/>
      <c r="Y483" s="94">
        <v>0</v>
      </c>
      <c r="Z483" s="94"/>
      <c r="AA483" s="94">
        <v>0</v>
      </c>
      <c r="AB483" s="95">
        <f>SUM(H483:AA483)</f>
        <v>1</v>
      </c>
      <c r="AC483" s="28" t="str">
        <f>IF(ABS(AB483-F483)&lt;0.0000001,"ok","err")</f>
        <v>ok</v>
      </c>
    </row>
    <row r="484" spans="1:29" x14ac:dyDescent="0.25">
      <c r="A484" s="14" t="s">
        <v>821</v>
      </c>
      <c r="C484" s="14" t="s">
        <v>551</v>
      </c>
      <c r="F484" s="94">
        <v>1</v>
      </c>
      <c r="G484" s="94"/>
      <c r="H484" s="95">
        <v>1</v>
      </c>
      <c r="I484" s="95">
        <v>0</v>
      </c>
      <c r="J484" s="95"/>
      <c r="K484" s="95">
        <v>0</v>
      </c>
      <c r="L484" s="94"/>
      <c r="M484" s="95">
        <v>0</v>
      </c>
      <c r="N484" s="94"/>
      <c r="O484" s="95">
        <v>0</v>
      </c>
      <c r="P484" s="95">
        <v>0</v>
      </c>
      <c r="Q484" s="96"/>
      <c r="R484" s="94">
        <v>0</v>
      </c>
      <c r="S484" s="94">
        <v>0</v>
      </c>
      <c r="T484" s="94"/>
      <c r="U484" s="94">
        <v>0</v>
      </c>
      <c r="V484" s="94"/>
      <c r="W484" s="94">
        <v>0</v>
      </c>
      <c r="X484" s="94"/>
      <c r="Y484" s="94">
        <v>0</v>
      </c>
      <c r="Z484" s="94"/>
      <c r="AA484" s="94">
        <v>0</v>
      </c>
      <c r="AB484" s="95">
        <f>SUM(H484:AA484)</f>
        <v>1</v>
      </c>
      <c r="AC484" s="28" t="str">
        <f>IF(ABS(AB484-F484)&lt;0.0000001,"ok","err")</f>
        <v>ok</v>
      </c>
    </row>
    <row r="485" spans="1:29" x14ac:dyDescent="0.25">
      <c r="A485" s="14" t="s">
        <v>822</v>
      </c>
      <c r="C485" s="14" t="s">
        <v>785</v>
      </c>
      <c r="F485" s="94">
        <v>1</v>
      </c>
      <c r="G485" s="94"/>
      <c r="H485" s="95">
        <v>0</v>
      </c>
      <c r="I485" s="95">
        <v>1</v>
      </c>
      <c r="J485" s="95"/>
      <c r="K485" s="95">
        <v>0</v>
      </c>
      <c r="L485" s="94"/>
      <c r="M485" s="95">
        <v>0</v>
      </c>
      <c r="N485" s="94"/>
      <c r="O485" s="95">
        <v>0</v>
      </c>
      <c r="P485" s="95">
        <v>0</v>
      </c>
      <c r="Q485" s="96"/>
      <c r="R485" s="94">
        <v>0</v>
      </c>
      <c r="S485" s="94">
        <v>0</v>
      </c>
      <c r="T485" s="94"/>
      <c r="U485" s="94">
        <v>0</v>
      </c>
      <c r="V485" s="94"/>
      <c r="W485" s="94">
        <v>0</v>
      </c>
      <c r="X485" s="94"/>
      <c r="Y485" s="94">
        <v>0</v>
      </c>
      <c r="Z485" s="94"/>
      <c r="AA485" s="94">
        <v>0</v>
      </c>
      <c r="AB485" s="95">
        <f>SUM(H485:AA485)</f>
        <v>1</v>
      </c>
      <c r="AC485" s="28" t="str">
        <f>IF(ABS(AB485-F485)&lt;0.0000001,"ok","err")</f>
        <v>ok</v>
      </c>
    </row>
    <row r="486" spans="1:29" x14ac:dyDescent="0.25">
      <c r="F486" s="94"/>
      <c r="AC486" s="28"/>
    </row>
    <row r="487" spans="1:29" x14ac:dyDescent="0.25">
      <c r="AC487" s="28"/>
    </row>
    <row r="488" spans="1:29" x14ac:dyDescent="0.25">
      <c r="F488" s="90"/>
      <c r="G488" s="90"/>
      <c r="H488" s="90"/>
      <c r="I488" s="90"/>
      <c r="J488" s="90"/>
      <c r="K488" s="90"/>
      <c r="L488" s="90"/>
      <c r="M488" s="90"/>
      <c r="N488" s="90"/>
      <c r="O488" s="90"/>
      <c r="P488" s="90"/>
      <c r="Q488" s="90"/>
      <c r="R488" s="90"/>
      <c r="S488" s="90"/>
      <c r="T488" s="90"/>
      <c r="U488" s="90"/>
      <c r="V488" s="90"/>
      <c r="W488" s="90"/>
      <c r="X488" s="90"/>
      <c r="Y488" s="90"/>
      <c r="Z488" s="90"/>
      <c r="AA488" s="90"/>
      <c r="AB488" s="50"/>
      <c r="AC488" s="28"/>
    </row>
    <row r="489" spans="1:29" x14ac:dyDescent="0.25">
      <c r="F489" s="90"/>
      <c r="G489" s="90"/>
      <c r="H489" s="90"/>
      <c r="I489" s="90"/>
      <c r="J489" s="90"/>
      <c r="K489" s="90"/>
      <c r="L489" s="90"/>
      <c r="M489" s="90"/>
      <c r="N489" s="90"/>
      <c r="O489" s="90"/>
      <c r="P489" s="90"/>
      <c r="Q489" s="90"/>
      <c r="R489" s="90"/>
      <c r="S489" s="90"/>
      <c r="T489" s="90"/>
      <c r="U489" s="90"/>
      <c r="V489" s="90"/>
      <c r="W489" s="90"/>
      <c r="X489" s="90"/>
      <c r="Y489" s="90"/>
      <c r="Z489" s="90"/>
      <c r="AA489" s="90"/>
      <c r="AB489" s="50"/>
      <c r="AC489" s="28"/>
    </row>
    <row r="490" spans="1:29" x14ac:dyDescent="0.25">
      <c r="AC490" s="28"/>
    </row>
    <row r="491" spans="1:29" x14ac:dyDescent="0.25">
      <c r="F491" s="50"/>
      <c r="AC491" s="28"/>
    </row>
    <row r="492" spans="1:29" x14ac:dyDescent="0.25">
      <c r="F492" s="50"/>
      <c r="AC492" s="28"/>
    </row>
    <row r="493" spans="1:29" x14ac:dyDescent="0.25">
      <c r="F493" s="50"/>
      <c r="AC493" s="28"/>
    </row>
    <row r="494" spans="1:29" x14ac:dyDescent="0.25">
      <c r="F494" s="50"/>
      <c r="AC494" s="28"/>
    </row>
    <row r="495" spans="1:29" x14ac:dyDescent="0.25">
      <c r="F495" s="50"/>
      <c r="AC495" s="28"/>
    </row>
    <row r="496" spans="1:29" x14ac:dyDescent="0.25">
      <c r="F496" s="50"/>
      <c r="AC496" s="28"/>
    </row>
    <row r="497" spans="5:29" x14ac:dyDescent="0.25">
      <c r="F497" s="50"/>
      <c r="AC497" s="28"/>
    </row>
    <row r="498" spans="5:29" x14ac:dyDescent="0.25">
      <c r="F498" s="50"/>
      <c r="AC498" s="28"/>
    </row>
    <row r="499" spans="5:29" x14ac:dyDescent="0.25">
      <c r="F499" s="35"/>
      <c r="AC499" s="28"/>
    </row>
    <row r="500" spans="5:29" x14ac:dyDescent="0.25">
      <c r="AC500" s="28"/>
    </row>
    <row r="501" spans="5:29" x14ac:dyDescent="0.25">
      <c r="F501" s="67"/>
      <c r="AC501" s="28"/>
    </row>
    <row r="502" spans="5:29" x14ac:dyDescent="0.25">
      <c r="AC502" s="28"/>
    </row>
    <row r="503" spans="5:29" x14ac:dyDescent="0.25">
      <c r="AC503" s="28"/>
    </row>
    <row r="504" spans="5:29" x14ac:dyDescent="0.25">
      <c r="AC504" s="28"/>
    </row>
    <row r="511" spans="5:29" x14ac:dyDescent="0.25">
      <c r="E511" s="14">
        <f>E502+(E359*'Purchased Power'!$O$44)</f>
        <v>0</v>
      </c>
      <c r="F511" s="14">
        <f>F502+(F359*'Purchased Power'!$O$44)</f>
        <v>0</v>
      </c>
      <c r="G511" s="14">
        <f>G502+(G359*'Purchased Power'!$O$44)</f>
        <v>0</v>
      </c>
      <c r="H511" s="14">
        <f>H502+(H359*'Purchased Power'!$O$44)</f>
        <v>0</v>
      </c>
      <c r="I511" s="14">
        <f>I502+(I359*'Purchased Power'!$O$44)</f>
        <v>0</v>
      </c>
      <c r="J511" s="14">
        <f>J502+(J359*'Purchased Power'!$O$44)</f>
        <v>0</v>
      </c>
      <c r="K511" s="14">
        <f>K502+(K359*'Purchased Power'!$O$44)</f>
        <v>0</v>
      </c>
      <c r="L511" s="14">
        <f>L502+(L359*'Purchased Power'!$O$44)</f>
        <v>0</v>
      </c>
      <c r="M511" s="14">
        <f>M502+(M359*'Purchased Power'!$O$44)</f>
        <v>0</v>
      </c>
    </row>
    <row r="514" spans="5:32" x14ac:dyDescent="0.25">
      <c r="E514" s="14">
        <f>E505+E375+(E360+E362+E363+E364+E365+E369+E370+E371)*$D$505</f>
        <v>0</v>
      </c>
      <c r="F514" s="14">
        <f t="shared" ref="F514:M514" si="272">F505+F375+(F360+F362+F363+F364+F365+F369+F370+F371)*$D$505</f>
        <v>0</v>
      </c>
      <c r="G514" s="14">
        <f t="shared" si="272"/>
        <v>0</v>
      </c>
      <c r="H514" s="14">
        <f t="shared" si="272"/>
        <v>0</v>
      </c>
      <c r="I514" s="14">
        <f t="shared" si="272"/>
        <v>0</v>
      </c>
      <c r="J514" s="14">
        <f t="shared" si="272"/>
        <v>0</v>
      </c>
      <c r="K514" s="14">
        <f t="shared" si="272"/>
        <v>0</v>
      </c>
      <c r="L514" s="14">
        <f t="shared" si="272"/>
        <v>0</v>
      </c>
      <c r="M514" s="14">
        <f t="shared" si="272"/>
        <v>0</v>
      </c>
      <c r="N514" s="14">
        <f t="shared" ref="N514:AF514" si="273">N505+N375+(N360+N362+N363+N364+N365+N369+N370+N371)*$D$505</f>
        <v>0</v>
      </c>
      <c r="O514" s="14">
        <f t="shared" si="273"/>
        <v>0</v>
      </c>
      <c r="P514" s="14">
        <f t="shared" si="273"/>
        <v>0</v>
      </c>
      <c r="Q514" s="14">
        <f t="shared" si="273"/>
        <v>0</v>
      </c>
      <c r="R514" s="14">
        <f t="shared" si="273"/>
        <v>0</v>
      </c>
      <c r="S514" s="14">
        <f t="shared" si="273"/>
        <v>0</v>
      </c>
      <c r="T514" s="14">
        <f t="shared" si="273"/>
        <v>0</v>
      </c>
      <c r="U514" s="14">
        <f t="shared" si="273"/>
        <v>0</v>
      </c>
      <c r="V514" s="14">
        <f t="shared" si="273"/>
        <v>0</v>
      </c>
      <c r="W514" s="14">
        <f t="shared" si="273"/>
        <v>0</v>
      </c>
      <c r="X514" s="14">
        <f t="shared" si="273"/>
        <v>0</v>
      </c>
      <c r="Y514" s="14">
        <f t="shared" si="273"/>
        <v>0</v>
      </c>
      <c r="Z514" s="14">
        <f t="shared" si="273"/>
        <v>0</v>
      </c>
      <c r="AA514" s="14">
        <f t="shared" si="273"/>
        <v>0</v>
      </c>
      <c r="AB514" s="14">
        <f t="shared" si="273"/>
        <v>0</v>
      </c>
      <c r="AC514" s="14" t="e">
        <f t="shared" si="273"/>
        <v>#VALUE!</v>
      </c>
      <c r="AD514" s="14">
        <f t="shared" si="273"/>
        <v>0</v>
      </c>
      <c r="AE514" s="14">
        <f t="shared" si="273"/>
        <v>0</v>
      </c>
      <c r="AF514" s="14">
        <f t="shared" si="273"/>
        <v>0</v>
      </c>
    </row>
    <row r="515" spans="5:32" x14ac:dyDescent="0.25">
      <c r="E515" s="14">
        <f>E506+(E360+E362+E363+E364+E365+E369+E370+E371)*$D$506</f>
        <v>0</v>
      </c>
      <c r="F515" s="14">
        <f t="shared" ref="F515:M515" si="274">F506+(F360+F362+F363+F364+F365+F369+F370+F371)*$D$506</f>
        <v>0</v>
      </c>
      <c r="G515" s="14">
        <f t="shared" si="274"/>
        <v>0</v>
      </c>
      <c r="H515" s="14">
        <f t="shared" si="274"/>
        <v>0</v>
      </c>
      <c r="I515" s="14">
        <f t="shared" si="274"/>
        <v>0</v>
      </c>
      <c r="J515" s="14">
        <f t="shared" si="274"/>
        <v>0</v>
      </c>
      <c r="K515" s="14">
        <f t="shared" si="274"/>
        <v>0</v>
      </c>
      <c r="L515" s="14">
        <f t="shared" si="274"/>
        <v>0</v>
      </c>
      <c r="M515" s="14">
        <f t="shared" si="274"/>
        <v>0</v>
      </c>
      <c r="N515" s="14">
        <f t="shared" ref="N515:AF515" si="275">N506+(N360+N362+N363+N364+N365+N369+N370+N371)*$D$506</f>
        <v>0</v>
      </c>
      <c r="O515" s="14">
        <f t="shared" si="275"/>
        <v>0</v>
      </c>
      <c r="P515" s="14">
        <f t="shared" si="275"/>
        <v>0</v>
      </c>
      <c r="Q515" s="14">
        <f t="shared" si="275"/>
        <v>0</v>
      </c>
      <c r="R515" s="14">
        <f t="shared" si="275"/>
        <v>0</v>
      </c>
      <c r="S515" s="14">
        <f t="shared" si="275"/>
        <v>0</v>
      </c>
      <c r="T515" s="14">
        <f t="shared" si="275"/>
        <v>0</v>
      </c>
      <c r="U515" s="14">
        <f t="shared" si="275"/>
        <v>0</v>
      </c>
      <c r="V515" s="14">
        <f t="shared" si="275"/>
        <v>0</v>
      </c>
      <c r="W515" s="14">
        <f t="shared" si="275"/>
        <v>0</v>
      </c>
      <c r="X515" s="14">
        <f t="shared" si="275"/>
        <v>0</v>
      </c>
      <c r="Y515" s="14">
        <f t="shared" si="275"/>
        <v>0</v>
      </c>
      <c r="Z515" s="14">
        <f t="shared" si="275"/>
        <v>0</v>
      </c>
      <c r="AA515" s="14">
        <f t="shared" si="275"/>
        <v>0</v>
      </c>
      <c r="AB515" s="14">
        <f t="shared" si="275"/>
        <v>0</v>
      </c>
      <c r="AC515" s="14" t="e">
        <f t="shared" si="275"/>
        <v>#VALUE!</v>
      </c>
      <c r="AD515" s="14">
        <f t="shared" si="275"/>
        <v>0</v>
      </c>
      <c r="AE515" s="14">
        <f t="shared" si="275"/>
        <v>0</v>
      </c>
      <c r="AF515" s="14">
        <f t="shared" si="275"/>
        <v>0</v>
      </c>
    </row>
  </sheetData>
  <phoneticPr fontId="0" type="noConversion"/>
  <conditionalFormatting sqref="AC1:AC513">
    <cfRule type="cellIs" dxfId="7" priority="2" operator="equal">
      <formula>"err"</formula>
    </cfRule>
  </conditionalFormatting>
  <conditionalFormatting sqref="AC8:AC489">
    <cfRule type="containsText" dxfId="6" priority="1" operator="containsText" text="err">
      <formula>NOT(ISERROR(SEARCH("err",AC8)))</formula>
    </cfRule>
  </conditionalFormatting>
  <conditionalFormatting sqref="AC516:AC65532">
    <cfRule type="cellIs" dxfId="5" priority="29" operator="equal">
      <formula>"err"</formula>
    </cfRule>
  </conditionalFormatting>
  <pageMargins left="0.25" right="0.25" top="1.25" bottom="0.5" header="0.5" footer="0.2"/>
  <pageSetup scale="60" fitToWidth="3" pageOrder="overThenDown" orientation="landscape" r:id="rId1"/>
  <headerFooter alignWithMargins="0">
    <oddHeader>&amp;C&amp;"Times New Roman,Bold"SHELBY ENERGY
Cost of Service Study
Functional Assignment and Classification
12 Months Ended December 31, 2022</oddHeader>
    <oddFooter>&amp;RExhibit JW-4
Page &amp;P of &amp;N</oddFooter>
  </headerFooter>
  <rowBreaks count="13" manualBreakCount="13">
    <brk id="36" max="26" man="1"/>
    <brk id="59" max="16383" man="1"/>
    <brk id="94" max="16383" man="1"/>
    <brk id="145" max="16383" man="1"/>
    <brk id="171" max="26" man="1"/>
    <brk id="216" max="16383" man="1"/>
    <brk id="265" max="26" man="1"/>
    <brk id="289" max="16383" man="1"/>
    <brk id="329" max="16383" man="1"/>
    <brk id="356" max="26" man="1"/>
    <brk id="393" max="16383" man="1"/>
    <brk id="440" max="26" man="1"/>
    <brk id="462" max="16383" man="1"/>
  </rowBreaks>
  <colBreaks count="1" manualBreakCount="1">
    <brk id="14" max="497" man="1"/>
  </colBreaks>
  <ignoredErrors>
    <ignoredError sqref="G54 V270:AA270 P270:U270 H270:O270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R644"/>
  <sheetViews>
    <sheetView view="pageBreakPreview" zoomScale="85" zoomScaleNormal="100" zoomScaleSheetLayoutView="85" workbookViewId="0">
      <pane xSplit="2" ySplit="3" topLeftCell="C332" activePane="bottomRight" state="frozen"/>
      <selection activeCell="A519" sqref="A519"/>
      <selection pane="topRight" activeCell="A519" sqref="A519"/>
      <selection pane="bottomLeft" activeCell="A519" sqref="A519"/>
      <selection pane="bottomRight" activeCell="M349" sqref="E349:M349"/>
    </sheetView>
  </sheetViews>
  <sheetFormatPr defaultColWidth="9.109375" defaultRowHeight="13.2" x14ac:dyDescent="0.25"/>
  <cols>
    <col min="1" max="1" width="7.6640625" style="14" customWidth="1"/>
    <col min="2" max="2" width="45.109375" style="14" customWidth="1"/>
    <col min="3" max="3" width="14" style="14" customWidth="1"/>
    <col min="4" max="5" width="14.5546875" style="14" bestFit="1" customWidth="1"/>
    <col min="6" max="6" width="14.5546875" style="14" customWidth="1"/>
    <col min="7" max="7" width="20" style="14" customWidth="1"/>
    <col min="8" max="8" width="17.6640625" style="14" customWidth="1"/>
    <col min="9" max="9" width="14.88671875" style="14" customWidth="1"/>
    <col min="10" max="10" width="13.33203125" style="14" customWidth="1"/>
    <col min="11" max="12" width="14.88671875" style="14" customWidth="1"/>
    <col min="13" max="13" width="16" style="14" customWidth="1"/>
    <col min="14" max="14" width="11.44140625" style="14" hidden="1" customWidth="1"/>
    <col min="15" max="15" width="20.6640625" style="14" hidden="1" customWidth="1"/>
    <col min="16" max="16" width="16.109375" style="14" hidden="1" customWidth="1"/>
    <col min="17" max="17" width="15.6640625" style="14" hidden="1" customWidth="1"/>
    <col min="18" max="18" width="20.6640625" style="14" hidden="1" customWidth="1"/>
    <col min="19" max="22" width="14.5546875" style="14" hidden="1" customWidth="1"/>
    <col min="23" max="23" width="13.5546875" style="14" hidden="1" customWidth="1"/>
    <col min="24" max="24" width="12" style="14" hidden="1" customWidth="1"/>
    <col min="25" max="30" width="17.6640625" style="14" hidden="1" customWidth="1"/>
    <col min="31" max="31" width="17.44140625" style="14" hidden="1" customWidth="1"/>
    <col min="32" max="32" width="18" style="14" hidden="1" customWidth="1"/>
    <col min="33" max="33" width="13.88671875" style="14" bestFit="1" customWidth="1"/>
    <col min="34" max="34" width="10.6640625" style="14" customWidth="1"/>
    <col min="35" max="35" width="11.5546875" style="14" hidden="1" customWidth="1"/>
    <col min="36" max="36" width="0" style="14" hidden="1" customWidth="1"/>
    <col min="37" max="37" width="9.21875" style="50" customWidth="1"/>
    <col min="38" max="38" width="9.109375" style="14" customWidth="1"/>
    <col min="39" max="41" width="9.109375" style="14"/>
    <col min="42" max="42" width="14" style="14" bestFit="1" customWidth="1"/>
    <col min="43" max="43" width="14.33203125" style="14" customWidth="1"/>
    <col min="44" max="44" width="13" style="14" customWidth="1"/>
    <col min="45" max="16384" width="9.109375" style="14"/>
  </cols>
  <sheetData>
    <row r="1" spans="1:37" x14ac:dyDescent="0.25">
      <c r="A1" s="79"/>
      <c r="B1" s="79"/>
      <c r="C1" s="79"/>
      <c r="D1" s="79"/>
      <c r="AH1" s="28" t="str">
        <f>IF(COUNTIF(AH4:AH527,"err"),"err","ok")</f>
        <v>ok</v>
      </c>
    </row>
    <row r="2" spans="1:37" s="188" customFormat="1" ht="77.25" customHeight="1" x14ac:dyDescent="0.25">
      <c r="A2" s="186"/>
      <c r="B2" s="186"/>
      <c r="C2" s="82"/>
      <c r="D2" s="187" t="s">
        <v>206</v>
      </c>
      <c r="E2" s="82" t="s">
        <v>0</v>
      </c>
      <c r="F2" s="82" t="str">
        <f>'Summary of Returns'!B10</f>
        <v>Residential Service</v>
      </c>
      <c r="G2" s="82" t="str">
        <f>'Summary of Returns'!B11</f>
        <v>Off Peak Retail Marketing (ETS)</v>
      </c>
      <c r="H2" s="82" t="str">
        <f>'Summary of Returns'!B12</f>
        <v>Prepay Service</v>
      </c>
      <c r="I2" s="82" t="str">
        <f>'Summary of Returns'!B13</f>
        <v>General Service</v>
      </c>
      <c r="J2" s="82" t="str">
        <f>'Summary of Returns'!B14</f>
        <v>Large Power Service</v>
      </c>
      <c r="K2" s="82" t="str">
        <f>'Summary of Returns'!B15</f>
        <v>Large Industrial Rate</v>
      </c>
      <c r="L2" s="82" t="str">
        <f>'Summary of Returns'!B16</f>
        <v>Large Industrial Rate</v>
      </c>
      <c r="M2" s="82" t="str">
        <f>'Summary of Returns'!B17</f>
        <v>Outdoor and Street Lighting</v>
      </c>
      <c r="N2" s="82" t="s">
        <v>702</v>
      </c>
      <c r="O2" s="82" t="s">
        <v>702</v>
      </c>
      <c r="P2" s="82" t="s">
        <v>702</v>
      </c>
      <c r="Q2" s="82" t="s">
        <v>702</v>
      </c>
      <c r="R2" s="82" t="s">
        <v>702</v>
      </c>
      <c r="S2" s="82" t="s">
        <v>702</v>
      </c>
      <c r="T2" s="82" t="s">
        <v>702</v>
      </c>
      <c r="U2" s="82" t="s">
        <v>702</v>
      </c>
      <c r="V2" s="82" t="s">
        <v>702</v>
      </c>
      <c r="W2" s="82" t="s">
        <v>702</v>
      </c>
      <c r="X2" s="82" t="s">
        <v>702</v>
      </c>
      <c r="Y2" s="82" t="s">
        <v>702</v>
      </c>
      <c r="Z2" s="82" t="s">
        <v>702</v>
      </c>
      <c r="AA2" s="82" t="s">
        <v>702</v>
      </c>
      <c r="AB2" s="82" t="s">
        <v>702</v>
      </c>
      <c r="AC2" s="82" t="s">
        <v>702</v>
      </c>
      <c r="AD2" s="82" t="s">
        <v>702</v>
      </c>
      <c r="AE2" s="82" t="s">
        <v>702</v>
      </c>
      <c r="AF2" s="82" t="s">
        <v>702</v>
      </c>
      <c r="AG2" s="186"/>
      <c r="AH2" s="186"/>
      <c r="AK2" s="189"/>
    </row>
    <row r="3" spans="1:37" ht="13.8" thickBot="1" x14ac:dyDescent="0.3">
      <c r="A3" s="84" t="s">
        <v>6</v>
      </c>
      <c r="B3" s="84"/>
      <c r="C3" s="85" t="s">
        <v>7</v>
      </c>
      <c r="D3" s="85" t="s">
        <v>8</v>
      </c>
      <c r="E3" s="83" t="s">
        <v>9</v>
      </c>
      <c r="F3" s="83">
        <f>'Summary of Returns'!C10</f>
        <v>12</v>
      </c>
      <c r="G3" s="83">
        <f>'Summary of Returns'!C11</f>
        <v>9</v>
      </c>
      <c r="H3" s="83">
        <f>'Summary of Returns'!C12</f>
        <v>15</v>
      </c>
      <c r="I3" s="83">
        <f>'Summary of Returns'!C13</f>
        <v>11</v>
      </c>
      <c r="J3" s="83">
        <f>'Summary of Returns'!C14</f>
        <v>2</v>
      </c>
      <c r="K3" s="83" t="str">
        <f>'Summary of Returns'!C15</f>
        <v>B1</v>
      </c>
      <c r="L3" s="83" t="str">
        <f>'Summary of Returns'!C16</f>
        <v>B2</v>
      </c>
      <c r="M3" s="83">
        <f>'Summary of Returns'!C17</f>
        <v>3</v>
      </c>
      <c r="N3" s="83">
        <f>'Summary of Returns'!C18</f>
        <v>0</v>
      </c>
      <c r="O3" s="83">
        <f>'Summary of Returns'!C19</f>
        <v>0</v>
      </c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 t="s">
        <v>13</v>
      </c>
      <c r="AH3" s="83" t="s">
        <v>14</v>
      </c>
    </row>
    <row r="5" spans="1:37" x14ac:dyDescent="0.25">
      <c r="A5" s="26" t="s">
        <v>15</v>
      </c>
    </row>
    <row r="7" spans="1:37" x14ac:dyDescent="0.25">
      <c r="A7" s="13" t="s">
        <v>890</v>
      </c>
    </row>
    <row r="8" spans="1:37" x14ac:dyDescent="0.25">
      <c r="A8" s="93" t="s">
        <v>207</v>
      </c>
      <c r="C8" s="14" t="s">
        <v>208</v>
      </c>
      <c r="D8" s="14" t="s">
        <v>656</v>
      </c>
      <c r="E8" s="67">
        <f>'Func &amp; Classif'!H82</f>
        <v>0</v>
      </c>
      <c r="F8" s="67">
        <f>IF(VLOOKUP($D8,$C$5:$AU$493,3,)=0,0,(VLOOKUP($D8,$C$5:$AU$493,4,)/VLOOKUP($D8,$C$5:$AU$493,3,))*$E8)</f>
        <v>0</v>
      </c>
      <c r="G8" s="67">
        <f>IF(VLOOKUP($D8,$C$5:$AU$493,3,)=0,0,(VLOOKUP($D8,$C$5:$AU$493,5,)/VLOOKUP($D8,$C$5:$AU$493,3,))*$E8)</f>
        <v>0</v>
      </c>
      <c r="H8" s="67">
        <f>IF(VLOOKUP($D8,$C$5:$AU$493,3,)=0,0,(VLOOKUP($D8,$C$5:$AU$493,6,)/VLOOKUP($D8,$C$5:$AU$493,3,))*$E8)</f>
        <v>0</v>
      </c>
      <c r="I8" s="67">
        <f>IF(VLOOKUP($D8,$C$5:$AU$493,3,)=0,0,(VLOOKUP($D8,$C$5:$AU$493,7,)/VLOOKUP($D8,$C$5:$AU$493,3,))*$E8)</f>
        <v>0</v>
      </c>
      <c r="J8" s="67">
        <f>IF(VLOOKUP($D8,$C$5:$AU$493,3,)=0,0,(VLOOKUP($D8,$C$5:$AU$493,8,)/VLOOKUP($D8,$C$5:$AU$493,3,))*$E8)</f>
        <v>0</v>
      </c>
      <c r="K8" s="67">
        <f>IF(VLOOKUP($D8,$C$5:$AU$493,3,)=0,0,(VLOOKUP($D8,$C$5:$AU$493,9,)/VLOOKUP($D8,$C$5:$AU$493,3,))*$E8)</f>
        <v>0</v>
      </c>
      <c r="L8" s="67">
        <f>IF(VLOOKUP($D8,$C$5:$AU$493,3,)=0,0,(VLOOKUP($D8,$C$5:$AU$493,10,)/VLOOKUP($D8,$C$5:$AU$493,3,))*$E8)</f>
        <v>0</v>
      </c>
      <c r="M8" s="67">
        <f>IF(VLOOKUP($D8,$C$5:$AU$493,3,)=0,0,(VLOOKUP($D8,$C$5:$AU$493,11,)/VLOOKUP($D8,$C$5:$AU$493,3,))*$E8)</f>
        <v>0</v>
      </c>
      <c r="N8" s="67">
        <f>IF(VLOOKUP($D8,$C$5:$AU$493,3,)=0,0,(VLOOKUP($D8,$C$5:$AU$493,12,)/VLOOKUP($D8,$C$5:$AU$493,3,))*$E8)</f>
        <v>0</v>
      </c>
      <c r="O8" s="67">
        <f>IF(VLOOKUP($D8,$C$5:$AU$493,3,)=0,0,(VLOOKUP($D8,$C$5:$AU$493,13,)/VLOOKUP($D8,$C$5:$AU$493,3,))*$E8)</f>
        <v>0</v>
      </c>
      <c r="P8" s="67">
        <f>IF(VLOOKUP($D8,$C$5:$AU$493,3,)=0,0,(VLOOKUP($D8,$C$5:$AU$493,14,)/VLOOKUP($D8,$C$5:$AU$493,3,))*$E8)</f>
        <v>0</v>
      </c>
      <c r="Q8" s="67">
        <f>IF(VLOOKUP($D8,$C$5:$AU$493,3,)=0,0,(VLOOKUP($D8,$C$5:$AU$493,15,)/VLOOKUP($D8,$C$5:$AU$493,3,))*$E8)</f>
        <v>0</v>
      </c>
      <c r="R8" s="67">
        <f>IF(VLOOKUP($D8,$C$5:$AU$493,3,)=0,0,(VLOOKUP($D8,$C$5:$AU$493,16,)/VLOOKUP($D8,$C$5:$AU$493,3,))*$E8)</f>
        <v>0</v>
      </c>
      <c r="S8" s="67">
        <f>IF(VLOOKUP($D8,$C$5:$AU$493,3,)=0,0,(VLOOKUP($D8,$C$5:$AU$493,17,)/VLOOKUP($D8,$C$5:$AU$493,3,))*$E8)</f>
        <v>0</v>
      </c>
      <c r="T8" s="67">
        <f>IF(VLOOKUP($D8,$C$5:$AU$493,3,)=0,0,(VLOOKUP($D8,$C$5:$AU$493,18,)/VLOOKUP($D8,$C$5:$AU$493,3,))*$E8)</f>
        <v>0</v>
      </c>
      <c r="U8" s="67">
        <f>IF(VLOOKUP($D8,$C$5:$AU$493,3,)=0,0,(VLOOKUP($D8,$C$5:$AU$493,19,)/VLOOKUP($D8,$C$5:$AU$493,3,))*$E8)</f>
        <v>0</v>
      </c>
      <c r="V8" s="67">
        <f>IF(VLOOKUP($D8,$C$5:$AU$493,3,)=0,0,(VLOOKUP($D8,$C$5:$AU$493,20,)/VLOOKUP($D8,$C$5:$AU$493,3,))*$E8)</f>
        <v>0</v>
      </c>
      <c r="W8" s="67">
        <f>IF(VLOOKUP($D8,$C$5:$AU$493,3,)=0,0,(VLOOKUP($D8,$C$5:$AU$493,21,)/VLOOKUP($D8,$C$5:$AU$493,3,))*$E8)</f>
        <v>0</v>
      </c>
      <c r="X8" s="67">
        <f>IF(VLOOKUP($D8,$C$5:$AU$493,3,)=0,0,(VLOOKUP($D8,$C$5:$AU$493,22,)/VLOOKUP($D8,$C$5:$AU$493,3,))*$E8)</f>
        <v>0</v>
      </c>
      <c r="Y8" s="67">
        <f>IF(VLOOKUP($D8,$C$5:$AU$493,3,)=0,0,(VLOOKUP($D8,$C$5:$AU$493,23,)/VLOOKUP($D8,$C$5:$AU$493,3,))*$E8)</f>
        <v>0</v>
      </c>
      <c r="Z8" s="67">
        <f>IF(VLOOKUP($D8,$C$5:$AU$493,3,)=0,0,(VLOOKUP($D8,$C$5:$AU$493,24,)/VLOOKUP($D8,$C$5:$AU$493,3,))*$E8)</f>
        <v>0</v>
      </c>
      <c r="AA8" s="67">
        <f>IF(VLOOKUP($D8,$C$5:$AU$493,3,)=0,0,(VLOOKUP($D8,$C$5:$AU$493,25,)/VLOOKUP($D8,$C$5:$AU$493,3,))*$E8)</f>
        <v>0</v>
      </c>
      <c r="AB8" s="67">
        <f>IF(VLOOKUP($D8,$C$5:$AU$493,3,)=0,0,(VLOOKUP($D8,$C$5:$AU$493,26,)/VLOOKUP($D8,$C$5:$AU$493,3,))*$E8)</f>
        <v>0</v>
      </c>
      <c r="AC8" s="67">
        <f>IF(VLOOKUP($D8,$C$5:$AU$493,3,)=0,0,(VLOOKUP($D8,$C$5:$AU$493,27,)/VLOOKUP($D8,$C$5:$AU$493,3,))*$E8)</f>
        <v>0</v>
      </c>
      <c r="AD8" s="67">
        <f>IF(VLOOKUP($D8,$C$5:$AU$493,3,)=0,0,(VLOOKUP($D8,$C$5:$AU$493,28,)/VLOOKUP($D8,$C$5:$AU$493,3,))*$E8)</f>
        <v>0</v>
      </c>
      <c r="AE8" s="67">
        <f>IF(VLOOKUP($D8,$C$5:$AU$493,3,)=0,0,(VLOOKUP($D8,$C$5:$AU$493,29,)/VLOOKUP($D8,$C$5:$AU$493,3,))*$E8)</f>
        <v>0</v>
      </c>
      <c r="AF8" s="67">
        <f>IF(VLOOKUP($D8,$C$5:$AU$493,3,)=0,0,(VLOOKUP($D8,$C$5:$AU$493,30,)/VLOOKUP($D8,$C$5:$AU$493,3,))*$E8)</f>
        <v>0</v>
      </c>
      <c r="AG8" s="90">
        <f>SUM(F8:AF8)</f>
        <v>0</v>
      </c>
      <c r="AH8" s="28" t="str">
        <f>IF(ABS(E8-AG8)&lt;0.01,"ok","err")</f>
        <v>ok</v>
      </c>
    </row>
    <row r="9" spans="1:37" x14ac:dyDescent="0.25">
      <c r="A9" s="93" t="s">
        <v>210</v>
      </c>
      <c r="C9" s="14" t="s">
        <v>211</v>
      </c>
      <c r="D9" s="14" t="s">
        <v>665</v>
      </c>
      <c r="E9" s="50">
        <f>'Func &amp; Classif'!I82</f>
        <v>0</v>
      </c>
      <c r="F9" s="67">
        <f>IF(VLOOKUP($D9,$C$5:$AU$493,3,)=0,0,(VLOOKUP($D9,$C$5:$AU$493,4,)/VLOOKUP($D9,$C$5:$AU$493,3,))*$E9)</f>
        <v>0</v>
      </c>
      <c r="G9" s="67">
        <f>IF(VLOOKUP($D9,$C$5:$AU$493,3,)=0,0,(VLOOKUP($D9,$C$5:$AU$493,5,)/VLOOKUP($D9,$C$5:$AU$493,3,))*$E9)</f>
        <v>0</v>
      </c>
      <c r="H9" s="67">
        <f>IF(VLOOKUP($D9,$C$5:$AU$493,3,)=0,0,(VLOOKUP($D9,$C$5:$AU$493,6,)/VLOOKUP($D9,$C$5:$AU$493,3,))*$E9)</f>
        <v>0</v>
      </c>
      <c r="I9" s="67">
        <f>IF(VLOOKUP($D9,$C$5:$AU$493,3,)=0,0,(VLOOKUP($D9,$C$5:$AU$493,7,)/VLOOKUP($D9,$C$5:$AU$493,3,))*$E9)</f>
        <v>0</v>
      </c>
      <c r="J9" s="67">
        <f>IF(VLOOKUP($D9,$C$5:$AU$493,3,)=0,0,(VLOOKUP($D9,$C$5:$AU$493,8,)/VLOOKUP($D9,$C$5:$AU$493,3,))*$E9)</f>
        <v>0</v>
      </c>
      <c r="K9" s="67">
        <f>IF(VLOOKUP($D9,$C$5:$AU$493,3,)=0,0,(VLOOKUP($D9,$C$5:$AU$493,9,)/VLOOKUP($D9,$C$5:$AU$493,3,))*$E9)</f>
        <v>0</v>
      </c>
      <c r="L9" s="67">
        <f>IF(VLOOKUP($D9,$C$5:$AU$493,3,)=0,0,(VLOOKUP($D9,$C$5:$AU$493,10,)/VLOOKUP($D9,$C$5:$AU$493,3,))*$E9)</f>
        <v>0</v>
      </c>
      <c r="M9" s="67">
        <f>IF(VLOOKUP($D9,$C$5:$AU$493,3,)=0,0,(VLOOKUP($D9,$C$5:$AU$493,11,)/VLOOKUP($D9,$C$5:$AU$493,3,))*$E9)</f>
        <v>0</v>
      </c>
      <c r="N9" s="67">
        <f>IF(VLOOKUP($D9,$C$5:$AU$493,3,)=0,0,(VLOOKUP($D9,$C$5:$AU$493,12,)/VLOOKUP($D9,$C$5:$AU$493,3,))*$E9)</f>
        <v>0</v>
      </c>
      <c r="O9" s="67">
        <f>IF(VLOOKUP($D9,$C$5:$AU$493,3,)=0,0,(VLOOKUP($D9,$C$5:$AU$493,13,)/VLOOKUP($D9,$C$5:$AU$493,3,))*$E9)</f>
        <v>0</v>
      </c>
      <c r="P9" s="67">
        <f>IF(VLOOKUP($D9,$C$5:$AU$493,3,)=0,0,(VLOOKUP($D9,$C$5:$AU$493,14,)/VLOOKUP($D9,$C$5:$AU$493,3,))*$E9)</f>
        <v>0</v>
      </c>
      <c r="Q9" s="67">
        <f>IF(VLOOKUP($D9,$C$5:$AU$493,3,)=0,0,(VLOOKUP($D9,$C$5:$AU$493,15,)/VLOOKUP($D9,$C$5:$AU$493,3,))*$E9)</f>
        <v>0</v>
      </c>
      <c r="R9" s="67">
        <f>IF(VLOOKUP($D9,$C$5:$AU$493,3,)=0,0,(VLOOKUP($D9,$C$5:$AU$493,16,)/VLOOKUP($D9,$C$5:$AU$493,3,))*$E9)</f>
        <v>0</v>
      </c>
      <c r="S9" s="67">
        <f>IF(VLOOKUP($D9,$C$5:$AU$493,3,)=0,0,(VLOOKUP($D9,$C$5:$AU$493,17,)/VLOOKUP($D9,$C$5:$AU$493,3,))*$E9)</f>
        <v>0</v>
      </c>
      <c r="T9" s="67">
        <f>IF(VLOOKUP($D9,$C$5:$AU$493,3,)=0,0,(VLOOKUP($D9,$C$5:$AU$493,18,)/VLOOKUP($D9,$C$5:$AU$493,3,))*$E9)</f>
        <v>0</v>
      </c>
      <c r="U9" s="67">
        <f>IF(VLOOKUP($D9,$C$5:$AU$493,3,)=0,0,(VLOOKUP($D9,$C$5:$AU$493,19,)/VLOOKUP($D9,$C$5:$AU$493,3,))*$E9)</f>
        <v>0</v>
      </c>
      <c r="V9" s="67">
        <f>IF(VLOOKUP($D9,$C$5:$AU$493,3,)=0,0,(VLOOKUP($D9,$C$5:$AU$493,20,)/VLOOKUP($D9,$C$5:$AU$493,3,))*$E9)</f>
        <v>0</v>
      </c>
      <c r="W9" s="67">
        <f>IF(VLOOKUP($D9,$C$5:$AU$493,3,)=0,0,(VLOOKUP($D9,$C$5:$AU$493,21,)/VLOOKUP($D9,$C$5:$AU$493,3,))*$E9)</f>
        <v>0</v>
      </c>
      <c r="X9" s="67">
        <f>IF(VLOOKUP($D9,$C$5:$AU$493,3,)=0,0,(VLOOKUP($D9,$C$5:$AU$493,22,)/VLOOKUP($D9,$C$5:$AU$493,3,))*$E9)</f>
        <v>0</v>
      </c>
      <c r="Y9" s="67">
        <f>IF(VLOOKUP($D9,$C$5:$AU$493,3,)=0,0,(VLOOKUP($D9,$C$5:$AU$493,23,)/VLOOKUP($D9,$C$5:$AU$493,3,))*$E9)</f>
        <v>0</v>
      </c>
      <c r="Z9" s="67">
        <f>IF(VLOOKUP($D9,$C$5:$AU$493,3,)=0,0,(VLOOKUP($D9,$C$5:$AU$493,24,)/VLOOKUP($D9,$C$5:$AU$493,3,))*$E9)</f>
        <v>0</v>
      </c>
      <c r="AA9" s="67">
        <f>IF(VLOOKUP($D9,$C$5:$AU$493,3,)=0,0,(VLOOKUP($D9,$C$5:$AU$493,25,)/VLOOKUP($D9,$C$5:$AU$493,3,))*$E9)</f>
        <v>0</v>
      </c>
      <c r="AB9" s="67">
        <f>IF(VLOOKUP($D9,$C$5:$AU$493,3,)=0,0,(VLOOKUP($D9,$C$5:$AU$493,26,)/VLOOKUP($D9,$C$5:$AU$493,3,))*$E9)</f>
        <v>0</v>
      </c>
      <c r="AC9" s="67">
        <f>IF(VLOOKUP($D9,$C$5:$AU$493,3,)=0,0,(VLOOKUP($D9,$C$5:$AU$493,27,)/VLOOKUP($D9,$C$5:$AU$493,3,))*$E9)</f>
        <v>0</v>
      </c>
      <c r="AD9" s="67">
        <f>IF(VLOOKUP($D9,$C$5:$AU$493,3,)=0,0,(VLOOKUP($D9,$C$5:$AU$493,28,)/VLOOKUP($D9,$C$5:$AU$493,3,))*$E9)</f>
        <v>0</v>
      </c>
      <c r="AE9" s="67">
        <f>IF(VLOOKUP($D9,$C$5:$AU$493,3,)=0,0,(VLOOKUP($D9,$C$5:$AU$493,29,)/VLOOKUP($D9,$C$5:$AU$493,3,))*$E9)</f>
        <v>0</v>
      </c>
      <c r="AF9" s="67">
        <f>IF(VLOOKUP($D9,$C$5:$AU$493,3,)=0,0,(VLOOKUP($D9,$C$5:$AU$493,30,)/VLOOKUP($D9,$C$5:$AU$493,3,))*$E9)</f>
        <v>0</v>
      </c>
      <c r="AG9" s="90">
        <f>SUM(F9:AF9)</f>
        <v>0</v>
      </c>
      <c r="AH9" s="28" t="str">
        <f>IF(ABS(E9-AG9)&lt;0.01,"ok","err")</f>
        <v>ok</v>
      </c>
    </row>
    <row r="10" spans="1:37" x14ac:dyDescent="0.25">
      <c r="A10" s="14" t="s">
        <v>213</v>
      </c>
      <c r="C10" s="14" t="s">
        <v>214</v>
      </c>
      <c r="E10" s="67">
        <f t="shared" ref="E10:T10" si="0">E8+E9</f>
        <v>0</v>
      </c>
      <c r="F10" s="67">
        <f t="shared" si="0"/>
        <v>0</v>
      </c>
      <c r="G10" s="67">
        <f t="shared" si="0"/>
        <v>0</v>
      </c>
      <c r="H10" s="67">
        <f t="shared" si="0"/>
        <v>0</v>
      </c>
      <c r="I10" s="67">
        <f t="shared" si="0"/>
        <v>0</v>
      </c>
      <c r="J10" s="67">
        <f t="shared" si="0"/>
        <v>0</v>
      </c>
      <c r="K10" s="67">
        <f t="shared" si="0"/>
        <v>0</v>
      </c>
      <c r="L10" s="67">
        <f t="shared" si="0"/>
        <v>0</v>
      </c>
      <c r="M10" s="67">
        <f t="shared" si="0"/>
        <v>0</v>
      </c>
      <c r="N10" s="67">
        <f t="shared" si="0"/>
        <v>0</v>
      </c>
      <c r="O10" s="67">
        <f t="shared" si="0"/>
        <v>0</v>
      </c>
      <c r="P10" s="67">
        <f t="shared" si="0"/>
        <v>0</v>
      </c>
      <c r="Q10" s="67">
        <f t="shared" si="0"/>
        <v>0</v>
      </c>
      <c r="R10" s="67">
        <f t="shared" si="0"/>
        <v>0</v>
      </c>
      <c r="S10" s="67">
        <f t="shared" si="0"/>
        <v>0</v>
      </c>
      <c r="T10" s="67">
        <f t="shared" si="0"/>
        <v>0</v>
      </c>
      <c r="U10" s="67">
        <f t="shared" ref="U10:AF10" si="1">U8+U9</f>
        <v>0</v>
      </c>
      <c r="V10" s="67">
        <f t="shared" si="1"/>
        <v>0</v>
      </c>
      <c r="W10" s="67">
        <f t="shared" si="1"/>
        <v>0</v>
      </c>
      <c r="X10" s="67">
        <f t="shared" si="1"/>
        <v>0</v>
      </c>
      <c r="Y10" s="67">
        <f t="shared" si="1"/>
        <v>0</v>
      </c>
      <c r="Z10" s="67">
        <f t="shared" si="1"/>
        <v>0</v>
      </c>
      <c r="AA10" s="67">
        <f t="shared" si="1"/>
        <v>0</v>
      </c>
      <c r="AB10" s="67">
        <f t="shared" si="1"/>
        <v>0</v>
      </c>
      <c r="AC10" s="67">
        <f t="shared" si="1"/>
        <v>0</v>
      </c>
      <c r="AD10" s="67">
        <f t="shared" si="1"/>
        <v>0</v>
      </c>
      <c r="AE10" s="67">
        <f t="shared" si="1"/>
        <v>0</v>
      </c>
      <c r="AF10" s="67">
        <f t="shared" si="1"/>
        <v>0</v>
      </c>
      <c r="AG10" s="90">
        <f>SUM(F10:AF10)</f>
        <v>0</v>
      </c>
      <c r="AH10" s="28" t="str">
        <f>IF(ABS(E10-AG10)&lt;0.01,"ok","err")</f>
        <v>ok</v>
      </c>
    </row>
    <row r="11" spans="1:37" x14ac:dyDescent="0.25">
      <c r="E11" s="50"/>
      <c r="F11" s="50"/>
    </row>
    <row r="12" spans="1:37" x14ac:dyDescent="0.25">
      <c r="A12" s="13" t="s">
        <v>348</v>
      </c>
      <c r="E12" s="50"/>
      <c r="F12" s="50"/>
    </row>
    <row r="13" spans="1:37" x14ac:dyDescent="0.25">
      <c r="A13" s="93" t="s">
        <v>207</v>
      </c>
      <c r="C13" s="14" t="s">
        <v>880</v>
      </c>
      <c r="D13" s="14" t="s">
        <v>599</v>
      </c>
      <c r="E13" s="67">
        <f>'Func &amp; Classif'!K82</f>
        <v>0</v>
      </c>
      <c r="F13" s="67">
        <f>IF(VLOOKUP($D13,$C$5:$AU$493,3,)=0,0,(VLOOKUP($D13,$C$5:$AU$493,4,)/VLOOKUP($D13,$C$5:$AU$493,3,))*$E13)</f>
        <v>0</v>
      </c>
      <c r="G13" s="67">
        <f>IF(VLOOKUP($D13,$C$5:$AU$493,3,)=0,0,(VLOOKUP($D13,$C$5:$AU$493,5,)/VLOOKUP($D13,$C$5:$AU$493,3,))*$E13)</f>
        <v>0</v>
      </c>
      <c r="H13" s="67">
        <f>IF(VLOOKUP($D13,$C$5:$AU$493,3,)=0,0,(VLOOKUP($D13,$C$5:$AU$493,6,)/VLOOKUP($D13,$C$5:$AU$493,3,))*$E13)</f>
        <v>0</v>
      </c>
      <c r="I13" s="67">
        <f>IF(VLOOKUP($D13,$C$5:$AU$493,3,)=0,0,(VLOOKUP($D13,$C$5:$AU$493,7,)/VLOOKUP($D13,$C$5:$AU$493,3,))*$E13)</f>
        <v>0</v>
      </c>
      <c r="J13" s="67">
        <f>IF(VLOOKUP($D13,$C$5:$AU$493,3,)=0,0,(VLOOKUP($D13,$C$5:$AU$493,8,)/VLOOKUP($D13,$C$5:$AU$493,3,))*$E13)</f>
        <v>0</v>
      </c>
      <c r="K13" s="67">
        <f>IF(VLOOKUP($D13,$C$5:$AU$493,3,)=0,0,(VLOOKUP($D13,$C$5:$AU$493,9,)/VLOOKUP($D13,$C$5:$AU$493,3,))*$E13)</f>
        <v>0</v>
      </c>
      <c r="L13" s="67">
        <f>IF(VLOOKUP($D13,$C$5:$AU$493,3,)=0,0,(VLOOKUP($D13,$C$5:$AU$493,10,)/VLOOKUP($D13,$C$5:$AU$493,3,))*$E13)</f>
        <v>0</v>
      </c>
      <c r="M13" s="67">
        <f>IF(VLOOKUP($D13,$C$5:$AU$493,3,)=0,0,(VLOOKUP($D13,$C$5:$AU$493,11,)/VLOOKUP($D13,$C$5:$AU$493,3,))*$E13)</f>
        <v>0</v>
      </c>
      <c r="N13" s="67">
        <f>IF(VLOOKUP($D13,$C$5:$AU$493,3,)=0,0,(VLOOKUP($D13,$C$5:$AU$493,12,)/VLOOKUP($D13,$C$5:$AU$493,3,))*$E13)</f>
        <v>0</v>
      </c>
      <c r="O13" s="67">
        <f>IF(VLOOKUP($D13,$C$5:$AU$493,3,)=0,0,(VLOOKUP($D13,$C$5:$AU$493,13,)/VLOOKUP($D13,$C$5:$AU$493,3,))*$E13)</f>
        <v>0</v>
      </c>
      <c r="P13" s="67">
        <f>IF(VLOOKUP($D13,$C$5:$AU$493,3,)=0,0,(VLOOKUP($D13,$C$5:$AU$493,14,)/VLOOKUP($D13,$C$5:$AU$493,3,))*$E13)</f>
        <v>0</v>
      </c>
      <c r="Q13" s="67">
        <f>IF(VLOOKUP($D13,$C$5:$AU$493,3,)=0,0,(VLOOKUP($D13,$C$5:$AU$493,15,)/VLOOKUP($D13,$C$5:$AU$493,3,))*$E13)</f>
        <v>0</v>
      </c>
      <c r="R13" s="67">
        <f>IF(VLOOKUP($D13,$C$5:$AU$493,3,)=0,0,(VLOOKUP($D13,$C$5:$AU$493,16,)/VLOOKUP($D13,$C$5:$AU$493,3,))*$E13)</f>
        <v>0</v>
      </c>
      <c r="S13" s="67">
        <f>IF(VLOOKUP($D13,$C$5:$AU$493,3,)=0,0,(VLOOKUP($D13,$C$5:$AU$493,17,)/VLOOKUP($D13,$C$5:$AU$493,3,))*$E13)</f>
        <v>0</v>
      </c>
      <c r="T13" s="67">
        <f>IF(VLOOKUP($D13,$C$5:$AU$493,3,)=0,0,(VLOOKUP($D13,$C$5:$AU$493,18,)/VLOOKUP($D13,$C$5:$AU$493,3,))*$E13)</f>
        <v>0</v>
      </c>
      <c r="U13" s="67">
        <f>IF(VLOOKUP($D13,$C$5:$AU$493,3,)=0,0,(VLOOKUP($D13,$C$5:$AU$493,19,)/VLOOKUP($D13,$C$5:$AU$493,3,))*$E13)</f>
        <v>0</v>
      </c>
      <c r="V13" s="67">
        <f>IF(VLOOKUP($D13,$C$5:$AU$493,3,)=0,0,(VLOOKUP($D13,$C$5:$AU$493,20,)/VLOOKUP($D13,$C$5:$AU$493,3,))*$E13)</f>
        <v>0</v>
      </c>
      <c r="W13" s="67">
        <f>IF(VLOOKUP($D13,$C$5:$AU$493,3,)=0,0,(VLOOKUP($D13,$C$5:$AU$493,21,)/VLOOKUP($D13,$C$5:$AU$493,3,))*$E13)</f>
        <v>0</v>
      </c>
      <c r="X13" s="67">
        <f>IF(VLOOKUP($D13,$C$5:$AU$493,3,)=0,0,(VLOOKUP($D13,$C$5:$AU$493,22,)/VLOOKUP($D13,$C$5:$AU$493,3,))*$E13)</f>
        <v>0</v>
      </c>
      <c r="Y13" s="67">
        <f>IF(VLOOKUP($D13,$C$5:$AU$493,3,)=0,0,(VLOOKUP($D13,$C$5:$AU$493,23,)/VLOOKUP($D13,$C$5:$AU$493,3,))*$E13)</f>
        <v>0</v>
      </c>
      <c r="Z13" s="67">
        <f>IF(VLOOKUP($D13,$C$5:$AU$493,3,)=0,0,(VLOOKUP($D13,$C$5:$AU$493,24,)/VLOOKUP($D13,$C$5:$AU$493,3,))*$E13)</f>
        <v>0</v>
      </c>
      <c r="AA13" s="67">
        <f>IF(VLOOKUP($D13,$C$5:$AU$493,3,)=0,0,(VLOOKUP($D13,$C$5:$AU$493,25,)/VLOOKUP($D13,$C$5:$AU$493,3,))*$E13)</f>
        <v>0</v>
      </c>
      <c r="AB13" s="67">
        <f>IF(VLOOKUP($D13,$C$5:$AU$493,3,)=0,0,(VLOOKUP($D13,$C$5:$AU$493,26,)/VLOOKUP($D13,$C$5:$AU$493,3,))*$E13)</f>
        <v>0</v>
      </c>
      <c r="AC13" s="67">
        <f>IF(VLOOKUP($D13,$C$5:$AU$493,3,)=0,0,(VLOOKUP($D13,$C$5:$AU$493,27,)/VLOOKUP($D13,$C$5:$AU$493,3,))*$E13)</f>
        <v>0</v>
      </c>
      <c r="AD13" s="67">
        <f>IF(VLOOKUP($D13,$C$5:$AU$493,3,)=0,0,(VLOOKUP($D13,$C$5:$AU$493,28,)/VLOOKUP($D13,$C$5:$AU$493,3,))*$E13)</f>
        <v>0</v>
      </c>
      <c r="AE13" s="67">
        <f>IF(VLOOKUP($D13,$C$5:$AU$493,3,)=0,0,(VLOOKUP($D13,$C$5:$AU$493,29,)/VLOOKUP($D13,$C$5:$AU$493,3,))*$E13)</f>
        <v>0</v>
      </c>
      <c r="AF13" s="67">
        <f>IF(VLOOKUP($D13,$C$5:$AU$493,3,)=0,0,(VLOOKUP($D13,$C$5:$AU$493,30,)/VLOOKUP($D13,$C$5:$AU$493,3,))*$E13)</f>
        <v>0</v>
      </c>
      <c r="AG13" s="90">
        <f>SUM(F13:AF13)</f>
        <v>0</v>
      </c>
      <c r="AH13" s="28" t="str">
        <f>IF(ABS(E13-AG13)&lt;0.01,"ok","err")</f>
        <v>ok</v>
      </c>
    </row>
    <row r="14" spans="1:37" x14ac:dyDescent="0.25">
      <c r="E14" s="50"/>
    </row>
    <row r="15" spans="1:37" x14ac:dyDescent="0.25">
      <c r="A15" s="13" t="s">
        <v>1</v>
      </c>
      <c r="E15" s="50"/>
      <c r="F15" s="50"/>
    </row>
    <row r="16" spans="1:37" x14ac:dyDescent="0.25">
      <c r="A16" s="93" t="s">
        <v>207</v>
      </c>
      <c r="C16" s="14" t="s">
        <v>215</v>
      </c>
      <c r="D16" s="14" t="s">
        <v>615</v>
      </c>
      <c r="E16" s="67">
        <f>'Func &amp; Classif'!M82</f>
        <v>964433.13731189619</v>
      </c>
      <c r="F16" s="67">
        <f>IF(VLOOKUP($D16,$C$5:$AU$493,3,)=0,0,(VLOOKUP($D16,$C$5:$AU$493,4,)/VLOOKUP($D16,$C$5:$AU$493,3,))*$E16)</f>
        <v>616367.4179284398</v>
      </c>
      <c r="G16" s="67">
        <f>IF(VLOOKUP($D16,$C$5:$AU$493,3,)=0,0,(VLOOKUP($D16,$C$5:$AU$493,5,)/VLOOKUP($D16,$C$5:$AU$493,3,))*$E16)</f>
        <v>0</v>
      </c>
      <c r="H16" s="67">
        <f>IF(VLOOKUP($D16,$C$5:$AU$493,3,)=0,0,(VLOOKUP($D16,$C$5:$AU$493,6,)/VLOOKUP($D16,$C$5:$AU$493,3,))*$E16)</f>
        <v>43781.434062559892</v>
      </c>
      <c r="I16" s="67">
        <f>IF(VLOOKUP($D16,$C$5:$AU$493,3,)=0,0,(VLOOKUP($D16,$C$5:$AU$493,7,)/VLOOKUP($D16,$C$5:$AU$493,3,))*$E16)</f>
        <v>88543.915316412182</v>
      </c>
      <c r="J16" s="67">
        <f>IF(VLOOKUP($D16,$C$5:$AU$493,3,)=0,0,(VLOOKUP($D16,$C$5:$AU$493,8,)/VLOOKUP($D16,$C$5:$AU$493,3,))*$E16)</f>
        <v>71506.617820140265</v>
      </c>
      <c r="K16" s="67">
        <f>IF(VLOOKUP($D16,$C$5:$AU$493,3,)=0,0,(VLOOKUP($D16,$C$5:$AU$493,9,)/VLOOKUP($D16,$C$5:$AU$493,3,))*$E16)</f>
        <v>114271.95193657228</v>
      </c>
      <c r="L16" s="67">
        <f>IF(VLOOKUP($D16,$C$5:$AU$493,3,)=0,0,(VLOOKUP($D16,$C$5:$AU$493,10,)/VLOOKUP($D16,$C$5:$AU$493,3,))*$E16)</f>
        <v>29961.797618754565</v>
      </c>
      <c r="M16" s="67">
        <f>IF(VLOOKUP($D16,$C$5:$AU$493,3,)=0,0,(VLOOKUP($D16,$C$5:$AU$493,11,)/VLOOKUP($D16,$C$5:$AU$493,3,))*$E16)</f>
        <v>0</v>
      </c>
      <c r="N16" s="67">
        <f>IF(VLOOKUP($D16,$C$5:$AU$493,3,)=0,0,(VLOOKUP($D16,$C$5:$AU$493,12,)/VLOOKUP($D16,$C$5:$AU$493,3,))*$E16)</f>
        <v>0</v>
      </c>
      <c r="O16" s="67">
        <f>IF(VLOOKUP($D16,$C$5:$AU$493,3,)=0,0,(VLOOKUP($D16,$C$5:$AU$493,13,)/VLOOKUP($D16,$C$5:$AU$493,3,))*$E16)</f>
        <v>0</v>
      </c>
      <c r="P16" s="67">
        <f>IF(VLOOKUP($D16,$C$5:$AU$493,3,)=0,0,(VLOOKUP($D16,$C$5:$AU$493,14,)/VLOOKUP($D16,$C$5:$AU$493,3,))*$E16)</f>
        <v>0</v>
      </c>
      <c r="Q16" s="67">
        <f>IF(VLOOKUP($D16,$C$5:$AU$493,3,)=0,0,(VLOOKUP($D16,$C$5:$AU$493,15,)/VLOOKUP($D16,$C$5:$AU$493,3,))*$E16)</f>
        <v>0</v>
      </c>
      <c r="R16" s="67">
        <f>IF(VLOOKUP($D16,$C$5:$AU$493,3,)=0,0,(VLOOKUP($D16,$C$5:$AU$493,16,)/VLOOKUP($D16,$C$5:$AU$493,3,))*$E16)</f>
        <v>0</v>
      </c>
      <c r="S16" s="67">
        <f>IF(VLOOKUP($D16,$C$5:$AU$493,3,)=0,0,(VLOOKUP($D16,$C$5:$AU$493,17,)/VLOOKUP($D16,$C$5:$AU$493,3,))*$E16)</f>
        <v>0</v>
      </c>
      <c r="T16" s="67">
        <f>IF(VLOOKUP($D16,$C$5:$AU$493,3,)=0,0,(VLOOKUP($D16,$C$5:$AU$493,18,)/VLOOKUP($D16,$C$5:$AU$493,3,))*$E16)</f>
        <v>0</v>
      </c>
      <c r="U16" s="67">
        <f>IF(VLOOKUP($D16,$C$5:$AU$493,3,)=0,0,(VLOOKUP($D16,$C$5:$AU$493,19,)/VLOOKUP($D16,$C$5:$AU$493,3,))*$E16)</f>
        <v>0</v>
      </c>
      <c r="V16" s="67">
        <f>IF(VLOOKUP($D16,$C$5:$AU$493,3,)=0,0,(VLOOKUP($D16,$C$5:$AU$493,20,)/VLOOKUP($D16,$C$5:$AU$493,3,))*$E16)</f>
        <v>0</v>
      </c>
      <c r="W16" s="67">
        <f>IF(VLOOKUP($D16,$C$5:$AU$493,3,)=0,0,(VLOOKUP($D16,$C$5:$AU$493,21,)/VLOOKUP($D16,$C$5:$AU$493,3,))*$E16)</f>
        <v>0</v>
      </c>
      <c r="X16" s="67">
        <f>IF(VLOOKUP($D16,$C$5:$AU$493,3,)=0,0,(VLOOKUP($D16,$C$5:$AU$493,22,)/VLOOKUP($D16,$C$5:$AU$493,3,))*$E16)</f>
        <v>0</v>
      </c>
      <c r="Y16" s="67">
        <f>IF(VLOOKUP($D16,$C$5:$AU$493,3,)=0,0,(VLOOKUP($D16,$C$5:$AU$493,23,)/VLOOKUP($D16,$C$5:$AU$493,3,))*$E16)</f>
        <v>0</v>
      </c>
      <c r="Z16" s="67">
        <f>IF(VLOOKUP($D16,$C$5:$AU$493,3,)=0,0,(VLOOKUP($D16,$C$5:$AU$493,24,)/VLOOKUP($D16,$C$5:$AU$493,3,))*$E16)</f>
        <v>0</v>
      </c>
      <c r="AA16" s="67">
        <f>IF(VLOOKUP($D16,$C$5:$AU$493,3,)=0,0,(VLOOKUP($D16,$C$5:$AU$493,25,)/VLOOKUP($D16,$C$5:$AU$493,3,))*$E16)</f>
        <v>0</v>
      </c>
      <c r="AB16" s="67">
        <f>IF(VLOOKUP($D16,$C$5:$AU$493,3,)=0,0,(VLOOKUP($D16,$C$5:$AU$493,26,)/VLOOKUP($D16,$C$5:$AU$493,3,))*$E16)</f>
        <v>0</v>
      </c>
      <c r="AC16" s="67">
        <f>IF(VLOOKUP($D16,$C$5:$AU$493,3,)=0,0,(VLOOKUP($D16,$C$5:$AU$493,27,)/VLOOKUP($D16,$C$5:$AU$493,3,))*$E16)</f>
        <v>0</v>
      </c>
      <c r="AD16" s="67">
        <f>IF(VLOOKUP($D16,$C$5:$AU$493,3,)=0,0,(VLOOKUP($D16,$C$5:$AU$493,28,)/VLOOKUP($D16,$C$5:$AU$493,3,))*$E16)</f>
        <v>0</v>
      </c>
      <c r="AE16" s="67">
        <f>IF(VLOOKUP($D16,$C$5:$AU$493,3,)=0,0,(VLOOKUP($D16,$C$5:$AU$493,29,)/VLOOKUP($D16,$C$5:$AU$493,3,))*$E16)</f>
        <v>0</v>
      </c>
      <c r="AF16" s="67">
        <f>IF(VLOOKUP($D16,$C$5:$AU$493,3,)=0,0,(VLOOKUP($D16,$C$5:$AU$493,30,)/VLOOKUP($D16,$C$5:$AU$493,3,))*$E16)</f>
        <v>0</v>
      </c>
      <c r="AG16" s="90">
        <f>SUM(F16:AF16)</f>
        <v>964433.13468287897</v>
      </c>
      <c r="AH16" s="28" t="str">
        <f>IF(ABS(E16-AG16)&lt;0.01,"ok","err")</f>
        <v>ok</v>
      </c>
    </row>
    <row r="17" spans="1:35" x14ac:dyDescent="0.25">
      <c r="E17" s="50"/>
    </row>
    <row r="18" spans="1:35" x14ac:dyDescent="0.25">
      <c r="A18" s="13" t="s">
        <v>355</v>
      </c>
      <c r="E18" s="50"/>
    </row>
    <row r="19" spans="1:35" x14ac:dyDescent="0.25">
      <c r="A19" s="93" t="s">
        <v>207</v>
      </c>
      <c r="C19" s="14" t="s">
        <v>217</v>
      </c>
      <c r="D19" s="14" t="s">
        <v>607</v>
      </c>
      <c r="E19" s="67">
        <f>'Func &amp; Classif'!O82</f>
        <v>65529776.828092709</v>
      </c>
      <c r="F19" s="67">
        <f>IF(VLOOKUP($D19,$C$5:$AU$493,3,)=0,0,(VLOOKUP($D19,$C$5:$AU$493,4,)/VLOOKUP($D19,$C$5:$AU$493,3,))*$E19)</f>
        <v>46520149.75030338</v>
      </c>
      <c r="G19" s="67">
        <f>IF(VLOOKUP($D19,$C$5:$AU$493,3,)=0,0,(VLOOKUP($D19,$C$5:$AU$493,5,)/VLOOKUP($D19,$C$5:$AU$493,3,))*$E19)</f>
        <v>40969.001204663953</v>
      </c>
      <c r="H19" s="67">
        <f>IF(VLOOKUP($D19,$C$5:$AU$493,3,)=0,0,(VLOOKUP($D19,$C$5:$AU$493,6,)/VLOOKUP($D19,$C$5:$AU$493,3,))*$E19)</f>
        <v>1685119.1061057427</v>
      </c>
      <c r="I19" s="67">
        <f>IF(VLOOKUP($D19,$C$5:$AU$493,3,)=0,0,(VLOOKUP($D19,$C$5:$AU$493,7,)/VLOOKUP($D19,$C$5:$AU$493,3,))*$E19)</f>
        <v>3387824.2099955594</v>
      </c>
      <c r="J19" s="67">
        <f>IF(VLOOKUP($D19,$C$5:$AU$493,3,)=0,0,(VLOOKUP($D19,$C$5:$AU$493,8,)/VLOOKUP($D19,$C$5:$AU$493,3,))*$E19)</f>
        <v>4898569.5038545346</v>
      </c>
      <c r="K19" s="67">
        <f>IF(VLOOKUP($D19,$C$5:$AU$493,3,)=0,0,(VLOOKUP($D19,$C$5:$AU$493,9,)/VLOOKUP($D19,$C$5:$AU$493,3,))*$E19)</f>
        <v>7045392.5017033266</v>
      </c>
      <c r="L19" s="67">
        <f>IF(VLOOKUP($D19,$C$5:$AU$493,3,)=0,0,(VLOOKUP($D19,$C$5:$AU$493,10,)/VLOOKUP($D19,$C$5:$AU$493,3,))*$E19)</f>
        <v>1847282.9132899991</v>
      </c>
      <c r="M19" s="67">
        <f>IF(VLOOKUP($D19,$C$5:$AU$493,3,)=0,0,(VLOOKUP($D19,$C$5:$AU$493,11,)/VLOOKUP($D19,$C$5:$AU$493,3,))*$E19)</f>
        <v>104469.84163551817</v>
      </c>
      <c r="N19" s="67">
        <f>IF(VLOOKUP($D19,$C$5:$AU$493,3,)=0,0,(VLOOKUP($D19,$C$5:$AU$493,12,)/VLOOKUP($D19,$C$5:$AU$493,3,))*$E19)</f>
        <v>0</v>
      </c>
      <c r="O19" s="67">
        <f>IF(VLOOKUP($D19,$C$5:$AU$493,3,)=0,0,(VLOOKUP($D19,$C$5:$AU$493,13,)/VLOOKUP($D19,$C$5:$AU$493,3,))*$E19)</f>
        <v>0</v>
      </c>
      <c r="P19" s="67">
        <f>IF(VLOOKUP($D19,$C$5:$AU$493,3,)=0,0,(VLOOKUP($D19,$C$5:$AU$493,14,)/VLOOKUP($D19,$C$5:$AU$493,3,))*$E19)</f>
        <v>0</v>
      </c>
      <c r="Q19" s="67">
        <f>IF(VLOOKUP($D19,$C$5:$AU$493,3,)=0,0,(VLOOKUP($D19,$C$5:$AU$493,15,)/VLOOKUP($D19,$C$5:$AU$493,3,))*$E19)</f>
        <v>0</v>
      </c>
      <c r="R19" s="67">
        <f>IF(VLOOKUP($D19,$C$5:$AU$493,3,)=0,0,(VLOOKUP($D19,$C$5:$AU$493,16,)/VLOOKUP($D19,$C$5:$AU$493,3,))*$E19)</f>
        <v>0</v>
      </c>
      <c r="S19" s="67">
        <f>IF(VLOOKUP($D19,$C$5:$AU$493,3,)=0,0,(VLOOKUP($D19,$C$5:$AU$493,17,)/VLOOKUP($D19,$C$5:$AU$493,3,))*$E19)</f>
        <v>0</v>
      </c>
      <c r="T19" s="67">
        <f>IF(VLOOKUP($D19,$C$5:$AU$493,3,)=0,0,(VLOOKUP($D19,$C$5:$AU$493,18,)/VLOOKUP($D19,$C$5:$AU$493,3,))*$E19)</f>
        <v>0</v>
      </c>
      <c r="U19" s="67">
        <f>IF(VLOOKUP($D19,$C$5:$AU$493,3,)=0,0,(VLOOKUP($D19,$C$5:$AU$493,19,)/VLOOKUP($D19,$C$5:$AU$493,3,))*$E19)</f>
        <v>0</v>
      </c>
      <c r="V19" s="67">
        <f>IF(VLOOKUP($D19,$C$5:$AU$493,3,)=0,0,(VLOOKUP($D19,$C$5:$AU$493,20,)/VLOOKUP($D19,$C$5:$AU$493,3,))*$E19)</f>
        <v>0</v>
      </c>
      <c r="W19" s="67">
        <f>IF(VLOOKUP($D19,$C$5:$AU$493,3,)=0,0,(VLOOKUP($D19,$C$5:$AU$493,21,)/VLOOKUP($D19,$C$5:$AU$493,3,))*$E19)</f>
        <v>0</v>
      </c>
      <c r="X19" s="67">
        <f>IF(VLOOKUP($D19,$C$5:$AU$493,3,)=0,0,(VLOOKUP($D19,$C$5:$AU$493,22,)/VLOOKUP($D19,$C$5:$AU$493,3,))*$E19)</f>
        <v>0</v>
      </c>
      <c r="Y19" s="67">
        <f>IF(VLOOKUP($D19,$C$5:$AU$493,3,)=0,0,(VLOOKUP($D19,$C$5:$AU$493,23,)/VLOOKUP($D19,$C$5:$AU$493,3,))*$E19)</f>
        <v>0</v>
      </c>
      <c r="Z19" s="67">
        <f>IF(VLOOKUP($D19,$C$5:$AU$493,3,)=0,0,(VLOOKUP($D19,$C$5:$AU$493,24,)/VLOOKUP($D19,$C$5:$AU$493,3,))*$E19)</f>
        <v>0</v>
      </c>
      <c r="AA19" s="67">
        <f>IF(VLOOKUP($D19,$C$5:$AU$493,3,)=0,0,(VLOOKUP($D19,$C$5:$AU$493,25,)/VLOOKUP($D19,$C$5:$AU$493,3,))*$E19)</f>
        <v>0</v>
      </c>
      <c r="AB19" s="67">
        <f>IF(VLOOKUP($D19,$C$5:$AU$493,3,)=0,0,(VLOOKUP($D19,$C$5:$AU$493,26,)/VLOOKUP($D19,$C$5:$AU$493,3,))*$E19)</f>
        <v>0</v>
      </c>
      <c r="AC19" s="67">
        <f>IF(VLOOKUP($D19,$C$5:$AU$493,3,)=0,0,(VLOOKUP($D19,$C$5:$AU$493,27,)/VLOOKUP($D19,$C$5:$AU$493,3,))*$E19)</f>
        <v>0</v>
      </c>
      <c r="AD19" s="67">
        <f>IF(VLOOKUP($D19,$C$5:$AU$493,3,)=0,0,(VLOOKUP($D19,$C$5:$AU$493,28,)/VLOOKUP($D19,$C$5:$AU$493,3,))*$E19)</f>
        <v>0</v>
      </c>
      <c r="AE19" s="67">
        <f>IF(VLOOKUP($D19,$C$5:$AU$493,3,)=0,0,(VLOOKUP($D19,$C$5:$AU$493,29,)/VLOOKUP($D19,$C$5:$AU$493,3,))*$E19)</f>
        <v>0</v>
      </c>
      <c r="AF19" s="67">
        <f>IF(VLOOKUP($D19,$C$5:$AU$493,3,)=0,0,(VLOOKUP($D19,$C$5:$AU$493,30,)/VLOOKUP($D19,$C$5:$AU$493,3,))*$E19)</f>
        <v>0</v>
      </c>
      <c r="AG19" s="90">
        <f>SUM(F19:AF19)</f>
        <v>65529776.828092732</v>
      </c>
      <c r="AH19" s="28" t="str">
        <f>IF(ABS(E19-AG19)&lt;0.01,"ok","err")</f>
        <v>ok</v>
      </c>
      <c r="AI19" s="90"/>
    </row>
    <row r="20" spans="1:35" x14ac:dyDescent="0.25">
      <c r="A20" s="93" t="s">
        <v>219</v>
      </c>
      <c r="C20" s="14" t="s">
        <v>220</v>
      </c>
      <c r="D20" s="14" t="s">
        <v>221</v>
      </c>
      <c r="E20" s="50">
        <f>'Func &amp; Classif'!P82</f>
        <v>27262526.544826865</v>
      </c>
      <c r="F20" s="67">
        <f>IF(VLOOKUP($D20,$C$5:$AU$493,3,)=0,0,(VLOOKUP($D20,$C$5:$AU$493,4,)/VLOOKUP($D20,$C$5:$AU$493,3,))*$E20)</f>
        <v>20014368.211513583</v>
      </c>
      <c r="G20" s="67">
        <f>IF(VLOOKUP($D20,$C$5:$AU$493,3,)=0,0,(VLOOKUP($D20,$C$5:$AU$493,5,)/VLOOKUP($D20,$C$5:$AU$493,3,))*$E20)</f>
        <v>27010.811506171736</v>
      </c>
      <c r="H20" s="67">
        <f>IF(VLOOKUP($D20,$C$5:$AU$493,3,)=0,0,(VLOOKUP($D20,$C$5:$AU$493,6,)/VLOOKUP($D20,$C$5:$AU$493,3,))*$E20)</f>
        <v>1253944.7684460392</v>
      </c>
      <c r="I20" s="67">
        <f>IF(VLOOKUP($D20,$C$5:$AU$493,3,)=0,0,(VLOOKUP($D20,$C$5:$AU$493,7,)/VLOOKUP($D20,$C$5:$AU$493,3,))*$E20)</f>
        <v>5797034.6408721907</v>
      </c>
      <c r="J20" s="67">
        <f>IF(VLOOKUP($D20,$C$5:$AU$493,3,)=0,0,(VLOOKUP($D20,$C$5:$AU$493,8,)/VLOOKUP($D20,$C$5:$AU$493,3,))*$E20)</f>
        <v>94537.840271601075</v>
      </c>
      <c r="K20" s="67">
        <f>IF(VLOOKUP($D20,$C$5:$AU$493,3,)=0,0,(VLOOKUP($D20,$C$5:$AU$493,9,)/VLOOKUP($D20,$C$5:$AU$493,3,))*$E20)</f>
        <v>21608.649204937388</v>
      </c>
      <c r="L20" s="67">
        <f>IF(VLOOKUP($D20,$C$5:$AU$493,3,)=0,0,(VLOOKUP($D20,$C$5:$AU$493,10,)/VLOOKUP($D20,$C$5:$AU$493,3,))*$E20)</f>
        <v>1543.4749432098133</v>
      </c>
      <c r="M20" s="67">
        <f>IF(VLOOKUP($D20,$C$5:$AU$493,3,)=0,0,(VLOOKUP($D20,$C$5:$AU$493,11,)/VLOOKUP($D20,$C$5:$AU$493,3,))*$E20)</f>
        <v>52478.148069133655</v>
      </c>
      <c r="N20" s="67">
        <f>IF(VLOOKUP($D20,$C$5:$AU$493,3,)=0,0,(VLOOKUP($D20,$C$5:$AU$493,12,)/VLOOKUP($D20,$C$5:$AU$493,3,))*$E20)</f>
        <v>0</v>
      </c>
      <c r="O20" s="67">
        <f>IF(VLOOKUP($D20,$C$5:$AU$493,3,)=0,0,(VLOOKUP($D20,$C$5:$AU$493,13,)/VLOOKUP($D20,$C$5:$AU$493,3,))*$E20)</f>
        <v>0</v>
      </c>
      <c r="P20" s="67">
        <f>IF(VLOOKUP($D20,$C$5:$AU$493,3,)=0,0,(VLOOKUP($D20,$C$5:$AU$493,14,)/VLOOKUP($D20,$C$5:$AU$493,3,))*$E20)</f>
        <v>0</v>
      </c>
      <c r="Q20" s="67">
        <f>IF(VLOOKUP($D20,$C$5:$AU$493,3,)=0,0,(VLOOKUP($D20,$C$5:$AU$493,15,)/VLOOKUP($D20,$C$5:$AU$493,3,))*$E20)</f>
        <v>0</v>
      </c>
      <c r="R20" s="67">
        <f>IF(VLOOKUP($D20,$C$5:$AU$493,3,)=0,0,(VLOOKUP($D20,$C$5:$AU$493,16,)/VLOOKUP($D20,$C$5:$AU$493,3,))*$E20)</f>
        <v>0</v>
      </c>
      <c r="S20" s="67">
        <f>IF(VLOOKUP($D20,$C$5:$AU$493,3,)=0,0,(VLOOKUP($D20,$C$5:$AU$493,17,)/VLOOKUP($D20,$C$5:$AU$493,3,))*$E20)</f>
        <v>0</v>
      </c>
      <c r="T20" s="67">
        <f>IF(VLOOKUP($D20,$C$5:$AU$493,3,)=0,0,(VLOOKUP($D20,$C$5:$AU$493,18,)/VLOOKUP($D20,$C$5:$AU$493,3,))*$E20)</f>
        <v>0</v>
      </c>
      <c r="U20" s="67">
        <f>IF(VLOOKUP($D20,$C$5:$AU$493,3,)=0,0,(VLOOKUP($D20,$C$5:$AU$493,19,)/VLOOKUP($D20,$C$5:$AU$493,3,))*$E20)</f>
        <v>0</v>
      </c>
      <c r="V20" s="67">
        <f>IF(VLOOKUP($D20,$C$5:$AU$493,3,)=0,0,(VLOOKUP($D20,$C$5:$AU$493,20,)/VLOOKUP($D20,$C$5:$AU$493,3,))*$E20)</f>
        <v>0</v>
      </c>
      <c r="W20" s="67">
        <f>IF(VLOOKUP($D20,$C$5:$AU$493,3,)=0,0,(VLOOKUP($D20,$C$5:$AU$493,21,)/VLOOKUP($D20,$C$5:$AU$493,3,))*$E20)</f>
        <v>0</v>
      </c>
      <c r="X20" s="67">
        <f>IF(VLOOKUP($D20,$C$5:$AU$493,3,)=0,0,(VLOOKUP($D20,$C$5:$AU$493,22,)/VLOOKUP($D20,$C$5:$AU$493,3,))*$E20)</f>
        <v>0</v>
      </c>
      <c r="Y20" s="67">
        <f>IF(VLOOKUP($D20,$C$5:$AU$493,3,)=0,0,(VLOOKUP($D20,$C$5:$AU$493,23,)/VLOOKUP($D20,$C$5:$AU$493,3,))*$E20)</f>
        <v>0</v>
      </c>
      <c r="Z20" s="67">
        <f>IF(VLOOKUP($D20,$C$5:$AU$493,3,)=0,0,(VLOOKUP($D20,$C$5:$AU$493,24,)/VLOOKUP($D20,$C$5:$AU$493,3,))*$E20)</f>
        <v>0</v>
      </c>
      <c r="AA20" s="67">
        <f>IF(VLOOKUP($D20,$C$5:$AU$493,3,)=0,0,(VLOOKUP($D20,$C$5:$AU$493,25,)/VLOOKUP($D20,$C$5:$AU$493,3,))*$E20)</f>
        <v>0</v>
      </c>
      <c r="AB20" s="67">
        <f>IF(VLOOKUP($D20,$C$5:$AU$493,3,)=0,0,(VLOOKUP($D20,$C$5:$AU$493,26,)/VLOOKUP($D20,$C$5:$AU$493,3,))*$E20)</f>
        <v>0</v>
      </c>
      <c r="AC20" s="67">
        <f>IF(VLOOKUP($D20,$C$5:$AU$493,3,)=0,0,(VLOOKUP($D20,$C$5:$AU$493,27,)/VLOOKUP($D20,$C$5:$AU$493,3,))*$E20)</f>
        <v>0</v>
      </c>
      <c r="AD20" s="67">
        <f>IF(VLOOKUP($D20,$C$5:$AU$493,3,)=0,0,(VLOOKUP($D20,$C$5:$AU$493,28,)/VLOOKUP($D20,$C$5:$AU$493,3,))*$E20)</f>
        <v>0</v>
      </c>
      <c r="AE20" s="67">
        <f>IF(VLOOKUP($D20,$C$5:$AU$493,3,)=0,0,(VLOOKUP($D20,$C$5:$AU$493,29,)/VLOOKUP($D20,$C$5:$AU$493,3,))*$E20)</f>
        <v>0</v>
      </c>
      <c r="AF20" s="67">
        <f>IF(VLOOKUP($D20,$C$5:$AU$493,3,)=0,0,(VLOOKUP($D20,$C$5:$AU$493,30,)/VLOOKUP($D20,$C$5:$AU$493,3,))*$E20)</f>
        <v>0</v>
      </c>
      <c r="AG20" s="90">
        <f>SUM(F20:AF20)</f>
        <v>27262526.544826861</v>
      </c>
      <c r="AH20" s="28" t="str">
        <f>IF(ABS(E20-AG20)&lt;0.01,"ok","err")</f>
        <v>ok</v>
      </c>
    </row>
    <row r="21" spans="1:35" x14ac:dyDescent="0.25">
      <c r="A21" s="14" t="s">
        <v>222</v>
      </c>
      <c r="C21" s="14" t="s">
        <v>471</v>
      </c>
      <c r="E21" s="67">
        <f t="shared" ref="E21:T21" si="2">E19+E20</f>
        <v>92792303.372919574</v>
      </c>
      <c r="F21" s="67">
        <f t="shared" si="2"/>
        <v>66534517.961816967</v>
      </c>
      <c r="G21" s="67">
        <f t="shared" si="2"/>
        <v>67979.812710835686</v>
      </c>
      <c r="H21" s="67">
        <f t="shared" si="2"/>
        <v>2939063.8745517819</v>
      </c>
      <c r="I21" s="67">
        <f t="shared" si="2"/>
        <v>9184858.8508677501</v>
      </c>
      <c r="J21" s="67">
        <f t="shared" si="2"/>
        <v>4993107.344126136</v>
      </c>
      <c r="K21" s="67">
        <f t="shared" si="2"/>
        <v>7067001.1509082643</v>
      </c>
      <c r="L21" s="67">
        <f t="shared" si="2"/>
        <v>1848826.388233209</v>
      </c>
      <c r="M21" s="67">
        <f t="shared" si="2"/>
        <v>156947.98970465182</v>
      </c>
      <c r="N21" s="67">
        <f t="shared" si="2"/>
        <v>0</v>
      </c>
      <c r="O21" s="67">
        <f t="shared" si="2"/>
        <v>0</v>
      </c>
      <c r="P21" s="67">
        <f t="shared" si="2"/>
        <v>0</v>
      </c>
      <c r="Q21" s="67">
        <f t="shared" si="2"/>
        <v>0</v>
      </c>
      <c r="R21" s="67">
        <f t="shared" si="2"/>
        <v>0</v>
      </c>
      <c r="S21" s="67">
        <f t="shared" si="2"/>
        <v>0</v>
      </c>
      <c r="T21" s="67">
        <f t="shared" si="2"/>
        <v>0</v>
      </c>
      <c r="U21" s="67">
        <f t="shared" ref="U21:AF21" si="3">U19+U20</f>
        <v>0</v>
      </c>
      <c r="V21" s="67">
        <f t="shared" si="3"/>
        <v>0</v>
      </c>
      <c r="W21" s="67">
        <f t="shared" si="3"/>
        <v>0</v>
      </c>
      <c r="X21" s="67">
        <f t="shared" si="3"/>
        <v>0</v>
      </c>
      <c r="Y21" s="67">
        <f t="shared" si="3"/>
        <v>0</v>
      </c>
      <c r="Z21" s="67">
        <f t="shared" si="3"/>
        <v>0</v>
      </c>
      <c r="AA21" s="67">
        <f t="shared" si="3"/>
        <v>0</v>
      </c>
      <c r="AB21" s="67">
        <f t="shared" si="3"/>
        <v>0</v>
      </c>
      <c r="AC21" s="67">
        <f t="shared" si="3"/>
        <v>0</v>
      </c>
      <c r="AD21" s="67">
        <f t="shared" si="3"/>
        <v>0</v>
      </c>
      <c r="AE21" s="67">
        <f t="shared" si="3"/>
        <v>0</v>
      </c>
      <c r="AF21" s="67">
        <f t="shared" si="3"/>
        <v>0</v>
      </c>
      <c r="AG21" s="90">
        <f>SUM(F21:AF21)</f>
        <v>92792303.372919604</v>
      </c>
      <c r="AH21" s="28" t="str">
        <f>IF(ABS(E21-AG21)&lt;0.01,"ok","err")</f>
        <v>ok</v>
      </c>
    </row>
    <row r="22" spans="1:35" x14ac:dyDescent="0.25">
      <c r="E22" s="50"/>
    </row>
    <row r="23" spans="1:35" x14ac:dyDescent="0.25">
      <c r="A23" s="13" t="s">
        <v>3</v>
      </c>
      <c r="E23" s="50"/>
    </row>
    <row r="24" spans="1:35" x14ac:dyDescent="0.25">
      <c r="A24" s="93" t="s">
        <v>207</v>
      </c>
      <c r="C24" s="14" t="s">
        <v>223</v>
      </c>
      <c r="D24" s="14" t="s">
        <v>618</v>
      </c>
      <c r="E24" s="67">
        <f>'Func &amp; Classif'!R82</f>
        <v>0</v>
      </c>
      <c r="F24" s="67">
        <f>IF(VLOOKUP($D24,$C$5:$AU$493,3,)=0,0,(VLOOKUP($D24,$C$5:$AU$493,4,)/VLOOKUP($D24,$C$5:$AU$493,3,))*$E24)</f>
        <v>0</v>
      </c>
      <c r="G24" s="67">
        <f>IF(VLOOKUP($D24,$C$5:$AU$493,3,)=0,0,(VLOOKUP($D24,$C$5:$AU$493,5,)/VLOOKUP($D24,$C$5:$AU$493,3,))*$E24)</f>
        <v>0</v>
      </c>
      <c r="H24" s="67">
        <f>IF(VLOOKUP($D24,$C$5:$AU$493,3,)=0,0,(VLOOKUP($D24,$C$5:$AU$493,6,)/VLOOKUP($D24,$C$5:$AU$493,3,))*$E24)</f>
        <v>0</v>
      </c>
      <c r="I24" s="67">
        <f>IF(VLOOKUP($D24,$C$5:$AU$493,3,)=0,0,(VLOOKUP($D24,$C$5:$AU$493,7,)/VLOOKUP($D24,$C$5:$AU$493,3,))*$E24)</f>
        <v>0</v>
      </c>
      <c r="J24" s="67">
        <f>IF(VLOOKUP($D24,$C$5:$AU$493,3,)=0,0,(VLOOKUP($D24,$C$5:$AU$493,8,)/VLOOKUP($D24,$C$5:$AU$493,3,))*$E24)</f>
        <v>0</v>
      </c>
      <c r="K24" s="67">
        <f>IF(VLOOKUP($D24,$C$5:$AU$493,3,)=0,0,(VLOOKUP($D24,$C$5:$AU$493,9,)/VLOOKUP($D24,$C$5:$AU$493,3,))*$E24)</f>
        <v>0</v>
      </c>
      <c r="L24" s="67">
        <f>IF(VLOOKUP($D24,$C$5:$AU$493,3,)=0,0,(VLOOKUP($D24,$C$5:$AU$493,10,)/VLOOKUP($D24,$C$5:$AU$493,3,))*$E24)</f>
        <v>0</v>
      </c>
      <c r="M24" s="67">
        <f>IF(VLOOKUP($D24,$C$5:$AU$493,3,)=0,0,(VLOOKUP($D24,$C$5:$AU$493,11,)/VLOOKUP($D24,$C$5:$AU$493,3,))*$E24)</f>
        <v>0</v>
      </c>
      <c r="N24" s="67">
        <f>IF(VLOOKUP($D24,$C$5:$AU$493,3,)=0,0,(VLOOKUP($D24,$C$5:$AU$493,12,)/VLOOKUP($D24,$C$5:$AU$493,3,))*$E24)</f>
        <v>0</v>
      </c>
      <c r="O24" s="67">
        <f>IF(VLOOKUP($D24,$C$5:$AU$493,3,)=0,0,(VLOOKUP($D24,$C$5:$AU$493,13,)/VLOOKUP($D24,$C$5:$AU$493,3,))*$E24)</f>
        <v>0</v>
      </c>
      <c r="P24" s="67">
        <f>IF(VLOOKUP($D24,$C$5:$AU$493,3,)=0,0,(VLOOKUP($D24,$C$5:$AU$493,14,)/VLOOKUP($D24,$C$5:$AU$493,3,))*$E24)</f>
        <v>0</v>
      </c>
      <c r="Q24" s="67">
        <f>IF(VLOOKUP($D24,$C$5:$AU$493,3,)=0,0,(VLOOKUP($D24,$C$5:$AU$493,15,)/VLOOKUP($D24,$C$5:$AU$493,3,))*$E24)</f>
        <v>0</v>
      </c>
      <c r="R24" s="67">
        <f>IF(VLOOKUP($D24,$C$5:$AU$493,3,)=0,0,(VLOOKUP($D24,$C$5:$AU$493,16,)/VLOOKUP($D24,$C$5:$AU$493,3,))*$E24)</f>
        <v>0</v>
      </c>
      <c r="S24" s="67">
        <f>IF(VLOOKUP($D24,$C$5:$AU$493,3,)=0,0,(VLOOKUP($D24,$C$5:$AU$493,17,)/VLOOKUP($D24,$C$5:$AU$493,3,))*$E24)</f>
        <v>0</v>
      </c>
      <c r="T24" s="67">
        <f>IF(VLOOKUP($D24,$C$5:$AU$493,3,)=0,0,(VLOOKUP($D24,$C$5:$AU$493,18,)/VLOOKUP($D24,$C$5:$AU$493,3,))*$E24)</f>
        <v>0</v>
      </c>
      <c r="U24" s="67">
        <f>IF(VLOOKUP($D24,$C$5:$AU$493,3,)=0,0,(VLOOKUP($D24,$C$5:$AU$493,19,)/VLOOKUP($D24,$C$5:$AU$493,3,))*$E24)</f>
        <v>0</v>
      </c>
      <c r="V24" s="67">
        <f>IF(VLOOKUP($D24,$C$5:$AU$493,3,)=0,0,(VLOOKUP($D24,$C$5:$AU$493,20,)/VLOOKUP($D24,$C$5:$AU$493,3,))*$E24)</f>
        <v>0</v>
      </c>
      <c r="W24" s="67">
        <f>IF(VLOOKUP($D24,$C$5:$AU$493,3,)=0,0,(VLOOKUP($D24,$C$5:$AU$493,21,)/VLOOKUP($D24,$C$5:$AU$493,3,))*$E24)</f>
        <v>0</v>
      </c>
      <c r="X24" s="67">
        <f>IF(VLOOKUP($D24,$C$5:$AU$493,3,)=0,0,(VLOOKUP($D24,$C$5:$AU$493,22,)/VLOOKUP($D24,$C$5:$AU$493,3,))*$E24)</f>
        <v>0</v>
      </c>
      <c r="Y24" s="67">
        <f>IF(VLOOKUP($D24,$C$5:$AU$493,3,)=0,0,(VLOOKUP($D24,$C$5:$AU$493,23,)/VLOOKUP($D24,$C$5:$AU$493,3,))*$E24)</f>
        <v>0</v>
      </c>
      <c r="Z24" s="67">
        <f>IF(VLOOKUP($D24,$C$5:$AU$493,3,)=0,0,(VLOOKUP($D24,$C$5:$AU$493,24,)/VLOOKUP($D24,$C$5:$AU$493,3,))*$E24)</f>
        <v>0</v>
      </c>
      <c r="AA24" s="67">
        <f>IF(VLOOKUP($D24,$C$5:$AU$493,3,)=0,0,(VLOOKUP($D24,$C$5:$AU$493,25,)/VLOOKUP($D24,$C$5:$AU$493,3,))*$E24)</f>
        <v>0</v>
      </c>
      <c r="AB24" s="67">
        <f>IF(VLOOKUP($D24,$C$5:$AU$493,3,)=0,0,(VLOOKUP($D24,$C$5:$AU$493,26,)/VLOOKUP($D24,$C$5:$AU$493,3,))*$E24)</f>
        <v>0</v>
      </c>
      <c r="AC24" s="67">
        <f>IF(VLOOKUP($D24,$C$5:$AU$493,3,)=0,0,(VLOOKUP($D24,$C$5:$AU$493,27,)/VLOOKUP($D24,$C$5:$AU$493,3,))*$E24)</f>
        <v>0</v>
      </c>
      <c r="AD24" s="67">
        <f>IF(VLOOKUP($D24,$C$5:$AU$493,3,)=0,0,(VLOOKUP($D24,$C$5:$AU$493,28,)/VLOOKUP($D24,$C$5:$AU$493,3,))*$E24)</f>
        <v>0</v>
      </c>
      <c r="AE24" s="67">
        <f>IF(VLOOKUP($D24,$C$5:$AU$493,3,)=0,0,(VLOOKUP($D24,$C$5:$AU$493,29,)/VLOOKUP($D24,$C$5:$AU$493,3,))*$E24)</f>
        <v>0</v>
      </c>
      <c r="AF24" s="67">
        <f>IF(VLOOKUP($D24,$C$5:$AU$493,3,)=0,0,(VLOOKUP($D24,$C$5:$AU$493,30,)/VLOOKUP($D24,$C$5:$AU$493,3,))*$E24)</f>
        <v>0</v>
      </c>
      <c r="AG24" s="90">
        <f>SUM(F24:AF24)</f>
        <v>0</v>
      </c>
      <c r="AH24" s="28" t="str">
        <f>IF(ABS(E24-AG24)&lt;0.01,"ok","err")</f>
        <v>ok</v>
      </c>
    </row>
    <row r="25" spans="1:35" x14ac:dyDescent="0.25">
      <c r="A25" s="93" t="s">
        <v>219</v>
      </c>
      <c r="C25" s="14" t="s">
        <v>224</v>
      </c>
      <c r="D25" s="14" t="s">
        <v>700</v>
      </c>
      <c r="E25" s="50">
        <f>'Func &amp; Classif'!S82</f>
        <v>12016483.22963134</v>
      </c>
      <c r="F25" s="67">
        <f>IF(VLOOKUP($D25,$C$5:$AU$493,3,)=0,0,(VLOOKUP($D25,$C$5:$AU$493,4,)/VLOOKUP($D25,$C$5:$AU$493,3,))*$E25)</f>
        <v>8507265.3750850167</v>
      </c>
      <c r="G25" s="67">
        <f>IF(VLOOKUP($D25,$C$5:$AU$493,3,)=0,0,(VLOOKUP($D25,$C$5:$AU$493,5,)/VLOOKUP($D25,$C$5:$AU$493,3,))*$E25)</f>
        <v>11481.158888003942</v>
      </c>
      <c r="H25" s="67">
        <f>IF(VLOOKUP($D25,$C$5:$AU$493,3,)=0,0,(VLOOKUP($D25,$C$5:$AU$493,6,)/VLOOKUP($D25,$C$5:$AU$493,3,))*$E25)</f>
        <v>532999.13332928775</v>
      </c>
      <c r="I25" s="67">
        <f>IF(VLOOKUP($D25,$C$5:$AU$493,3,)=0,0,(VLOOKUP($D25,$C$5:$AU$493,7,)/VLOOKUP($D25,$C$5:$AU$493,3,))*$E25)</f>
        <v>2678241.5544317476</v>
      </c>
      <c r="J25" s="67">
        <f>IF(VLOOKUP($D25,$C$5:$AU$493,3,)=0,0,(VLOOKUP($D25,$C$5:$AU$493,8,)/VLOOKUP($D25,$C$5:$AU$493,3,))*$E25)</f>
        <v>286496.00789728417</v>
      </c>
      <c r="K25" s="67">
        <f>IF(VLOOKUP($D25,$C$5:$AU$493,3,)=0,0,(VLOOKUP($D25,$C$5:$AU$493,9,)/VLOOKUP($D25,$C$5:$AU$493,3,))*$E25)</f>
        <v>0</v>
      </c>
      <c r="L25" s="67">
        <f>IF(VLOOKUP($D25,$C$5:$AU$493,3,)=0,0,(VLOOKUP($D25,$C$5:$AU$493,10,)/VLOOKUP($D25,$C$5:$AU$493,3,))*$E25)</f>
        <v>0</v>
      </c>
      <c r="M25" s="67">
        <f>IF(VLOOKUP($D25,$C$5:$AU$493,3,)=0,0,(VLOOKUP($D25,$C$5:$AU$493,11,)/VLOOKUP($D25,$C$5:$AU$493,3,))*$E25)</f>
        <v>0</v>
      </c>
      <c r="N25" s="67">
        <f>IF(VLOOKUP($D25,$C$5:$AU$493,3,)=0,0,(VLOOKUP($D25,$C$5:$AU$493,12,)/VLOOKUP($D25,$C$5:$AU$493,3,))*$E25)</f>
        <v>0</v>
      </c>
      <c r="O25" s="67">
        <f>IF(VLOOKUP($D25,$C$5:$AU$493,3,)=0,0,(VLOOKUP($D25,$C$5:$AU$493,13,)/VLOOKUP($D25,$C$5:$AU$493,3,))*$E25)</f>
        <v>0</v>
      </c>
      <c r="P25" s="67">
        <f>IF(VLOOKUP($D25,$C$5:$AU$493,3,)=0,0,(VLOOKUP($D25,$C$5:$AU$493,14,)/VLOOKUP($D25,$C$5:$AU$493,3,))*$E25)</f>
        <v>0</v>
      </c>
      <c r="Q25" s="67">
        <f>IF(VLOOKUP($D25,$C$5:$AU$493,3,)=0,0,(VLOOKUP($D25,$C$5:$AU$493,15,)/VLOOKUP($D25,$C$5:$AU$493,3,))*$E25)</f>
        <v>0</v>
      </c>
      <c r="R25" s="67">
        <f>IF(VLOOKUP($D25,$C$5:$AU$493,3,)=0,0,(VLOOKUP($D25,$C$5:$AU$493,16,)/VLOOKUP($D25,$C$5:$AU$493,3,))*$E25)</f>
        <v>0</v>
      </c>
      <c r="S25" s="67">
        <f>IF(VLOOKUP($D25,$C$5:$AU$493,3,)=0,0,(VLOOKUP($D25,$C$5:$AU$493,17,)/VLOOKUP($D25,$C$5:$AU$493,3,))*$E25)</f>
        <v>0</v>
      </c>
      <c r="T25" s="67">
        <f>IF(VLOOKUP($D25,$C$5:$AU$493,3,)=0,0,(VLOOKUP($D25,$C$5:$AU$493,18,)/VLOOKUP($D25,$C$5:$AU$493,3,))*$E25)</f>
        <v>0</v>
      </c>
      <c r="U25" s="67">
        <f>IF(VLOOKUP($D25,$C$5:$AU$493,3,)=0,0,(VLOOKUP($D25,$C$5:$AU$493,19,)/VLOOKUP($D25,$C$5:$AU$493,3,))*$E25)</f>
        <v>0</v>
      </c>
      <c r="V25" s="67">
        <f>IF(VLOOKUP($D25,$C$5:$AU$493,3,)=0,0,(VLOOKUP($D25,$C$5:$AU$493,20,)/VLOOKUP($D25,$C$5:$AU$493,3,))*$E25)</f>
        <v>0</v>
      </c>
      <c r="W25" s="67">
        <f>IF(VLOOKUP($D25,$C$5:$AU$493,3,)=0,0,(VLOOKUP($D25,$C$5:$AU$493,21,)/VLOOKUP($D25,$C$5:$AU$493,3,))*$E25)</f>
        <v>0</v>
      </c>
      <c r="X25" s="67">
        <f>IF(VLOOKUP($D25,$C$5:$AU$493,3,)=0,0,(VLOOKUP($D25,$C$5:$AU$493,22,)/VLOOKUP($D25,$C$5:$AU$493,3,))*$E25)</f>
        <v>0</v>
      </c>
      <c r="Y25" s="67">
        <f>IF(VLOOKUP($D25,$C$5:$AU$493,3,)=0,0,(VLOOKUP($D25,$C$5:$AU$493,23,)/VLOOKUP($D25,$C$5:$AU$493,3,))*$E25)</f>
        <v>0</v>
      </c>
      <c r="Z25" s="67">
        <f>IF(VLOOKUP($D25,$C$5:$AU$493,3,)=0,0,(VLOOKUP($D25,$C$5:$AU$493,24,)/VLOOKUP($D25,$C$5:$AU$493,3,))*$E25)</f>
        <v>0</v>
      </c>
      <c r="AA25" s="67">
        <f>IF(VLOOKUP($D25,$C$5:$AU$493,3,)=0,0,(VLOOKUP($D25,$C$5:$AU$493,25,)/VLOOKUP($D25,$C$5:$AU$493,3,))*$E25)</f>
        <v>0</v>
      </c>
      <c r="AB25" s="67">
        <f>IF(VLOOKUP($D25,$C$5:$AU$493,3,)=0,0,(VLOOKUP($D25,$C$5:$AU$493,26,)/VLOOKUP($D25,$C$5:$AU$493,3,))*$E25)</f>
        <v>0</v>
      </c>
      <c r="AC25" s="67">
        <f>IF(VLOOKUP($D25,$C$5:$AU$493,3,)=0,0,(VLOOKUP($D25,$C$5:$AU$493,27,)/VLOOKUP($D25,$C$5:$AU$493,3,))*$E25)</f>
        <v>0</v>
      </c>
      <c r="AD25" s="67">
        <f>IF(VLOOKUP($D25,$C$5:$AU$493,3,)=0,0,(VLOOKUP($D25,$C$5:$AU$493,28,)/VLOOKUP($D25,$C$5:$AU$493,3,))*$E25)</f>
        <v>0</v>
      </c>
      <c r="AE25" s="67">
        <f>IF(VLOOKUP($D25,$C$5:$AU$493,3,)=0,0,(VLOOKUP($D25,$C$5:$AU$493,29,)/VLOOKUP($D25,$C$5:$AU$493,3,))*$E25)</f>
        <v>0</v>
      </c>
      <c r="AF25" s="67">
        <f>IF(VLOOKUP($D25,$C$5:$AU$493,3,)=0,0,(VLOOKUP($D25,$C$5:$AU$493,30,)/VLOOKUP($D25,$C$5:$AU$493,3,))*$E25)</f>
        <v>0</v>
      </c>
      <c r="AG25" s="90">
        <f>SUM(F25:AF25)</f>
        <v>12016483.22963134</v>
      </c>
      <c r="AH25" s="28" t="str">
        <f>IF(ABS(E25-AG25)&lt;0.01,"ok","err")</f>
        <v>ok</v>
      </c>
    </row>
    <row r="26" spans="1:35" x14ac:dyDescent="0.25">
      <c r="A26" s="14" t="s">
        <v>226</v>
      </c>
      <c r="E26" s="67">
        <f t="shared" ref="E26:T26" si="4">E24+E25</f>
        <v>12016483.22963134</v>
      </c>
      <c r="F26" s="67">
        <f t="shared" si="4"/>
        <v>8507265.3750850167</v>
      </c>
      <c r="G26" s="67">
        <f t="shared" si="4"/>
        <v>11481.158888003942</v>
      </c>
      <c r="H26" s="67">
        <f t="shared" si="4"/>
        <v>532999.13332928775</v>
      </c>
      <c r="I26" s="67">
        <f t="shared" si="4"/>
        <v>2678241.5544317476</v>
      </c>
      <c r="J26" s="67">
        <f t="shared" si="4"/>
        <v>286496.00789728417</v>
      </c>
      <c r="K26" s="67">
        <f t="shared" si="4"/>
        <v>0</v>
      </c>
      <c r="L26" s="67">
        <f t="shared" si="4"/>
        <v>0</v>
      </c>
      <c r="M26" s="67">
        <f t="shared" si="4"/>
        <v>0</v>
      </c>
      <c r="N26" s="67">
        <f t="shared" si="4"/>
        <v>0</v>
      </c>
      <c r="O26" s="67">
        <f t="shared" si="4"/>
        <v>0</v>
      </c>
      <c r="P26" s="67">
        <f t="shared" si="4"/>
        <v>0</v>
      </c>
      <c r="Q26" s="67">
        <f t="shared" si="4"/>
        <v>0</v>
      </c>
      <c r="R26" s="67">
        <f t="shared" si="4"/>
        <v>0</v>
      </c>
      <c r="S26" s="67">
        <f t="shared" si="4"/>
        <v>0</v>
      </c>
      <c r="T26" s="67">
        <f t="shared" si="4"/>
        <v>0</v>
      </c>
      <c r="U26" s="67">
        <f t="shared" ref="U26:AF26" si="5">U24+U25</f>
        <v>0</v>
      </c>
      <c r="V26" s="67">
        <f t="shared" si="5"/>
        <v>0</v>
      </c>
      <c r="W26" s="67">
        <f t="shared" si="5"/>
        <v>0</v>
      </c>
      <c r="X26" s="67">
        <f t="shared" si="5"/>
        <v>0</v>
      </c>
      <c r="Y26" s="67">
        <f t="shared" si="5"/>
        <v>0</v>
      </c>
      <c r="Z26" s="67">
        <f t="shared" si="5"/>
        <v>0</v>
      </c>
      <c r="AA26" s="67">
        <f t="shared" si="5"/>
        <v>0</v>
      </c>
      <c r="AB26" s="67">
        <f t="shared" si="5"/>
        <v>0</v>
      </c>
      <c r="AC26" s="67">
        <f t="shared" si="5"/>
        <v>0</v>
      </c>
      <c r="AD26" s="67">
        <f t="shared" si="5"/>
        <v>0</v>
      </c>
      <c r="AE26" s="67">
        <f t="shared" si="5"/>
        <v>0</v>
      </c>
      <c r="AF26" s="67">
        <f t="shared" si="5"/>
        <v>0</v>
      </c>
      <c r="AG26" s="90">
        <f>SUM(F26:AF26)</f>
        <v>12016483.22963134</v>
      </c>
      <c r="AH26" s="28" t="str">
        <f>IF(ABS(E26-AG26)&lt;0.01,"ok","err")</f>
        <v>ok</v>
      </c>
    </row>
    <row r="27" spans="1:35" x14ac:dyDescent="0.25">
      <c r="E27" s="50"/>
    </row>
    <row r="28" spans="1:35" x14ac:dyDescent="0.25">
      <c r="A28" s="13" t="s">
        <v>4</v>
      </c>
      <c r="E28" s="50"/>
    </row>
    <row r="29" spans="1:35" x14ac:dyDescent="0.25">
      <c r="A29" s="93" t="s">
        <v>219</v>
      </c>
      <c r="C29" s="14" t="s">
        <v>227</v>
      </c>
      <c r="D29" s="14" t="s">
        <v>228</v>
      </c>
      <c r="E29" s="67">
        <f>'Func &amp; Classif'!U82</f>
        <v>4330742.1460288186</v>
      </c>
      <c r="F29" s="67">
        <f>IF(VLOOKUP($D29,$C$5:$AU$493,3,)=0,0,(VLOOKUP($D29,$C$5:$AU$493,4,)/VLOOKUP($D29,$C$5:$AU$493,3,))*$E29)</f>
        <v>3166129.0539361788</v>
      </c>
      <c r="G29" s="67">
        <f>IF(VLOOKUP($D29,$C$5:$AU$493,3,)=0,0,(VLOOKUP($D29,$C$5:$AU$493,5,)/VLOOKUP($D29,$C$5:$AU$493,3,))*$E29)</f>
        <v>4272.9160459278146</v>
      </c>
      <c r="H29" s="67">
        <f>IF(VLOOKUP($D29,$C$5:$AU$493,3,)=0,0,(VLOOKUP($D29,$C$5:$AU$493,6,)/VLOOKUP($D29,$C$5:$AU$493,3,))*$E29)</f>
        <v>198365.04062738217</v>
      </c>
      <c r="I29" s="67">
        <f>IF(VLOOKUP($D29,$C$5:$AU$493,3,)=0,0,(VLOOKUP($D29,$C$5:$AU$493,7,)/VLOOKUP($D29,$C$5:$AU$493,3,))*$E29)</f>
        <v>917049.17233317427</v>
      </c>
      <c r="J29" s="67">
        <f>IF(VLOOKUP($D29,$C$5:$AU$493,3,)=0,0,(VLOOKUP($D29,$C$5:$AU$493,8,)/VLOOKUP($D29,$C$5:$AU$493,3,))*$E29)</f>
        <v>44925.963086156444</v>
      </c>
      <c r="K29" s="67">
        <f>IF(VLOOKUP($D29,$C$5:$AU$493,3,)=0,0,(VLOOKUP($D29,$C$5:$AU$493,9,)/VLOOKUP($D29,$C$5:$AU$493,3,))*$E29)</f>
        <v>0</v>
      </c>
      <c r="L29" s="67">
        <f>IF(VLOOKUP($D29,$C$5:$AU$493,3,)=0,0,(VLOOKUP($D29,$C$5:$AU$493,10,)/VLOOKUP($D29,$C$5:$AU$493,3,))*$E29)</f>
        <v>0</v>
      </c>
      <c r="M29" s="67">
        <f>IF(VLOOKUP($D29,$C$5:$AU$493,3,)=0,0,(VLOOKUP($D29,$C$5:$AU$493,11,)/VLOOKUP($D29,$C$5:$AU$493,3,))*$E29)</f>
        <v>0</v>
      </c>
      <c r="N29" s="67">
        <f>IF(VLOOKUP($D29,$C$5:$AU$493,3,)=0,0,(VLOOKUP($D29,$C$5:$AU$493,12,)/VLOOKUP($D29,$C$5:$AU$493,3,))*$E29)</f>
        <v>0</v>
      </c>
      <c r="O29" s="67">
        <f>IF(VLOOKUP($D29,$C$5:$AU$493,3,)=0,0,(VLOOKUP($D29,$C$5:$AU$493,13,)/VLOOKUP($D29,$C$5:$AU$493,3,))*$E29)</f>
        <v>0</v>
      </c>
      <c r="P29" s="67">
        <f>IF(VLOOKUP($D29,$C$5:$AU$493,3,)=0,0,(VLOOKUP($D29,$C$5:$AU$493,14,)/VLOOKUP($D29,$C$5:$AU$493,3,))*$E29)</f>
        <v>0</v>
      </c>
      <c r="Q29" s="67">
        <f>IF(VLOOKUP($D29,$C$5:$AU$493,3,)=0,0,(VLOOKUP($D29,$C$5:$AU$493,15,)/VLOOKUP($D29,$C$5:$AU$493,3,))*$E29)</f>
        <v>0</v>
      </c>
      <c r="R29" s="67">
        <f>IF(VLOOKUP($D29,$C$5:$AU$493,3,)=0,0,(VLOOKUP($D29,$C$5:$AU$493,16,)/VLOOKUP($D29,$C$5:$AU$493,3,))*$E29)</f>
        <v>0</v>
      </c>
      <c r="S29" s="67">
        <f>IF(VLOOKUP($D29,$C$5:$AU$493,3,)=0,0,(VLOOKUP($D29,$C$5:$AU$493,17,)/VLOOKUP($D29,$C$5:$AU$493,3,))*$E29)</f>
        <v>0</v>
      </c>
      <c r="T29" s="67">
        <f>IF(VLOOKUP($D29,$C$5:$AU$493,3,)=0,0,(VLOOKUP($D29,$C$5:$AU$493,18,)/VLOOKUP($D29,$C$5:$AU$493,3,))*$E29)</f>
        <v>0</v>
      </c>
      <c r="U29" s="67">
        <f>IF(VLOOKUP($D29,$C$5:$AU$493,3,)=0,0,(VLOOKUP($D29,$C$5:$AU$493,19,)/VLOOKUP($D29,$C$5:$AU$493,3,))*$E29)</f>
        <v>0</v>
      </c>
      <c r="V29" s="67">
        <f>IF(VLOOKUP($D29,$C$5:$AU$493,3,)=0,0,(VLOOKUP($D29,$C$5:$AU$493,20,)/VLOOKUP($D29,$C$5:$AU$493,3,))*$E29)</f>
        <v>0</v>
      </c>
      <c r="W29" s="67">
        <f>IF(VLOOKUP($D29,$C$5:$AU$493,3,)=0,0,(VLOOKUP($D29,$C$5:$AU$493,21,)/VLOOKUP($D29,$C$5:$AU$493,3,))*$E29)</f>
        <v>0</v>
      </c>
      <c r="X29" s="67">
        <f>IF(VLOOKUP($D29,$C$5:$AU$493,3,)=0,0,(VLOOKUP($D29,$C$5:$AU$493,22,)/VLOOKUP($D29,$C$5:$AU$493,3,))*$E29)</f>
        <v>0</v>
      </c>
      <c r="Y29" s="67">
        <f>IF(VLOOKUP($D29,$C$5:$AU$493,3,)=0,0,(VLOOKUP($D29,$C$5:$AU$493,23,)/VLOOKUP($D29,$C$5:$AU$493,3,))*$E29)</f>
        <v>0</v>
      </c>
      <c r="Z29" s="67">
        <f>IF(VLOOKUP($D29,$C$5:$AU$493,3,)=0,0,(VLOOKUP($D29,$C$5:$AU$493,24,)/VLOOKUP($D29,$C$5:$AU$493,3,))*$E29)</f>
        <v>0</v>
      </c>
      <c r="AA29" s="67">
        <f>IF(VLOOKUP($D29,$C$5:$AU$493,3,)=0,0,(VLOOKUP($D29,$C$5:$AU$493,25,)/VLOOKUP($D29,$C$5:$AU$493,3,))*$E29)</f>
        <v>0</v>
      </c>
      <c r="AB29" s="67">
        <f>IF(VLOOKUP($D29,$C$5:$AU$493,3,)=0,0,(VLOOKUP($D29,$C$5:$AU$493,26,)/VLOOKUP($D29,$C$5:$AU$493,3,))*$E29)</f>
        <v>0</v>
      </c>
      <c r="AC29" s="67">
        <f>IF(VLOOKUP($D29,$C$5:$AU$493,3,)=0,0,(VLOOKUP($D29,$C$5:$AU$493,27,)/VLOOKUP($D29,$C$5:$AU$493,3,))*$E29)</f>
        <v>0</v>
      </c>
      <c r="AD29" s="67">
        <f>IF(VLOOKUP($D29,$C$5:$AU$493,3,)=0,0,(VLOOKUP($D29,$C$5:$AU$493,28,)/VLOOKUP($D29,$C$5:$AU$493,3,))*$E29)</f>
        <v>0</v>
      </c>
      <c r="AE29" s="67">
        <f>IF(VLOOKUP($D29,$C$5:$AU$493,3,)=0,0,(VLOOKUP($D29,$C$5:$AU$493,29,)/VLOOKUP($D29,$C$5:$AU$493,3,))*$E29)</f>
        <v>0</v>
      </c>
      <c r="AF29" s="67">
        <f>IF(VLOOKUP($D29,$C$5:$AU$493,3,)=0,0,(VLOOKUP($D29,$C$5:$AU$493,30,)/VLOOKUP($D29,$C$5:$AU$493,3,))*$E29)</f>
        <v>0</v>
      </c>
      <c r="AG29" s="90">
        <f>SUM(F29:AF29)</f>
        <v>4330742.1460288195</v>
      </c>
      <c r="AH29" s="28" t="str">
        <f>IF(ABS(E29-AG29)&lt;0.01,"ok","err")</f>
        <v>ok</v>
      </c>
    </row>
    <row r="30" spans="1:35" x14ac:dyDescent="0.25">
      <c r="E30" s="50"/>
    </row>
    <row r="31" spans="1:35" x14ac:dyDescent="0.25">
      <c r="A31" s="13" t="s">
        <v>5</v>
      </c>
      <c r="E31" s="50"/>
    </row>
    <row r="32" spans="1:35" x14ac:dyDescent="0.25">
      <c r="A32" s="93" t="s">
        <v>219</v>
      </c>
      <c r="C32" s="14" t="s">
        <v>229</v>
      </c>
      <c r="D32" s="14" t="s">
        <v>230</v>
      </c>
      <c r="E32" s="67">
        <f>'Func &amp; Classif'!W82</f>
        <v>3599095.7541083805</v>
      </c>
      <c r="F32" s="67">
        <f>IF(VLOOKUP($D32,$C$5:$AU$493,3,)=0,0,(VLOOKUP($D32,$C$5:$AU$493,4,)/VLOOKUP($D32,$C$5:$AU$493,3,))*$E32)</f>
        <v>0</v>
      </c>
      <c r="G32" s="67">
        <f>IF(VLOOKUP($D32,$C$5:$AU$493,3,)=0,0,(VLOOKUP($D32,$C$5:$AU$493,5,)/VLOOKUP($D32,$C$5:$AU$493,3,))*$E32)</f>
        <v>0</v>
      </c>
      <c r="H32" s="67">
        <f>IF(VLOOKUP($D32,$C$5:$AU$493,3,)=0,0,(VLOOKUP($D32,$C$5:$AU$493,6,)/VLOOKUP($D32,$C$5:$AU$493,3,))*$E32)</f>
        <v>0</v>
      </c>
      <c r="I32" s="67">
        <f>IF(VLOOKUP($D32,$C$5:$AU$493,3,)=0,0,(VLOOKUP($D32,$C$5:$AU$493,7,)/VLOOKUP($D32,$C$5:$AU$493,3,))*$E32)</f>
        <v>0</v>
      </c>
      <c r="J32" s="67">
        <f>IF(VLOOKUP($D32,$C$5:$AU$493,3,)=0,0,(VLOOKUP($D32,$C$5:$AU$493,8,)/VLOOKUP($D32,$C$5:$AU$493,3,))*$E32)</f>
        <v>0</v>
      </c>
      <c r="K32" s="67">
        <f>IF(VLOOKUP($D32,$C$5:$AU$493,3,)=0,0,(VLOOKUP($D32,$C$5:$AU$493,9,)/VLOOKUP($D32,$C$5:$AU$493,3,))*$E32)</f>
        <v>0</v>
      </c>
      <c r="L32" s="67">
        <f>IF(VLOOKUP($D32,$C$5:$AU$493,3,)=0,0,(VLOOKUP($D32,$C$5:$AU$493,10,)/VLOOKUP($D32,$C$5:$AU$493,3,))*$E32)</f>
        <v>0</v>
      </c>
      <c r="M32" s="67">
        <f>IF(VLOOKUP($D32,$C$5:$AU$493,3,)=0,0,(VLOOKUP($D32,$C$5:$AU$493,11,)/VLOOKUP($D32,$C$5:$AU$493,3,))*$E32)</f>
        <v>3599095.7541083805</v>
      </c>
      <c r="N32" s="67">
        <f>IF(VLOOKUP($D32,$C$5:$AU$493,3,)=0,0,(VLOOKUP($D32,$C$5:$AU$493,12,)/VLOOKUP($D32,$C$5:$AU$493,3,))*$E32)</f>
        <v>0</v>
      </c>
      <c r="O32" s="67">
        <f>IF(VLOOKUP($D32,$C$5:$AU$493,3,)=0,0,(VLOOKUP($D32,$C$5:$AU$493,13,)/VLOOKUP($D32,$C$5:$AU$493,3,))*$E32)</f>
        <v>0</v>
      </c>
      <c r="P32" s="67">
        <f>IF(VLOOKUP($D32,$C$5:$AU$493,3,)=0,0,(VLOOKUP($D32,$C$5:$AU$493,14,)/VLOOKUP($D32,$C$5:$AU$493,3,))*$E32)</f>
        <v>0</v>
      </c>
      <c r="Q32" s="67">
        <f>IF(VLOOKUP($D32,$C$5:$AU$493,3,)=0,0,(VLOOKUP($D32,$C$5:$AU$493,15,)/VLOOKUP($D32,$C$5:$AU$493,3,))*$E32)</f>
        <v>0</v>
      </c>
      <c r="R32" s="67">
        <f>IF(VLOOKUP($D32,$C$5:$AU$493,3,)=0,0,(VLOOKUP($D32,$C$5:$AU$493,16,)/VLOOKUP($D32,$C$5:$AU$493,3,))*$E32)</f>
        <v>0</v>
      </c>
      <c r="S32" s="67">
        <f>IF(VLOOKUP($D32,$C$5:$AU$493,3,)=0,0,(VLOOKUP($D32,$C$5:$AU$493,17,)/VLOOKUP($D32,$C$5:$AU$493,3,))*$E32)</f>
        <v>0</v>
      </c>
      <c r="T32" s="67">
        <f>IF(VLOOKUP($D32,$C$5:$AU$493,3,)=0,0,(VLOOKUP($D32,$C$5:$AU$493,18,)/VLOOKUP($D32,$C$5:$AU$493,3,))*$E32)</f>
        <v>0</v>
      </c>
      <c r="U32" s="67">
        <f>IF(VLOOKUP($D32,$C$5:$AU$493,3,)=0,0,(VLOOKUP($D32,$C$5:$AU$493,19,)/VLOOKUP($D32,$C$5:$AU$493,3,))*$E32)</f>
        <v>0</v>
      </c>
      <c r="V32" s="67">
        <f>IF(VLOOKUP($D32,$C$5:$AU$493,3,)=0,0,(VLOOKUP($D32,$C$5:$AU$493,20,)/VLOOKUP($D32,$C$5:$AU$493,3,))*$E32)</f>
        <v>0</v>
      </c>
      <c r="W32" s="67">
        <f>IF(VLOOKUP($D32,$C$5:$AU$493,3,)=0,0,(VLOOKUP($D32,$C$5:$AU$493,21,)/VLOOKUP($D32,$C$5:$AU$493,3,))*$E32)</f>
        <v>0</v>
      </c>
      <c r="X32" s="67">
        <f>IF(VLOOKUP($D32,$C$5:$AU$493,3,)=0,0,(VLOOKUP($D32,$C$5:$AU$493,22,)/VLOOKUP($D32,$C$5:$AU$493,3,))*$E32)</f>
        <v>0</v>
      </c>
      <c r="Y32" s="67">
        <f>IF(VLOOKUP($D32,$C$5:$AU$493,3,)=0,0,(VLOOKUP($D32,$C$5:$AU$493,23,)/VLOOKUP($D32,$C$5:$AU$493,3,))*$E32)</f>
        <v>0</v>
      </c>
      <c r="Z32" s="67">
        <f>IF(VLOOKUP($D32,$C$5:$AU$493,3,)=0,0,(VLOOKUP($D32,$C$5:$AU$493,24,)/VLOOKUP($D32,$C$5:$AU$493,3,))*$E32)</f>
        <v>0</v>
      </c>
      <c r="AA32" s="67">
        <f>IF(VLOOKUP($D32,$C$5:$AU$493,3,)=0,0,(VLOOKUP($D32,$C$5:$AU$493,25,)/VLOOKUP($D32,$C$5:$AU$493,3,))*$E32)</f>
        <v>0</v>
      </c>
      <c r="AB32" s="67">
        <f>IF(VLOOKUP($D32,$C$5:$AU$493,3,)=0,0,(VLOOKUP($D32,$C$5:$AU$493,26,)/VLOOKUP($D32,$C$5:$AU$493,3,))*$E32)</f>
        <v>0</v>
      </c>
      <c r="AC32" s="67">
        <f>IF(VLOOKUP($D32,$C$5:$AU$493,3,)=0,0,(VLOOKUP($D32,$C$5:$AU$493,27,)/VLOOKUP($D32,$C$5:$AU$493,3,))*$E32)</f>
        <v>0</v>
      </c>
      <c r="AD32" s="67">
        <f>IF(VLOOKUP($D32,$C$5:$AU$493,3,)=0,0,(VLOOKUP($D32,$C$5:$AU$493,28,)/VLOOKUP($D32,$C$5:$AU$493,3,))*$E32)</f>
        <v>0</v>
      </c>
      <c r="AE32" s="67">
        <f>IF(VLOOKUP($D32,$C$5:$AU$493,3,)=0,0,(VLOOKUP($D32,$C$5:$AU$493,29,)/VLOOKUP($D32,$C$5:$AU$493,3,))*$E32)</f>
        <v>0</v>
      </c>
      <c r="AF32" s="67">
        <f>IF(VLOOKUP($D32,$C$5:$AU$493,3,)=0,0,(VLOOKUP($D32,$C$5:$AU$493,30,)/VLOOKUP($D32,$C$5:$AU$493,3,))*$E32)</f>
        <v>0</v>
      </c>
      <c r="AG32" s="90">
        <f>SUM(F32:AF32)</f>
        <v>3599095.7541083805</v>
      </c>
      <c r="AH32" s="28" t="str">
        <f>IF(ABS(E32-AG32)&lt;0.01,"ok","err")</f>
        <v>ok</v>
      </c>
    </row>
    <row r="33" spans="1:35" x14ac:dyDescent="0.25">
      <c r="E33" s="50"/>
    </row>
    <row r="34" spans="1:35" x14ac:dyDescent="0.25">
      <c r="A34" s="13" t="s">
        <v>544</v>
      </c>
      <c r="E34" s="50"/>
    </row>
    <row r="35" spans="1:35" x14ac:dyDescent="0.25">
      <c r="A35" s="93" t="s">
        <v>219</v>
      </c>
      <c r="C35" s="14" t="s">
        <v>231</v>
      </c>
      <c r="D35" s="14" t="s">
        <v>232</v>
      </c>
      <c r="E35" s="67">
        <f>'Func &amp; Classif'!Y82</f>
        <v>0</v>
      </c>
      <c r="F35" s="67">
        <f>IF(VLOOKUP($D35,$C$5:$AU$493,3,)=0,0,(VLOOKUP($D35,$C$5:$AU$493,4,)/VLOOKUP($D35,$C$5:$AU$493,3,))*$E35)</f>
        <v>0</v>
      </c>
      <c r="G35" s="67">
        <f>IF(VLOOKUP($D35,$C$5:$AU$493,3,)=0,0,(VLOOKUP($D35,$C$5:$AU$493,5,)/VLOOKUP($D35,$C$5:$AU$493,3,))*$E35)</f>
        <v>0</v>
      </c>
      <c r="H35" s="67">
        <f>IF(VLOOKUP($D35,$C$5:$AU$493,3,)=0,0,(VLOOKUP($D35,$C$5:$AU$493,6,)/VLOOKUP($D35,$C$5:$AU$493,3,))*$E35)</f>
        <v>0</v>
      </c>
      <c r="I35" s="67">
        <f>IF(VLOOKUP($D35,$C$5:$AU$493,3,)=0,0,(VLOOKUP($D35,$C$5:$AU$493,7,)/VLOOKUP($D35,$C$5:$AU$493,3,))*$E35)</f>
        <v>0</v>
      </c>
      <c r="J35" s="67">
        <f>IF(VLOOKUP($D35,$C$5:$AU$493,3,)=0,0,(VLOOKUP($D35,$C$5:$AU$493,8,)/VLOOKUP($D35,$C$5:$AU$493,3,))*$E35)</f>
        <v>0</v>
      </c>
      <c r="K35" s="67">
        <f>IF(VLOOKUP($D35,$C$5:$AU$493,3,)=0,0,(VLOOKUP($D35,$C$5:$AU$493,9,)/VLOOKUP($D35,$C$5:$AU$493,3,))*$E35)</f>
        <v>0</v>
      </c>
      <c r="L35" s="67">
        <f>IF(VLOOKUP($D35,$C$5:$AU$493,3,)=0,0,(VLOOKUP($D35,$C$5:$AU$493,10,)/VLOOKUP($D35,$C$5:$AU$493,3,))*$E35)</f>
        <v>0</v>
      </c>
      <c r="M35" s="67">
        <f>IF(VLOOKUP($D35,$C$5:$AU$493,3,)=0,0,(VLOOKUP($D35,$C$5:$AU$493,11,)/VLOOKUP($D35,$C$5:$AU$493,3,))*$E35)</f>
        <v>0</v>
      </c>
      <c r="N35" s="67">
        <f>IF(VLOOKUP($D35,$C$5:$AU$493,3,)=0,0,(VLOOKUP($D35,$C$5:$AU$493,12,)/VLOOKUP($D35,$C$5:$AU$493,3,))*$E35)</f>
        <v>0</v>
      </c>
      <c r="O35" s="67">
        <f>IF(VLOOKUP($D35,$C$5:$AU$493,3,)=0,0,(VLOOKUP($D35,$C$5:$AU$493,13,)/VLOOKUP($D35,$C$5:$AU$493,3,))*$E35)</f>
        <v>0</v>
      </c>
      <c r="P35" s="67">
        <f>IF(VLOOKUP($D35,$C$5:$AU$493,3,)=0,0,(VLOOKUP($D35,$C$5:$AU$493,14,)/VLOOKUP($D35,$C$5:$AU$493,3,))*$E35)</f>
        <v>0</v>
      </c>
      <c r="Q35" s="67">
        <f>IF(VLOOKUP($D35,$C$5:$AU$493,3,)=0,0,(VLOOKUP($D35,$C$5:$AU$493,15,)/VLOOKUP($D35,$C$5:$AU$493,3,))*$E35)</f>
        <v>0</v>
      </c>
      <c r="R35" s="67">
        <f>IF(VLOOKUP($D35,$C$5:$AU$493,3,)=0,0,(VLOOKUP($D35,$C$5:$AU$493,16,)/VLOOKUP($D35,$C$5:$AU$493,3,))*$E35)</f>
        <v>0</v>
      </c>
      <c r="S35" s="67">
        <f>IF(VLOOKUP($D35,$C$5:$AU$493,3,)=0,0,(VLOOKUP($D35,$C$5:$AU$493,17,)/VLOOKUP($D35,$C$5:$AU$493,3,))*$E35)</f>
        <v>0</v>
      </c>
      <c r="T35" s="67">
        <f>IF(VLOOKUP($D35,$C$5:$AU$493,3,)=0,0,(VLOOKUP($D35,$C$5:$AU$493,18,)/VLOOKUP($D35,$C$5:$AU$493,3,))*$E35)</f>
        <v>0</v>
      </c>
      <c r="U35" s="67">
        <f>IF(VLOOKUP($D35,$C$5:$AU$493,3,)=0,0,(VLOOKUP($D35,$C$5:$AU$493,19,)/VLOOKUP($D35,$C$5:$AU$493,3,))*$E35)</f>
        <v>0</v>
      </c>
      <c r="V35" s="67">
        <f>IF(VLOOKUP($D35,$C$5:$AU$493,3,)=0,0,(VLOOKUP($D35,$C$5:$AU$493,20,)/VLOOKUP($D35,$C$5:$AU$493,3,))*$E35)</f>
        <v>0</v>
      </c>
      <c r="W35" s="67">
        <f>IF(VLOOKUP($D35,$C$5:$AU$493,3,)=0,0,(VLOOKUP($D35,$C$5:$AU$493,21,)/VLOOKUP($D35,$C$5:$AU$493,3,))*$E35)</f>
        <v>0</v>
      </c>
      <c r="X35" s="67">
        <f>IF(VLOOKUP($D35,$C$5:$AU$493,3,)=0,0,(VLOOKUP($D35,$C$5:$AU$493,22,)/VLOOKUP($D35,$C$5:$AU$493,3,))*$E35)</f>
        <v>0</v>
      </c>
      <c r="Y35" s="67">
        <f>IF(VLOOKUP($D35,$C$5:$AU$493,3,)=0,0,(VLOOKUP($D35,$C$5:$AU$493,23,)/VLOOKUP($D35,$C$5:$AU$493,3,))*$E35)</f>
        <v>0</v>
      </c>
      <c r="Z35" s="67">
        <f>IF(VLOOKUP($D35,$C$5:$AU$493,3,)=0,0,(VLOOKUP($D35,$C$5:$AU$493,24,)/VLOOKUP($D35,$C$5:$AU$493,3,))*$E35)</f>
        <v>0</v>
      </c>
      <c r="AA35" s="67">
        <f>IF(VLOOKUP($D35,$C$5:$AU$493,3,)=0,0,(VLOOKUP($D35,$C$5:$AU$493,25,)/VLOOKUP($D35,$C$5:$AU$493,3,))*$E35)</f>
        <v>0</v>
      </c>
      <c r="AB35" s="67">
        <f>IF(VLOOKUP($D35,$C$5:$AU$493,3,)=0,0,(VLOOKUP($D35,$C$5:$AU$493,26,)/VLOOKUP($D35,$C$5:$AU$493,3,))*$E35)</f>
        <v>0</v>
      </c>
      <c r="AC35" s="67">
        <f>IF(VLOOKUP($D35,$C$5:$AU$493,3,)=0,0,(VLOOKUP($D35,$C$5:$AU$493,27,)/VLOOKUP($D35,$C$5:$AU$493,3,))*$E35)</f>
        <v>0</v>
      </c>
      <c r="AD35" s="67">
        <f>IF(VLOOKUP($D35,$C$5:$AU$493,3,)=0,0,(VLOOKUP($D35,$C$5:$AU$493,28,)/VLOOKUP($D35,$C$5:$AU$493,3,))*$E35)</f>
        <v>0</v>
      </c>
      <c r="AE35" s="67">
        <f>IF(VLOOKUP($D35,$C$5:$AU$493,3,)=0,0,(VLOOKUP($D35,$C$5:$AU$493,29,)/VLOOKUP($D35,$C$5:$AU$493,3,))*$E35)</f>
        <v>0</v>
      </c>
      <c r="AF35" s="67">
        <f>IF(VLOOKUP($D35,$C$5:$AU$493,3,)=0,0,(VLOOKUP($D35,$C$5:$AU$493,30,)/VLOOKUP($D35,$C$5:$AU$493,3,))*$E35)</f>
        <v>0</v>
      </c>
      <c r="AG35" s="90">
        <f>SUM(F35:AF35)</f>
        <v>0</v>
      </c>
      <c r="AH35" s="28" t="str">
        <f>IF(ABS(E35-AG35)&lt;0.01,"ok","err")</f>
        <v>ok</v>
      </c>
    </row>
    <row r="36" spans="1:35" x14ac:dyDescent="0.25">
      <c r="E36" s="50"/>
    </row>
    <row r="37" spans="1:35" x14ac:dyDescent="0.25">
      <c r="A37" s="13" t="s">
        <v>469</v>
      </c>
      <c r="E37" s="50"/>
    </row>
    <row r="38" spans="1:35" x14ac:dyDescent="0.25">
      <c r="A38" s="93" t="s">
        <v>219</v>
      </c>
      <c r="C38" s="14" t="s">
        <v>224</v>
      </c>
      <c r="D38" s="14" t="s">
        <v>233</v>
      </c>
      <c r="E38" s="67">
        <f>'Func &amp; Classif'!AA82</f>
        <v>0</v>
      </c>
      <c r="F38" s="67">
        <f>IF(VLOOKUP($D38,$C$5:$AU$493,3,)=0,0,(VLOOKUP($D38,$C$5:$AU$493,4,)/VLOOKUP($D38,$C$5:$AU$493,3,))*$E38)</f>
        <v>0</v>
      </c>
      <c r="G38" s="67">
        <f>IF(VLOOKUP($D38,$C$5:$AU$493,3,)=0,0,(VLOOKUP($D38,$C$5:$AU$493,5,)/VLOOKUP($D38,$C$5:$AU$493,3,))*$E38)</f>
        <v>0</v>
      </c>
      <c r="H38" s="67">
        <f>IF(VLOOKUP($D38,$C$5:$AU$493,3,)=0,0,(VLOOKUP($D38,$C$5:$AU$493,6,)/VLOOKUP($D38,$C$5:$AU$493,3,))*$E38)</f>
        <v>0</v>
      </c>
      <c r="I38" s="67">
        <f>IF(VLOOKUP($D38,$C$5:$AU$493,3,)=0,0,(VLOOKUP($D38,$C$5:$AU$493,7,)/VLOOKUP($D38,$C$5:$AU$493,3,))*$E38)</f>
        <v>0</v>
      </c>
      <c r="J38" s="67">
        <f>IF(VLOOKUP($D38,$C$5:$AU$493,3,)=0,0,(VLOOKUP($D38,$C$5:$AU$493,8,)/VLOOKUP($D38,$C$5:$AU$493,3,))*$E38)</f>
        <v>0</v>
      </c>
      <c r="K38" s="67">
        <f>IF(VLOOKUP($D38,$C$5:$AU$493,3,)=0,0,(VLOOKUP($D38,$C$5:$AU$493,9,)/VLOOKUP($D38,$C$5:$AU$493,3,))*$E38)</f>
        <v>0</v>
      </c>
      <c r="L38" s="67">
        <f>IF(VLOOKUP($D38,$C$5:$AU$493,3,)=0,0,(VLOOKUP($D38,$C$5:$AU$493,10,)/VLOOKUP($D38,$C$5:$AU$493,3,))*$E38)</f>
        <v>0</v>
      </c>
      <c r="M38" s="67">
        <f>IF(VLOOKUP($D38,$C$5:$AU$493,3,)=0,0,(VLOOKUP($D38,$C$5:$AU$493,11,)/VLOOKUP($D38,$C$5:$AU$493,3,))*$E38)</f>
        <v>0</v>
      </c>
      <c r="N38" s="67">
        <f>IF(VLOOKUP($D38,$C$5:$AU$493,3,)=0,0,(VLOOKUP($D38,$C$5:$AU$493,12,)/VLOOKUP($D38,$C$5:$AU$493,3,))*$E38)</f>
        <v>0</v>
      </c>
      <c r="O38" s="67">
        <f>IF(VLOOKUP($D38,$C$5:$AU$493,3,)=0,0,(VLOOKUP($D38,$C$5:$AU$493,13,)/VLOOKUP($D38,$C$5:$AU$493,3,))*$E38)</f>
        <v>0</v>
      </c>
      <c r="P38" s="67">
        <f>IF(VLOOKUP($D38,$C$5:$AU$493,3,)=0,0,(VLOOKUP($D38,$C$5:$AU$493,14,)/VLOOKUP($D38,$C$5:$AU$493,3,))*$E38)</f>
        <v>0</v>
      </c>
      <c r="Q38" s="67">
        <f>IF(VLOOKUP($D38,$C$5:$AU$493,3,)=0,0,(VLOOKUP($D38,$C$5:$AU$493,15,)/VLOOKUP($D38,$C$5:$AU$493,3,))*$E38)</f>
        <v>0</v>
      </c>
      <c r="R38" s="67">
        <f>IF(VLOOKUP($D38,$C$5:$AU$493,3,)=0,0,(VLOOKUP($D38,$C$5:$AU$493,16,)/VLOOKUP($D38,$C$5:$AU$493,3,))*$E38)</f>
        <v>0</v>
      </c>
      <c r="S38" s="67">
        <f>IF(VLOOKUP($D38,$C$5:$AU$493,3,)=0,0,(VLOOKUP($D38,$C$5:$AU$493,17,)/VLOOKUP($D38,$C$5:$AU$493,3,))*$E38)</f>
        <v>0</v>
      </c>
      <c r="T38" s="67">
        <f>IF(VLOOKUP($D38,$C$5:$AU$493,3,)=0,0,(VLOOKUP($D38,$C$5:$AU$493,18,)/VLOOKUP($D38,$C$5:$AU$493,3,))*$E38)</f>
        <v>0</v>
      </c>
      <c r="U38" s="67">
        <f>IF(VLOOKUP($D38,$C$5:$AU$493,3,)=0,0,(VLOOKUP($D38,$C$5:$AU$493,19,)/VLOOKUP($D38,$C$5:$AU$493,3,))*$E38)</f>
        <v>0</v>
      </c>
      <c r="V38" s="67">
        <f>IF(VLOOKUP($D38,$C$5:$AU$493,3,)=0,0,(VLOOKUP($D38,$C$5:$AU$493,20,)/VLOOKUP($D38,$C$5:$AU$493,3,))*$E38)</f>
        <v>0</v>
      </c>
      <c r="W38" s="67">
        <f>IF(VLOOKUP($D38,$C$5:$AU$493,3,)=0,0,(VLOOKUP($D38,$C$5:$AU$493,21,)/VLOOKUP($D38,$C$5:$AU$493,3,))*$E38)</f>
        <v>0</v>
      </c>
      <c r="X38" s="67">
        <f>IF(VLOOKUP($D38,$C$5:$AU$493,3,)=0,0,(VLOOKUP($D38,$C$5:$AU$493,22,)/VLOOKUP($D38,$C$5:$AU$493,3,))*$E38)</f>
        <v>0</v>
      </c>
      <c r="Y38" s="67">
        <f>IF(VLOOKUP($D38,$C$5:$AU$493,3,)=0,0,(VLOOKUP($D38,$C$5:$AU$493,23,)/VLOOKUP($D38,$C$5:$AU$493,3,))*$E38)</f>
        <v>0</v>
      </c>
      <c r="Z38" s="67">
        <f>IF(VLOOKUP($D38,$C$5:$AU$493,3,)=0,0,(VLOOKUP($D38,$C$5:$AU$493,24,)/VLOOKUP($D38,$C$5:$AU$493,3,))*$E38)</f>
        <v>0</v>
      </c>
      <c r="AA38" s="67">
        <f>IF(VLOOKUP($D38,$C$5:$AU$493,3,)=0,0,(VLOOKUP($D38,$C$5:$AU$493,25,)/VLOOKUP($D38,$C$5:$AU$493,3,))*$E38)</f>
        <v>0</v>
      </c>
      <c r="AB38" s="67">
        <f>IF(VLOOKUP($D38,$C$5:$AU$493,3,)=0,0,(VLOOKUP($D38,$C$5:$AU$493,26,)/VLOOKUP($D38,$C$5:$AU$493,3,))*$E38)</f>
        <v>0</v>
      </c>
      <c r="AC38" s="67">
        <f>IF(VLOOKUP($D38,$C$5:$AU$493,3,)=0,0,(VLOOKUP($D38,$C$5:$AU$493,27,)/VLOOKUP($D38,$C$5:$AU$493,3,))*$E38)</f>
        <v>0</v>
      </c>
      <c r="AD38" s="67">
        <f>IF(VLOOKUP($D38,$C$5:$AU$493,3,)=0,0,(VLOOKUP($D38,$C$5:$AU$493,28,)/VLOOKUP($D38,$C$5:$AU$493,3,))*$E38)</f>
        <v>0</v>
      </c>
      <c r="AE38" s="67">
        <f>IF(VLOOKUP($D38,$C$5:$AU$493,3,)=0,0,(VLOOKUP($D38,$C$5:$AU$493,29,)/VLOOKUP($D38,$C$5:$AU$493,3,))*$E38)</f>
        <v>0</v>
      </c>
      <c r="AF38" s="67">
        <f>IF(VLOOKUP($D38,$C$5:$AU$493,3,)=0,0,(VLOOKUP($D38,$C$5:$AU$493,30,)/VLOOKUP($D38,$C$5:$AU$493,3,))*$E38)</f>
        <v>0</v>
      </c>
      <c r="AG38" s="90">
        <f>SUM(F38:AF38)</f>
        <v>0</v>
      </c>
      <c r="AH38" s="28" t="str">
        <f>IF(ABS(E38-AG38)&lt;0.01,"ok","err")</f>
        <v>ok</v>
      </c>
    </row>
    <row r="39" spans="1:35" x14ac:dyDescent="0.25">
      <c r="E39" s="50"/>
    </row>
    <row r="40" spans="1:35" x14ac:dyDescent="0.25">
      <c r="A40" s="14" t="s">
        <v>0</v>
      </c>
      <c r="C40" s="14" t="s">
        <v>234</v>
      </c>
      <c r="E40" s="67">
        <f>E10+E13+E16+E21+E26+E29+E32+E35+E38</f>
        <v>113703057.64</v>
      </c>
      <c r="F40" s="67">
        <f t="shared" ref="F40:R40" si="6">F10+F13+F16+F21+F26+F29+F32+F35+F38</f>
        <v>78824279.808766603</v>
      </c>
      <c r="G40" s="67">
        <f t="shared" si="6"/>
        <v>83733.887644767441</v>
      </c>
      <c r="H40" s="67">
        <f t="shared" si="6"/>
        <v>3714209.4825710119</v>
      </c>
      <c r="I40" s="67">
        <f t="shared" si="6"/>
        <v>12868693.492949083</v>
      </c>
      <c r="J40" s="67">
        <f t="shared" si="6"/>
        <v>5396035.9329297161</v>
      </c>
      <c r="K40" s="67">
        <f t="shared" si="6"/>
        <v>7181273.1028448362</v>
      </c>
      <c r="L40" s="67">
        <f t="shared" si="6"/>
        <v>1878788.1858519637</v>
      </c>
      <c r="M40" s="67">
        <f t="shared" si="6"/>
        <v>3756043.7438130323</v>
      </c>
      <c r="N40" s="67">
        <f t="shared" si="6"/>
        <v>0</v>
      </c>
      <c r="O40" s="67">
        <f t="shared" si="6"/>
        <v>0</v>
      </c>
      <c r="P40" s="67">
        <f t="shared" si="6"/>
        <v>0</v>
      </c>
      <c r="Q40" s="67">
        <f t="shared" si="6"/>
        <v>0</v>
      </c>
      <c r="R40" s="67">
        <f t="shared" si="6"/>
        <v>0</v>
      </c>
      <c r="S40" s="67">
        <f t="shared" ref="S40:AF40" si="7">S10+S16+S21+S26+S29+S32+S35+S38</f>
        <v>0</v>
      </c>
      <c r="T40" s="67">
        <f t="shared" si="7"/>
        <v>0</v>
      </c>
      <c r="U40" s="67">
        <f t="shared" si="7"/>
        <v>0</v>
      </c>
      <c r="V40" s="67">
        <f t="shared" si="7"/>
        <v>0</v>
      </c>
      <c r="W40" s="67">
        <f t="shared" si="7"/>
        <v>0</v>
      </c>
      <c r="X40" s="67">
        <f t="shared" si="7"/>
        <v>0</v>
      </c>
      <c r="Y40" s="67">
        <f t="shared" si="7"/>
        <v>0</v>
      </c>
      <c r="Z40" s="67">
        <f t="shared" si="7"/>
        <v>0</v>
      </c>
      <c r="AA40" s="67">
        <f t="shared" si="7"/>
        <v>0</v>
      </c>
      <c r="AB40" s="67">
        <f t="shared" si="7"/>
        <v>0</v>
      </c>
      <c r="AC40" s="67">
        <f t="shared" si="7"/>
        <v>0</v>
      </c>
      <c r="AD40" s="67">
        <f t="shared" si="7"/>
        <v>0</v>
      </c>
      <c r="AE40" s="67">
        <f t="shared" si="7"/>
        <v>0</v>
      </c>
      <c r="AF40" s="67">
        <f t="shared" si="7"/>
        <v>0</v>
      </c>
      <c r="AG40" s="90">
        <f>SUM(F40:AF40)</f>
        <v>113703057.637371</v>
      </c>
      <c r="AH40" s="28" t="str">
        <f>IF(ABS(E40-AG40)&lt;0.01,"ok","err")</f>
        <v>ok</v>
      </c>
      <c r="AI40" s="90"/>
    </row>
    <row r="44" spans="1:35" x14ac:dyDescent="0.25">
      <c r="A44" s="26" t="s">
        <v>83</v>
      </c>
    </row>
    <row r="46" spans="1:35" x14ac:dyDescent="0.25">
      <c r="A46" s="13" t="s">
        <v>890</v>
      </c>
    </row>
    <row r="47" spans="1:35" x14ac:dyDescent="0.25">
      <c r="A47" s="93" t="s">
        <v>207</v>
      </c>
      <c r="C47" s="14" t="s">
        <v>235</v>
      </c>
      <c r="D47" s="14" t="s">
        <v>656</v>
      </c>
      <c r="E47" s="67">
        <f>'Func &amp; Classif'!H126</f>
        <v>0</v>
      </c>
      <c r="F47" s="67">
        <f>IF(VLOOKUP($D47,$C$5:$AU$493,3,)=0,0,(VLOOKUP($D47,$C$5:$AU$493,4,)/VLOOKUP($D47,$C$5:$AU$493,3,))*$E47)</f>
        <v>0</v>
      </c>
      <c r="G47" s="67">
        <f>IF(VLOOKUP($D47,$C$5:$AU$493,3,)=0,0,(VLOOKUP($D47,$C$5:$AU$493,5,)/VLOOKUP($D47,$C$5:$AU$493,3,))*$E47)</f>
        <v>0</v>
      </c>
      <c r="H47" s="67">
        <f>IF(VLOOKUP($D47,$C$5:$AU$493,3,)=0,0,(VLOOKUP($D47,$C$5:$AU$493,6,)/VLOOKUP($D47,$C$5:$AU$493,3,))*$E47)</f>
        <v>0</v>
      </c>
      <c r="I47" s="67">
        <f>IF(VLOOKUP($D47,$C$5:$AU$493,3,)=0,0,(VLOOKUP($D47,$C$5:$AU$493,7,)/VLOOKUP($D47,$C$5:$AU$493,3,))*$E47)</f>
        <v>0</v>
      </c>
      <c r="J47" s="67">
        <f>IF(VLOOKUP($D47,$C$5:$AU$493,3,)=0,0,(VLOOKUP($D47,$C$5:$AU$493,8,)/VLOOKUP($D47,$C$5:$AU$493,3,))*$E47)</f>
        <v>0</v>
      </c>
      <c r="K47" s="67">
        <f>IF(VLOOKUP($D47,$C$5:$AU$493,3,)=0,0,(VLOOKUP($D47,$C$5:$AU$493,9,)/VLOOKUP($D47,$C$5:$AU$493,3,))*$E47)</f>
        <v>0</v>
      </c>
      <c r="L47" s="67">
        <f>IF(VLOOKUP($D47,$C$5:$AU$493,3,)=0,0,(VLOOKUP($D47,$C$5:$AU$493,10,)/VLOOKUP($D47,$C$5:$AU$493,3,))*$E47)</f>
        <v>0</v>
      </c>
      <c r="M47" s="67">
        <f>IF(VLOOKUP($D47,$C$5:$AU$493,3,)=0,0,(VLOOKUP($D47,$C$5:$AU$493,11,)/VLOOKUP($D47,$C$5:$AU$493,3,))*$E47)</f>
        <v>0</v>
      </c>
      <c r="N47" s="67">
        <f>IF(VLOOKUP($D47,$C$5:$AU$493,3,)=0,0,(VLOOKUP($D47,$C$5:$AU$493,12,)/VLOOKUP($D47,$C$5:$AU$493,3,))*$E47)</f>
        <v>0</v>
      </c>
      <c r="O47" s="67">
        <f>IF(VLOOKUP($D47,$C$5:$AU$493,3,)=0,0,(VLOOKUP($D47,$C$5:$AU$493,13,)/VLOOKUP($D47,$C$5:$AU$493,3,))*$E47)</f>
        <v>0</v>
      </c>
      <c r="P47" s="67">
        <f>IF(VLOOKUP($D47,$C$5:$AU$493,3,)=0,0,(VLOOKUP($D47,$C$5:$AU$493,14,)/VLOOKUP($D47,$C$5:$AU$493,3,))*$E47)</f>
        <v>0</v>
      </c>
      <c r="Q47" s="67">
        <f>IF(VLOOKUP($D47,$C$5:$AU$493,3,)=0,0,(VLOOKUP($D47,$C$5:$AU$493,15,)/VLOOKUP($D47,$C$5:$AU$493,3,))*$E47)</f>
        <v>0</v>
      </c>
      <c r="R47" s="67">
        <f>IF(VLOOKUP($D47,$C$5:$AU$493,3,)=0,0,(VLOOKUP($D47,$C$5:$AU$493,16,)/VLOOKUP($D47,$C$5:$AU$493,3,))*$E47)</f>
        <v>0</v>
      </c>
      <c r="S47" s="67">
        <f>IF(VLOOKUP($D47,$C$5:$AU$493,3,)=0,0,(VLOOKUP($D47,$C$5:$AU$493,17,)/VLOOKUP($D47,$C$5:$AU$493,3,))*$E47)</f>
        <v>0</v>
      </c>
      <c r="T47" s="67">
        <f>IF(VLOOKUP($D47,$C$5:$AU$493,3,)=0,0,(VLOOKUP($D47,$C$5:$AU$493,18,)/VLOOKUP($D47,$C$5:$AU$493,3,))*$E47)</f>
        <v>0</v>
      </c>
      <c r="U47" s="67">
        <f>IF(VLOOKUP($D47,$C$5:$AU$493,3,)=0,0,(VLOOKUP($D47,$C$5:$AU$493,19,)/VLOOKUP($D47,$C$5:$AU$493,3,))*$E47)</f>
        <v>0</v>
      </c>
      <c r="V47" s="67">
        <f>IF(VLOOKUP($D47,$C$5:$AU$493,3,)=0,0,(VLOOKUP($D47,$C$5:$AU$493,20,)/VLOOKUP($D47,$C$5:$AU$493,3,))*$E47)</f>
        <v>0</v>
      </c>
      <c r="W47" s="67">
        <f>IF(VLOOKUP($D47,$C$5:$AU$493,3,)=0,0,(VLOOKUP($D47,$C$5:$AU$493,21,)/VLOOKUP($D47,$C$5:$AU$493,3,))*$E47)</f>
        <v>0</v>
      </c>
      <c r="X47" s="67">
        <f>IF(VLOOKUP($D47,$C$5:$AU$493,3,)=0,0,(VLOOKUP($D47,$C$5:$AU$493,22,)/VLOOKUP($D47,$C$5:$AU$493,3,))*$E47)</f>
        <v>0</v>
      </c>
      <c r="Y47" s="67">
        <f>IF(VLOOKUP($D47,$C$5:$AU$493,3,)=0,0,(VLOOKUP($D47,$C$5:$AU$493,23,)/VLOOKUP($D47,$C$5:$AU$493,3,))*$E47)</f>
        <v>0</v>
      </c>
      <c r="Z47" s="67">
        <f>IF(VLOOKUP($D47,$C$5:$AU$493,3,)=0,0,(VLOOKUP($D47,$C$5:$AU$493,24,)/VLOOKUP($D47,$C$5:$AU$493,3,))*$E47)</f>
        <v>0</v>
      </c>
      <c r="AA47" s="67">
        <f>IF(VLOOKUP($D47,$C$5:$AU$493,3,)=0,0,(VLOOKUP($D47,$C$5:$AU$493,25,)/VLOOKUP($D47,$C$5:$AU$493,3,))*$E47)</f>
        <v>0</v>
      </c>
      <c r="AB47" s="67">
        <f>IF(VLOOKUP($D47,$C$5:$AU$493,3,)=0,0,(VLOOKUP($D47,$C$5:$AU$493,26,)/VLOOKUP($D47,$C$5:$AU$493,3,))*$E47)</f>
        <v>0</v>
      </c>
      <c r="AC47" s="67">
        <f>IF(VLOOKUP($D47,$C$5:$AU$493,3,)=0,0,(VLOOKUP($D47,$C$5:$AU$493,27,)/VLOOKUP($D47,$C$5:$AU$493,3,))*$E47)</f>
        <v>0</v>
      </c>
      <c r="AD47" s="67">
        <f>IF(VLOOKUP($D47,$C$5:$AU$493,3,)=0,0,(VLOOKUP($D47,$C$5:$AU$493,28,)/VLOOKUP($D47,$C$5:$AU$493,3,))*$E47)</f>
        <v>0</v>
      </c>
      <c r="AE47" s="67">
        <f>IF(VLOOKUP($D47,$C$5:$AU$493,3,)=0,0,(VLOOKUP($D47,$C$5:$AU$493,29,)/VLOOKUP($D47,$C$5:$AU$493,3,))*$E47)</f>
        <v>0</v>
      </c>
      <c r="AF47" s="67">
        <f>IF(VLOOKUP($D47,$C$5:$AU$493,3,)=0,0,(VLOOKUP($D47,$C$5:$AU$493,30,)/VLOOKUP($D47,$C$5:$AU$493,3,))*$E47)</f>
        <v>0</v>
      </c>
      <c r="AG47" s="90">
        <f>SUM(F47:AF47)</f>
        <v>0</v>
      </c>
      <c r="AH47" s="28" t="str">
        <f>IF(ABS(E47-AG47)&lt;0.01,"ok","err")</f>
        <v>ok</v>
      </c>
    </row>
    <row r="48" spans="1:35" x14ac:dyDescent="0.25">
      <c r="A48" s="93" t="s">
        <v>210</v>
      </c>
      <c r="C48" s="14" t="s">
        <v>236</v>
      </c>
      <c r="D48" s="14" t="s">
        <v>665</v>
      </c>
      <c r="E48" s="50">
        <f>'Func &amp; Classif'!I126</f>
        <v>0</v>
      </c>
      <c r="F48" s="67">
        <f>IF(VLOOKUP($D48,$C$5:$AU$493,3,)=0,0,(VLOOKUP($D48,$C$5:$AU$493,4,)/VLOOKUP($D48,$C$5:$AU$493,3,))*$E48)</f>
        <v>0</v>
      </c>
      <c r="G48" s="67">
        <f>IF(VLOOKUP($D48,$C$5:$AU$493,3,)=0,0,(VLOOKUP($D48,$C$5:$AU$493,5,)/VLOOKUP($D48,$C$5:$AU$493,3,))*$E48)</f>
        <v>0</v>
      </c>
      <c r="H48" s="67">
        <f>IF(VLOOKUP($D48,$C$5:$AU$493,3,)=0,0,(VLOOKUP($D48,$C$5:$AU$493,6,)/VLOOKUP($D48,$C$5:$AU$493,3,))*$E48)</f>
        <v>0</v>
      </c>
      <c r="I48" s="67">
        <f>IF(VLOOKUP($D48,$C$5:$AU$493,3,)=0,0,(VLOOKUP($D48,$C$5:$AU$493,7,)/VLOOKUP($D48,$C$5:$AU$493,3,))*$E48)</f>
        <v>0</v>
      </c>
      <c r="J48" s="67">
        <f>IF(VLOOKUP($D48,$C$5:$AU$493,3,)=0,0,(VLOOKUP($D48,$C$5:$AU$493,8,)/VLOOKUP($D48,$C$5:$AU$493,3,))*$E48)</f>
        <v>0</v>
      </c>
      <c r="K48" s="67">
        <f>IF(VLOOKUP($D48,$C$5:$AU$493,3,)=0,0,(VLOOKUP($D48,$C$5:$AU$493,9,)/VLOOKUP($D48,$C$5:$AU$493,3,))*$E48)</f>
        <v>0</v>
      </c>
      <c r="L48" s="67">
        <f>IF(VLOOKUP($D48,$C$5:$AU$493,3,)=0,0,(VLOOKUP($D48,$C$5:$AU$493,10,)/VLOOKUP($D48,$C$5:$AU$493,3,))*$E48)</f>
        <v>0</v>
      </c>
      <c r="M48" s="67">
        <f>IF(VLOOKUP($D48,$C$5:$AU$493,3,)=0,0,(VLOOKUP($D48,$C$5:$AU$493,11,)/VLOOKUP($D48,$C$5:$AU$493,3,))*$E48)</f>
        <v>0</v>
      </c>
      <c r="N48" s="67">
        <f>IF(VLOOKUP($D48,$C$5:$AU$493,3,)=0,0,(VLOOKUP($D48,$C$5:$AU$493,12,)/VLOOKUP($D48,$C$5:$AU$493,3,))*$E48)</f>
        <v>0</v>
      </c>
      <c r="O48" s="67">
        <f>IF(VLOOKUP($D48,$C$5:$AU$493,3,)=0,0,(VLOOKUP($D48,$C$5:$AU$493,13,)/VLOOKUP($D48,$C$5:$AU$493,3,))*$E48)</f>
        <v>0</v>
      </c>
      <c r="P48" s="67">
        <f>IF(VLOOKUP($D48,$C$5:$AU$493,3,)=0,0,(VLOOKUP($D48,$C$5:$AU$493,14,)/VLOOKUP($D48,$C$5:$AU$493,3,))*$E48)</f>
        <v>0</v>
      </c>
      <c r="Q48" s="67">
        <f>IF(VLOOKUP($D48,$C$5:$AU$493,3,)=0,0,(VLOOKUP($D48,$C$5:$AU$493,15,)/VLOOKUP($D48,$C$5:$AU$493,3,))*$E48)</f>
        <v>0</v>
      </c>
      <c r="R48" s="67">
        <f>IF(VLOOKUP($D48,$C$5:$AU$493,3,)=0,0,(VLOOKUP($D48,$C$5:$AU$493,16,)/VLOOKUP($D48,$C$5:$AU$493,3,))*$E48)</f>
        <v>0</v>
      </c>
      <c r="S48" s="67">
        <f>IF(VLOOKUP($D48,$C$5:$AU$493,3,)=0,0,(VLOOKUP($D48,$C$5:$AU$493,17,)/VLOOKUP($D48,$C$5:$AU$493,3,))*$E48)</f>
        <v>0</v>
      </c>
      <c r="T48" s="67">
        <f>IF(VLOOKUP($D48,$C$5:$AU$493,3,)=0,0,(VLOOKUP($D48,$C$5:$AU$493,18,)/VLOOKUP($D48,$C$5:$AU$493,3,))*$E48)</f>
        <v>0</v>
      </c>
      <c r="U48" s="67">
        <f>IF(VLOOKUP($D48,$C$5:$AU$493,3,)=0,0,(VLOOKUP($D48,$C$5:$AU$493,19,)/VLOOKUP($D48,$C$5:$AU$493,3,))*$E48)</f>
        <v>0</v>
      </c>
      <c r="V48" s="67">
        <f>IF(VLOOKUP($D48,$C$5:$AU$493,3,)=0,0,(VLOOKUP($D48,$C$5:$AU$493,20,)/VLOOKUP($D48,$C$5:$AU$493,3,))*$E48)</f>
        <v>0</v>
      </c>
      <c r="W48" s="67">
        <f>IF(VLOOKUP($D48,$C$5:$AU$493,3,)=0,0,(VLOOKUP($D48,$C$5:$AU$493,21,)/VLOOKUP($D48,$C$5:$AU$493,3,))*$E48)</f>
        <v>0</v>
      </c>
      <c r="X48" s="67">
        <f>IF(VLOOKUP($D48,$C$5:$AU$493,3,)=0,0,(VLOOKUP($D48,$C$5:$AU$493,22,)/VLOOKUP($D48,$C$5:$AU$493,3,))*$E48)</f>
        <v>0</v>
      </c>
      <c r="Y48" s="67">
        <f>IF(VLOOKUP($D48,$C$5:$AU$493,3,)=0,0,(VLOOKUP($D48,$C$5:$AU$493,23,)/VLOOKUP($D48,$C$5:$AU$493,3,))*$E48)</f>
        <v>0</v>
      </c>
      <c r="Z48" s="67">
        <f>IF(VLOOKUP($D48,$C$5:$AU$493,3,)=0,0,(VLOOKUP($D48,$C$5:$AU$493,24,)/VLOOKUP($D48,$C$5:$AU$493,3,))*$E48)</f>
        <v>0</v>
      </c>
      <c r="AA48" s="67">
        <f>IF(VLOOKUP($D48,$C$5:$AU$493,3,)=0,0,(VLOOKUP($D48,$C$5:$AU$493,25,)/VLOOKUP($D48,$C$5:$AU$493,3,))*$E48)</f>
        <v>0</v>
      </c>
      <c r="AB48" s="67">
        <f>IF(VLOOKUP($D48,$C$5:$AU$493,3,)=0,0,(VLOOKUP($D48,$C$5:$AU$493,26,)/VLOOKUP($D48,$C$5:$AU$493,3,))*$E48)</f>
        <v>0</v>
      </c>
      <c r="AC48" s="67">
        <f>IF(VLOOKUP($D48,$C$5:$AU$493,3,)=0,0,(VLOOKUP($D48,$C$5:$AU$493,27,)/VLOOKUP($D48,$C$5:$AU$493,3,))*$E48)</f>
        <v>0</v>
      </c>
      <c r="AD48" s="67">
        <f>IF(VLOOKUP($D48,$C$5:$AU$493,3,)=0,0,(VLOOKUP($D48,$C$5:$AU$493,28,)/VLOOKUP($D48,$C$5:$AU$493,3,))*$E48)</f>
        <v>0</v>
      </c>
      <c r="AE48" s="67">
        <f>IF(VLOOKUP($D48,$C$5:$AU$493,3,)=0,0,(VLOOKUP($D48,$C$5:$AU$493,29,)/VLOOKUP($D48,$C$5:$AU$493,3,))*$E48)</f>
        <v>0</v>
      </c>
      <c r="AF48" s="67">
        <f>IF(VLOOKUP($D48,$C$5:$AU$493,3,)=0,0,(VLOOKUP($D48,$C$5:$AU$493,30,)/VLOOKUP($D48,$C$5:$AU$493,3,))*$E48)</f>
        <v>0</v>
      </c>
      <c r="AG48" s="90">
        <f>SUM(F48:AF48)</f>
        <v>0</v>
      </c>
      <c r="AH48" s="28" t="str">
        <f>IF(ABS(E48-AG48)&lt;0.01,"ok","err")</f>
        <v>ok</v>
      </c>
    </row>
    <row r="49" spans="1:34" x14ac:dyDescent="0.25">
      <c r="A49" s="14" t="s">
        <v>213</v>
      </c>
      <c r="C49" s="14" t="s">
        <v>237</v>
      </c>
      <c r="E49" s="50">
        <f t="shared" ref="E49:T49" si="8">E47+E48</f>
        <v>0</v>
      </c>
      <c r="F49" s="67">
        <f t="shared" si="8"/>
        <v>0</v>
      </c>
      <c r="G49" s="67">
        <f t="shared" si="8"/>
        <v>0</v>
      </c>
      <c r="H49" s="67">
        <f t="shared" si="8"/>
        <v>0</v>
      </c>
      <c r="I49" s="67">
        <f t="shared" si="8"/>
        <v>0</v>
      </c>
      <c r="J49" s="67">
        <f t="shared" si="8"/>
        <v>0</v>
      </c>
      <c r="K49" s="67">
        <f t="shared" si="8"/>
        <v>0</v>
      </c>
      <c r="L49" s="67">
        <f t="shared" si="8"/>
        <v>0</v>
      </c>
      <c r="M49" s="67">
        <f t="shared" si="8"/>
        <v>0</v>
      </c>
      <c r="N49" s="67">
        <f t="shared" si="8"/>
        <v>0</v>
      </c>
      <c r="O49" s="67">
        <f t="shared" si="8"/>
        <v>0</v>
      </c>
      <c r="P49" s="67">
        <f t="shared" si="8"/>
        <v>0</v>
      </c>
      <c r="Q49" s="67">
        <f t="shared" si="8"/>
        <v>0</v>
      </c>
      <c r="R49" s="67">
        <f t="shared" si="8"/>
        <v>0</v>
      </c>
      <c r="S49" s="67">
        <f t="shared" si="8"/>
        <v>0</v>
      </c>
      <c r="T49" s="67">
        <f t="shared" si="8"/>
        <v>0</v>
      </c>
      <c r="U49" s="67">
        <f t="shared" ref="U49:AF49" si="9">U47+U48</f>
        <v>0</v>
      </c>
      <c r="V49" s="67">
        <f t="shared" si="9"/>
        <v>0</v>
      </c>
      <c r="W49" s="67">
        <f t="shared" si="9"/>
        <v>0</v>
      </c>
      <c r="X49" s="67">
        <f t="shared" si="9"/>
        <v>0</v>
      </c>
      <c r="Y49" s="67">
        <f t="shared" si="9"/>
        <v>0</v>
      </c>
      <c r="Z49" s="67">
        <f t="shared" si="9"/>
        <v>0</v>
      </c>
      <c r="AA49" s="67">
        <f t="shared" si="9"/>
        <v>0</v>
      </c>
      <c r="AB49" s="67">
        <f t="shared" si="9"/>
        <v>0</v>
      </c>
      <c r="AC49" s="67">
        <f t="shared" si="9"/>
        <v>0</v>
      </c>
      <c r="AD49" s="67">
        <f t="shared" si="9"/>
        <v>0</v>
      </c>
      <c r="AE49" s="67">
        <f t="shared" si="9"/>
        <v>0</v>
      </c>
      <c r="AF49" s="67">
        <f t="shared" si="9"/>
        <v>0</v>
      </c>
      <c r="AG49" s="90">
        <f>SUM(F49:AF49)</f>
        <v>0</v>
      </c>
      <c r="AH49" s="28" t="str">
        <f>IF(ABS(E49-AG49)&lt;0.01,"ok","err")</f>
        <v>ok</v>
      </c>
    </row>
    <row r="50" spans="1:34" x14ac:dyDescent="0.25">
      <c r="E50" s="50"/>
      <c r="F50" s="50"/>
    </row>
    <row r="51" spans="1:34" x14ac:dyDescent="0.25">
      <c r="A51" s="13" t="s">
        <v>348</v>
      </c>
      <c r="E51" s="50"/>
      <c r="F51" s="50"/>
    </row>
    <row r="52" spans="1:34" x14ac:dyDescent="0.25">
      <c r="A52" s="93" t="s">
        <v>207</v>
      </c>
      <c r="C52" s="14" t="s">
        <v>879</v>
      </c>
      <c r="D52" s="14" t="s">
        <v>599</v>
      </c>
      <c r="E52" s="67">
        <f>'Func &amp; Classif'!K126</f>
        <v>0</v>
      </c>
      <c r="F52" s="67">
        <f>IF(VLOOKUP($D52,$C$5:$AU$493,3,)=0,0,(VLOOKUP($D52,$C$5:$AU$493,4,)/VLOOKUP($D52,$C$5:$AU$493,3,))*$E52)</f>
        <v>0</v>
      </c>
      <c r="G52" s="67">
        <f>IF(VLOOKUP($D52,$C$5:$AU$493,3,)=0,0,(VLOOKUP($D52,$C$5:$AU$493,5,)/VLOOKUP($D52,$C$5:$AU$493,3,))*$E52)</f>
        <v>0</v>
      </c>
      <c r="H52" s="67">
        <f>IF(VLOOKUP($D52,$C$5:$AU$493,3,)=0,0,(VLOOKUP($D52,$C$5:$AU$493,6,)/VLOOKUP($D52,$C$5:$AU$493,3,))*$E52)</f>
        <v>0</v>
      </c>
      <c r="I52" s="67">
        <f>IF(VLOOKUP($D52,$C$5:$AU$493,3,)=0,0,(VLOOKUP($D52,$C$5:$AU$493,7,)/VLOOKUP($D52,$C$5:$AU$493,3,))*$E52)</f>
        <v>0</v>
      </c>
      <c r="J52" s="67">
        <f>IF(VLOOKUP($D52,$C$5:$AU$493,3,)=0,0,(VLOOKUP($D52,$C$5:$AU$493,8,)/VLOOKUP($D52,$C$5:$AU$493,3,))*$E52)</f>
        <v>0</v>
      </c>
      <c r="K52" s="67">
        <f>IF(VLOOKUP($D52,$C$5:$AU$493,3,)=0,0,(VLOOKUP($D52,$C$5:$AU$493,9,)/VLOOKUP($D52,$C$5:$AU$493,3,))*$E52)</f>
        <v>0</v>
      </c>
      <c r="L52" s="67">
        <f>IF(VLOOKUP($D52,$C$5:$AU$493,3,)=0,0,(VLOOKUP($D52,$C$5:$AU$493,10,)/VLOOKUP($D52,$C$5:$AU$493,3,))*$E52)</f>
        <v>0</v>
      </c>
      <c r="M52" s="67">
        <f>IF(VLOOKUP($D52,$C$5:$AU$493,3,)=0,0,(VLOOKUP($D52,$C$5:$AU$493,11,)/VLOOKUP($D52,$C$5:$AU$493,3,))*$E52)</f>
        <v>0</v>
      </c>
      <c r="N52" s="67">
        <f>IF(VLOOKUP($D52,$C$5:$AU$493,3,)=0,0,(VLOOKUP($D52,$C$5:$AU$493,12,)/VLOOKUP($D52,$C$5:$AU$493,3,))*$E52)</f>
        <v>0</v>
      </c>
      <c r="O52" s="67">
        <f>IF(VLOOKUP($D52,$C$5:$AU$493,3,)=0,0,(VLOOKUP($D52,$C$5:$AU$493,13,)/VLOOKUP($D52,$C$5:$AU$493,3,))*$E52)</f>
        <v>0</v>
      </c>
      <c r="P52" s="67">
        <f>IF(VLOOKUP($D52,$C$5:$AU$493,3,)=0,0,(VLOOKUP($D52,$C$5:$AU$493,14,)/VLOOKUP($D52,$C$5:$AU$493,3,))*$E52)</f>
        <v>0</v>
      </c>
      <c r="Q52" s="67">
        <f>IF(VLOOKUP($D52,$C$5:$AU$493,3,)=0,0,(VLOOKUP($D52,$C$5:$AU$493,15,)/VLOOKUP($D52,$C$5:$AU$493,3,))*$E52)</f>
        <v>0</v>
      </c>
      <c r="R52" s="67">
        <f>IF(VLOOKUP($D52,$C$5:$AU$493,3,)=0,0,(VLOOKUP($D52,$C$5:$AU$493,16,)/VLOOKUP($D52,$C$5:$AU$493,3,))*$E52)</f>
        <v>0</v>
      </c>
      <c r="S52" s="67">
        <f>IF(VLOOKUP($D52,$C$5:$AU$493,3,)=0,0,(VLOOKUP($D52,$C$5:$AU$493,17,)/VLOOKUP($D52,$C$5:$AU$493,3,))*$E52)</f>
        <v>0</v>
      </c>
      <c r="T52" s="67">
        <f>IF(VLOOKUP($D52,$C$5:$AU$493,3,)=0,0,(VLOOKUP($D52,$C$5:$AU$493,18,)/VLOOKUP($D52,$C$5:$AU$493,3,))*$E52)</f>
        <v>0</v>
      </c>
      <c r="U52" s="67">
        <f>IF(VLOOKUP($D52,$C$5:$AU$493,3,)=0,0,(VLOOKUP($D52,$C$5:$AU$493,19,)/VLOOKUP($D52,$C$5:$AU$493,3,))*$E52)</f>
        <v>0</v>
      </c>
      <c r="V52" s="67">
        <f>IF(VLOOKUP($D52,$C$5:$AU$493,3,)=0,0,(VLOOKUP($D52,$C$5:$AU$493,20,)/VLOOKUP($D52,$C$5:$AU$493,3,))*$E52)</f>
        <v>0</v>
      </c>
      <c r="W52" s="67">
        <f>IF(VLOOKUP($D52,$C$5:$AU$493,3,)=0,0,(VLOOKUP($D52,$C$5:$AU$493,21,)/VLOOKUP($D52,$C$5:$AU$493,3,))*$E52)</f>
        <v>0</v>
      </c>
      <c r="X52" s="67">
        <f>IF(VLOOKUP($D52,$C$5:$AU$493,3,)=0,0,(VLOOKUP($D52,$C$5:$AU$493,22,)/VLOOKUP($D52,$C$5:$AU$493,3,))*$E52)</f>
        <v>0</v>
      </c>
      <c r="Y52" s="67">
        <f>IF(VLOOKUP($D52,$C$5:$AU$493,3,)=0,0,(VLOOKUP($D52,$C$5:$AU$493,23,)/VLOOKUP($D52,$C$5:$AU$493,3,))*$E52)</f>
        <v>0</v>
      </c>
      <c r="Z52" s="67">
        <f>IF(VLOOKUP($D52,$C$5:$AU$493,3,)=0,0,(VLOOKUP($D52,$C$5:$AU$493,24,)/VLOOKUP($D52,$C$5:$AU$493,3,))*$E52)</f>
        <v>0</v>
      </c>
      <c r="AA52" s="67">
        <f>IF(VLOOKUP($D52,$C$5:$AU$493,3,)=0,0,(VLOOKUP($D52,$C$5:$AU$493,25,)/VLOOKUP($D52,$C$5:$AU$493,3,))*$E52)</f>
        <v>0</v>
      </c>
      <c r="AB52" s="67">
        <f>IF(VLOOKUP($D52,$C$5:$AU$493,3,)=0,0,(VLOOKUP($D52,$C$5:$AU$493,26,)/VLOOKUP($D52,$C$5:$AU$493,3,))*$E52)</f>
        <v>0</v>
      </c>
      <c r="AC52" s="67">
        <f>IF(VLOOKUP($D52,$C$5:$AU$493,3,)=0,0,(VLOOKUP($D52,$C$5:$AU$493,27,)/VLOOKUP($D52,$C$5:$AU$493,3,))*$E52)</f>
        <v>0</v>
      </c>
      <c r="AD52" s="67">
        <f>IF(VLOOKUP($D52,$C$5:$AU$493,3,)=0,0,(VLOOKUP($D52,$C$5:$AU$493,28,)/VLOOKUP($D52,$C$5:$AU$493,3,))*$E52)</f>
        <v>0</v>
      </c>
      <c r="AE52" s="67">
        <f>IF(VLOOKUP($D52,$C$5:$AU$493,3,)=0,0,(VLOOKUP($D52,$C$5:$AU$493,29,)/VLOOKUP($D52,$C$5:$AU$493,3,))*$E52)</f>
        <v>0</v>
      </c>
      <c r="AF52" s="67">
        <f>IF(VLOOKUP($D52,$C$5:$AU$493,3,)=0,0,(VLOOKUP($D52,$C$5:$AU$493,30,)/VLOOKUP($D52,$C$5:$AU$493,3,))*$E52)</f>
        <v>0</v>
      </c>
      <c r="AG52" s="90">
        <f>SUM(F52:AF52)</f>
        <v>0</v>
      </c>
      <c r="AH52" s="28" t="str">
        <f>IF(ABS(E52-AG52)&lt;0.01,"ok","err")</f>
        <v>ok</v>
      </c>
    </row>
    <row r="53" spans="1:34" x14ac:dyDescent="0.25">
      <c r="E53" s="50"/>
    </row>
    <row r="54" spans="1:34" x14ac:dyDescent="0.25">
      <c r="A54" s="13" t="s">
        <v>1</v>
      </c>
      <c r="E54" s="50"/>
      <c r="F54" s="50"/>
    </row>
    <row r="55" spans="1:34" x14ac:dyDescent="0.25">
      <c r="A55" s="93" t="s">
        <v>207</v>
      </c>
      <c r="C55" s="14" t="s">
        <v>238</v>
      </c>
      <c r="D55" s="14" t="s">
        <v>615</v>
      </c>
      <c r="E55" s="67">
        <f>'Func &amp; Classif'!M126</f>
        <v>773289.30730637</v>
      </c>
      <c r="F55" s="67">
        <f>IF(VLOOKUP($D55,$C$5:$AU$493,3,)=0,0,(VLOOKUP($D55,$C$5:$AU$493,4,)/VLOOKUP($D55,$C$5:$AU$493,3,))*$E55)</f>
        <v>494207.75294447143</v>
      </c>
      <c r="G55" s="67">
        <f>IF(VLOOKUP($D55,$C$5:$AU$493,3,)=0,0,(VLOOKUP($D55,$C$5:$AU$493,5,)/VLOOKUP($D55,$C$5:$AU$493,3,))*$E55)</f>
        <v>0</v>
      </c>
      <c r="H55" s="67">
        <f>IF(VLOOKUP($D55,$C$5:$AU$493,3,)=0,0,(VLOOKUP($D55,$C$5:$AU$493,6,)/VLOOKUP($D55,$C$5:$AU$493,3,))*$E55)</f>
        <v>35104.263332842704</v>
      </c>
      <c r="I55" s="67">
        <f>IF(VLOOKUP($D55,$C$5:$AU$493,3,)=0,0,(VLOOKUP($D55,$C$5:$AU$493,7,)/VLOOKUP($D55,$C$5:$AU$493,3,))*$E55)</f>
        <v>70995.137238922092</v>
      </c>
      <c r="J55" s="67">
        <f>IF(VLOOKUP($D55,$C$5:$AU$493,3,)=0,0,(VLOOKUP($D55,$C$5:$AU$493,8,)/VLOOKUP($D55,$C$5:$AU$493,3,))*$E55)</f>
        <v>57334.5116656596</v>
      </c>
      <c r="K55" s="67">
        <f>IF(VLOOKUP($D55,$C$5:$AU$493,3,)=0,0,(VLOOKUP($D55,$C$5:$AU$493,9,)/VLOOKUP($D55,$C$5:$AU$493,3,))*$E55)</f>
        <v>91624.058878642187</v>
      </c>
      <c r="L55" s="67">
        <f>IF(VLOOKUP($D55,$C$5:$AU$493,3,)=0,0,(VLOOKUP($D55,$C$5:$AU$493,10,)/VLOOKUP($D55,$C$5:$AU$493,3,))*$E55)</f>
        <v>24023.581137867415</v>
      </c>
      <c r="M55" s="67">
        <f>IF(VLOOKUP($D55,$C$5:$AU$493,3,)=0,0,(VLOOKUP($D55,$C$5:$AU$493,11,)/VLOOKUP($D55,$C$5:$AU$493,3,))*$E55)</f>
        <v>0</v>
      </c>
      <c r="N55" s="67">
        <f>IF(VLOOKUP($D55,$C$5:$AU$493,3,)=0,0,(VLOOKUP($D55,$C$5:$AU$493,12,)/VLOOKUP($D55,$C$5:$AU$493,3,))*$E55)</f>
        <v>0</v>
      </c>
      <c r="O55" s="67">
        <f>IF(VLOOKUP($D55,$C$5:$AU$493,3,)=0,0,(VLOOKUP($D55,$C$5:$AU$493,13,)/VLOOKUP($D55,$C$5:$AU$493,3,))*$E55)</f>
        <v>0</v>
      </c>
      <c r="P55" s="67">
        <f>IF(VLOOKUP($D55,$C$5:$AU$493,3,)=0,0,(VLOOKUP($D55,$C$5:$AU$493,14,)/VLOOKUP($D55,$C$5:$AU$493,3,))*$E55)</f>
        <v>0</v>
      </c>
      <c r="Q55" s="67">
        <f>IF(VLOOKUP($D55,$C$5:$AU$493,3,)=0,0,(VLOOKUP($D55,$C$5:$AU$493,15,)/VLOOKUP($D55,$C$5:$AU$493,3,))*$E55)</f>
        <v>0</v>
      </c>
      <c r="R55" s="67">
        <f>IF(VLOOKUP($D55,$C$5:$AU$493,3,)=0,0,(VLOOKUP($D55,$C$5:$AU$493,16,)/VLOOKUP($D55,$C$5:$AU$493,3,))*$E55)</f>
        <v>0</v>
      </c>
      <c r="S55" s="67">
        <f>IF(VLOOKUP($D55,$C$5:$AU$493,3,)=0,0,(VLOOKUP($D55,$C$5:$AU$493,17,)/VLOOKUP($D55,$C$5:$AU$493,3,))*$E55)</f>
        <v>0</v>
      </c>
      <c r="T55" s="67">
        <f>IF(VLOOKUP($D55,$C$5:$AU$493,3,)=0,0,(VLOOKUP($D55,$C$5:$AU$493,18,)/VLOOKUP($D55,$C$5:$AU$493,3,))*$E55)</f>
        <v>0</v>
      </c>
      <c r="U55" s="67">
        <f>IF(VLOOKUP($D55,$C$5:$AU$493,3,)=0,0,(VLOOKUP($D55,$C$5:$AU$493,19,)/VLOOKUP($D55,$C$5:$AU$493,3,))*$E55)</f>
        <v>0</v>
      </c>
      <c r="V55" s="67">
        <f>IF(VLOOKUP($D55,$C$5:$AU$493,3,)=0,0,(VLOOKUP($D55,$C$5:$AU$493,20,)/VLOOKUP($D55,$C$5:$AU$493,3,))*$E55)</f>
        <v>0</v>
      </c>
      <c r="W55" s="67">
        <f>IF(VLOOKUP($D55,$C$5:$AU$493,3,)=0,0,(VLOOKUP($D55,$C$5:$AU$493,21,)/VLOOKUP($D55,$C$5:$AU$493,3,))*$E55)</f>
        <v>0</v>
      </c>
      <c r="X55" s="67">
        <f>IF(VLOOKUP($D55,$C$5:$AU$493,3,)=0,0,(VLOOKUP($D55,$C$5:$AU$493,22,)/VLOOKUP($D55,$C$5:$AU$493,3,))*$E55)</f>
        <v>0</v>
      </c>
      <c r="Y55" s="67">
        <f>IF(VLOOKUP($D55,$C$5:$AU$493,3,)=0,0,(VLOOKUP($D55,$C$5:$AU$493,23,)/VLOOKUP($D55,$C$5:$AU$493,3,))*$E55)</f>
        <v>0</v>
      </c>
      <c r="Z55" s="67">
        <f>IF(VLOOKUP($D55,$C$5:$AU$493,3,)=0,0,(VLOOKUP($D55,$C$5:$AU$493,24,)/VLOOKUP($D55,$C$5:$AU$493,3,))*$E55)</f>
        <v>0</v>
      </c>
      <c r="AA55" s="67">
        <f>IF(VLOOKUP($D55,$C$5:$AU$493,3,)=0,0,(VLOOKUP($D55,$C$5:$AU$493,25,)/VLOOKUP($D55,$C$5:$AU$493,3,))*$E55)</f>
        <v>0</v>
      </c>
      <c r="AB55" s="67">
        <f>IF(VLOOKUP($D55,$C$5:$AU$493,3,)=0,0,(VLOOKUP($D55,$C$5:$AU$493,26,)/VLOOKUP($D55,$C$5:$AU$493,3,))*$E55)</f>
        <v>0</v>
      </c>
      <c r="AC55" s="67">
        <f>IF(VLOOKUP($D55,$C$5:$AU$493,3,)=0,0,(VLOOKUP($D55,$C$5:$AU$493,27,)/VLOOKUP($D55,$C$5:$AU$493,3,))*$E55)</f>
        <v>0</v>
      </c>
      <c r="AD55" s="67">
        <f>IF(VLOOKUP($D55,$C$5:$AU$493,3,)=0,0,(VLOOKUP($D55,$C$5:$AU$493,28,)/VLOOKUP($D55,$C$5:$AU$493,3,))*$E55)</f>
        <v>0</v>
      </c>
      <c r="AE55" s="67">
        <f>IF(VLOOKUP($D55,$C$5:$AU$493,3,)=0,0,(VLOOKUP($D55,$C$5:$AU$493,29,)/VLOOKUP($D55,$C$5:$AU$493,3,))*$E55)</f>
        <v>0</v>
      </c>
      <c r="AF55" s="67">
        <f>IF(VLOOKUP($D55,$C$5:$AU$493,3,)=0,0,(VLOOKUP($D55,$C$5:$AU$493,30,)/VLOOKUP($D55,$C$5:$AU$493,3,))*$E55)</f>
        <v>0</v>
      </c>
      <c r="AG55" s="90">
        <f>SUM(F55:AF55)</f>
        <v>773289.3051984054</v>
      </c>
      <c r="AH55" s="28" t="str">
        <f>IF(ABS(E55-AG55)&lt;0.01,"ok","err")</f>
        <v>ok</v>
      </c>
    </row>
    <row r="56" spans="1:34" x14ac:dyDescent="0.25">
      <c r="E56" s="50"/>
    </row>
    <row r="57" spans="1:34" x14ac:dyDescent="0.25">
      <c r="A57" s="13" t="s">
        <v>2</v>
      </c>
      <c r="E57" s="50"/>
    </row>
    <row r="58" spans="1:34" x14ac:dyDescent="0.25">
      <c r="A58" s="93" t="s">
        <v>207</v>
      </c>
      <c r="C58" s="14" t="s">
        <v>239</v>
      </c>
      <c r="D58" s="14" t="s">
        <v>607</v>
      </c>
      <c r="E58" s="67">
        <f>'Func &amp; Classif'!O126</f>
        <v>52542238.306510098</v>
      </c>
      <c r="F58" s="67">
        <f>IF(VLOOKUP($D58,$C$5:$AU$493,3,)=0,0,(VLOOKUP($D58,$C$5:$AU$493,4,)/VLOOKUP($D58,$C$5:$AU$493,3,))*$E58)</f>
        <v>37300184.931915</v>
      </c>
      <c r="G58" s="67">
        <f>IF(VLOOKUP($D58,$C$5:$AU$493,3,)=0,0,(VLOOKUP($D58,$C$5:$AU$493,5,)/VLOOKUP($D58,$C$5:$AU$493,3,))*$E58)</f>
        <v>32849.234785617773</v>
      </c>
      <c r="H58" s="67">
        <f>IF(VLOOKUP($D58,$C$5:$AU$493,3,)=0,0,(VLOOKUP($D58,$C$5:$AU$493,6,)/VLOOKUP($D58,$C$5:$AU$493,3,))*$E58)</f>
        <v>1351140.4117876382</v>
      </c>
      <c r="I58" s="67">
        <f>IF(VLOOKUP($D58,$C$5:$AU$493,3,)=0,0,(VLOOKUP($D58,$C$5:$AU$493,7,)/VLOOKUP($D58,$C$5:$AU$493,3,))*$E58)</f>
        <v>2716381.4009181927</v>
      </c>
      <c r="J58" s="67">
        <f>IF(VLOOKUP($D58,$C$5:$AU$493,3,)=0,0,(VLOOKUP($D58,$C$5:$AU$493,8,)/VLOOKUP($D58,$C$5:$AU$493,3,))*$E58)</f>
        <v>3927707.6573559754</v>
      </c>
      <c r="K58" s="67">
        <f>IF(VLOOKUP($D58,$C$5:$AU$493,3,)=0,0,(VLOOKUP($D58,$C$5:$AU$493,9,)/VLOOKUP($D58,$C$5:$AU$493,3,))*$E58)</f>
        <v>5649045.5134389922</v>
      </c>
      <c r="L58" s="67">
        <f>IF(VLOOKUP($D58,$C$5:$AU$493,3,)=0,0,(VLOOKUP($D58,$C$5:$AU$493,10,)/VLOOKUP($D58,$C$5:$AU$493,3,))*$E58)</f>
        <v>1481164.498762911</v>
      </c>
      <c r="M58" s="67">
        <f>IF(VLOOKUP($D58,$C$5:$AU$493,3,)=0,0,(VLOOKUP($D58,$C$5:$AU$493,11,)/VLOOKUP($D58,$C$5:$AU$493,3,))*$E58)</f>
        <v>83764.657545782902</v>
      </c>
      <c r="N58" s="67">
        <f>IF(VLOOKUP($D58,$C$5:$AU$493,3,)=0,0,(VLOOKUP($D58,$C$5:$AU$493,12,)/VLOOKUP($D58,$C$5:$AU$493,3,))*$E58)</f>
        <v>0</v>
      </c>
      <c r="O58" s="67">
        <f>IF(VLOOKUP($D58,$C$5:$AU$493,3,)=0,0,(VLOOKUP($D58,$C$5:$AU$493,13,)/VLOOKUP($D58,$C$5:$AU$493,3,))*$E58)</f>
        <v>0</v>
      </c>
      <c r="P58" s="67">
        <f>IF(VLOOKUP($D58,$C$5:$AU$493,3,)=0,0,(VLOOKUP($D58,$C$5:$AU$493,14,)/VLOOKUP($D58,$C$5:$AU$493,3,))*$E58)</f>
        <v>0</v>
      </c>
      <c r="Q58" s="67">
        <f>IF(VLOOKUP($D58,$C$5:$AU$493,3,)=0,0,(VLOOKUP($D58,$C$5:$AU$493,15,)/VLOOKUP($D58,$C$5:$AU$493,3,))*$E58)</f>
        <v>0</v>
      </c>
      <c r="R58" s="67">
        <f>IF(VLOOKUP($D58,$C$5:$AU$493,3,)=0,0,(VLOOKUP($D58,$C$5:$AU$493,16,)/VLOOKUP($D58,$C$5:$AU$493,3,))*$E58)</f>
        <v>0</v>
      </c>
      <c r="S58" s="67">
        <f>IF(VLOOKUP($D58,$C$5:$AU$493,3,)=0,0,(VLOOKUP($D58,$C$5:$AU$493,17,)/VLOOKUP($D58,$C$5:$AU$493,3,))*$E58)</f>
        <v>0</v>
      </c>
      <c r="T58" s="67">
        <f>IF(VLOOKUP($D58,$C$5:$AU$493,3,)=0,0,(VLOOKUP($D58,$C$5:$AU$493,18,)/VLOOKUP($D58,$C$5:$AU$493,3,))*$E58)</f>
        <v>0</v>
      </c>
      <c r="U58" s="67">
        <f>IF(VLOOKUP($D58,$C$5:$AU$493,3,)=0,0,(VLOOKUP($D58,$C$5:$AU$493,19,)/VLOOKUP($D58,$C$5:$AU$493,3,))*$E58)</f>
        <v>0</v>
      </c>
      <c r="V58" s="67">
        <f>IF(VLOOKUP($D58,$C$5:$AU$493,3,)=0,0,(VLOOKUP($D58,$C$5:$AU$493,20,)/VLOOKUP($D58,$C$5:$AU$493,3,))*$E58)</f>
        <v>0</v>
      </c>
      <c r="W58" s="67">
        <f>IF(VLOOKUP($D58,$C$5:$AU$493,3,)=0,0,(VLOOKUP($D58,$C$5:$AU$493,21,)/VLOOKUP($D58,$C$5:$AU$493,3,))*$E58)</f>
        <v>0</v>
      </c>
      <c r="X58" s="67">
        <f>IF(VLOOKUP($D58,$C$5:$AU$493,3,)=0,0,(VLOOKUP($D58,$C$5:$AU$493,22,)/VLOOKUP($D58,$C$5:$AU$493,3,))*$E58)</f>
        <v>0</v>
      </c>
      <c r="Y58" s="67">
        <f>IF(VLOOKUP($D58,$C$5:$AU$493,3,)=0,0,(VLOOKUP($D58,$C$5:$AU$493,23,)/VLOOKUP($D58,$C$5:$AU$493,3,))*$E58)</f>
        <v>0</v>
      </c>
      <c r="Z58" s="67">
        <f>IF(VLOOKUP($D58,$C$5:$AU$493,3,)=0,0,(VLOOKUP($D58,$C$5:$AU$493,24,)/VLOOKUP($D58,$C$5:$AU$493,3,))*$E58)</f>
        <v>0</v>
      </c>
      <c r="AA58" s="67">
        <f>IF(VLOOKUP($D58,$C$5:$AU$493,3,)=0,0,(VLOOKUP($D58,$C$5:$AU$493,25,)/VLOOKUP($D58,$C$5:$AU$493,3,))*$E58)</f>
        <v>0</v>
      </c>
      <c r="AB58" s="67">
        <f>IF(VLOOKUP($D58,$C$5:$AU$493,3,)=0,0,(VLOOKUP($D58,$C$5:$AU$493,26,)/VLOOKUP($D58,$C$5:$AU$493,3,))*$E58)</f>
        <v>0</v>
      </c>
      <c r="AC58" s="67">
        <f>IF(VLOOKUP($D58,$C$5:$AU$493,3,)=0,0,(VLOOKUP($D58,$C$5:$AU$493,27,)/VLOOKUP($D58,$C$5:$AU$493,3,))*$E58)</f>
        <v>0</v>
      </c>
      <c r="AD58" s="67">
        <f>IF(VLOOKUP($D58,$C$5:$AU$493,3,)=0,0,(VLOOKUP($D58,$C$5:$AU$493,28,)/VLOOKUP($D58,$C$5:$AU$493,3,))*$E58)</f>
        <v>0</v>
      </c>
      <c r="AE58" s="67">
        <f>IF(VLOOKUP($D58,$C$5:$AU$493,3,)=0,0,(VLOOKUP($D58,$C$5:$AU$493,29,)/VLOOKUP($D58,$C$5:$AU$493,3,))*$E58)</f>
        <v>0</v>
      </c>
      <c r="AF58" s="67">
        <f>IF(VLOOKUP($D58,$C$5:$AU$493,3,)=0,0,(VLOOKUP($D58,$C$5:$AU$493,30,)/VLOOKUP($D58,$C$5:$AU$493,3,))*$E58)</f>
        <v>0</v>
      </c>
      <c r="AG58" s="90">
        <f>SUM(F58:AF58)</f>
        <v>52542238.306510113</v>
      </c>
      <c r="AH58" s="28" t="str">
        <f>IF(ABS(E58-AG58)&lt;0.01,"ok","err")</f>
        <v>ok</v>
      </c>
    </row>
    <row r="59" spans="1:34" x14ac:dyDescent="0.25">
      <c r="A59" s="93" t="s">
        <v>219</v>
      </c>
      <c r="C59" s="14" t="s">
        <v>240</v>
      </c>
      <c r="D59" s="14" t="s">
        <v>221</v>
      </c>
      <c r="E59" s="50">
        <f>'Func &amp; Classif'!P126</f>
        <v>21859286.508996077</v>
      </c>
      <c r="F59" s="67">
        <f>IF(VLOOKUP($D59,$C$5:$AU$493,3,)=0,0,(VLOOKUP($D59,$C$5:$AU$493,4,)/VLOOKUP($D59,$C$5:$AU$493,3,))*$E59)</f>
        <v>16047661.918371815</v>
      </c>
      <c r="G59" s="67">
        <f>IF(VLOOKUP($D59,$C$5:$AU$493,3,)=0,0,(VLOOKUP($D59,$C$5:$AU$493,5,)/VLOOKUP($D59,$C$5:$AU$493,3,))*$E59)</f>
        <v>21657.459611568273</v>
      </c>
      <c r="H59" s="67">
        <f>IF(VLOOKUP($D59,$C$5:$AU$493,3,)=0,0,(VLOOKUP($D59,$C$5:$AU$493,6,)/VLOOKUP($D59,$C$5:$AU$493,3,))*$E59)</f>
        <v>1005421.7797770433</v>
      </c>
      <c r="I59" s="67">
        <f>IF(VLOOKUP($D59,$C$5:$AU$493,3,)=0,0,(VLOOKUP($D59,$C$5:$AU$493,7,)/VLOOKUP($D59,$C$5:$AU$493,3,))*$E59)</f>
        <v>4648103.3556827717</v>
      </c>
      <c r="J59" s="67">
        <f>IF(VLOOKUP($D59,$C$5:$AU$493,3,)=0,0,(VLOOKUP($D59,$C$5:$AU$493,8,)/VLOOKUP($D59,$C$5:$AU$493,3,))*$E59)</f>
        <v>75801.108640488965</v>
      </c>
      <c r="K59" s="67">
        <f>IF(VLOOKUP($D59,$C$5:$AU$493,3,)=0,0,(VLOOKUP($D59,$C$5:$AU$493,9,)/VLOOKUP($D59,$C$5:$AU$493,3,))*$E59)</f>
        <v>17325.967689254619</v>
      </c>
      <c r="L59" s="67">
        <f>IF(VLOOKUP($D59,$C$5:$AU$493,3,)=0,0,(VLOOKUP($D59,$C$5:$AU$493,10,)/VLOOKUP($D59,$C$5:$AU$493,3,))*$E59)</f>
        <v>1237.5691206610441</v>
      </c>
      <c r="M59" s="67">
        <f>IF(VLOOKUP($D59,$C$5:$AU$493,3,)=0,0,(VLOOKUP($D59,$C$5:$AU$493,11,)/VLOOKUP($D59,$C$5:$AU$493,3,))*$E59)</f>
        <v>42077.350102475502</v>
      </c>
      <c r="N59" s="67">
        <f>IF(VLOOKUP($D59,$C$5:$AU$493,3,)=0,0,(VLOOKUP($D59,$C$5:$AU$493,12,)/VLOOKUP($D59,$C$5:$AU$493,3,))*$E59)</f>
        <v>0</v>
      </c>
      <c r="O59" s="67">
        <f>IF(VLOOKUP($D59,$C$5:$AU$493,3,)=0,0,(VLOOKUP($D59,$C$5:$AU$493,13,)/VLOOKUP($D59,$C$5:$AU$493,3,))*$E59)</f>
        <v>0</v>
      </c>
      <c r="P59" s="67">
        <f>IF(VLOOKUP($D59,$C$5:$AU$493,3,)=0,0,(VLOOKUP($D59,$C$5:$AU$493,14,)/VLOOKUP($D59,$C$5:$AU$493,3,))*$E59)</f>
        <v>0</v>
      </c>
      <c r="Q59" s="67">
        <f>IF(VLOOKUP($D59,$C$5:$AU$493,3,)=0,0,(VLOOKUP($D59,$C$5:$AU$493,15,)/VLOOKUP($D59,$C$5:$AU$493,3,))*$E59)</f>
        <v>0</v>
      </c>
      <c r="R59" s="67">
        <f>IF(VLOOKUP($D59,$C$5:$AU$493,3,)=0,0,(VLOOKUP($D59,$C$5:$AU$493,16,)/VLOOKUP($D59,$C$5:$AU$493,3,))*$E59)</f>
        <v>0</v>
      </c>
      <c r="S59" s="67">
        <f>IF(VLOOKUP($D59,$C$5:$AU$493,3,)=0,0,(VLOOKUP($D59,$C$5:$AU$493,17,)/VLOOKUP($D59,$C$5:$AU$493,3,))*$E59)</f>
        <v>0</v>
      </c>
      <c r="T59" s="67">
        <f>IF(VLOOKUP($D59,$C$5:$AU$493,3,)=0,0,(VLOOKUP($D59,$C$5:$AU$493,18,)/VLOOKUP($D59,$C$5:$AU$493,3,))*$E59)</f>
        <v>0</v>
      </c>
      <c r="U59" s="67">
        <f>IF(VLOOKUP($D59,$C$5:$AU$493,3,)=0,0,(VLOOKUP($D59,$C$5:$AU$493,19,)/VLOOKUP($D59,$C$5:$AU$493,3,))*$E59)</f>
        <v>0</v>
      </c>
      <c r="V59" s="67">
        <f>IF(VLOOKUP($D59,$C$5:$AU$493,3,)=0,0,(VLOOKUP($D59,$C$5:$AU$493,20,)/VLOOKUP($D59,$C$5:$AU$493,3,))*$E59)</f>
        <v>0</v>
      </c>
      <c r="W59" s="67">
        <f>IF(VLOOKUP($D59,$C$5:$AU$493,3,)=0,0,(VLOOKUP($D59,$C$5:$AU$493,21,)/VLOOKUP($D59,$C$5:$AU$493,3,))*$E59)</f>
        <v>0</v>
      </c>
      <c r="X59" s="67">
        <f>IF(VLOOKUP($D59,$C$5:$AU$493,3,)=0,0,(VLOOKUP($D59,$C$5:$AU$493,22,)/VLOOKUP($D59,$C$5:$AU$493,3,))*$E59)</f>
        <v>0</v>
      </c>
      <c r="Y59" s="67">
        <f>IF(VLOOKUP($D59,$C$5:$AU$493,3,)=0,0,(VLOOKUP($D59,$C$5:$AU$493,23,)/VLOOKUP($D59,$C$5:$AU$493,3,))*$E59)</f>
        <v>0</v>
      </c>
      <c r="Z59" s="67">
        <f>IF(VLOOKUP($D59,$C$5:$AU$493,3,)=0,0,(VLOOKUP($D59,$C$5:$AU$493,24,)/VLOOKUP($D59,$C$5:$AU$493,3,))*$E59)</f>
        <v>0</v>
      </c>
      <c r="AA59" s="67">
        <f>IF(VLOOKUP($D59,$C$5:$AU$493,3,)=0,0,(VLOOKUP($D59,$C$5:$AU$493,25,)/VLOOKUP($D59,$C$5:$AU$493,3,))*$E59)</f>
        <v>0</v>
      </c>
      <c r="AB59" s="67">
        <f>IF(VLOOKUP($D59,$C$5:$AU$493,3,)=0,0,(VLOOKUP($D59,$C$5:$AU$493,26,)/VLOOKUP($D59,$C$5:$AU$493,3,))*$E59)</f>
        <v>0</v>
      </c>
      <c r="AC59" s="67">
        <f>IF(VLOOKUP($D59,$C$5:$AU$493,3,)=0,0,(VLOOKUP($D59,$C$5:$AU$493,27,)/VLOOKUP($D59,$C$5:$AU$493,3,))*$E59)</f>
        <v>0</v>
      </c>
      <c r="AD59" s="67">
        <f>IF(VLOOKUP($D59,$C$5:$AU$493,3,)=0,0,(VLOOKUP($D59,$C$5:$AU$493,28,)/VLOOKUP($D59,$C$5:$AU$493,3,))*$E59)</f>
        <v>0</v>
      </c>
      <c r="AE59" s="67">
        <f>IF(VLOOKUP($D59,$C$5:$AU$493,3,)=0,0,(VLOOKUP($D59,$C$5:$AU$493,29,)/VLOOKUP($D59,$C$5:$AU$493,3,))*$E59)</f>
        <v>0</v>
      </c>
      <c r="AF59" s="67">
        <f>IF(VLOOKUP($D59,$C$5:$AU$493,3,)=0,0,(VLOOKUP($D59,$C$5:$AU$493,30,)/VLOOKUP($D59,$C$5:$AU$493,3,))*$E59)</f>
        <v>0</v>
      </c>
      <c r="AG59" s="90">
        <f>SUM(F59:AF59)</f>
        <v>21859286.508996077</v>
      </c>
      <c r="AH59" s="28" t="str">
        <f>IF(ABS(E59-AG59)&lt;0.01,"ok","err")</f>
        <v>ok</v>
      </c>
    </row>
    <row r="60" spans="1:34" x14ac:dyDescent="0.25">
      <c r="A60" s="14" t="s">
        <v>222</v>
      </c>
      <c r="E60" s="67">
        <f t="shared" ref="E60:T60" si="10">E58+E59</f>
        <v>74401524.815506175</v>
      </c>
      <c r="F60" s="67">
        <f t="shared" si="10"/>
        <v>53347846.850286812</v>
      </c>
      <c r="G60" s="67">
        <f t="shared" si="10"/>
        <v>54506.694397186046</v>
      </c>
      <c r="H60" s="67">
        <f t="shared" si="10"/>
        <v>2356562.1915646815</v>
      </c>
      <c r="I60" s="67">
        <f t="shared" si="10"/>
        <v>7364484.7566009648</v>
      </c>
      <c r="J60" s="67">
        <f t="shared" si="10"/>
        <v>4003508.7659964645</v>
      </c>
      <c r="K60" s="67">
        <f t="shared" si="10"/>
        <v>5666371.4811282465</v>
      </c>
      <c r="L60" s="67">
        <f t="shared" si="10"/>
        <v>1482402.0678835721</v>
      </c>
      <c r="M60" s="67">
        <f t="shared" si="10"/>
        <v>125842.00764825841</v>
      </c>
      <c r="N60" s="67">
        <f t="shared" si="10"/>
        <v>0</v>
      </c>
      <c r="O60" s="67">
        <f t="shared" si="10"/>
        <v>0</v>
      </c>
      <c r="P60" s="67">
        <f t="shared" si="10"/>
        <v>0</v>
      </c>
      <c r="Q60" s="67">
        <f t="shared" si="10"/>
        <v>0</v>
      </c>
      <c r="R60" s="67">
        <f t="shared" si="10"/>
        <v>0</v>
      </c>
      <c r="S60" s="67">
        <f t="shared" si="10"/>
        <v>0</v>
      </c>
      <c r="T60" s="67">
        <f t="shared" si="10"/>
        <v>0</v>
      </c>
      <c r="U60" s="67">
        <f t="shared" ref="U60:AF60" si="11">U58+U59</f>
        <v>0</v>
      </c>
      <c r="V60" s="67">
        <f t="shared" si="11"/>
        <v>0</v>
      </c>
      <c r="W60" s="67">
        <f t="shared" si="11"/>
        <v>0</v>
      </c>
      <c r="X60" s="67">
        <f t="shared" si="11"/>
        <v>0</v>
      </c>
      <c r="Y60" s="67">
        <f t="shared" si="11"/>
        <v>0</v>
      </c>
      <c r="Z60" s="67">
        <f t="shared" si="11"/>
        <v>0</v>
      </c>
      <c r="AA60" s="67">
        <f t="shared" si="11"/>
        <v>0</v>
      </c>
      <c r="AB60" s="67">
        <f t="shared" si="11"/>
        <v>0</v>
      </c>
      <c r="AC60" s="67">
        <f t="shared" si="11"/>
        <v>0</v>
      </c>
      <c r="AD60" s="67">
        <f t="shared" si="11"/>
        <v>0</v>
      </c>
      <c r="AE60" s="67">
        <f t="shared" si="11"/>
        <v>0</v>
      </c>
      <c r="AF60" s="67">
        <f t="shared" si="11"/>
        <v>0</v>
      </c>
      <c r="AG60" s="90">
        <f>SUM(F60:AF60)</f>
        <v>74401524.81550619</v>
      </c>
      <c r="AH60" s="28" t="str">
        <f>IF(ABS(E60-AG60)&lt;0.01,"ok","err")</f>
        <v>ok</v>
      </c>
    </row>
    <row r="61" spans="1:34" x14ac:dyDescent="0.25">
      <c r="E61" s="50"/>
    </row>
    <row r="62" spans="1:34" x14ac:dyDescent="0.25">
      <c r="A62" s="13" t="s">
        <v>3</v>
      </c>
      <c r="E62" s="50"/>
    </row>
    <row r="63" spans="1:34" x14ac:dyDescent="0.25">
      <c r="A63" s="93" t="s">
        <v>207</v>
      </c>
      <c r="C63" s="14" t="s">
        <v>241</v>
      </c>
      <c r="D63" s="14" t="s">
        <v>618</v>
      </c>
      <c r="E63" s="67">
        <f>'Func &amp; Classif'!R126</f>
        <v>0</v>
      </c>
      <c r="F63" s="67">
        <f>IF(VLOOKUP($D63,$C$5:$AU$493,3,)=0,0,(VLOOKUP($D63,$C$5:$AU$493,4,)/VLOOKUP($D63,$C$5:$AU$493,3,))*$E63)</f>
        <v>0</v>
      </c>
      <c r="G63" s="67">
        <f>IF(VLOOKUP($D63,$C$5:$AU$493,3,)=0,0,(VLOOKUP($D63,$C$5:$AU$493,5,)/VLOOKUP($D63,$C$5:$AU$493,3,))*$E63)</f>
        <v>0</v>
      </c>
      <c r="H63" s="67">
        <f>IF(VLOOKUP($D63,$C$5:$AU$493,3,)=0,0,(VLOOKUP($D63,$C$5:$AU$493,6,)/VLOOKUP($D63,$C$5:$AU$493,3,))*$E63)</f>
        <v>0</v>
      </c>
      <c r="I63" s="67">
        <f>IF(VLOOKUP($D63,$C$5:$AU$493,3,)=0,0,(VLOOKUP($D63,$C$5:$AU$493,7,)/VLOOKUP($D63,$C$5:$AU$493,3,))*$E63)</f>
        <v>0</v>
      </c>
      <c r="J63" s="67">
        <f>IF(VLOOKUP($D63,$C$5:$AU$493,3,)=0,0,(VLOOKUP($D63,$C$5:$AU$493,8,)/VLOOKUP($D63,$C$5:$AU$493,3,))*$E63)</f>
        <v>0</v>
      </c>
      <c r="K63" s="67">
        <f>IF(VLOOKUP($D63,$C$5:$AU$493,3,)=0,0,(VLOOKUP($D63,$C$5:$AU$493,9,)/VLOOKUP($D63,$C$5:$AU$493,3,))*$E63)</f>
        <v>0</v>
      </c>
      <c r="L63" s="67">
        <f>IF(VLOOKUP($D63,$C$5:$AU$493,3,)=0,0,(VLOOKUP($D63,$C$5:$AU$493,10,)/VLOOKUP($D63,$C$5:$AU$493,3,))*$E63)</f>
        <v>0</v>
      </c>
      <c r="M63" s="67">
        <f>IF(VLOOKUP($D63,$C$5:$AU$493,3,)=0,0,(VLOOKUP($D63,$C$5:$AU$493,11,)/VLOOKUP($D63,$C$5:$AU$493,3,))*$E63)</f>
        <v>0</v>
      </c>
      <c r="N63" s="67">
        <f>IF(VLOOKUP($D63,$C$5:$AU$493,3,)=0,0,(VLOOKUP($D63,$C$5:$AU$493,12,)/VLOOKUP($D63,$C$5:$AU$493,3,))*$E63)</f>
        <v>0</v>
      </c>
      <c r="O63" s="67">
        <f>IF(VLOOKUP($D63,$C$5:$AU$493,3,)=0,0,(VLOOKUP($D63,$C$5:$AU$493,13,)/VLOOKUP($D63,$C$5:$AU$493,3,))*$E63)</f>
        <v>0</v>
      </c>
      <c r="P63" s="67">
        <f>IF(VLOOKUP($D63,$C$5:$AU$493,3,)=0,0,(VLOOKUP($D63,$C$5:$AU$493,14,)/VLOOKUP($D63,$C$5:$AU$493,3,))*$E63)</f>
        <v>0</v>
      </c>
      <c r="Q63" s="67">
        <f>IF(VLOOKUP($D63,$C$5:$AU$493,3,)=0,0,(VLOOKUP($D63,$C$5:$AU$493,15,)/VLOOKUP($D63,$C$5:$AU$493,3,))*$E63)</f>
        <v>0</v>
      </c>
      <c r="R63" s="67">
        <f>IF(VLOOKUP($D63,$C$5:$AU$493,3,)=0,0,(VLOOKUP($D63,$C$5:$AU$493,16,)/VLOOKUP($D63,$C$5:$AU$493,3,))*$E63)</f>
        <v>0</v>
      </c>
      <c r="S63" s="67">
        <f>IF(VLOOKUP($D63,$C$5:$AU$493,3,)=0,0,(VLOOKUP($D63,$C$5:$AU$493,17,)/VLOOKUP($D63,$C$5:$AU$493,3,))*$E63)</f>
        <v>0</v>
      </c>
      <c r="T63" s="67">
        <f>IF(VLOOKUP($D63,$C$5:$AU$493,3,)=0,0,(VLOOKUP($D63,$C$5:$AU$493,18,)/VLOOKUP($D63,$C$5:$AU$493,3,))*$E63)</f>
        <v>0</v>
      </c>
      <c r="U63" s="67">
        <f>IF(VLOOKUP($D63,$C$5:$AU$493,3,)=0,0,(VLOOKUP($D63,$C$5:$AU$493,19,)/VLOOKUP($D63,$C$5:$AU$493,3,))*$E63)</f>
        <v>0</v>
      </c>
      <c r="V63" s="67">
        <f>IF(VLOOKUP($D63,$C$5:$AU$493,3,)=0,0,(VLOOKUP($D63,$C$5:$AU$493,20,)/VLOOKUP($D63,$C$5:$AU$493,3,))*$E63)</f>
        <v>0</v>
      </c>
      <c r="W63" s="67">
        <f>IF(VLOOKUP($D63,$C$5:$AU$493,3,)=0,0,(VLOOKUP($D63,$C$5:$AU$493,21,)/VLOOKUP($D63,$C$5:$AU$493,3,))*$E63)</f>
        <v>0</v>
      </c>
      <c r="X63" s="67">
        <f>IF(VLOOKUP($D63,$C$5:$AU$493,3,)=0,0,(VLOOKUP($D63,$C$5:$AU$493,22,)/VLOOKUP($D63,$C$5:$AU$493,3,))*$E63)</f>
        <v>0</v>
      </c>
      <c r="Y63" s="67">
        <f>IF(VLOOKUP($D63,$C$5:$AU$493,3,)=0,0,(VLOOKUP($D63,$C$5:$AU$493,23,)/VLOOKUP($D63,$C$5:$AU$493,3,))*$E63)</f>
        <v>0</v>
      </c>
      <c r="Z63" s="67">
        <f>IF(VLOOKUP($D63,$C$5:$AU$493,3,)=0,0,(VLOOKUP($D63,$C$5:$AU$493,24,)/VLOOKUP($D63,$C$5:$AU$493,3,))*$E63)</f>
        <v>0</v>
      </c>
      <c r="AA63" s="67">
        <f>IF(VLOOKUP($D63,$C$5:$AU$493,3,)=0,0,(VLOOKUP($D63,$C$5:$AU$493,25,)/VLOOKUP($D63,$C$5:$AU$493,3,))*$E63)</f>
        <v>0</v>
      </c>
      <c r="AB63" s="67">
        <f>IF(VLOOKUP($D63,$C$5:$AU$493,3,)=0,0,(VLOOKUP($D63,$C$5:$AU$493,26,)/VLOOKUP($D63,$C$5:$AU$493,3,))*$E63)</f>
        <v>0</v>
      </c>
      <c r="AC63" s="67">
        <f>IF(VLOOKUP($D63,$C$5:$AU$493,3,)=0,0,(VLOOKUP($D63,$C$5:$AU$493,27,)/VLOOKUP($D63,$C$5:$AU$493,3,))*$E63)</f>
        <v>0</v>
      </c>
      <c r="AD63" s="67">
        <f>IF(VLOOKUP($D63,$C$5:$AU$493,3,)=0,0,(VLOOKUP($D63,$C$5:$AU$493,28,)/VLOOKUP($D63,$C$5:$AU$493,3,))*$E63)</f>
        <v>0</v>
      </c>
      <c r="AE63" s="67">
        <f>IF(VLOOKUP($D63,$C$5:$AU$493,3,)=0,0,(VLOOKUP($D63,$C$5:$AU$493,29,)/VLOOKUP($D63,$C$5:$AU$493,3,))*$E63)</f>
        <v>0</v>
      </c>
      <c r="AF63" s="67">
        <f>IF(VLOOKUP($D63,$C$5:$AU$493,3,)=0,0,(VLOOKUP($D63,$C$5:$AU$493,30,)/VLOOKUP($D63,$C$5:$AU$493,3,))*$E63)</f>
        <v>0</v>
      </c>
      <c r="AG63" s="90">
        <f>SUM(F63:AF63)</f>
        <v>0</v>
      </c>
      <c r="AH63" s="28" t="str">
        <f>IF(ABS(E63-AG63)&lt;0.01,"ok","err")</f>
        <v>ok</v>
      </c>
    </row>
    <row r="64" spans="1:34" x14ac:dyDescent="0.25">
      <c r="A64" s="93" t="s">
        <v>219</v>
      </c>
      <c r="C64" s="14" t="s">
        <v>242</v>
      </c>
      <c r="D64" s="14" t="s">
        <v>700</v>
      </c>
      <c r="E64" s="50">
        <f>'Func &amp; Classif'!S126</f>
        <v>9634901.2009270508</v>
      </c>
      <c r="F64" s="67">
        <f>IF(VLOOKUP($D64,$C$5:$AU$493,3,)=0,0,(VLOOKUP($D64,$C$5:$AU$493,4,)/VLOOKUP($D64,$C$5:$AU$493,3,))*$E64)</f>
        <v>6821185.5176471993</v>
      </c>
      <c r="G64" s="67">
        <f>IF(VLOOKUP($D64,$C$5:$AU$493,3,)=0,0,(VLOOKUP($D64,$C$5:$AU$493,5,)/VLOOKUP($D64,$C$5:$AU$493,3,))*$E64)</f>
        <v>9205.6743594737418</v>
      </c>
      <c r="H64" s="67">
        <f>IF(VLOOKUP($D64,$C$5:$AU$493,3,)=0,0,(VLOOKUP($D64,$C$5:$AU$493,6,)/VLOOKUP($D64,$C$5:$AU$493,3,))*$E64)</f>
        <v>427362.47300242627</v>
      </c>
      <c r="I64" s="67">
        <f>IF(VLOOKUP($D64,$C$5:$AU$493,3,)=0,0,(VLOOKUP($D64,$C$5:$AU$493,7,)/VLOOKUP($D64,$C$5:$AU$493,3,))*$E64)</f>
        <v>2147433.011476757</v>
      </c>
      <c r="J64" s="67">
        <f>IF(VLOOKUP($D64,$C$5:$AU$493,3,)=0,0,(VLOOKUP($D64,$C$5:$AU$493,8,)/VLOOKUP($D64,$C$5:$AU$493,3,))*$E64)</f>
        <v>229714.52444119423</v>
      </c>
      <c r="K64" s="67">
        <f>IF(VLOOKUP($D64,$C$5:$AU$493,3,)=0,0,(VLOOKUP($D64,$C$5:$AU$493,9,)/VLOOKUP($D64,$C$5:$AU$493,3,))*$E64)</f>
        <v>0</v>
      </c>
      <c r="L64" s="67">
        <f>IF(VLOOKUP($D64,$C$5:$AU$493,3,)=0,0,(VLOOKUP($D64,$C$5:$AU$493,10,)/VLOOKUP($D64,$C$5:$AU$493,3,))*$E64)</f>
        <v>0</v>
      </c>
      <c r="M64" s="67">
        <f>IF(VLOOKUP($D64,$C$5:$AU$493,3,)=0,0,(VLOOKUP($D64,$C$5:$AU$493,11,)/VLOOKUP($D64,$C$5:$AU$493,3,))*$E64)</f>
        <v>0</v>
      </c>
      <c r="N64" s="67">
        <f>IF(VLOOKUP($D64,$C$5:$AU$493,3,)=0,0,(VLOOKUP($D64,$C$5:$AU$493,12,)/VLOOKUP($D64,$C$5:$AU$493,3,))*$E64)</f>
        <v>0</v>
      </c>
      <c r="O64" s="67">
        <f>IF(VLOOKUP($D64,$C$5:$AU$493,3,)=0,0,(VLOOKUP($D64,$C$5:$AU$493,13,)/VLOOKUP($D64,$C$5:$AU$493,3,))*$E64)</f>
        <v>0</v>
      </c>
      <c r="P64" s="67">
        <f>IF(VLOOKUP($D64,$C$5:$AU$493,3,)=0,0,(VLOOKUP($D64,$C$5:$AU$493,14,)/VLOOKUP($D64,$C$5:$AU$493,3,))*$E64)</f>
        <v>0</v>
      </c>
      <c r="Q64" s="67">
        <f>IF(VLOOKUP($D64,$C$5:$AU$493,3,)=0,0,(VLOOKUP($D64,$C$5:$AU$493,15,)/VLOOKUP($D64,$C$5:$AU$493,3,))*$E64)</f>
        <v>0</v>
      </c>
      <c r="R64" s="67">
        <f>IF(VLOOKUP($D64,$C$5:$AU$493,3,)=0,0,(VLOOKUP($D64,$C$5:$AU$493,16,)/VLOOKUP($D64,$C$5:$AU$493,3,))*$E64)</f>
        <v>0</v>
      </c>
      <c r="S64" s="67">
        <f>IF(VLOOKUP($D64,$C$5:$AU$493,3,)=0,0,(VLOOKUP($D64,$C$5:$AU$493,17,)/VLOOKUP($D64,$C$5:$AU$493,3,))*$E64)</f>
        <v>0</v>
      </c>
      <c r="T64" s="67">
        <f>IF(VLOOKUP($D64,$C$5:$AU$493,3,)=0,0,(VLOOKUP($D64,$C$5:$AU$493,18,)/VLOOKUP($D64,$C$5:$AU$493,3,))*$E64)</f>
        <v>0</v>
      </c>
      <c r="U64" s="67">
        <f>IF(VLOOKUP($D64,$C$5:$AU$493,3,)=0,0,(VLOOKUP($D64,$C$5:$AU$493,19,)/VLOOKUP($D64,$C$5:$AU$493,3,))*$E64)</f>
        <v>0</v>
      </c>
      <c r="V64" s="67">
        <f>IF(VLOOKUP($D64,$C$5:$AU$493,3,)=0,0,(VLOOKUP($D64,$C$5:$AU$493,20,)/VLOOKUP($D64,$C$5:$AU$493,3,))*$E64)</f>
        <v>0</v>
      </c>
      <c r="W64" s="67">
        <f>IF(VLOOKUP($D64,$C$5:$AU$493,3,)=0,0,(VLOOKUP($D64,$C$5:$AU$493,21,)/VLOOKUP($D64,$C$5:$AU$493,3,))*$E64)</f>
        <v>0</v>
      </c>
      <c r="X64" s="67">
        <f>IF(VLOOKUP($D64,$C$5:$AU$493,3,)=0,0,(VLOOKUP($D64,$C$5:$AU$493,22,)/VLOOKUP($D64,$C$5:$AU$493,3,))*$E64)</f>
        <v>0</v>
      </c>
      <c r="Y64" s="67">
        <f>IF(VLOOKUP($D64,$C$5:$AU$493,3,)=0,0,(VLOOKUP($D64,$C$5:$AU$493,23,)/VLOOKUP($D64,$C$5:$AU$493,3,))*$E64)</f>
        <v>0</v>
      </c>
      <c r="Z64" s="67">
        <f>IF(VLOOKUP($D64,$C$5:$AU$493,3,)=0,0,(VLOOKUP($D64,$C$5:$AU$493,24,)/VLOOKUP($D64,$C$5:$AU$493,3,))*$E64)</f>
        <v>0</v>
      </c>
      <c r="AA64" s="67">
        <f>IF(VLOOKUP($D64,$C$5:$AU$493,3,)=0,0,(VLOOKUP($D64,$C$5:$AU$493,25,)/VLOOKUP($D64,$C$5:$AU$493,3,))*$E64)</f>
        <v>0</v>
      </c>
      <c r="AB64" s="67">
        <f>IF(VLOOKUP($D64,$C$5:$AU$493,3,)=0,0,(VLOOKUP($D64,$C$5:$AU$493,26,)/VLOOKUP($D64,$C$5:$AU$493,3,))*$E64)</f>
        <v>0</v>
      </c>
      <c r="AC64" s="67">
        <f>IF(VLOOKUP($D64,$C$5:$AU$493,3,)=0,0,(VLOOKUP($D64,$C$5:$AU$493,27,)/VLOOKUP($D64,$C$5:$AU$493,3,))*$E64)</f>
        <v>0</v>
      </c>
      <c r="AD64" s="67">
        <f>IF(VLOOKUP($D64,$C$5:$AU$493,3,)=0,0,(VLOOKUP($D64,$C$5:$AU$493,28,)/VLOOKUP($D64,$C$5:$AU$493,3,))*$E64)</f>
        <v>0</v>
      </c>
      <c r="AE64" s="67">
        <f>IF(VLOOKUP($D64,$C$5:$AU$493,3,)=0,0,(VLOOKUP($D64,$C$5:$AU$493,29,)/VLOOKUP($D64,$C$5:$AU$493,3,))*$E64)</f>
        <v>0</v>
      </c>
      <c r="AF64" s="67">
        <f>IF(VLOOKUP($D64,$C$5:$AU$493,3,)=0,0,(VLOOKUP($D64,$C$5:$AU$493,30,)/VLOOKUP($D64,$C$5:$AU$493,3,))*$E64)</f>
        <v>0</v>
      </c>
      <c r="AG64" s="90">
        <f>SUM(F64:AF64)</f>
        <v>9634901.2009270489</v>
      </c>
      <c r="AH64" s="28" t="str">
        <f>IF(ABS(E64-AG64)&lt;0.01,"ok","err")</f>
        <v>ok</v>
      </c>
    </row>
    <row r="65" spans="1:34" x14ac:dyDescent="0.25">
      <c r="A65" s="14" t="s">
        <v>226</v>
      </c>
      <c r="E65" s="67">
        <f t="shared" ref="E65:T65" si="12">E63+E64</f>
        <v>9634901.2009270508</v>
      </c>
      <c r="F65" s="67">
        <f t="shared" si="12"/>
        <v>6821185.5176471993</v>
      </c>
      <c r="G65" s="67">
        <f t="shared" si="12"/>
        <v>9205.6743594737418</v>
      </c>
      <c r="H65" s="67">
        <f t="shared" si="12"/>
        <v>427362.47300242627</v>
      </c>
      <c r="I65" s="67">
        <f t="shared" si="12"/>
        <v>2147433.011476757</v>
      </c>
      <c r="J65" s="67">
        <f t="shared" si="12"/>
        <v>229714.52444119423</v>
      </c>
      <c r="K65" s="67">
        <f t="shared" si="12"/>
        <v>0</v>
      </c>
      <c r="L65" s="67">
        <f t="shared" si="12"/>
        <v>0</v>
      </c>
      <c r="M65" s="67">
        <f t="shared" si="12"/>
        <v>0</v>
      </c>
      <c r="N65" s="67">
        <f t="shared" si="12"/>
        <v>0</v>
      </c>
      <c r="O65" s="67">
        <f t="shared" si="12"/>
        <v>0</v>
      </c>
      <c r="P65" s="67">
        <f t="shared" si="12"/>
        <v>0</v>
      </c>
      <c r="Q65" s="67">
        <f t="shared" si="12"/>
        <v>0</v>
      </c>
      <c r="R65" s="67">
        <f t="shared" si="12"/>
        <v>0</v>
      </c>
      <c r="S65" s="67">
        <f t="shared" si="12"/>
        <v>0</v>
      </c>
      <c r="T65" s="67">
        <f t="shared" si="12"/>
        <v>0</v>
      </c>
      <c r="U65" s="67">
        <f t="shared" ref="U65:AF65" si="13">U63+U64</f>
        <v>0</v>
      </c>
      <c r="V65" s="67">
        <f t="shared" si="13"/>
        <v>0</v>
      </c>
      <c r="W65" s="67">
        <f t="shared" si="13"/>
        <v>0</v>
      </c>
      <c r="X65" s="67">
        <f t="shared" si="13"/>
        <v>0</v>
      </c>
      <c r="Y65" s="67">
        <f t="shared" si="13"/>
        <v>0</v>
      </c>
      <c r="Z65" s="67">
        <f t="shared" si="13"/>
        <v>0</v>
      </c>
      <c r="AA65" s="67">
        <f t="shared" si="13"/>
        <v>0</v>
      </c>
      <c r="AB65" s="67">
        <f t="shared" si="13"/>
        <v>0</v>
      </c>
      <c r="AC65" s="67">
        <f t="shared" si="13"/>
        <v>0</v>
      </c>
      <c r="AD65" s="67">
        <f t="shared" si="13"/>
        <v>0</v>
      </c>
      <c r="AE65" s="67">
        <f t="shared" si="13"/>
        <v>0</v>
      </c>
      <c r="AF65" s="67">
        <f t="shared" si="13"/>
        <v>0</v>
      </c>
      <c r="AG65" s="90">
        <f>SUM(F65:AF65)</f>
        <v>9634901.2009270489</v>
      </c>
      <c r="AH65" s="28" t="str">
        <f>IF(ABS(E65-AG65)&lt;0.01,"ok","err")</f>
        <v>ok</v>
      </c>
    </row>
    <row r="66" spans="1:34" x14ac:dyDescent="0.25">
      <c r="E66" s="50"/>
    </row>
    <row r="67" spans="1:34" x14ac:dyDescent="0.25">
      <c r="A67" s="13" t="s">
        <v>4</v>
      </c>
      <c r="E67" s="50"/>
    </row>
    <row r="68" spans="1:34" x14ac:dyDescent="0.25">
      <c r="A68" s="93" t="s">
        <v>219</v>
      </c>
      <c r="C68" s="14" t="s">
        <v>243</v>
      </c>
      <c r="D68" s="14" t="s">
        <v>228</v>
      </c>
      <c r="E68" s="67">
        <f>'Func &amp; Classif'!U126</f>
        <v>3472419.6677432219</v>
      </c>
      <c r="F68" s="67">
        <f>IF(VLOOKUP($D68,$C$5:$AU$493,3,)=0,0,(VLOOKUP($D68,$C$5:$AU$493,4,)/VLOOKUP($D68,$C$5:$AU$493,3,))*$E68)</f>
        <v>2538624.6575734289</v>
      </c>
      <c r="G68" s="67">
        <f>IF(VLOOKUP($D68,$C$5:$AU$493,3,)=0,0,(VLOOKUP($D68,$C$5:$AU$493,5,)/VLOOKUP($D68,$C$5:$AU$493,3,))*$E68)</f>
        <v>3426.0542918956339</v>
      </c>
      <c r="H68" s="67">
        <f>IF(VLOOKUP($D68,$C$5:$AU$493,3,)=0,0,(VLOOKUP($D68,$C$5:$AU$493,6,)/VLOOKUP($D68,$C$5:$AU$493,3,))*$E68)</f>
        <v>159050.49186519301</v>
      </c>
      <c r="I68" s="67">
        <f>IF(VLOOKUP($D68,$C$5:$AU$493,3,)=0,0,(VLOOKUP($D68,$C$5:$AU$493,7,)/VLOOKUP($D68,$C$5:$AU$493,3,))*$E68)</f>
        <v>735296.50921779161</v>
      </c>
      <c r="J68" s="67">
        <f>IF(VLOOKUP($D68,$C$5:$AU$493,3,)=0,0,(VLOOKUP($D68,$C$5:$AU$493,8,)/VLOOKUP($D68,$C$5:$AU$493,3,))*$E68)</f>
        <v>36021.954794913232</v>
      </c>
      <c r="K68" s="67">
        <f>IF(VLOOKUP($D68,$C$5:$AU$493,3,)=0,0,(VLOOKUP($D68,$C$5:$AU$493,9,)/VLOOKUP($D68,$C$5:$AU$493,3,))*$E68)</f>
        <v>0</v>
      </c>
      <c r="L68" s="67">
        <f>IF(VLOOKUP($D68,$C$5:$AU$493,3,)=0,0,(VLOOKUP($D68,$C$5:$AU$493,10,)/VLOOKUP($D68,$C$5:$AU$493,3,))*$E68)</f>
        <v>0</v>
      </c>
      <c r="M68" s="67">
        <f>IF(VLOOKUP($D68,$C$5:$AU$493,3,)=0,0,(VLOOKUP($D68,$C$5:$AU$493,11,)/VLOOKUP($D68,$C$5:$AU$493,3,))*$E68)</f>
        <v>0</v>
      </c>
      <c r="N68" s="67">
        <f>IF(VLOOKUP($D68,$C$5:$AU$493,3,)=0,0,(VLOOKUP($D68,$C$5:$AU$493,12,)/VLOOKUP($D68,$C$5:$AU$493,3,))*$E68)</f>
        <v>0</v>
      </c>
      <c r="O68" s="67">
        <f>IF(VLOOKUP($D68,$C$5:$AU$493,3,)=0,0,(VLOOKUP($D68,$C$5:$AU$493,13,)/VLOOKUP($D68,$C$5:$AU$493,3,))*$E68)</f>
        <v>0</v>
      </c>
      <c r="P68" s="67">
        <f>IF(VLOOKUP($D68,$C$5:$AU$493,3,)=0,0,(VLOOKUP($D68,$C$5:$AU$493,14,)/VLOOKUP($D68,$C$5:$AU$493,3,))*$E68)</f>
        <v>0</v>
      </c>
      <c r="Q68" s="67">
        <f>IF(VLOOKUP($D68,$C$5:$AU$493,3,)=0,0,(VLOOKUP($D68,$C$5:$AU$493,15,)/VLOOKUP($D68,$C$5:$AU$493,3,))*$E68)</f>
        <v>0</v>
      </c>
      <c r="R68" s="67">
        <f>IF(VLOOKUP($D68,$C$5:$AU$493,3,)=0,0,(VLOOKUP($D68,$C$5:$AU$493,16,)/VLOOKUP($D68,$C$5:$AU$493,3,))*$E68)</f>
        <v>0</v>
      </c>
      <c r="S68" s="67">
        <f>IF(VLOOKUP($D68,$C$5:$AU$493,3,)=0,0,(VLOOKUP($D68,$C$5:$AU$493,17,)/VLOOKUP($D68,$C$5:$AU$493,3,))*$E68)</f>
        <v>0</v>
      </c>
      <c r="T68" s="67">
        <f>IF(VLOOKUP($D68,$C$5:$AU$493,3,)=0,0,(VLOOKUP($D68,$C$5:$AU$493,18,)/VLOOKUP($D68,$C$5:$AU$493,3,))*$E68)</f>
        <v>0</v>
      </c>
      <c r="U68" s="67">
        <f>IF(VLOOKUP($D68,$C$5:$AU$493,3,)=0,0,(VLOOKUP($D68,$C$5:$AU$493,19,)/VLOOKUP($D68,$C$5:$AU$493,3,))*$E68)</f>
        <v>0</v>
      </c>
      <c r="V68" s="67">
        <f>IF(VLOOKUP($D68,$C$5:$AU$493,3,)=0,0,(VLOOKUP($D68,$C$5:$AU$493,20,)/VLOOKUP($D68,$C$5:$AU$493,3,))*$E68)</f>
        <v>0</v>
      </c>
      <c r="W68" s="67">
        <f>IF(VLOOKUP($D68,$C$5:$AU$493,3,)=0,0,(VLOOKUP($D68,$C$5:$AU$493,21,)/VLOOKUP($D68,$C$5:$AU$493,3,))*$E68)</f>
        <v>0</v>
      </c>
      <c r="X68" s="67">
        <f>IF(VLOOKUP($D68,$C$5:$AU$493,3,)=0,0,(VLOOKUP($D68,$C$5:$AU$493,22,)/VLOOKUP($D68,$C$5:$AU$493,3,))*$E68)</f>
        <v>0</v>
      </c>
      <c r="Y68" s="67">
        <f>IF(VLOOKUP($D68,$C$5:$AU$493,3,)=0,0,(VLOOKUP($D68,$C$5:$AU$493,23,)/VLOOKUP($D68,$C$5:$AU$493,3,))*$E68)</f>
        <v>0</v>
      </c>
      <c r="Z68" s="67">
        <f>IF(VLOOKUP($D68,$C$5:$AU$493,3,)=0,0,(VLOOKUP($D68,$C$5:$AU$493,24,)/VLOOKUP($D68,$C$5:$AU$493,3,))*$E68)</f>
        <v>0</v>
      </c>
      <c r="AA68" s="67">
        <f>IF(VLOOKUP($D68,$C$5:$AU$493,3,)=0,0,(VLOOKUP($D68,$C$5:$AU$493,25,)/VLOOKUP($D68,$C$5:$AU$493,3,))*$E68)</f>
        <v>0</v>
      </c>
      <c r="AB68" s="67">
        <f>IF(VLOOKUP($D68,$C$5:$AU$493,3,)=0,0,(VLOOKUP($D68,$C$5:$AU$493,26,)/VLOOKUP($D68,$C$5:$AU$493,3,))*$E68)</f>
        <v>0</v>
      </c>
      <c r="AC68" s="67">
        <f>IF(VLOOKUP($D68,$C$5:$AU$493,3,)=0,0,(VLOOKUP($D68,$C$5:$AU$493,27,)/VLOOKUP($D68,$C$5:$AU$493,3,))*$E68)</f>
        <v>0</v>
      </c>
      <c r="AD68" s="67">
        <f>IF(VLOOKUP($D68,$C$5:$AU$493,3,)=0,0,(VLOOKUP($D68,$C$5:$AU$493,28,)/VLOOKUP($D68,$C$5:$AU$493,3,))*$E68)</f>
        <v>0</v>
      </c>
      <c r="AE68" s="67">
        <f>IF(VLOOKUP($D68,$C$5:$AU$493,3,)=0,0,(VLOOKUP($D68,$C$5:$AU$493,29,)/VLOOKUP($D68,$C$5:$AU$493,3,))*$E68)</f>
        <v>0</v>
      </c>
      <c r="AF68" s="67">
        <f>IF(VLOOKUP($D68,$C$5:$AU$493,3,)=0,0,(VLOOKUP($D68,$C$5:$AU$493,30,)/VLOOKUP($D68,$C$5:$AU$493,3,))*$E68)</f>
        <v>0</v>
      </c>
      <c r="AG68" s="90">
        <f>SUM(F68:AF68)</f>
        <v>3472419.6677432223</v>
      </c>
      <c r="AH68" s="28" t="str">
        <f>IF(ABS(E68-AG68)&lt;0.01,"ok","err")</f>
        <v>ok</v>
      </c>
    </row>
    <row r="69" spans="1:34" x14ac:dyDescent="0.25">
      <c r="E69" s="50"/>
    </row>
    <row r="70" spans="1:34" x14ac:dyDescent="0.25">
      <c r="A70" s="13" t="s">
        <v>5</v>
      </c>
      <c r="E70" s="50"/>
    </row>
    <row r="71" spans="1:34" x14ac:dyDescent="0.25">
      <c r="A71" s="93" t="s">
        <v>219</v>
      </c>
      <c r="C71" s="14" t="s">
        <v>244</v>
      </c>
      <c r="D71" s="14" t="s">
        <v>230</v>
      </c>
      <c r="E71" s="67">
        <f>'Func &amp; Classif'!W126</f>
        <v>2885780.4185171868</v>
      </c>
      <c r="F71" s="67">
        <f>IF(VLOOKUP($D71,$C$5:$AU$493,3,)=0,0,(VLOOKUP($D71,$C$5:$AU$493,4,)/VLOOKUP($D71,$C$5:$AU$493,3,))*$E71)</f>
        <v>0</v>
      </c>
      <c r="G71" s="67">
        <f>IF(VLOOKUP($D71,$C$5:$AU$493,3,)=0,0,(VLOOKUP($D71,$C$5:$AU$493,5,)/VLOOKUP($D71,$C$5:$AU$493,3,))*$E71)</f>
        <v>0</v>
      </c>
      <c r="H71" s="67">
        <f>IF(VLOOKUP($D71,$C$5:$AU$493,3,)=0,0,(VLOOKUP($D71,$C$5:$AU$493,6,)/VLOOKUP($D71,$C$5:$AU$493,3,))*$E71)</f>
        <v>0</v>
      </c>
      <c r="I71" s="67">
        <f>IF(VLOOKUP($D71,$C$5:$AU$493,3,)=0,0,(VLOOKUP($D71,$C$5:$AU$493,7,)/VLOOKUP($D71,$C$5:$AU$493,3,))*$E71)</f>
        <v>0</v>
      </c>
      <c r="J71" s="67">
        <f>IF(VLOOKUP($D71,$C$5:$AU$493,3,)=0,0,(VLOOKUP($D71,$C$5:$AU$493,8,)/VLOOKUP($D71,$C$5:$AU$493,3,))*$E71)</f>
        <v>0</v>
      </c>
      <c r="K71" s="67">
        <f>IF(VLOOKUP($D71,$C$5:$AU$493,3,)=0,0,(VLOOKUP($D71,$C$5:$AU$493,9,)/VLOOKUP($D71,$C$5:$AU$493,3,))*$E71)</f>
        <v>0</v>
      </c>
      <c r="L71" s="67">
        <f>IF(VLOOKUP($D71,$C$5:$AU$493,3,)=0,0,(VLOOKUP($D71,$C$5:$AU$493,10,)/VLOOKUP($D71,$C$5:$AU$493,3,))*$E71)</f>
        <v>0</v>
      </c>
      <c r="M71" s="67">
        <f>IF(VLOOKUP($D71,$C$5:$AU$493,3,)=0,0,(VLOOKUP($D71,$C$5:$AU$493,11,)/VLOOKUP($D71,$C$5:$AU$493,3,))*$E71)</f>
        <v>2885780.4185171868</v>
      </c>
      <c r="N71" s="67">
        <f>IF(VLOOKUP($D71,$C$5:$AU$493,3,)=0,0,(VLOOKUP($D71,$C$5:$AU$493,12,)/VLOOKUP($D71,$C$5:$AU$493,3,))*$E71)</f>
        <v>0</v>
      </c>
      <c r="O71" s="67">
        <f>IF(VLOOKUP($D71,$C$5:$AU$493,3,)=0,0,(VLOOKUP($D71,$C$5:$AU$493,13,)/VLOOKUP($D71,$C$5:$AU$493,3,))*$E71)</f>
        <v>0</v>
      </c>
      <c r="P71" s="67">
        <f>IF(VLOOKUP($D71,$C$5:$AU$493,3,)=0,0,(VLOOKUP($D71,$C$5:$AU$493,14,)/VLOOKUP($D71,$C$5:$AU$493,3,))*$E71)</f>
        <v>0</v>
      </c>
      <c r="Q71" s="67">
        <f>IF(VLOOKUP($D71,$C$5:$AU$493,3,)=0,0,(VLOOKUP($D71,$C$5:$AU$493,15,)/VLOOKUP($D71,$C$5:$AU$493,3,))*$E71)</f>
        <v>0</v>
      </c>
      <c r="R71" s="67">
        <f>IF(VLOOKUP($D71,$C$5:$AU$493,3,)=0,0,(VLOOKUP($D71,$C$5:$AU$493,16,)/VLOOKUP($D71,$C$5:$AU$493,3,))*$E71)</f>
        <v>0</v>
      </c>
      <c r="S71" s="67">
        <f>IF(VLOOKUP($D71,$C$5:$AU$493,3,)=0,0,(VLOOKUP($D71,$C$5:$AU$493,17,)/VLOOKUP($D71,$C$5:$AU$493,3,))*$E71)</f>
        <v>0</v>
      </c>
      <c r="T71" s="67">
        <f>IF(VLOOKUP($D71,$C$5:$AU$493,3,)=0,0,(VLOOKUP($D71,$C$5:$AU$493,18,)/VLOOKUP($D71,$C$5:$AU$493,3,))*$E71)</f>
        <v>0</v>
      </c>
      <c r="U71" s="67">
        <f>IF(VLOOKUP($D71,$C$5:$AU$493,3,)=0,0,(VLOOKUP($D71,$C$5:$AU$493,19,)/VLOOKUP($D71,$C$5:$AU$493,3,))*$E71)</f>
        <v>0</v>
      </c>
      <c r="V71" s="67">
        <f>IF(VLOOKUP($D71,$C$5:$AU$493,3,)=0,0,(VLOOKUP($D71,$C$5:$AU$493,20,)/VLOOKUP($D71,$C$5:$AU$493,3,))*$E71)</f>
        <v>0</v>
      </c>
      <c r="W71" s="67">
        <f>IF(VLOOKUP($D71,$C$5:$AU$493,3,)=0,0,(VLOOKUP($D71,$C$5:$AU$493,21,)/VLOOKUP($D71,$C$5:$AU$493,3,))*$E71)</f>
        <v>0</v>
      </c>
      <c r="X71" s="67">
        <f>IF(VLOOKUP($D71,$C$5:$AU$493,3,)=0,0,(VLOOKUP($D71,$C$5:$AU$493,22,)/VLOOKUP($D71,$C$5:$AU$493,3,))*$E71)</f>
        <v>0</v>
      </c>
      <c r="Y71" s="67">
        <f>IF(VLOOKUP($D71,$C$5:$AU$493,3,)=0,0,(VLOOKUP($D71,$C$5:$AU$493,23,)/VLOOKUP($D71,$C$5:$AU$493,3,))*$E71)</f>
        <v>0</v>
      </c>
      <c r="Z71" s="67">
        <f>IF(VLOOKUP($D71,$C$5:$AU$493,3,)=0,0,(VLOOKUP($D71,$C$5:$AU$493,24,)/VLOOKUP($D71,$C$5:$AU$493,3,))*$E71)</f>
        <v>0</v>
      </c>
      <c r="AA71" s="67">
        <f>IF(VLOOKUP($D71,$C$5:$AU$493,3,)=0,0,(VLOOKUP($D71,$C$5:$AU$493,25,)/VLOOKUP($D71,$C$5:$AU$493,3,))*$E71)</f>
        <v>0</v>
      </c>
      <c r="AB71" s="67">
        <f>IF(VLOOKUP($D71,$C$5:$AU$493,3,)=0,0,(VLOOKUP($D71,$C$5:$AU$493,26,)/VLOOKUP($D71,$C$5:$AU$493,3,))*$E71)</f>
        <v>0</v>
      </c>
      <c r="AC71" s="67">
        <f>IF(VLOOKUP($D71,$C$5:$AU$493,3,)=0,0,(VLOOKUP($D71,$C$5:$AU$493,27,)/VLOOKUP($D71,$C$5:$AU$493,3,))*$E71)</f>
        <v>0</v>
      </c>
      <c r="AD71" s="67">
        <f>IF(VLOOKUP($D71,$C$5:$AU$493,3,)=0,0,(VLOOKUP($D71,$C$5:$AU$493,28,)/VLOOKUP($D71,$C$5:$AU$493,3,))*$E71)</f>
        <v>0</v>
      </c>
      <c r="AE71" s="67">
        <f>IF(VLOOKUP($D71,$C$5:$AU$493,3,)=0,0,(VLOOKUP($D71,$C$5:$AU$493,29,)/VLOOKUP($D71,$C$5:$AU$493,3,))*$E71)</f>
        <v>0</v>
      </c>
      <c r="AF71" s="67">
        <f>IF(VLOOKUP($D71,$C$5:$AU$493,3,)=0,0,(VLOOKUP($D71,$C$5:$AU$493,30,)/VLOOKUP($D71,$C$5:$AU$493,3,))*$E71)</f>
        <v>0</v>
      </c>
      <c r="AG71" s="90">
        <f>SUM(F71:AF71)</f>
        <v>2885780.4185171868</v>
      </c>
      <c r="AH71" s="28" t="str">
        <f>IF(ABS(E71-AG71)&lt;0.01,"ok","err")</f>
        <v>ok</v>
      </c>
    </row>
    <row r="72" spans="1:34" x14ac:dyDescent="0.25">
      <c r="E72" s="50"/>
    </row>
    <row r="73" spans="1:34" x14ac:dyDescent="0.25">
      <c r="A73" s="13" t="s">
        <v>544</v>
      </c>
      <c r="E73" s="50"/>
    </row>
    <row r="74" spans="1:34" x14ac:dyDescent="0.25">
      <c r="A74" s="93" t="s">
        <v>219</v>
      </c>
      <c r="C74" s="14" t="s">
        <v>245</v>
      </c>
      <c r="D74" s="14" t="s">
        <v>232</v>
      </c>
      <c r="E74" s="67">
        <f>'Func &amp; Classif'!Y126</f>
        <v>0</v>
      </c>
      <c r="F74" s="67">
        <f>IF(VLOOKUP($D74,$C$5:$AU$493,3,)=0,0,(VLOOKUP($D74,$C$5:$AU$493,4,)/VLOOKUP($D74,$C$5:$AU$493,3,))*$E74)</f>
        <v>0</v>
      </c>
      <c r="G74" s="67">
        <f>IF(VLOOKUP($D74,$C$5:$AU$493,3,)=0,0,(VLOOKUP($D74,$C$5:$AU$493,5,)/VLOOKUP($D74,$C$5:$AU$493,3,))*$E74)</f>
        <v>0</v>
      </c>
      <c r="H74" s="67">
        <f>IF(VLOOKUP($D74,$C$5:$AU$493,3,)=0,0,(VLOOKUP($D74,$C$5:$AU$493,6,)/VLOOKUP($D74,$C$5:$AU$493,3,))*$E74)</f>
        <v>0</v>
      </c>
      <c r="I74" s="67">
        <f>IF(VLOOKUP($D74,$C$5:$AU$493,3,)=0,0,(VLOOKUP($D74,$C$5:$AU$493,7,)/VLOOKUP($D74,$C$5:$AU$493,3,))*$E74)</f>
        <v>0</v>
      </c>
      <c r="J74" s="67">
        <f>IF(VLOOKUP($D74,$C$5:$AU$493,3,)=0,0,(VLOOKUP($D74,$C$5:$AU$493,8,)/VLOOKUP($D74,$C$5:$AU$493,3,))*$E74)</f>
        <v>0</v>
      </c>
      <c r="K74" s="67">
        <f>IF(VLOOKUP($D74,$C$5:$AU$493,3,)=0,0,(VLOOKUP($D74,$C$5:$AU$493,9,)/VLOOKUP($D74,$C$5:$AU$493,3,))*$E74)</f>
        <v>0</v>
      </c>
      <c r="L74" s="67">
        <f>IF(VLOOKUP($D74,$C$5:$AU$493,3,)=0,0,(VLOOKUP($D74,$C$5:$AU$493,10,)/VLOOKUP($D74,$C$5:$AU$493,3,))*$E74)</f>
        <v>0</v>
      </c>
      <c r="M74" s="67">
        <f>IF(VLOOKUP($D74,$C$5:$AU$493,3,)=0,0,(VLOOKUP($D74,$C$5:$AU$493,11,)/VLOOKUP($D74,$C$5:$AU$493,3,))*$E74)</f>
        <v>0</v>
      </c>
      <c r="N74" s="67">
        <f>IF(VLOOKUP($D74,$C$5:$AU$493,3,)=0,0,(VLOOKUP($D74,$C$5:$AU$493,12,)/VLOOKUP($D74,$C$5:$AU$493,3,))*$E74)</f>
        <v>0</v>
      </c>
      <c r="O74" s="67">
        <f>IF(VLOOKUP($D74,$C$5:$AU$493,3,)=0,0,(VLOOKUP($D74,$C$5:$AU$493,13,)/VLOOKUP($D74,$C$5:$AU$493,3,))*$E74)</f>
        <v>0</v>
      </c>
      <c r="P74" s="67">
        <f>IF(VLOOKUP($D74,$C$5:$AU$493,3,)=0,0,(VLOOKUP($D74,$C$5:$AU$493,14,)/VLOOKUP($D74,$C$5:$AU$493,3,))*$E74)</f>
        <v>0</v>
      </c>
      <c r="Q74" s="67">
        <f>IF(VLOOKUP($D74,$C$5:$AU$493,3,)=0,0,(VLOOKUP($D74,$C$5:$AU$493,15,)/VLOOKUP($D74,$C$5:$AU$493,3,))*$E74)</f>
        <v>0</v>
      </c>
      <c r="R74" s="67">
        <f>IF(VLOOKUP($D74,$C$5:$AU$493,3,)=0,0,(VLOOKUP($D74,$C$5:$AU$493,16,)/VLOOKUP($D74,$C$5:$AU$493,3,))*$E74)</f>
        <v>0</v>
      </c>
      <c r="S74" s="67">
        <f>IF(VLOOKUP($D74,$C$5:$AU$493,3,)=0,0,(VLOOKUP($D74,$C$5:$AU$493,17,)/VLOOKUP($D74,$C$5:$AU$493,3,))*$E74)</f>
        <v>0</v>
      </c>
      <c r="T74" s="67">
        <f>IF(VLOOKUP($D74,$C$5:$AU$493,3,)=0,0,(VLOOKUP($D74,$C$5:$AU$493,18,)/VLOOKUP($D74,$C$5:$AU$493,3,))*$E74)</f>
        <v>0</v>
      </c>
      <c r="U74" s="67">
        <f>IF(VLOOKUP($D74,$C$5:$AU$493,3,)=0,0,(VLOOKUP($D74,$C$5:$AU$493,19,)/VLOOKUP($D74,$C$5:$AU$493,3,))*$E74)</f>
        <v>0</v>
      </c>
      <c r="V74" s="67">
        <f>IF(VLOOKUP($D74,$C$5:$AU$493,3,)=0,0,(VLOOKUP($D74,$C$5:$AU$493,20,)/VLOOKUP($D74,$C$5:$AU$493,3,))*$E74)</f>
        <v>0</v>
      </c>
      <c r="W74" s="67">
        <f>IF(VLOOKUP($D74,$C$5:$AU$493,3,)=0,0,(VLOOKUP($D74,$C$5:$AU$493,21,)/VLOOKUP($D74,$C$5:$AU$493,3,))*$E74)</f>
        <v>0</v>
      </c>
      <c r="X74" s="67">
        <f>IF(VLOOKUP($D74,$C$5:$AU$493,3,)=0,0,(VLOOKUP($D74,$C$5:$AU$493,22,)/VLOOKUP($D74,$C$5:$AU$493,3,))*$E74)</f>
        <v>0</v>
      </c>
      <c r="Y74" s="67">
        <f>IF(VLOOKUP($D74,$C$5:$AU$493,3,)=0,0,(VLOOKUP($D74,$C$5:$AU$493,23,)/VLOOKUP($D74,$C$5:$AU$493,3,))*$E74)</f>
        <v>0</v>
      </c>
      <c r="Z74" s="67">
        <f>IF(VLOOKUP($D74,$C$5:$AU$493,3,)=0,0,(VLOOKUP($D74,$C$5:$AU$493,24,)/VLOOKUP($D74,$C$5:$AU$493,3,))*$E74)</f>
        <v>0</v>
      </c>
      <c r="AA74" s="67">
        <f>IF(VLOOKUP($D74,$C$5:$AU$493,3,)=0,0,(VLOOKUP($D74,$C$5:$AU$493,25,)/VLOOKUP($D74,$C$5:$AU$493,3,))*$E74)</f>
        <v>0</v>
      </c>
      <c r="AB74" s="67">
        <f>IF(VLOOKUP($D74,$C$5:$AU$493,3,)=0,0,(VLOOKUP($D74,$C$5:$AU$493,26,)/VLOOKUP($D74,$C$5:$AU$493,3,))*$E74)</f>
        <v>0</v>
      </c>
      <c r="AC74" s="67">
        <f>IF(VLOOKUP($D74,$C$5:$AU$493,3,)=0,0,(VLOOKUP($D74,$C$5:$AU$493,27,)/VLOOKUP($D74,$C$5:$AU$493,3,))*$E74)</f>
        <v>0</v>
      </c>
      <c r="AD74" s="67">
        <f>IF(VLOOKUP($D74,$C$5:$AU$493,3,)=0,0,(VLOOKUP($D74,$C$5:$AU$493,28,)/VLOOKUP($D74,$C$5:$AU$493,3,))*$E74)</f>
        <v>0</v>
      </c>
      <c r="AE74" s="67">
        <f>IF(VLOOKUP($D74,$C$5:$AU$493,3,)=0,0,(VLOOKUP($D74,$C$5:$AU$493,29,)/VLOOKUP($D74,$C$5:$AU$493,3,))*$E74)</f>
        <v>0</v>
      </c>
      <c r="AF74" s="67">
        <f>IF(VLOOKUP($D74,$C$5:$AU$493,3,)=0,0,(VLOOKUP($D74,$C$5:$AU$493,30,)/VLOOKUP($D74,$C$5:$AU$493,3,))*$E74)</f>
        <v>0</v>
      </c>
      <c r="AG74" s="90">
        <f>SUM(F74:AF74)</f>
        <v>0</v>
      </c>
      <c r="AH74" s="28" t="str">
        <f>IF(ABS(E74-AG74)&lt;0.01,"ok","err")</f>
        <v>ok</v>
      </c>
    </row>
    <row r="75" spans="1:34" x14ac:dyDescent="0.25">
      <c r="E75" s="50"/>
    </row>
    <row r="76" spans="1:34" x14ac:dyDescent="0.25">
      <c r="A76" s="13" t="s">
        <v>469</v>
      </c>
      <c r="E76" s="50"/>
    </row>
    <row r="77" spans="1:34" x14ac:dyDescent="0.25">
      <c r="A77" s="93" t="s">
        <v>219</v>
      </c>
      <c r="C77" s="14" t="s">
        <v>242</v>
      </c>
      <c r="D77" s="14" t="s">
        <v>233</v>
      </c>
      <c r="E77" s="67">
        <f>'Func &amp; Classif'!AA126</f>
        <v>0</v>
      </c>
      <c r="F77" s="67">
        <f>IF(VLOOKUP($D77,$C$5:$AU$493,3,)=0,0,(VLOOKUP($D77,$C$5:$AU$493,4,)/VLOOKUP($D77,$C$5:$AU$493,3,))*$E77)</f>
        <v>0</v>
      </c>
      <c r="G77" s="67">
        <f>IF(VLOOKUP($D77,$C$5:$AU$493,3,)=0,0,(VLOOKUP($D77,$C$5:$AU$493,5,)/VLOOKUP($D77,$C$5:$AU$493,3,))*$E77)</f>
        <v>0</v>
      </c>
      <c r="H77" s="67">
        <f>IF(VLOOKUP($D77,$C$5:$AU$493,3,)=0,0,(VLOOKUP($D77,$C$5:$AU$493,6,)/VLOOKUP($D77,$C$5:$AU$493,3,))*$E77)</f>
        <v>0</v>
      </c>
      <c r="I77" s="67">
        <f>IF(VLOOKUP($D77,$C$5:$AU$493,3,)=0,0,(VLOOKUP($D77,$C$5:$AU$493,7,)/VLOOKUP($D77,$C$5:$AU$493,3,))*$E77)</f>
        <v>0</v>
      </c>
      <c r="J77" s="67">
        <f>IF(VLOOKUP($D77,$C$5:$AU$493,3,)=0,0,(VLOOKUP($D77,$C$5:$AU$493,8,)/VLOOKUP($D77,$C$5:$AU$493,3,))*$E77)</f>
        <v>0</v>
      </c>
      <c r="K77" s="67">
        <f>IF(VLOOKUP($D77,$C$5:$AU$493,3,)=0,0,(VLOOKUP($D77,$C$5:$AU$493,9,)/VLOOKUP($D77,$C$5:$AU$493,3,))*$E77)</f>
        <v>0</v>
      </c>
      <c r="L77" s="67">
        <f>IF(VLOOKUP($D77,$C$5:$AU$493,3,)=0,0,(VLOOKUP($D77,$C$5:$AU$493,10,)/VLOOKUP($D77,$C$5:$AU$493,3,))*$E77)</f>
        <v>0</v>
      </c>
      <c r="M77" s="67">
        <f>IF(VLOOKUP($D77,$C$5:$AU$493,3,)=0,0,(VLOOKUP($D77,$C$5:$AU$493,11,)/VLOOKUP($D77,$C$5:$AU$493,3,))*$E77)</f>
        <v>0</v>
      </c>
      <c r="N77" s="67">
        <f>IF(VLOOKUP($D77,$C$5:$AU$493,3,)=0,0,(VLOOKUP($D77,$C$5:$AU$493,12,)/VLOOKUP($D77,$C$5:$AU$493,3,))*$E77)</f>
        <v>0</v>
      </c>
      <c r="O77" s="67">
        <f>IF(VLOOKUP($D77,$C$5:$AU$493,3,)=0,0,(VLOOKUP($D77,$C$5:$AU$493,13,)/VLOOKUP($D77,$C$5:$AU$493,3,))*$E77)</f>
        <v>0</v>
      </c>
      <c r="P77" s="67">
        <f>IF(VLOOKUP($D77,$C$5:$AU$493,3,)=0,0,(VLOOKUP($D77,$C$5:$AU$493,14,)/VLOOKUP($D77,$C$5:$AU$493,3,))*$E77)</f>
        <v>0</v>
      </c>
      <c r="Q77" s="67">
        <f>IF(VLOOKUP($D77,$C$5:$AU$493,3,)=0,0,(VLOOKUP($D77,$C$5:$AU$493,15,)/VLOOKUP($D77,$C$5:$AU$493,3,))*$E77)</f>
        <v>0</v>
      </c>
      <c r="R77" s="67">
        <f>IF(VLOOKUP($D77,$C$5:$AU$493,3,)=0,0,(VLOOKUP($D77,$C$5:$AU$493,16,)/VLOOKUP($D77,$C$5:$AU$493,3,))*$E77)</f>
        <v>0</v>
      </c>
      <c r="S77" s="67">
        <f>IF(VLOOKUP($D77,$C$5:$AU$493,3,)=0,0,(VLOOKUP($D77,$C$5:$AU$493,17,)/VLOOKUP($D77,$C$5:$AU$493,3,))*$E77)</f>
        <v>0</v>
      </c>
      <c r="T77" s="67">
        <f>IF(VLOOKUP($D77,$C$5:$AU$493,3,)=0,0,(VLOOKUP($D77,$C$5:$AU$493,18,)/VLOOKUP($D77,$C$5:$AU$493,3,))*$E77)</f>
        <v>0</v>
      </c>
      <c r="U77" s="67">
        <f>IF(VLOOKUP($D77,$C$5:$AU$493,3,)=0,0,(VLOOKUP($D77,$C$5:$AU$493,19,)/VLOOKUP($D77,$C$5:$AU$493,3,))*$E77)</f>
        <v>0</v>
      </c>
      <c r="V77" s="67">
        <f>IF(VLOOKUP($D77,$C$5:$AU$493,3,)=0,0,(VLOOKUP($D77,$C$5:$AU$493,20,)/VLOOKUP($D77,$C$5:$AU$493,3,))*$E77)</f>
        <v>0</v>
      </c>
      <c r="W77" s="67">
        <f>IF(VLOOKUP($D77,$C$5:$AU$493,3,)=0,0,(VLOOKUP($D77,$C$5:$AU$493,21,)/VLOOKUP($D77,$C$5:$AU$493,3,))*$E77)</f>
        <v>0</v>
      </c>
      <c r="X77" s="67">
        <f>IF(VLOOKUP($D77,$C$5:$AU$493,3,)=0,0,(VLOOKUP($D77,$C$5:$AU$493,22,)/VLOOKUP($D77,$C$5:$AU$493,3,))*$E77)</f>
        <v>0</v>
      </c>
      <c r="Y77" s="67">
        <f>IF(VLOOKUP($D77,$C$5:$AU$493,3,)=0,0,(VLOOKUP($D77,$C$5:$AU$493,23,)/VLOOKUP($D77,$C$5:$AU$493,3,))*$E77)</f>
        <v>0</v>
      </c>
      <c r="Z77" s="67">
        <f>IF(VLOOKUP($D77,$C$5:$AU$493,3,)=0,0,(VLOOKUP($D77,$C$5:$AU$493,24,)/VLOOKUP($D77,$C$5:$AU$493,3,))*$E77)</f>
        <v>0</v>
      </c>
      <c r="AA77" s="67">
        <f>IF(VLOOKUP($D77,$C$5:$AU$493,3,)=0,0,(VLOOKUP($D77,$C$5:$AU$493,25,)/VLOOKUP($D77,$C$5:$AU$493,3,))*$E77)</f>
        <v>0</v>
      </c>
      <c r="AB77" s="67">
        <f>IF(VLOOKUP($D77,$C$5:$AU$493,3,)=0,0,(VLOOKUP($D77,$C$5:$AU$493,26,)/VLOOKUP($D77,$C$5:$AU$493,3,))*$E77)</f>
        <v>0</v>
      </c>
      <c r="AC77" s="67">
        <f>IF(VLOOKUP($D77,$C$5:$AU$493,3,)=0,0,(VLOOKUP($D77,$C$5:$AU$493,27,)/VLOOKUP($D77,$C$5:$AU$493,3,))*$E77)</f>
        <v>0</v>
      </c>
      <c r="AD77" s="67">
        <f>IF(VLOOKUP($D77,$C$5:$AU$493,3,)=0,0,(VLOOKUP($D77,$C$5:$AU$493,28,)/VLOOKUP($D77,$C$5:$AU$493,3,))*$E77)</f>
        <v>0</v>
      </c>
      <c r="AE77" s="67">
        <f>IF(VLOOKUP($D77,$C$5:$AU$493,3,)=0,0,(VLOOKUP($D77,$C$5:$AU$493,29,)/VLOOKUP($D77,$C$5:$AU$493,3,))*$E77)</f>
        <v>0</v>
      </c>
      <c r="AF77" s="67">
        <f>IF(VLOOKUP($D77,$C$5:$AU$493,3,)=0,0,(VLOOKUP($D77,$C$5:$AU$493,30,)/VLOOKUP($D77,$C$5:$AU$493,3,))*$E77)</f>
        <v>0</v>
      </c>
      <c r="AG77" s="90">
        <f>SUM(F77:AF77)</f>
        <v>0</v>
      </c>
      <c r="AH77" s="28" t="str">
        <f>IF(ABS(E77-AG77)&lt;0.01,"ok","err")</f>
        <v>ok</v>
      </c>
    </row>
    <row r="78" spans="1:34" x14ac:dyDescent="0.25">
      <c r="E78" s="50"/>
    </row>
    <row r="79" spans="1:34" x14ac:dyDescent="0.25">
      <c r="A79" s="14" t="s">
        <v>0</v>
      </c>
      <c r="C79" s="14" t="s">
        <v>246</v>
      </c>
      <c r="E79" s="67">
        <f>E49+E52+E55+E60+E65+E68+E71+E74+E77</f>
        <v>91167915.409999996</v>
      </c>
      <c r="F79" s="67">
        <f t="shared" ref="F79:R79" si="14">F49+F52+F55+F60+F65+F68+F71+F74+F77</f>
        <v>63201864.778451912</v>
      </c>
      <c r="G79" s="67">
        <f t="shared" si="14"/>
        <v>67138.423048555414</v>
      </c>
      <c r="H79" s="67">
        <f t="shared" si="14"/>
        <v>2978079.4197651437</v>
      </c>
      <c r="I79" s="67">
        <f t="shared" si="14"/>
        <v>10318209.414534435</v>
      </c>
      <c r="J79" s="67">
        <f t="shared" si="14"/>
        <v>4326579.7568982318</v>
      </c>
      <c r="K79" s="67">
        <f t="shared" si="14"/>
        <v>5757995.540006889</v>
      </c>
      <c r="L79" s="67">
        <f t="shared" si="14"/>
        <v>1506425.6490214395</v>
      </c>
      <c r="M79" s="67">
        <f t="shared" si="14"/>
        <v>3011622.4261654452</v>
      </c>
      <c r="N79" s="67">
        <f t="shared" si="14"/>
        <v>0</v>
      </c>
      <c r="O79" s="67">
        <f t="shared" si="14"/>
        <v>0</v>
      </c>
      <c r="P79" s="67">
        <f t="shared" si="14"/>
        <v>0</v>
      </c>
      <c r="Q79" s="67">
        <f t="shared" si="14"/>
        <v>0</v>
      </c>
      <c r="R79" s="67">
        <f t="shared" si="14"/>
        <v>0</v>
      </c>
      <c r="S79" s="67">
        <f t="shared" ref="S79:AF79" si="15">S49+S55+S60+S65+S68+S71+S74+S77</f>
        <v>0</v>
      </c>
      <c r="T79" s="67">
        <f t="shared" si="15"/>
        <v>0</v>
      </c>
      <c r="U79" s="67">
        <f t="shared" si="15"/>
        <v>0</v>
      </c>
      <c r="V79" s="67">
        <f t="shared" si="15"/>
        <v>0</v>
      </c>
      <c r="W79" s="67">
        <f t="shared" si="15"/>
        <v>0</v>
      </c>
      <c r="X79" s="67">
        <f t="shared" si="15"/>
        <v>0</v>
      </c>
      <c r="Y79" s="67">
        <f t="shared" si="15"/>
        <v>0</v>
      </c>
      <c r="Z79" s="67">
        <f t="shared" si="15"/>
        <v>0</v>
      </c>
      <c r="AA79" s="67">
        <f t="shared" si="15"/>
        <v>0</v>
      </c>
      <c r="AB79" s="67">
        <f t="shared" si="15"/>
        <v>0</v>
      </c>
      <c r="AC79" s="67">
        <f t="shared" si="15"/>
        <v>0</v>
      </c>
      <c r="AD79" s="67">
        <f t="shared" si="15"/>
        <v>0</v>
      </c>
      <c r="AE79" s="67">
        <f t="shared" si="15"/>
        <v>0</v>
      </c>
      <c r="AF79" s="67">
        <f t="shared" si="15"/>
        <v>0</v>
      </c>
      <c r="AG79" s="90">
        <f>SUM(F79:AF79)</f>
        <v>91167915.407892048</v>
      </c>
      <c r="AH79" s="28" t="str">
        <f>IF(ABS(E79-AG79)&lt;0.01,"ok","err")</f>
        <v>ok</v>
      </c>
    </row>
    <row r="80" spans="1:34" x14ac:dyDescent="0.25">
      <c r="F80" s="48">
        <f>F79/E79</f>
        <v>0.69324679076208695</v>
      </c>
    </row>
    <row r="82" spans="1:34" x14ac:dyDescent="0.25">
      <c r="A82" s="26" t="s">
        <v>247</v>
      </c>
    </row>
    <row r="84" spans="1:34" x14ac:dyDescent="0.25">
      <c r="A84" s="13" t="s">
        <v>890</v>
      </c>
    </row>
    <row r="85" spans="1:34" x14ac:dyDescent="0.25">
      <c r="A85" s="93" t="s">
        <v>207</v>
      </c>
      <c r="C85" s="14" t="s">
        <v>248</v>
      </c>
      <c r="D85" s="14" t="s">
        <v>656</v>
      </c>
      <c r="E85" s="67">
        <f>'Func &amp; Classif'!H144</f>
        <v>0</v>
      </c>
      <c r="F85" s="67">
        <f>IF(VLOOKUP($D85,$C$5:$AU$493,3,)=0,0,(VLOOKUP($D85,$C$5:$AU$493,4,)/VLOOKUP($D85,$C$5:$AU$493,3,))*$E85)</f>
        <v>0</v>
      </c>
      <c r="G85" s="67">
        <f>IF(VLOOKUP($D85,$C$5:$AU$493,3,)=0,0,(VLOOKUP($D85,$C$5:$AU$493,5,)/VLOOKUP($D85,$C$5:$AU$493,3,))*$E85)</f>
        <v>0</v>
      </c>
      <c r="H85" s="67">
        <f>IF(VLOOKUP($D85,$C$5:$AU$493,3,)=0,0,(VLOOKUP($D85,$C$5:$AU$493,6,)/VLOOKUP($D85,$C$5:$AU$493,3,))*$E85)</f>
        <v>0</v>
      </c>
      <c r="I85" s="67">
        <f>IF(VLOOKUP($D85,$C$5:$AU$493,3,)=0,0,(VLOOKUP($D85,$C$5:$AU$493,7,)/VLOOKUP($D85,$C$5:$AU$493,3,))*$E85)</f>
        <v>0</v>
      </c>
      <c r="J85" s="67">
        <f>IF(VLOOKUP($D85,$C$5:$AU$493,3,)=0,0,(VLOOKUP($D85,$C$5:$AU$493,8,)/VLOOKUP($D85,$C$5:$AU$493,3,))*$E85)</f>
        <v>0</v>
      </c>
      <c r="K85" s="67">
        <f>IF(VLOOKUP($D85,$C$5:$AU$493,3,)=0,0,(VLOOKUP($D85,$C$5:$AU$493,9,)/VLOOKUP($D85,$C$5:$AU$493,3,))*$E85)</f>
        <v>0</v>
      </c>
      <c r="L85" s="67">
        <f>IF(VLOOKUP($D85,$C$5:$AU$493,3,)=0,0,(VLOOKUP($D85,$C$5:$AU$493,10,)/VLOOKUP($D85,$C$5:$AU$493,3,))*$E85)</f>
        <v>0</v>
      </c>
      <c r="M85" s="67">
        <f>IF(VLOOKUP($D85,$C$5:$AU$493,3,)=0,0,(VLOOKUP($D85,$C$5:$AU$493,11,)/VLOOKUP($D85,$C$5:$AU$493,3,))*$E85)</f>
        <v>0</v>
      </c>
      <c r="N85" s="67">
        <f>IF(VLOOKUP($D85,$C$5:$AU$493,3,)=0,0,(VLOOKUP($D85,$C$5:$AU$493,12,)/VLOOKUP($D85,$C$5:$AU$493,3,))*$E85)</f>
        <v>0</v>
      </c>
      <c r="O85" s="67">
        <f>IF(VLOOKUP($D85,$C$5:$AU$493,3,)=0,0,(VLOOKUP($D85,$C$5:$AU$493,13,)/VLOOKUP($D85,$C$5:$AU$493,3,))*$E85)</f>
        <v>0</v>
      </c>
      <c r="P85" s="67">
        <f>IF(VLOOKUP($D85,$C$5:$AU$493,3,)=0,0,(VLOOKUP($D85,$C$5:$AU$493,14,)/VLOOKUP($D85,$C$5:$AU$493,3,))*$E85)</f>
        <v>0</v>
      </c>
      <c r="Q85" s="67">
        <f>IF(VLOOKUP($D85,$C$5:$AU$493,3,)=0,0,(VLOOKUP($D85,$C$5:$AU$493,15,)/VLOOKUP($D85,$C$5:$AU$493,3,))*$E85)</f>
        <v>0</v>
      </c>
      <c r="R85" s="67">
        <f>IF(VLOOKUP($D85,$C$5:$AU$493,3,)=0,0,(VLOOKUP($D85,$C$5:$AU$493,16,)/VLOOKUP($D85,$C$5:$AU$493,3,))*$E85)</f>
        <v>0</v>
      </c>
      <c r="S85" s="67">
        <f>IF(VLOOKUP($D85,$C$5:$AU$493,3,)=0,0,(VLOOKUP($D85,$C$5:$AU$493,17,)/VLOOKUP($D85,$C$5:$AU$493,3,))*$E85)</f>
        <v>0</v>
      </c>
      <c r="T85" s="67">
        <f>IF(VLOOKUP($D85,$C$5:$AU$493,3,)=0,0,(VLOOKUP($D85,$C$5:$AU$493,18,)/VLOOKUP($D85,$C$5:$AU$493,3,))*$E85)</f>
        <v>0</v>
      </c>
      <c r="U85" s="67">
        <f>IF(VLOOKUP($D85,$C$5:$AU$493,3,)=0,0,(VLOOKUP($D85,$C$5:$AU$493,19,)/VLOOKUP($D85,$C$5:$AU$493,3,))*$E85)</f>
        <v>0</v>
      </c>
      <c r="V85" s="67">
        <f>IF(VLOOKUP($D85,$C$5:$AU$493,3,)=0,0,(VLOOKUP($D85,$C$5:$AU$493,20,)/VLOOKUP($D85,$C$5:$AU$493,3,))*$E85)</f>
        <v>0</v>
      </c>
      <c r="W85" s="67">
        <f>IF(VLOOKUP($D85,$C$5:$AU$493,3,)=0,0,(VLOOKUP($D85,$C$5:$AU$493,21,)/VLOOKUP($D85,$C$5:$AU$493,3,))*$E85)</f>
        <v>0</v>
      </c>
      <c r="X85" s="67">
        <f>IF(VLOOKUP($D85,$C$5:$AU$493,3,)=0,0,(VLOOKUP($D85,$C$5:$AU$493,22,)/VLOOKUP($D85,$C$5:$AU$493,3,))*$E85)</f>
        <v>0</v>
      </c>
      <c r="Y85" s="67">
        <f>IF(VLOOKUP($D85,$C$5:$AU$493,3,)=0,0,(VLOOKUP($D85,$C$5:$AU$493,23,)/VLOOKUP($D85,$C$5:$AU$493,3,))*$E85)</f>
        <v>0</v>
      </c>
      <c r="Z85" s="67">
        <f>IF(VLOOKUP($D85,$C$5:$AU$493,3,)=0,0,(VLOOKUP($D85,$C$5:$AU$493,24,)/VLOOKUP($D85,$C$5:$AU$493,3,))*$E85)</f>
        <v>0</v>
      </c>
      <c r="AA85" s="67">
        <f>IF(VLOOKUP($D85,$C$5:$AU$493,3,)=0,0,(VLOOKUP($D85,$C$5:$AU$493,25,)/VLOOKUP($D85,$C$5:$AU$493,3,))*$E85)</f>
        <v>0</v>
      </c>
      <c r="AB85" s="67">
        <f>IF(VLOOKUP($D85,$C$5:$AU$493,3,)=0,0,(VLOOKUP($D85,$C$5:$AU$493,26,)/VLOOKUP($D85,$C$5:$AU$493,3,))*$E85)</f>
        <v>0</v>
      </c>
      <c r="AC85" s="67">
        <f>IF(VLOOKUP($D85,$C$5:$AU$493,3,)=0,0,(VLOOKUP($D85,$C$5:$AU$493,27,)/VLOOKUP($D85,$C$5:$AU$493,3,))*$E85)</f>
        <v>0</v>
      </c>
      <c r="AD85" s="67">
        <f>IF(VLOOKUP($D85,$C$5:$AU$493,3,)=0,0,(VLOOKUP($D85,$C$5:$AU$493,28,)/VLOOKUP($D85,$C$5:$AU$493,3,))*$E85)</f>
        <v>0</v>
      </c>
      <c r="AE85" s="67">
        <f>IF(VLOOKUP($D85,$C$5:$AU$493,3,)=0,0,(VLOOKUP($D85,$C$5:$AU$493,29,)/VLOOKUP($D85,$C$5:$AU$493,3,))*$E85)</f>
        <v>0</v>
      </c>
      <c r="AF85" s="67">
        <f>IF(VLOOKUP($D85,$C$5:$AU$493,3,)=0,0,(VLOOKUP($D85,$C$5:$AU$493,30,)/VLOOKUP($D85,$C$5:$AU$493,3,))*$E85)</f>
        <v>0</v>
      </c>
      <c r="AG85" s="90">
        <f>SUM(F85:AF85)</f>
        <v>0</v>
      </c>
      <c r="AH85" s="28" t="str">
        <f>IF(ABS(E85-AG85)&lt;0.01,"ok","err")</f>
        <v>ok</v>
      </c>
    </row>
    <row r="86" spans="1:34" x14ac:dyDescent="0.25">
      <c r="A86" s="93" t="s">
        <v>210</v>
      </c>
      <c r="C86" s="14" t="s">
        <v>249</v>
      </c>
      <c r="D86" s="14" t="s">
        <v>665</v>
      </c>
      <c r="E86" s="50">
        <f>'Func &amp; Classif'!I144</f>
        <v>0</v>
      </c>
      <c r="F86" s="67">
        <f>IF(VLOOKUP($D86,$C$5:$AU$493,3,)=0,0,(VLOOKUP($D86,$C$5:$AU$493,4,)/VLOOKUP($D86,$C$5:$AU$493,3,))*$E86)</f>
        <v>0</v>
      </c>
      <c r="G86" s="67">
        <f>IF(VLOOKUP($D86,$C$5:$AU$493,3,)=0,0,(VLOOKUP($D86,$C$5:$AU$493,5,)/VLOOKUP($D86,$C$5:$AU$493,3,))*$E86)</f>
        <v>0</v>
      </c>
      <c r="H86" s="67">
        <f>IF(VLOOKUP($D86,$C$5:$AU$493,3,)=0,0,(VLOOKUP($D86,$C$5:$AU$493,6,)/VLOOKUP($D86,$C$5:$AU$493,3,))*$E86)</f>
        <v>0</v>
      </c>
      <c r="I86" s="67">
        <f>IF(VLOOKUP($D86,$C$5:$AU$493,3,)=0,0,(VLOOKUP($D86,$C$5:$AU$493,7,)/VLOOKUP($D86,$C$5:$AU$493,3,))*$E86)</f>
        <v>0</v>
      </c>
      <c r="J86" s="67">
        <f>IF(VLOOKUP($D86,$C$5:$AU$493,3,)=0,0,(VLOOKUP($D86,$C$5:$AU$493,8,)/VLOOKUP($D86,$C$5:$AU$493,3,))*$E86)</f>
        <v>0</v>
      </c>
      <c r="K86" s="67">
        <f>IF(VLOOKUP($D86,$C$5:$AU$493,3,)=0,0,(VLOOKUP($D86,$C$5:$AU$493,9,)/VLOOKUP($D86,$C$5:$AU$493,3,))*$E86)</f>
        <v>0</v>
      </c>
      <c r="L86" s="67">
        <f>IF(VLOOKUP($D86,$C$5:$AU$493,3,)=0,0,(VLOOKUP($D86,$C$5:$AU$493,10,)/VLOOKUP($D86,$C$5:$AU$493,3,))*$E86)</f>
        <v>0</v>
      </c>
      <c r="M86" s="67">
        <f>IF(VLOOKUP($D86,$C$5:$AU$493,3,)=0,0,(VLOOKUP($D86,$C$5:$AU$493,11,)/VLOOKUP($D86,$C$5:$AU$493,3,))*$E86)</f>
        <v>0</v>
      </c>
      <c r="N86" s="67">
        <f>IF(VLOOKUP($D86,$C$5:$AU$493,3,)=0,0,(VLOOKUP($D86,$C$5:$AU$493,12,)/VLOOKUP($D86,$C$5:$AU$493,3,))*$E86)</f>
        <v>0</v>
      </c>
      <c r="O86" s="67">
        <f>IF(VLOOKUP($D86,$C$5:$AU$493,3,)=0,0,(VLOOKUP($D86,$C$5:$AU$493,13,)/VLOOKUP($D86,$C$5:$AU$493,3,))*$E86)</f>
        <v>0</v>
      </c>
      <c r="P86" s="67">
        <f>IF(VLOOKUP($D86,$C$5:$AU$493,3,)=0,0,(VLOOKUP($D86,$C$5:$AU$493,14,)/VLOOKUP($D86,$C$5:$AU$493,3,))*$E86)</f>
        <v>0</v>
      </c>
      <c r="Q86" s="67">
        <f>IF(VLOOKUP($D86,$C$5:$AU$493,3,)=0,0,(VLOOKUP($D86,$C$5:$AU$493,15,)/VLOOKUP($D86,$C$5:$AU$493,3,))*$E86)</f>
        <v>0</v>
      </c>
      <c r="R86" s="67">
        <f>IF(VLOOKUP($D86,$C$5:$AU$493,3,)=0,0,(VLOOKUP($D86,$C$5:$AU$493,16,)/VLOOKUP($D86,$C$5:$AU$493,3,))*$E86)</f>
        <v>0</v>
      </c>
      <c r="S86" s="67">
        <f>IF(VLOOKUP($D86,$C$5:$AU$493,3,)=0,0,(VLOOKUP($D86,$C$5:$AU$493,17,)/VLOOKUP($D86,$C$5:$AU$493,3,))*$E86)</f>
        <v>0</v>
      </c>
      <c r="T86" s="67">
        <f>IF(VLOOKUP($D86,$C$5:$AU$493,3,)=0,0,(VLOOKUP($D86,$C$5:$AU$493,18,)/VLOOKUP($D86,$C$5:$AU$493,3,))*$E86)</f>
        <v>0</v>
      </c>
      <c r="U86" s="67">
        <f>IF(VLOOKUP($D86,$C$5:$AU$493,3,)=0,0,(VLOOKUP($D86,$C$5:$AU$493,19,)/VLOOKUP($D86,$C$5:$AU$493,3,))*$E86)</f>
        <v>0</v>
      </c>
      <c r="V86" s="67">
        <f>IF(VLOOKUP($D86,$C$5:$AU$493,3,)=0,0,(VLOOKUP($D86,$C$5:$AU$493,20,)/VLOOKUP($D86,$C$5:$AU$493,3,))*$E86)</f>
        <v>0</v>
      </c>
      <c r="W86" s="67">
        <f>IF(VLOOKUP($D86,$C$5:$AU$493,3,)=0,0,(VLOOKUP($D86,$C$5:$AU$493,21,)/VLOOKUP($D86,$C$5:$AU$493,3,))*$E86)</f>
        <v>0</v>
      </c>
      <c r="X86" s="67">
        <f>IF(VLOOKUP($D86,$C$5:$AU$493,3,)=0,0,(VLOOKUP($D86,$C$5:$AU$493,22,)/VLOOKUP($D86,$C$5:$AU$493,3,))*$E86)</f>
        <v>0</v>
      </c>
      <c r="Y86" s="67">
        <f>IF(VLOOKUP($D86,$C$5:$AU$493,3,)=0,0,(VLOOKUP($D86,$C$5:$AU$493,23,)/VLOOKUP($D86,$C$5:$AU$493,3,))*$E86)</f>
        <v>0</v>
      </c>
      <c r="Z86" s="67">
        <f>IF(VLOOKUP($D86,$C$5:$AU$493,3,)=0,0,(VLOOKUP($D86,$C$5:$AU$493,24,)/VLOOKUP($D86,$C$5:$AU$493,3,))*$E86)</f>
        <v>0</v>
      </c>
      <c r="AA86" s="67">
        <f>IF(VLOOKUP($D86,$C$5:$AU$493,3,)=0,0,(VLOOKUP($D86,$C$5:$AU$493,25,)/VLOOKUP($D86,$C$5:$AU$493,3,))*$E86)</f>
        <v>0</v>
      </c>
      <c r="AB86" s="67">
        <f>IF(VLOOKUP($D86,$C$5:$AU$493,3,)=0,0,(VLOOKUP($D86,$C$5:$AU$493,26,)/VLOOKUP($D86,$C$5:$AU$493,3,))*$E86)</f>
        <v>0</v>
      </c>
      <c r="AC86" s="67">
        <f>IF(VLOOKUP($D86,$C$5:$AU$493,3,)=0,0,(VLOOKUP($D86,$C$5:$AU$493,27,)/VLOOKUP($D86,$C$5:$AU$493,3,))*$E86)</f>
        <v>0</v>
      </c>
      <c r="AD86" s="67">
        <f>IF(VLOOKUP($D86,$C$5:$AU$493,3,)=0,0,(VLOOKUP($D86,$C$5:$AU$493,28,)/VLOOKUP($D86,$C$5:$AU$493,3,))*$E86)</f>
        <v>0</v>
      </c>
      <c r="AE86" s="67">
        <f>IF(VLOOKUP($D86,$C$5:$AU$493,3,)=0,0,(VLOOKUP($D86,$C$5:$AU$493,29,)/VLOOKUP($D86,$C$5:$AU$493,3,))*$E86)</f>
        <v>0</v>
      </c>
      <c r="AF86" s="67">
        <f>IF(VLOOKUP($D86,$C$5:$AU$493,3,)=0,0,(VLOOKUP($D86,$C$5:$AU$493,30,)/VLOOKUP($D86,$C$5:$AU$493,3,))*$E86)</f>
        <v>0</v>
      </c>
      <c r="AG86" s="90">
        <f>SUM(F86:AF86)</f>
        <v>0</v>
      </c>
      <c r="AH86" s="28" t="str">
        <f>IF(ABS(E86-AG86)&lt;0.01,"ok","err")</f>
        <v>ok</v>
      </c>
    </row>
    <row r="87" spans="1:34" x14ac:dyDescent="0.25">
      <c r="A87" s="14" t="s">
        <v>213</v>
      </c>
      <c r="C87" s="14" t="s">
        <v>250</v>
      </c>
      <c r="E87" s="50">
        <f t="shared" ref="E87:T87" si="16">E85+E86</f>
        <v>0</v>
      </c>
      <c r="F87" s="67">
        <f t="shared" si="16"/>
        <v>0</v>
      </c>
      <c r="G87" s="67">
        <f t="shared" si="16"/>
        <v>0</v>
      </c>
      <c r="H87" s="67">
        <f t="shared" si="16"/>
        <v>0</v>
      </c>
      <c r="I87" s="67">
        <f t="shared" si="16"/>
        <v>0</v>
      </c>
      <c r="J87" s="67">
        <f t="shared" si="16"/>
        <v>0</v>
      </c>
      <c r="K87" s="67">
        <f t="shared" si="16"/>
        <v>0</v>
      </c>
      <c r="L87" s="67">
        <f t="shared" si="16"/>
        <v>0</v>
      </c>
      <c r="M87" s="67">
        <f t="shared" si="16"/>
        <v>0</v>
      </c>
      <c r="N87" s="67">
        <f t="shared" si="16"/>
        <v>0</v>
      </c>
      <c r="O87" s="67">
        <f t="shared" si="16"/>
        <v>0</v>
      </c>
      <c r="P87" s="67">
        <f t="shared" si="16"/>
        <v>0</v>
      </c>
      <c r="Q87" s="67">
        <f t="shared" si="16"/>
        <v>0</v>
      </c>
      <c r="R87" s="67">
        <f t="shared" si="16"/>
        <v>0</v>
      </c>
      <c r="S87" s="67">
        <f t="shared" si="16"/>
        <v>0</v>
      </c>
      <c r="T87" s="67">
        <f t="shared" si="16"/>
        <v>0</v>
      </c>
      <c r="U87" s="67">
        <f t="shared" ref="U87:AF87" si="17">U85+U86</f>
        <v>0</v>
      </c>
      <c r="V87" s="67">
        <f t="shared" si="17"/>
        <v>0</v>
      </c>
      <c r="W87" s="67">
        <f t="shared" si="17"/>
        <v>0</v>
      </c>
      <c r="X87" s="67">
        <f t="shared" si="17"/>
        <v>0</v>
      </c>
      <c r="Y87" s="67">
        <f t="shared" si="17"/>
        <v>0</v>
      </c>
      <c r="Z87" s="67">
        <f t="shared" si="17"/>
        <v>0</v>
      </c>
      <c r="AA87" s="67">
        <f t="shared" si="17"/>
        <v>0</v>
      </c>
      <c r="AB87" s="67">
        <f t="shared" si="17"/>
        <v>0</v>
      </c>
      <c r="AC87" s="67">
        <f t="shared" si="17"/>
        <v>0</v>
      </c>
      <c r="AD87" s="67">
        <f t="shared" si="17"/>
        <v>0</v>
      </c>
      <c r="AE87" s="67">
        <f t="shared" si="17"/>
        <v>0</v>
      </c>
      <c r="AF87" s="67">
        <f t="shared" si="17"/>
        <v>0</v>
      </c>
      <c r="AG87" s="90">
        <f>SUM(F87:AF87)</f>
        <v>0</v>
      </c>
      <c r="AH87" s="28" t="str">
        <f>IF(ABS(E87-AG87)&lt;0.01,"ok","err")</f>
        <v>ok</v>
      </c>
    </row>
    <row r="88" spans="1:34" x14ac:dyDescent="0.25">
      <c r="E88" s="50"/>
      <c r="F88" s="50"/>
    </row>
    <row r="89" spans="1:34" x14ac:dyDescent="0.25">
      <c r="A89" s="13" t="s">
        <v>348</v>
      </c>
      <c r="E89" s="50"/>
      <c r="F89" s="50"/>
    </row>
    <row r="90" spans="1:34" x14ac:dyDescent="0.25">
      <c r="A90" s="93" t="s">
        <v>207</v>
      </c>
      <c r="C90" s="14" t="s">
        <v>881</v>
      </c>
      <c r="D90" s="14" t="s">
        <v>599</v>
      </c>
      <c r="E90" s="67">
        <f>'Func &amp; Classif'!K144</f>
        <v>0</v>
      </c>
      <c r="F90" s="67">
        <f>IF(VLOOKUP($D90,$C$5:$AU$493,3,)=0,0,(VLOOKUP($D90,$C$5:$AU$493,4,)/VLOOKUP($D90,$C$5:$AU$493,3,))*$E90)</f>
        <v>0</v>
      </c>
      <c r="G90" s="67">
        <f>IF(VLOOKUP($D90,$C$5:$AU$493,3,)=0,0,(VLOOKUP($D90,$C$5:$AU$493,5,)/VLOOKUP($D90,$C$5:$AU$493,3,))*$E90)</f>
        <v>0</v>
      </c>
      <c r="H90" s="67">
        <f>IF(VLOOKUP($D90,$C$5:$AU$493,3,)=0,0,(VLOOKUP($D90,$C$5:$AU$493,6,)/VLOOKUP($D90,$C$5:$AU$493,3,))*$E90)</f>
        <v>0</v>
      </c>
      <c r="I90" s="67">
        <f>IF(VLOOKUP($D90,$C$5:$AU$493,3,)=0,0,(VLOOKUP($D90,$C$5:$AU$493,7,)/VLOOKUP($D90,$C$5:$AU$493,3,))*$E90)</f>
        <v>0</v>
      </c>
      <c r="J90" s="67">
        <f>IF(VLOOKUP($D90,$C$5:$AU$493,3,)=0,0,(VLOOKUP($D90,$C$5:$AU$493,8,)/VLOOKUP($D90,$C$5:$AU$493,3,))*$E90)</f>
        <v>0</v>
      </c>
      <c r="K90" s="67">
        <f>IF(VLOOKUP($D90,$C$5:$AU$493,3,)=0,0,(VLOOKUP($D90,$C$5:$AU$493,9,)/VLOOKUP($D90,$C$5:$AU$493,3,))*$E90)</f>
        <v>0</v>
      </c>
      <c r="L90" s="67">
        <f>IF(VLOOKUP($D90,$C$5:$AU$493,3,)=0,0,(VLOOKUP($D90,$C$5:$AU$493,10,)/VLOOKUP($D90,$C$5:$AU$493,3,))*$E90)</f>
        <v>0</v>
      </c>
      <c r="M90" s="67">
        <f>IF(VLOOKUP($D90,$C$5:$AU$493,3,)=0,0,(VLOOKUP($D90,$C$5:$AU$493,11,)/VLOOKUP($D90,$C$5:$AU$493,3,))*$E90)</f>
        <v>0</v>
      </c>
      <c r="N90" s="67">
        <f>IF(VLOOKUP($D90,$C$5:$AU$493,3,)=0,0,(VLOOKUP($D90,$C$5:$AU$493,12,)/VLOOKUP($D90,$C$5:$AU$493,3,))*$E90)</f>
        <v>0</v>
      </c>
      <c r="O90" s="67">
        <f>IF(VLOOKUP($D90,$C$5:$AU$493,3,)=0,0,(VLOOKUP($D90,$C$5:$AU$493,13,)/VLOOKUP($D90,$C$5:$AU$493,3,))*$E90)</f>
        <v>0</v>
      </c>
      <c r="P90" s="67">
        <f>IF(VLOOKUP($D90,$C$5:$AU$493,3,)=0,0,(VLOOKUP($D90,$C$5:$AU$493,14,)/VLOOKUP($D90,$C$5:$AU$493,3,))*$E90)</f>
        <v>0</v>
      </c>
      <c r="Q90" s="67">
        <f>IF(VLOOKUP($D90,$C$5:$AU$493,3,)=0,0,(VLOOKUP($D90,$C$5:$AU$493,15,)/VLOOKUP($D90,$C$5:$AU$493,3,))*$E90)</f>
        <v>0</v>
      </c>
      <c r="R90" s="67">
        <f>IF(VLOOKUP($D90,$C$5:$AU$493,3,)=0,0,(VLOOKUP($D90,$C$5:$AU$493,16,)/VLOOKUP($D90,$C$5:$AU$493,3,))*$E90)</f>
        <v>0</v>
      </c>
      <c r="S90" s="67">
        <f>IF(VLOOKUP($D90,$C$5:$AU$493,3,)=0,0,(VLOOKUP($D90,$C$5:$AU$493,17,)/VLOOKUP($D90,$C$5:$AU$493,3,))*$E90)</f>
        <v>0</v>
      </c>
      <c r="T90" s="67">
        <f>IF(VLOOKUP($D90,$C$5:$AU$493,3,)=0,0,(VLOOKUP($D90,$C$5:$AU$493,18,)/VLOOKUP($D90,$C$5:$AU$493,3,))*$E90)</f>
        <v>0</v>
      </c>
      <c r="U90" s="67">
        <f>IF(VLOOKUP($D90,$C$5:$AU$493,3,)=0,0,(VLOOKUP($D90,$C$5:$AU$493,19,)/VLOOKUP($D90,$C$5:$AU$493,3,))*$E90)</f>
        <v>0</v>
      </c>
      <c r="V90" s="67">
        <f>IF(VLOOKUP($D90,$C$5:$AU$493,3,)=0,0,(VLOOKUP($D90,$C$5:$AU$493,20,)/VLOOKUP($D90,$C$5:$AU$493,3,))*$E90)</f>
        <v>0</v>
      </c>
      <c r="W90" s="67">
        <f>IF(VLOOKUP($D90,$C$5:$AU$493,3,)=0,0,(VLOOKUP($D90,$C$5:$AU$493,21,)/VLOOKUP($D90,$C$5:$AU$493,3,))*$E90)</f>
        <v>0</v>
      </c>
      <c r="X90" s="67">
        <f>IF(VLOOKUP($D90,$C$5:$AU$493,3,)=0,0,(VLOOKUP($D90,$C$5:$AU$493,22,)/VLOOKUP($D90,$C$5:$AU$493,3,))*$E90)</f>
        <v>0</v>
      </c>
      <c r="Y90" s="67">
        <f>IF(VLOOKUP($D90,$C$5:$AU$493,3,)=0,0,(VLOOKUP($D90,$C$5:$AU$493,23,)/VLOOKUP($D90,$C$5:$AU$493,3,))*$E90)</f>
        <v>0</v>
      </c>
      <c r="Z90" s="67">
        <f>IF(VLOOKUP($D90,$C$5:$AU$493,3,)=0,0,(VLOOKUP($D90,$C$5:$AU$493,24,)/VLOOKUP($D90,$C$5:$AU$493,3,))*$E90)</f>
        <v>0</v>
      </c>
      <c r="AA90" s="67">
        <f>IF(VLOOKUP($D90,$C$5:$AU$493,3,)=0,0,(VLOOKUP($D90,$C$5:$AU$493,25,)/VLOOKUP($D90,$C$5:$AU$493,3,))*$E90)</f>
        <v>0</v>
      </c>
      <c r="AB90" s="67">
        <f>IF(VLOOKUP($D90,$C$5:$AU$493,3,)=0,0,(VLOOKUP($D90,$C$5:$AU$493,26,)/VLOOKUP($D90,$C$5:$AU$493,3,))*$E90)</f>
        <v>0</v>
      </c>
      <c r="AC90" s="67">
        <f>IF(VLOOKUP($D90,$C$5:$AU$493,3,)=0,0,(VLOOKUP($D90,$C$5:$AU$493,27,)/VLOOKUP($D90,$C$5:$AU$493,3,))*$E90)</f>
        <v>0</v>
      </c>
      <c r="AD90" s="67">
        <f>IF(VLOOKUP($D90,$C$5:$AU$493,3,)=0,0,(VLOOKUP($D90,$C$5:$AU$493,28,)/VLOOKUP($D90,$C$5:$AU$493,3,))*$E90)</f>
        <v>0</v>
      </c>
      <c r="AE90" s="67">
        <f>IF(VLOOKUP($D90,$C$5:$AU$493,3,)=0,0,(VLOOKUP($D90,$C$5:$AU$493,29,)/VLOOKUP($D90,$C$5:$AU$493,3,))*$E90)</f>
        <v>0</v>
      </c>
      <c r="AF90" s="67">
        <f>IF(VLOOKUP($D90,$C$5:$AU$493,3,)=0,0,(VLOOKUP($D90,$C$5:$AU$493,30,)/VLOOKUP($D90,$C$5:$AU$493,3,))*$E90)</f>
        <v>0</v>
      </c>
      <c r="AG90" s="90">
        <f>SUM(F90:AF90)</f>
        <v>0</v>
      </c>
      <c r="AH90" s="28" t="str">
        <f>IF(ABS(E90-AG90)&lt;0.01,"ok","err")</f>
        <v>ok</v>
      </c>
    </row>
    <row r="91" spans="1:34" x14ac:dyDescent="0.25">
      <c r="E91" s="50"/>
    </row>
    <row r="92" spans="1:34" x14ac:dyDescent="0.25">
      <c r="A92" s="13" t="s">
        <v>1</v>
      </c>
      <c r="E92" s="50"/>
      <c r="F92" s="50"/>
    </row>
    <row r="93" spans="1:34" x14ac:dyDescent="0.25">
      <c r="A93" s="93" t="s">
        <v>207</v>
      </c>
      <c r="C93" s="14" t="s">
        <v>251</v>
      </c>
      <c r="D93" s="14" t="s">
        <v>615</v>
      </c>
      <c r="E93" s="67">
        <f>'Func &amp; Classif'!M144</f>
        <v>762014.22472484643</v>
      </c>
      <c r="F93" s="67">
        <f>IF(VLOOKUP($D93,$C$5:$AU$493,3,)=0,0,(VLOOKUP($D93,$C$5:$AU$493,4,)/VLOOKUP($D93,$C$5:$AU$493,3,))*$E93)</f>
        <v>487001.86871171504</v>
      </c>
      <c r="G93" s="67">
        <f>IF(VLOOKUP($D93,$C$5:$AU$493,3,)=0,0,(VLOOKUP($D93,$C$5:$AU$493,5,)/VLOOKUP($D93,$C$5:$AU$493,3,))*$E93)</f>
        <v>0</v>
      </c>
      <c r="H93" s="67">
        <f>IF(VLOOKUP($D93,$C$5:$AU$493,3,)=0,0,(VLOOKUP($D93,$C$5:$AU$493,6,)/VLOOKUP($D93,$C$5:$AU$493,3,))*$E93)</f>
        <v>34592.419364095651</v>
      </c>
      <c r="I93" s="67">
        <f>IF(VLOOKUP($D93,$C$5:$AU$493,3,)=0,0,(VLOOKUP($D93,$C$5:$AU$493,7,)/VLOOKUP($D93,$C$5:$AU$493,3,))*$E93)</f>
        <v>69959.979985754093</v>
      </c>
      <c r="J93" s="67">
        <f>IF(VLOOKUP($D93,$C$5:$AU$493,3,)=0,0,(VLOOKUP($D93,$C$5:$AU$493,8,)/VLOOKUP($D93,$C$5:$AU$493,3,))*$E93)</f>
        <v>56498.535598625327</v>
      </c>
      <c r="K93" s="67">
        <f>IF(VLOOKUP($D93,$C$5:$AU$493,3,)=0,0,(VLOOKUP($D93,$C$5:$AU$493,9,)/VLOOKUP($D93,$C$5:$AU$493,3,))*$E93)</f>
        <v>90288.117956467016</v>
      </c>
      <c r="L93" s="67">
        <f>IF(VLOOKUP($D93,$C$5:$AU$493,3,)=0,0,(VLOOKUP($D93,$C$5:$AU$493,10,)/VLOOKUP($D93,$C$5:$AU$493,3,))*$E93)</f>
        <v>23673.30103096032</v>
      </c>
      <c r="M93" s="67">
        <f>IF(VLOOKUP($D93,$C$5:$AU$493,3,)=0,0,(VLOOKUP($D93,$C$5:$AU$493,11,)/VLOOKUP($D93,$C$5:$AU$493,3,))*$E93)</f>
        <v>0</v>
      </c>
      <c r="N93" s="67">
        <f>IF(VLOOKUP($D93,$C$5:$AU$493,3,)=0,0,(VLOOKUP($D93,$C$5:$AU$493,12,)/VLOOKUP($D93,$C$5:$AU$493,3,))*$E93)</f>
        <v>0</v>
      </c>
      <c r="O93" s="67">
        <f>IF(VLOOKUP($D93,$C$5:$AU$493,3,)=0,0,(VLOOKUP($D93,$C$5:$AU$493,13,)/VLOOKUP($D93,$C$5:$AU$493,3,))*$E93)</f>
        <v>0</v>
      </c>
      <c r="P93" s="67">
        <f>IF(VLOOKUP($D93,$C$5:$AU$493,3,)=0,0,(VLOOKUP($D93,$C$5:$AU$493,14,)/VLOOKUP($D93,$C$5:$AU$493,3,))*$E93)</f>
        <v>0</v>
      </c>
      <c r="Q93" s="67">
        <f>IF(VLOOKUP($D93,$C$5:$AU$493,3,)=0,0,(VLOOKUP($D93,$C$5:$AU$493,15,)/VLOOKUP($D93,$C$5:$AU$493,3,))*$E93)</f>
        <v>0</v>
      </c>
      <c r="R93" s="67">
        <f>IF(VLOOKUP($D93,$C$5:$AU$493,3,)=0,0,(VLOOKUP($D93,$C$5:$AU$493,16,)/VLOOKUP($D93,$C$5:$AU$493,3,))*$E93)</f>
        <v>0</v>
      </c>
      <c r="S93" s="67">
        <f>IF(VLOOKUP($D93,$C$5:$AU$493,3,)=0,0,(VLOOKUP($D93,$C$5:$AU$493,17,)/VLOOKUP($D93,$C$5:$AU$493,3,))*$E93)</f>
        <v>0</v>
      </c>
      <c r="T93" s="67">
        <f>IF(VLOOKUP($D93,$C$5:$AU$493,3,)=0,0,(VLOOKUP($D93,$C$5:$AU$493,18,)/VLOOKUP($D93,$C$5:$AU$493,3,))*$E93)</f>
        <v>0</v>
      </c>
      <c r="U93" s="67">
        <f>IF(VLOOKUP($D93,$C$5:$AU$493,3,)=0,0,(VLOOKUP($D93,$C$5:$AU$493,19,)/VLOOKUP($D93,$C$5:$AU$493,3,))*$E93)</f>
        <v>0</v>
      </c>
      <c r="V93" s="67">
        <f>IF(VLOOKUP($D93,$C$5:$AU$493,3,)=0,0,(VLOOKUP($D93,$C$5:$AU$493,20,)/VLOOKUP($D93,$C$5:$AU$493,3,))*$E93)</f>
        <v>0</v>
      </c>
      <c r="W93" s="67">
        <f>IF(VLOOKUP($D93,$C$5:$AU$493,3,)=0,0,(VLOOKUP($D93,$C$5:$AU$493,21,)/VLOOKUP($D93,$C$5:$AU$493,3,))*$E93)</f>
        <v>0</v>
      </c>
      <c r="X93" s="67">
        <f>IF(VLOOKUP($D93,$C$5:$AU$493,3,)=0,0,(VLOOKUP($D93,$C$5:$AU$493,22,)/VLOOKUP($D93,$C$5:$AU$493,3,))*$E93)</f>
        <v>0</v>
      </c>
      <c r="Y93" s="67">
        <f>IF(VLOOKUP($D93,$C$5:$AU$493,3,)=0,0,(VLOOKUP($D93,$C$5:$AU$493,23,)/VLOOKUP($D93,$C$5:$AU$493,3,))*$E93)</f>
        <v>0</v>
      </c>
      <c r="Z93" s="67">
        <f>IF(VLOOKUP($D93,$C$5:$AU$493,3,)=0,0,(VLOOKUP($D93,$C$5:$AU$493,24,)/VLOOKUP($D93,$C$5:$AU$493,3,))*$E93)</f>
        <v>0</v>
      </c>
      <c r="AA93" s="67">
        <f>IF(VLOOKUP($D93,$C$5:$AU$493,3,)=0,0,(VLOOKUP($D93,$C$5:$AU$493,25,)/VLOOKUP($D93,$C$5:$AU$493,3,))*$E93)</f>
        <v>0</v>
      </c>
      <c r="AB93" s="67">
        <f>IF(VLOOKUP($D93,$C$5:$AU$493,3,)=0,0,(VLOOKUP($D93,$C$5:$AU$493,26,)/VLOOKUP($D93,$C$5:$AU$493,3,))*$E93)</f>
        <v>0</v>
      </c>
      <c r="AC93" s="67">
        <f>IF(VLOOKUP($D93,$C$5:$AU$493,3,)=0,0,(VLOOKUP($D93,$C$5:$AU$493,27,)/VLOOKUP($D93,$C$5:$AU$493,3,))*$E93)</f>
        <v>0</v>
      </c>
      <c r="AD93" s="67">
        <f>IF(VLOOKUP($D93,$C$5:$AU$493,3,)=0,0,(VLOOKUP($D93,$C$5:$AU$493,28,)/VLOOKUP($D93,$C$5:$AU$493,3,))*$E93)</f>
        <v>0</v>
      </c>
      <c r="AE93" s="67">
        <f>IF(VLOOKUP($D93,$C$5:$AU$493,3,)=0,0,(VLOOKUP($D93,$C$5:$AU$493,29,)/VLOOKUP($D93,$C$5:$AU$493,3,))*$E93)</f>
        <v>0</v>
      </c>
      <c r="AF93" s="67">
        <f>IF(VLOOKUP($D93,$C$5:$AU$493,3,)=0,0,(VLOOKUP($D93,$C$5:$AU$493,30,)/VLOOKUP($D93,$C$5:$AU$493,3,))*$E93)</f>
        <v>0</v>
      </c>
      <c r="AG93" s="90">
        <f>SUM(F93:AF93)</f>
        <v>762014.22264761734</v>
      </c>
      <c r="AH93" s="28" t="str">
        <f>IF(ABS(E93-AG93)&lt;0.01,"ok","err")</f>
        <v>ok</v>
      </c>
    </row>
    <row r="94" spans="1:34" x14ac:dyDescent="0.25">
      <c r="E94" s="50"/>
    </row>
    <row r="95" spans="1:34" x14ac:dyDescent="0.25">
      <c r="A95" s="13" t="s">
        <v>2</v>
      </c>
      <c r="E95" s="50"/>
    </row>
    <row r="96" spans="1:34" x14ac:dyDescent="0.25">
      <c r="A96" s="93" t="s">
        <v>207</v>
      </c>
      <c r="C96" s="14" t="s">
        <v>252</v>
      </c>
      <c r="D96" s="14" t="s">
        <v>607</v>
      </c>
      <c r="E96" s="67">
        <f>'Func &amp; Classif'!O144</f>
        <v>52200601.111809731</v>
      </c>
      <c r="F96" s="67">
        <f>IF(VLOOKUP($D96,$C$5:$AU$493,3,)=0,0,(VLOOKUP($D96,$C$5:$AU$493,4,)/VLOOKUP($D96,$C$5:$AU$493,3,))*$E96)</f>
        <v>37057653.761704743</v>
      </c>
      <c r="G96" s="67">
        <f>IF(VLOOKUP($D96,$C$5:$AU$493,3,)=0,0,(VLOOKUP($D96,$C$5:$AU$493,5,)/VLOOKUP($D96,$C$5:$AU$493,3,))*$E96)</f>
        <v>32635.644333784632</v>
      </c>
      <c r="H96" s="67">
        <f>IF(VLOOKUP($D96,$C$5:$AU$493,3,)=0,0,(VLOOKUP($D96,$C$5:$AU$493,6,)/VLOOKUP($D96,$C$5:$AU$493,3,))*$E96)</f>
        <v>1342355.1023907175</v>
      </c>
      <c r="I96" s="67">
        <f>IF(VLOOKUP($D96,$C$5:$AU$493,3,)=0,0,(VLOOKUP($D96,$C$5:$AU$493,7,)/VLOOKUP($D96,$C$5:$AU$493,3,))*$E96)</f>
        <v>2698719.0981412865</v>
      </c>
      <c r="J96" s="67">
        <f>IF(VLOOKUP($D96,$C$5:$AU$493,3,)=0,0,(VLOOKUP($D96,$C$5:$AU$493,8,)/VLOOKUP($D96,$C$5:$AU$493,3,))*$E96)</f>
        <v>3902169.1369405631</v>
      </c>
      <c r="K96" s="67">
        <f>IF(VLOOKUP($D96,$C$5:$AU$493,3,)=0,0,(VLOOKUP($D96,$C$5:$AU$493,9,)/VLOOKUP($D96,$C$5:$AU$493,3,))*$E96)</f>
        <v>5612314.6065695966</v>
      </c>
      <c r="L96" s="67">
        <f>IF(VLOOKUP($D96,$C$5:$AU$493,3,)=0,0,(VLOOKUP($D96,$C$5:$AU$493,10,)/VLOOKUP($D96,$C$5:$AU$493,3,))*$E96)</f>
        <v>1471533.7540410128</v>
      </c>
      <c r="M96" s="67">
        <f>IF(VLOOKUP($D96,$C$5:$AU$493,3,)=0,0,(VLOOKUP($D96,$C$5:$AU$493,11,)/VLOOKUP($D96,$C$5:$AU$493,3,))*$E96)</f>
        <v>83220.007688042984</v>
      </c>
      <c r="N96" s="67">
        <f>IF(VLOOKUP($D96,$C$5:$AU$493,3,)=0,0,(VLOOKUP($D96,$C$5:$AU$493,12,)/VLOOKUP($D96,$C$5:$AU$493,3,))*$E96)</f>
        <v>0</v>
      </c>
      <c r="O96" s="67">
        <f>IF(VLOOKUP($D96,$C$5:$AU$493,3,)=0,0,(VLOOKUP($D96,$C$5:$AU$493,13,)/VLOOKUP($D96,$C$5:$AU$493,3,))*$E96)</f>
        <v>0</v>
      </c>
      <c r="P96" s="67">
        <f>IF(VLOOKUP($D96,$C$5:$AU$493,3,)=0,0,(VLOOKUP($D96,$C$5:$AU$493,14,)/VLOOKUP($D96,$C$5:$AU$493,3,))*$E96)</f>
        <v>0</v>
      </c>
      <c r="Q96" s="67">
        <f>IF(VLOOKUP($D96,$C$5:$AU$493,3,)=0,0,(VLOOKUP($D96,$C$5:$AU$493,15,)/VLOOKUP($D96,$C$5:$AU$493,3,))*$E96)</f>
        <v>0</v>
      </c>
      <c r="R96" s="67">
        <f>IF(VLOOKUP($D96,$C$5:$AU$493,3,)=0,0,(VLOOKUP($D96,$C$5:$AU$493,16,)/VLOOKUP($D96,$C$5:$AU$493,3,))*$E96)</f>
        <v>0</v>
      </c>
      <c r="S96" s="67">
        <f>IF(VLOOKUP($D96,$C$5:$AU$493,3,)=0,0,(VLOOKUP($D96,$C$5:$AU$493,17,)/VLOOKUP($D96,$C$5:$AU$493,3,))*$E96)</f>
        <v>0</v>
      </c>
      <c r="T96" s="67">
        <f>IF(VLOOKUP($D96,$C$5:$AU$493,3,)=0,0,(VLOOKUP($D96,$C$5:$AU$493,18,)/VLOOKUP($D96,$C$5:$AU$493,3,))*$E96)</f>
        <v>0</v>
      </c>
      <c r="U96" s="67">
        <f>IF(VLOOKUP($D96,$C$5:$AU$493,3,)=0,0,(VLOOKUP($D96,$C$5:$AU$493,19,)/VLOOKUP($D96,$C$5:$AU$493,3,))*$E96)</f>
        <v>0</v>
      </c>
      <c r="V96" s="67">
        <f>IF(VLOOKUP($D96,$C$5:$AU$493,3,)=0,0,(VLOOKUP($D96,$C$5:$AU$493,20,)/VLOOKUP($D96,$C$5:$AU$493,3,))*$E96)</f>
        <v>0</v>
      </c>
      <c r="W96" s="67">
        <f>IF(VLOOKUP($D96,$C$5:$AU$493,3,)=0,0,(VLOOKUP($D96,$C$5:$AU$493,21,)/VLOOKUP($D96,$C$5:$AU$493,3,))*$E96)</f>
        <v>0</v>
      </c>
      <c r="X96" s="67">
        <f>IF(VLOOKUP($D96,$C$5:$AU$493,3,)=0,0,(VLOOKUP($D96,$C$5:$AU$493,22,)/VLOOKUP($D96,$C$5:$AU$493,3,))*$E96)</f>
        <v>0</v>
      </c>
      <c r="Y96" s="67">
        <f>IF(VLOOKUP($D96,$C$5:$AU$493,3,)=0,0,(VLOOKUP($D96,$C$5:$AU$493,23,)/VLOOKUP($D96,$C$5:$AU$493,3,))*$E96)</f>
        <v>0</v>
      </c>
      <c r="Z96" s="67">
        <f>IF(VLOOKUP($D96,$C$5:$AU$493,3,)=0,0,(VLOOKUP($D96,$C$5:$AU$493,24,)/VLOOKUP($D96,$C$5:$AU$493,3,))*$E96)</f>
        <v>0</v>
      </c>
      <c r="AA96" s="67">
        <f>IF(VLOOKUP($D96,$C$5:$AU$493,3,)=0,0,(VLOOKUP($D96,$C$5:$AU$493,25,)/VLOOKUP($D96,$C$5:$AU$493,3,))*$E96)</f>
        <v>0</v>
      </c>
      <c r="AB96" s="67">
        <f>IF(VLOOKUP($D96,$C$5:$AU$493,3,)=0,0,(VLOOKUP($D96,$C$5:$AU$493,26,)/VLOOKUP($D96,$C$5:$AU$493,3,))*$E96)</f>
        <v>0</v>
      </c>
      <c r="AC96" s="67">
        <f>IF(VLOOKUP($D96,$C$5:$AU$493,3,)=0,0,(VLOOKUP($D96,$C$5:$AU$493,27,)/VLOOKUP($D96,$C$5:$AU$493,3,))*$E96)</f>
        <v>0</v>
      </c>
      <c r="AD96" s="67">
        <f>IF(VLOOKUP($D96,$C$5:$AU$493,3,)=0,0,(VLOOKUP($D96,$C$5:$AU$493,28,)/VLOOKUP($D96,$C$5:$AU$493,3,))*$E96)</f>
        <v>0</v>
      </c>
      <c r="AE96" s="67">
        <f>IF(VLOOKUP($D96,$C$5:$AU$493,3,)=0,0,(VLOOKUP($D96,$C$5:$AU$493,29,)/VLOOKUP($D96,$C$5:$AU$493,3,))*$E96)</f>
        <v>0</v>
      </c>
      <c r="AF96" s="67">
        <f>IF(VLOOKUP($D96,$C$5:$AU$493,3,)=0,0,(VLOOKUP($D96,$C$5:$AU$493,30,)/VLOOKUP($D96,$C$5:$AU$493,3,))*$E96)</f>
        <v>0</v>
      </c>
      <c r="AG96" s="90">
        <f>SUM(F96:AF96)</f>
        <v>52200601.111809745</v>
      </c>
      <c r="AH96" s="28" t="str">
        <f>IF(ABS(E96-AG96)&lt;0.01,"ok","err")</f>
        <v>ok</v>
      </c>
    </row>
    <row r="97" spans="1:34" x14ac:dyDescent="0.25">
      <c r="A97" s="93" t="s">
        <v>219</v>
      </c>
      <c r="C97" s="14" t="s">
        <v>253</v>
      </c>
      <c r="D97" s="14" t="s">
        <v>221</v>
      </c>
      <c r="E97" s="50">
        <f>'Func &amp; Classif'!P144</f>
        <v>21643943.962702613</v>
      </c>
      <c r="F97" s="67">
        <f>IF(VLOOKUP($D97,$C$5:$AU$493,3,)=0,0,(VLOOKUP($D97,$C$5:$AU$493,4,)/VLOOKUP($D97,$C$5:$AU$493,3,))*$E97)</f>
        <v>15889571.471177364</v>
      </c>
      <c r="G97" s="67">
        <f>IF(VLOOKUP($D97,$C$5:$AU$493,3,)=0,0,(VLOOKUP($D97,$C$5:$AU$493,5,)/VLOOKUP($D97,$C$5:$AU$493,3,))*$E97)</f>
        <v>21444.105324040014</v>
      </c>
      <c r="H97" s="67">
        <f>IF(VLOOKUP($D97,$C$5:$AU$493,3,)=0,0,(VLOOKUP($D97,$C$5:$AU$493,6,)/VLOOKUP($D97,$C$5:$AU$493,3,))*$E97)</f>
        <v>995517.06097174319</v>
      </c>
      <c r="I97" s="67">
        <f>IF(VLOOKUP($D97,$C$5:$AU$493,3,)=0,0,(VLOOKUP($D97,$C$5:$AU$493,7,)/VLOOKUP($D97,$C$5:$AU$493,3,))*$E97)</f>
        <v>4602313.4616880165</v>
      </c>
      <c r="J97" s="67">
        <f>IF(VLOOKUP($D97,$C$5:$AU$493,3,)=0,0,(VLOOKUP($D97,$C$5:$AU$493,8,)/VLOOKUP($D97,$C$5:$AU$493,3,))*$E97)</f>
        <v>75054.368634140046</v>
      </c>
      <c r="K97" s="67">
        <f>IF(VLOOKUP($D97,$C$5:$AU$493,3,)=0,0,(VLOOKUP($D97,$C$5:$AU$493,9,)/VLOOKUP($D97,$C$5:$AU$493,3,))*$E97)</f>
        <v>17155.284259232012</v>
      </c>
      <c r="L97" s="67">
        <f>IF(VLOOKUP($D97,$C$5:$AU$493,3,)=0,0,(VLOOKUP($D97,$C$5:$AU$493,10,)/VLOOKUP($D97,$C$5:$AU$493,3,))*$E97)</f>
        <v>1225.3774470880007</v>
      </c>
      <c r="M97" s="67">
        <f>IF(VLOOKUP($D97,$C$5:$AU$493,3,)=0,0,(VLOOKUP($D97,$C$5:$AU$493,11,)/VLOOKUP($D97,$C$5:$AU$493,3,))*$E97)</f>
        <v>41662.833200992027</v>
      </c>
      <c r="N97" s="67">
        <f>IF(VLOOKUP($D97,$C$5:$AU$493,3,)=0,0,(VLOOKUP($D97,$C$5:$AU$493,12,)/VLOOKUP($D97,$C$5:$AU$493,3,))*$E97)</f>
        <v>0</v>
      </c>
      <c r="O97" s="67">
        <f>IF(VLOOKUP($D97,$C$5:$AU$493,3,)=0,0,(VLOOKUP($D97,$C$5:$AU$493,13,)/VLOOKUP($D97,$C$5:$AU$493,3,))*$E97)</f>
        <v>0</v>
      </c>
      <c r="P97" s="67">
        <f>IF(VLOOKUP($D97,$C$5:$AU$493,3,)=0,0,(VLOOKUP($D97,$C$5:$AU$493,14,)/VLOOKUP($D97,$C$5:$AU$493,3,))*$E97)</f>
        <v>0</v>
      </c>
      <c r="Q97" s="67">
        <f>IF(VLOOKUP($D97,$C$5:$AU$493,3,)=0,0,(VLOOKUP($D97,$C$5:$AU$493,15,)/VLOOKUP($D97,$C$5:$AU$493,3,))*$E97)</f>
        <v>0</v>
      </c>
      <c r="R97" s="67">
        <f>IF(VLOOKUP($D97,$C$5:$AU$493,3,)=0,0,(VLOOKUP($D97,$C$5:$AU$493,16,)/VLOOKUP($D97,$C$5:$AU$493,3,))*$E97)</f>
        <v>0</v>
      </c>
      <c r="S97" s="67">
        <f>IF(VLOOKUP($D97,$C$5:$AU$493,3,)=0,0,(VLOOKUP($D97,$C$5:$AU$493,17,)/VLOOKUP($D97,$C$5:$AU$493,3,))*$E97)</f>
        <v>0</v>
      </c>
      <c r="T97" s="67">
        <f>IF(VLOOKUP($D97,$C$5:$AU$493,3,)=0,0,(VLOOKUP($D97,$C$5:$AU$493,18,)/VLOOKUP($D97,$C$5:$AU$493,3,))*$E97)</f>
        <v>0</v>
      </c>
      <c r="U97" s="67">
        <f>IF(VLOOKUP($D97,$C$5:$AU$493,3,)=0,0,(VLOOKUP($D97,$C$5:$AU$493,19,)/VLOOKUP($D97,$C$5:$AU$493,3,))*$E97)</f>
        <v>0</v>
      </c>
      <c r="V97" s="67">
        <f>IF(VLOOKUP($D97,$C$5:$AU$493,3,)=0,0,(VLOOKUP($D97,$C$5:$AU$493,20,)/VLOOKUP($D97,$C$5:$AU$493,3,))*$E97)</f>
        <v>0</v>
      </c>
      <c r="W97" s="67">
        <f>IF(VLOOKUP($D97,$C$5:$AU$493,3,)=0,0,(VLOOKUP($D97,$C$5:$AU$493,21,)/VLOOKUP($D97,$C$5:$AU$493,3,))*$E97)</f>
        <v>0</v>
      </c>
      <c r="X97" s="67">
        <f>IF(VLOOKUP($D97,$C$5:$AU$493,3,)=0,0,(VLOOKUP($D97,$C$5:$AU$493,22,)/VLOOKUP($D97,$C$5:$AU$493,3,))*$E97)</f>
        <v>0</v>
      </c>
      <c r="Y97" s="67">
        <f>IF(VLOOKUP($D97,$C$5:$AU$493,3,)=0,0,(VLOOKUP($D97,$C$5:$AU$493,23,)/VLOOKUP($D97,$C$5:$AU$493,3,))*$E97)</f>
        <v>0</v>
      </c>
      <c r="Z97" s="67">
        <f>IF(VLOOKUP($D97,$C$5:$AU$493,3,)=0,0,(VLOOKUP($D97,$C$5:$AU$493,24,)/VLOOKUP($D97,$C$5:$AU$493,3,))*$E97)</f>
        <v>0</v>
      </c>
      <c r="AA97" s="67">
        <f>IF(VLOOKUP($D97,$C$5:$AU$493,3,)=0,0,(VLOOKUP($D97,$C$5:$AU$493,25,)/VLOOKUP($D97,$C$5:$AU$493,3,))*$E97)</f>
        <v>0</v>
      </c>
      <c r="AB97" s="67">
        <f>IF(VLOOKUP($D97,$C$5:$AU$493,3,)=0,0,(VLOOKUP($D97,$C$5:$AU$493,26,)/VLOOKUP($D97,$C$5:$AU$493,3,))*$E97)</f>
        <v>0</v>
      </c>
      <c r="AC97" s="67">
        <f>IF(VLOOKUP($D97,$C$5:$AU$493,3,)=0,0,(VLOOKUP($D97,$C$5:$AU$493,27,)/VLOOKUP($D97,$C$5:$AU$493,3,))*$E97)</f>
        <v>0</v>
      </c>
      <c r="AD97" s="67">
        <f>IF(VLOOKUP($D97,$C$5:$AU$493,3,)=0,0,(VLOOKUP($D97,$C$5:$AU$493,28,)/VLOOKUP($D97,$C$5:$AU$493,3,))*$E97)</f>
        <v>0</v>
      </c>
      <c r="AE97" s="67">
        <f>IF(VLOOKUP($D97,$C$5:$AU$493,3,)=0,0,(VLOOKUP($D97,$C$5:$AU$493,29,)/VLOOKUP($D97,$C$5:$AU$493,3,))*$E97)</f>
        <v>0</v>
      </c>
      <c r="AF97" s="67">
        <f>IF(VLOOKUP($D97,$C$5:$AU$493,3,)=0,0,(VLOOKUP($D97,$C$5:$AU$493,30,)/VLOOKUP($D97,$C$5:$AU$493,3,))*$E97)</f>
        <v>0</v>
      </c>
      <c r="AG97" s="90">
        <f>SUM(F97:AF97)</f>
        <v>21643943.962702613</v>
      </c>
      <c r="AH97" s="28" t="str">
        <f>IF(ABS(E97-AG97)&lt;0.01,"ok","err")</f>
        <v>ok</v>
      </c>
    </row>
    <row r="98" spans="1:34" x14ac:dyDescent="0.25">
      <c r="A98" s="14" t="s">
        <v>222</v>
      </c>
      <c r="E98" s="67">
        <f t="shared" ref="E98:T98" si="18">E96+E97</f>
        <v>73844545.074512348</v>
      </c>
      <c r="F98" s="67">
        <f t="shared" si="18"/>
        <v>52947225.232882105</v>
      </c>
      <c r="G98" s="67">
        <f t="shared" si="18"/>
        <v>54079.74965782465</v>
      </c>
      <c r="H98" s="67">
        <f t="shared" si="18"/>
        <v>2337872.1633624607</v>
      </c>
      <c r="I98" s="67">
        <f t="shared" si="18"/>
        <v>7301032.5598293031</v>
      </c>
      <c r="J98" s="67">
        <f t="shared" si="18"/>
        <v>3977223.5055747032</v>
      </c>
      <c r="K98" s="67">
        <f t="shared" si="18"/>
        <v>5629469.8908288283</v>
      </c>
      <c r="L98" s="67">
        <f t="shared" si="18"/>
        <v>1472759.1314881009</v>
      </c>
      <c r="M98" s="67">
        <f t="shared" si="18"/>
        <v>124882.84088903501</v>
      </c>
      <c r="N98" s="67">
        <f t="shared" si="18"/>
        <v>0</v>
      </c>
      <c r="O98" s="67">
        <f t="shared" si="18"/>
        <v>0</v>
      </c>
      <c r="P98" s="67">
        <f t="shared" si="18"/>
        <v>0</v>
      </c>
      <c r="Q98" s="67">
        <f t="shared" si="18"/>
        <v>0</v>
      </c>
      <c r="R98" s="67">
        <f t="shared" si="18"/>
        <v>0</v>
      </c>
      <c r="S98" s="67">
        <f t="shared" si="18"/>
        <v>0</v>
      </c>
      <c r="T98" s="67">
        <f t="shared" si="18"/>
        <v>0</v>
      </c>
      <c r="U98" s="67">
        <f t="shared" ref="U98:AF98" si="19">U96+U97</f>
        <v>0</v>
      </c>
      <c r="V98" s="67">
        <f t="shared" si="19"/>
        <v>0</v>
      </c>
      <c r="W98" s="67">
        <f t="shared" si="19"/>
        <v>0</v>
      </c>
      <c r="X98" s="67">
        <f t="shared" si="19"/>
        <v>0</v>
      </c>
      <c r="Y98" s="67">
        <f t="shared" si="19"/>
        <v>0</v>
      </c>
      <c r="Z98" s="67">
        <f t="shared" si="19"/>
        <v>0</v>
      </c>
      <c r="AA98" s="67">
        <f t="shared" si="19"/>
        <v>0</v>
      </c>
      <c r="AB98" s="67">
        <f t="shared" si="19"/>
        <v>0</v>
      </c>
      <c r="AC98" s="67">
        <f t="shared" si="19"/>
        <v>0</v>
      </c>
      <c r="AD98" s="67">
        <f t="shared" si="19"/>
        <v>0</v>
      </c>
      <c r="AE98" s="67">
        <f t="shared" si="19"/>
        <v>0</v>
      </c>
      <c r="AF98" s="67">
        <f t="shared" si="19"/>
        <v>0</v>
      </c>
      <c r="AG98" s="90">
        <f>SUM(F98:AF98)</f>
        <v>73844545.074512362</v>
      </c>
      <c r="AH98" s="28" t="str">
        <f>IF(ABS(E98-AG98)&lt;0.01,"ok","err")</f>
        <v>ok</v>
      </c>
    </row>
    <row r="99" spans="1:34" x14ac:dyDescent="0.25">
      <c r="E99" s="50"/>
    </row>
    <row r="100" spans="1:34" x14ac:dyDescent="0.25">
      <c r="A100" s="13" t="s">
        <v>3</v>
      </c>
      <c r="E100" s="50"/>
    </row>
    <row r="101" spans="1:34" x14ac:dyDescent="0.25">
      <c r="A101" s="93" t="s">
        <v>207</v>
      </c>
      <c r="C101" s="14" t="s">
        <v>254</v>
      </c>
      <c r="D101" s="14" t="s">
        <v>618</v>
      </c>
      <c r="E101" s="67">
        <f>'Func &amp; Classif'!R144</f>
        <v>0</v>
      </c>
      <c r="F101" s="67">
        <f>IF(VLOOKUP($D101,$C$5:$AU$493,3,)=0,0,(VLOOKUP($D101,$C$5:$AU$493,4,)/VLOOKUP($D101,$C$5:$AU$493,3,))*$E101)</f>
        <v>0</v>
      </c>
      <c r="G101" s="67">
        <f>IF(VLOOKUP($D101,$C$5:$AU$493,3,)=0,0,(VLOOKUP($D101,$C$5:$AU$493,5,)/VLOOKUP($D101,$C$5:$AU$493,3,))*$E101)</f>
        <v>0</v>
      </c>
      <c r="H101" s="67">
        <f>IF(VLOOKUP($D101,$C$5:$AU$493,3,)=0,0,(VLOOKUP($D101,$C$5:$AU$493,6,)/VLOOKUP($D101,$C$5:$AU$493,3,))*$E101)</f>
        <v>0</v>
      </c>
      <c r="I101" s="67">
        <f>IF(VLOOKUP($D101,$C$5:$AU$493,3,)=0,0,(VLOOKUP($D101,$C$5:$AU$493,7,)/VLOOKUP($D101,$C$5:$AU$493,3,))*$E101)</f>
        <v>0</v>
      </c>
      <c r="J101" s="67">
        <f>IF(VLOOKUP($D101,$C$5:$AU$493,3,)=0,0,(VLOOKUP($D101,$C$5:$AU$493,8,)/VLOOKUP($D101,$C$5:$AU$493,3,))*$E101)</f>
        <v>0</v>
      </c>
      <c r="K101" s="67">
        <f>IF(VLOOKUP($D101,$C$5:$AU$493,3,)=0,0,(VLOOKUP($D101,$C$5:$AU$493,9,)/VLOOKUP($D101,$C$5:$AU$493,3,))*$E101)</f>
        <v>0</v>
      </c>
      <c r="L101" s="67">
        <f>IF(VLOOKUP($D101,$C$5:$AU$493,3,)=0,0,(VLOOKUP($D101,$C$5:$AU$493,10,)/VLOOKUP($D101,$C$5:$AU$493,3,))*$E101)</f>
        <v>0</v>
      </c>
      <c r="M101" s="67">
        <f>IF(VLOOKUP($D101,$C$5:$AU$493,3,)=0,0,(VLOOKUP($D101,$C$5:$AU$493,11,)/VLOOKUP($D101,$C$5:$AU$493,3,))*$E101)</f>
        <v>0</v>
      </c>
      <c r="N101" s="67">
        <f>IF(VLOOKUP($D101,$C$5:$AU$493,3,)=0,0,(VLOOKUP($D101,$C$5:$AU$493,12,)/VLOOKUP($D101,$C$5:$AU$493,3,))*$E101)</f>
        <v>0</v>
      </c>
      <c r="O101" s="67">
        <f>IF(VLOOKUP($D101,$C$5:$AU$493,3,)=0,0,(VLOOKUP($D101,$C$5:$AU$493,13,)/VLOOKUP($D101,$C$5:$AU$493,3,))*$E101)</f>
        <v>0</v>
      </c>
      <c r="P101" s="67">
        <f>IF(VLOOKUP($D101,$C$5:$AU$493,3,)=0,0,(VLOOKUP($D101,$C$5:$AU$493,14,)/VLOOKUP($D101,$C$5:$AU$493,3,))*$E101)</f>
        <v>0</v>
      </c>
      <c r="Q101" s="67">
        <f>IF(VLOOKUP($D101,$C$5:$AU$493,3,)=0,0,(VLOOKUP($D101,$C$5:$AU$493,15,)/VLOOKUP($D101,$C$5:$AU$493,3,))*$E101)</f>
        <v>0</v>
      </c>
      <c r="R101" s="67">
        <f>IF(VLOOKUP($D101,$C$5:$AU$493,3,)=0,0,(VLOOKUP($D101,$C$5:$AU$493,16,)/VLOOKUP($D101,$C$5:$AU$493,3,))*$E101)</f>
        <v>0</v>
      </c>
      <c r="S101" s="67">
        <f>IF(VLOOKUP($D101,$C$5:$AU$493,3,)=0,0,(VLOOKUP($D101,$C$5:$AU$493,17,)/VLOOKUP($D101,$C$5:$AU$493,3,))*$E101)</f>
        <v>0</v>
      </c>
      <c r="T101" s="67">
        <f>IF(VLOOKUP($D101,$C$5:$AU$493,3,)=0,0,(VLOOKUP($D101,$C$5:$AU$493,18,)/VLOOKUP($D101,$C$5:$AU$493,3,))*$E101)</f>
        <v>0</v>
      </c>
      <c r="U101" s="67">
        <f>IF(VLOOKUP($D101,$C$5:$AU$493,3,)=0,0,(VLOOKUP($D101,$C$5:$AU$493,19,)/VLOOKUP($D101,$C$5:$AU$493,3,))*$E101)</f>
        <v>0</v>
      </c>
      <c r="V101" s="67">
        <f>IF(VLOOKUP($D101,$C$5:$AU$493,3,)=0,0,(VLOOKUP($D101,$C$5:$AU$493,20,)/VLOOKUP($D101,$C$5:$AU$493,3,))*$E101)</f>
        <v>0</v>
      </c>
      <c r="W101" s="67">
        <f>IF(VLOOKUP($D101,$C$5:$AU$493,3,)=0,0,(VLOOKUP($D101,$C$5:$AU$493,21,)/VLOOKUP($D101,$C$5:$AU$493,3,))*$E101)</f>
        <v>0</v>
      </c>
      <c r="X101" s="67">
        <f>IF(VLOOKUP($D101,$C$5:$AU$493,3,)=0,0,(VLOOKUP($D101,$C$5:$AU$493,22,)/VLOOKUP($D101,$C$5:$AU$493,3,))*$E101)</f>
        <v>0</v>
      </c>
      <c r="Y101" s="67">
        <f>IF(VLOOKUP($D101,$C$5:$AU$493,3,)=0,0,(VLOOKUP($D101,$C$5:$AU$493,23,)/VLOOKUP($D101,$C$5:$AU$493,3,))*$E101)</f>
        <v>0</v>
      </c>
      <c r="Z101" s="67">
        <f>IF(VLOOKUP($D101,$C$5:$AU$493,3,)=0,0,(VLOOKUP($D101,$C$5:$AU$493,24,)/VLOOKUP($D101,$C$5:$AU$493,3,))*$E101)</f>
        <v>0</v>
      </c>
      <c r="AA101" s="67">
        <f>IF(VLOOKUP($D101,$C$5:$AU$493,3,)=0,0,(VLOOKUP($D101,$C$5:$AU$493,25,)/VLOOKUP($D101,$C$5:$AU$493,3,))*$E101)</f>
        <v>0</v>
      </c>
      <c r="AB101" s="67">
        <f>IF(VLOOKUP($D101,$C$5:$AU$493,3,)=0,0,(VLOOKUP($D101,$C$5:$AU$493,26,)/VLOOKUP($D101,$C$5:$AU$493,3,))*$E101)</f>
        <v>0</v>
      </c>
      <c r="AC101" s="67">
        <f>IF(VLOOKUP($D101,$C$5:$AU$493,3,)=0,0,(VLOOKUP($D101,$C$5:$AU$493,27,)/VLOOKUP($D101,$C$5:$AU$493,3,))*$E101)</f>
        <v>0</v>
      </c>
      <c r="AD101" s="67">
        <f>IF(VLOOKUP($D101,$C$5:$AU$493,3,)=0,0,(VLOOKUP($D101,$C$5:$AU$493,28,)/VLOOKUP($D101,$C$5:$AU$493,3,))*$E101)</f>
        <v>0</v>
      </c>
      <c r="AE101" s="67">
        <f>IF(VLOOKUP($D101,$C$5:$AU$493,3,)=0,0,(VLOOKUP($D101,$C$5:$AU$493,29,)/VLOOKUP($D101,$C$5:$AU$493,3,))*$E101)</f>
        <v>0</v>
      </c>
      <c r="AF101" s="67">
        <f>IF(VLOOKUP($D101,$C$5:$AU$493,3,)=0,0,(VLOOKUP($D101,$C$5:$AU$493,30,)/VLOOKUP($D101,$C$5:$AU$493,3,))*$E101)</f>
        <v>0</v>
      </c>
      <c r="AG101" s="90">
        <f>SUM(F101:AF101)</f>
        <v>0</v>
      </c>
      <c r="AH101" s="28" t="str">
        <f>IF(ABS(E101-AG101)&lt;0.01,"ok","err")</f>
        <v>ok</v>
      </c>
    </row>
    <row r="102" spans="1:34" x14ac:dyDescent="0.25">
      <c r="A102" s="93" t="s">
        <v>219</v>
      </c>
      <c r="C102" s="14" t="s">
        <v>255</v>
      </c>
      <c r="D102" s="14" t="s">
        <v>700</v>
      </c>
      <c r="E102" s="50">
        <f>'Func &amp; Classif'!S144</f>
        <v>9524802.776290359</v>
      </c>
      <c r="F102" s="67">
        <f>IF(VLOOKUP($D102,$C$5:$AU$493,3,)=0,0,(VLOOKUP($D102,$C$5:$AU$493,4,)/VLOOKUP($D102,$C$5:$AU$493,3,))*$E102)</f>
        <v>6743239.54145231</v>
      </c>
      <c r="G102" s="67">
        <f>IF(VLOOKUP($D102,$C$5:$AU$493,3,)=0,0,(VLOOKUP($D102,$C$5:$AU$493,5,)/VLOOKUP($D102,$C$5:$AU$493,3,))*$E102)</f>
        <v>9100.4807281577378</v>
      </c>
      <c r="H102" s="67">
        <f>IF(VLOOKUP($D102,$C$5:$AU$493,3,)=0,0,(VLOOKUP($D102,$C$5:$AU$493,6,)/VLOOKUP($D102,$C$5:$AU$493,3,))*$E102)</f>
        <v>422478.98389909422</v>
      </c>
      <c r="I102" s="67">
        <f>IF(VLOOKUP($D102,$C$5:$AU$493,3,)=0,0,(VLOOKUP($D102,$C$5:$AU$493,7,)/VLOOKUP($D102,$C$5:$AU$493,3,))*$E102)</f>
        <v>2122894.2033825265</v>
      </c>
      <c r="J102" s="67">
        <f>IF(VLOOKUP($D102,$C$5:$AU$493,3,)=0,0,(VLOOKUP($D102,$C$5:$AU$493,8,)/VLOOKUP($D102,$C$5:$AU$493,3,))*$E102)</f>
        <v>227089.56682827038</v>
      </c>
      <c r="K102" s="67">
        <f>IF(VLOOKUP($D102,$C$5:$AU$493,3,)=0,0,(VLOOKUP($D102,$C$5:$AU$493,9,)/VLOOKUP($D102,$C$5:$AU$493,3,))*$E102)</f>
        <v>0</v>
      </c>
      <c r="L102" s="67">
        <f>IF(VLOOKUP($D102,$C$5:$AU$493,3,)=0,0,(VLOOKUP($D102,$C$5:$AU$493,10,)/VLOOKUP($D102,$C$5:$AU$493,3,))*$E102)</f>
        <v>0</v>
      </c>
      <c r="M102" s="67">
        <f>IF(VLOOKUP($D102,$C$5:$AU$493,3,)=0,0,(VLOOKUP($D102,$C$5:$AU$493,11,)/VLOOKUP($D102,$C$5:$AU$493,3,))*$E102)</f>
        <v>0</v>
      </c>
      <c r="N102" s="67">
        <f>IF(VLOOKUP($D102,$C$5:$AU$493,3,)=0,0,(VLOOKUP($D102,$C$5:$AU$493,12,)/VLOOKUP($D102,$C$5:$AU$493,3,))*$E102)</f>
        <v>0</v>
      </c>
      <c r="O102" s="67">
        <f>IF(VLOOKUP($D102,$C$5:$AU$493,3,)=0,0,(VLOOKUP($D102,$C$5:$AU$493,13,)/VLOOKUP($D102,$C$5:$AU$493,3,))*$E102)</f>
        <v>0</v>
      </c>
      <c r="P102" s="67">
        <f>IF(VLOOKUP($D102,$C$5:$AU$493,3,)=0,0,(VLOOKUP($D102,$C$5:$AU$493,14,)/VLOOKUP($D102,$C$5:$AU$493,3,))*$E102)</f>
        <v>0</v>
      </c>
      <c r="Q102" s="67">
        <f>IF(VLOOKUP($D102,$C$5:$AU$493,3,)=0,0,(VLOOKUP($D102,$C$5:$AU$493,15,)/VLOOKUP($D102,$C$5:$AU$493,3,))*$E102)</f>
        <v>0</v>
      </c>
      <c r="R102" s="67">
        <f>IF(VLOOKUP($D102,$C$5:$AU$493,3,)=0,0,(VLOOKUP($D102,$C$5:$AU$493,16,)/VLOOKUP($D102,$C$5:$AU$493,3,))*$E102)</f>
        <v>0</v>
      </c>
      <c r="S102" s="67">
        <f>IF(VLOOKUP($D102,$C$5:$AU$493,3,)=0,0,(VLOOKUP($D102,$C$5:$AU$493,17,)/VLOOKUP($D102,$C$5:$AU$493,3,))*$E102)</f>
        <v>0</v>
      </c>
      <c r="T102" s="67">
        <f>IF(VLOOKUP($D102,$C$5:$AU$493,3,)=0,0,(VLOOKUP($D102,$C$5:$AU$493,18,)/VLOOKUP($D102,$C$5:$AU$493,3,))*$E102)</f>
        <v>0</v>
      </c>
      <c r="U102" s="67">
        <f>IF(VLOOKUP($D102,$C$5:$AU$493,3,)=0,0,(VLOOKUP($D102,$C$5:$AU$493,19,)/VLOOKUP($D102,$C$5:$AU$493,3,))*$E102)</f>
        <v>0</v>
      </c>
      <c r="V102" s="67">
        <f>IF(VLOOKUP($D102,$C$5:$AU$493,3,)=0,0,(VLOOKUP($D102,$C$5:$AU$493,20,)/VLOOKUP($D102,$C$5:$AU$493,3,))*$E102)</f>
        <v>0</v>
      </c>
      <c r="W102" s="67">
        <f>IF(VLOOKUP($D102,$C$5:$AU$493,3,)=0,0,(VLOOKUP($D102,$C$5:$AU$493,21,)/VLOOKUP($D102,$C$5:$AU$493,3,))*$E102)</f>
        <v>0</v>
      </c>
      <c r="X102" s="67">
        <f>IF(VLOOKUP($D102,$C$5:$AU$493,3,)=0,0,(VLOOKUP($D102,$C$5:$AU$493,22,)/VLOOKUP($D102,$C$5:$AU$493,3,))*$E102)</f>
        <v>0</v>
      </c>
      <c r="Y102" s="67">
        <f>IF(VLOOKUP($D102,$C$5:$AU$493,3,)=0,0,(VLOOKUP($D102,$C$5:$AU$493,23,)/VLOOKUP($D102,$C$5:$AU$493,3,))*$E102)</f>
        <v>0</v>
      </c>
      <c r="Z102" s="67">
        <f>IF(VLOOKUP($D102,$C$5:$AU$493,3,)=0,0,(VLOOKUP($D102,$C$5:$AU$493,24,)/VLOOKUP($D102,$C$5:$AU$493,3,))*$E102)</f>
        <v>0</v>
      </c>
      <c r="AA102" s="67">
        <f>IF(VLOOKUP($D102,$C$5:$AU$493,3,)=0,0,(VLOOKUP($D102,$C$5:$AU$493,25,)/VLOOKUP($D102,$C$5:$AU$493,3,))*$E102)</f>
        <v>0</v>
      </c>
      <c r="AB102" s="67">
        <f>IF(VLOOKUP($D102,$C$5:$AU$493,3,)=0,0,(VLOOKUP($D102,$C$5:$AU$493,26,)/VLOOKUP($D102,$C$5:$AU$493,3,))*$E102)</f>
        <v>0</v>
      </c>
      <c r="AC102" s="67">
        <f>IF(VLOOKUP($D102,$C$5:$AU$493,3,)=0,0,(VLOOKUP($D102,$C$5:$AU$493,27,)/VLOOKUP($D102,$C$5:$AU$493,3,))*$E102)</f>
        <v>0</v>
      </c>
      <c r="AD102" s="67">
        <f>IF(VLOOKUP($D102,$C$5:$AU$493,3,)=0,0,(VLOOKUP($D102,$C$5:$AU$493,28,)/VLOOKUP($D102,$C$5:$AU$493,3,))*$E102)</f>
        <v>0</v>
      </c>
      <c r="AE102" s="67">
        <f>IF(VLOOKUP($D102,$C$5:$AU$493,3,)=0,0,(VLOOKUP($D102,$C$5:$AU$493,29,)/VLOOKUP($D102,$C$5:$AU$493,3,))*$E102)</f>
        <v>0</v>
      </c>
      <c r="AF102" s="67">
        <f>IF(VLOOKUP($D102,$C$5:$AU$493,3,)=0,0,(VLOOKUP($D102,$C$5:$AU$493,30,)/VLOOKUP($D102,$C$5:$AU$493,3,))*$E102)</f>
        <v>0</v>
      </c>
      <c r="AG102" s="90">
        <f>SUM(F102:AF102)</f>
        <v>9524802.7762903571</v>
      </c>
      <c r="AH102" s="28" t="str">
        <f>IF(ABS(E102-AG102)&lt;0.01,"ok","err")</f>
        <v>ok</v>
      </c>
    </row>
    <row r="103" spans="1:34" x14ac:dyDescent="0.25">
      <c r="A103" s="14" t="s">
        <v>226</v>
      </c>
      <c r="E103" s="67">
        <f t="shared" ref="E103:T103" si="20">E101+E102</f>
        <v>9524802.776290359</v>
      </c>
      <c r="F103" s="67">
        <f t="shared" si="20"/>
        <v>6743239.54145231</v>
      </c>
      <c r="G103" s="67">
        <f t="shared" si="20"/>
        <v>9100.4807281577378</v>
      </c>
      <c r="H103" s="67">
        <f t="shared" si="20"/>
        <v>422478.98389909422</v>
      </c>
      <c r="I103" s="67">
        <f t="shared" si="20"/>
        <v>2122894.2033825265</v>
      </c>
      <c r="J103" s="67">
        <f t="shared" si="20"/>
        <v>227089.56682827038</v>
      </c>
      <c r="K103" s="67">
        <f t="shared" si="20"/>
        <v>0</v>
      </c>
      <c r="L103" s="67">
        <f t="shared" si="20"/>
        <v>0</v>
      </c>
      <c r="M103" s="67">
        <f t="shared" si="20"/>
        <v>0</v>
      </c>
      <c r="N103" s="67">
        <f t="shared" si="20"/>
        <v>0</v>
      </c>
      <c r="O103" s="67">
        <f t="shared" si="20"/>
        <v>0</v>
      </c>
      <c r="P103" s="67">
        <f t="shared" si="20"/>
        <v>0</v>
      </c>
      <c r="Q103" s="67">
        <f t="shared" si="20"/>
        <v>0</v>
      </c>
      <c r="R103" s="67">
        <f t="shared" si="20"/>
        <v>0</v>
      </c>
      <c r="S103" s="67">
        <f t="shared" si="20"/>
        <v>0</v>
      </c>
      <c r="T103" s="67">
        <f t="shared" si="20"/>
        <v>0</v>
      </c>
      <c r="U103" s="67">
        <f t="shared" ref="U103:AF103" si="21">U101+U102</f>
        <v>0</v>
      </c>
      <c r="V103" s="67">
        <f t="shared" si="21"/>
        <v>0</v>
      </c>
      <c r="W103" s="67">
        <f t="shared" si="21"/>
        <v>0</v>
      </c>
      <c r="X103" s="67">
        <f t="shared" si="21"/>
        <v>0</v>
      </c>
      <c r="Y103" s="67">
        <f t="shared" si="21"/>
        <v>0</v>
      </c>
      <c r="Z103" s="67">
        <f t="shared" si="21"/>
        <v>0</v>
      </c>
      <c r="AA103" s="67">
        <f t="shared" si="21"/>
        <v>0</v>
      </c>
      <c r="AB103" s="67">
        <f t="shared" si="21"/>
        <v>0</v>
      </c>
      <c r="AC103" s="67">
        <f t="shared" si="21"/>
        <v>0</v>
      </c>
      <c r="AD103" s="67">
        <f t="shared" si="21"/>
        <v>0</v>
      </c>
      <c r="AE103" s="67">
        <f t="shared" si="21"/>
        <v>0</v>
      </c>
      <c r="AF103" s="67">
        <f t="shared" si="21"/>
        <v>0</v>
      </c>
      <c r="AG103" s="90">
        <f>SUM(F103:AF103)</f>
        <v>9524802.7762903571</v>
      </c>
      <c r="AH103" s="28" t="str">
        <f>IF(ABS(E103-AG103)&lt;0.01,"ok","err")</f>
        <v>ok</v>
      </c>
    </row>
    <row r="104" spans="1:34" x14ac:dyDescent="0.25">
      <c r="E104" s="50"/>
    </row>
    <row r="105" spans="1:34" x14ac:dyDescent="0.25">
      <c r="A105" s="13" t="s">
        <v>4</v>
      </c>
      <c r="E105" s="50"/>
    </row>
    <row r="106" spans="1:34" x14ac:dyDescent="0.25">
      <c r="A106" s="93" t="s">
        <v>219</v>
      </c>
      <c r="C106" s="14" t="s">
        <v>256</v>
      </c>
      <c r="D106" s="14" t="s">
        <v>228</v>
      </c>
      <c r="E106" s="67">
        <f>'Func &amp; Classif'!U144</f>
        <v>3457273.7656875118</v>
      </c>
      <c r="F106" s="67">
        <f>IF(VLOOKUP($D106,$C$5:$AU$493,3,)=0,0,(VLOOKUP($D106,$C$5:$AU$493,4,)/VLOOKUP($D106,$C$5:$AU$493,3,))*$E106)</f>
        <v>2527551.7562254169</v>
      </c>
      <c r="G106" s="67">
        <f>IF(VLOOKUP($D106,$C$5:$AU$493,3,)=0,0,(VLOOKUP($D106,$C$5:$AU$493,5,)/VLOOKUP($D106,$C$5:$AU$493,3,))*$E106)</f>
        <v>3411.1106250270723</v>
      </c>
      <c r="H106" s="67">
        <f>IF(VLOOKUP($D106,$C$5:$AU$493,3,)=0,0,(VLOOKUP($D106,$C$5:$AU$493,6,)/VLOOKUP($D106,$C$5:$AU$493,3,))*$E106)</f>
        <v>158356.74992089963</v>
      </c>
      <c r="I106" s="67">
        <f>IF(VLOOKUP($D106,$C$5:$AU$493,3,)=0,0,(VLOOKUP($D106,$C$5:$AU$493,7,)/VLOOKUP($D106,$C$5:$AU$493,3,))*$E106)</f>
        <v>732089.31366652448</v>
      </c>
      <c r="J106" s="67">
        <f>IF(VLOOKUP($D106,$C$5:$AU$493,3,)=0,0,(VLOOKUP($D106,$C$5:$AU$493,8,)/VLOOKUP($D106,$C$5:$AU$493,3,))*$E106)</f>
        <v>35864.835249644224</v>
      </c>
      <c r="K106" s="67">
        <f>IF(VLOOKUP($D106,$C$5:$AU$493,3,)=0,0,(VLOOKUP($D106,$C$5:$AU$493,9,)/VLOOKUP($D106,$C$5:$AU$493,3,))*$E106)</f>
        <v>0</v>
      </c>
      <c r="L106" s="67">
        <f>IF(VLOOKUP($D106,$C$5:$AU$493,3,)=0,0,(VLOOKUP($D106,$C$5:$AU$493,10,)/VLOOKUP($D106,$C$5:$AU$493,3,))*$E106)</f>
        <v>0</v>
      </c>
      <c r="M106" s="67">
        <f>IF(VLOOKUP($D106,$C$5:$AU$493,3,)=0,0,(VLOOKUP($D106,$C$5:$AU$493,11,)/VLOOKUP($D106,$C$5:$AU$493,3,))*$E106)</f>
        <v>0</v>
      </c>
      <c r="N106" s="67">
        <f>IF(VLOOKUP($D106,$C$5:$AU$493,3,)=0,0,(VLOOKUP($D106,$C$5:$AU$493,12,)/VLOOKUP($D106,$C$5:$AU$493,3,))*$E106)</f>
        <v>0</v>
      </c>
      <c r="O106" s="67">
        <f>IF(VLOOKUP($D106,$C$5:$AU$493,3,)=0,0,(VLOOKUP($D106,$C$5:$AU$493,13,)/VLOOKUP($D106,$C$5:$AU$493,3,))*$E106)</f>
        <v>0</v>
      </c>
      <c r="P106" s="67">
        <f>IF(VLOOKUP($D106,$C$5:$AU$493,3,)=0,0,(VLOOKUP($D106,$C$5:$AU$493,14,)/VLOOKUP($D106,$C$5:$AU$493,3,))*$E106)</f>
        <v>0</v>
      </c>
      <c r="Q106" s="67">
        <f>IF(VLOOKUP($D106,$C$5:$AU$493,3,)=0,0,(VLOOKUP($D106,$C$5:$AU$493,15,)/VLOOKUP($D106,$C$5:$AU$493,3,))*$E106)</f>
        <v>0</v>
      </c>
      <c r="R106" s="67">
        <f>IF(VLOOKUP($D106,$C$5:$AU$493,3,)=0,0,(VLOOKUP($D106,$C$5:$AU$493,16,)/VLOOKUP($D106,$C$5:$AU$493,3,))*$E106)</f>
        <v>0</v>
      </c>
      <c r="S106" s="67">
        <f>IF(VLOOKUP($D106,$C$5:$AU$493,3,)=0,0,(VLOOKUP($D106,$C$5:$AU$493,17,)/VLOOKUP($D106,$C$5:$AU$493,3,))*$E106)</f>
        <v>0</v>
      </c>
      <c r="T106" s="67">
        <f>IF(VLOOKUP($D106,$C$5:$AU$493,3,)=0,0,(VLOOKUP($D106,$C$5:$AU$493,18,)/VLOOKUP($D106,$C$5:$AU$493,3,))*$E106)</f>
        <v>0</v>
      </c>
      <c r="U106" s="67">
        <f>IF(VLOOKUP($D106,$C$5:$AU$493,3,)=0,0,(VLOOKUP($D106,$C$5:$AU$493,19,)/VLOOKUP($D106,$C$5:$AU$493,3,))*$E106)</f>
        <v>0</v>
      </c>
      <c r="V106" s="67">
        <f>IF(VLOOKUP($D106,$C$5:$AU$493,3,)=0,0,(VLOOKUP($D106,$C$5:$AU$493,20,)/VLOOKUP($D106,$C$5:$AU$493,3,))*$E106)</f>
        <v>0</v>
      </c>
      <c r="W106" s="67">
        <f>IF(VLOOKUP($D106,$C$5:$AU$493,3,)=0,0,(VLOOKUP($D106,$C$5:$AU$493,21,)/VLOOKUP($D106,$C$5:$AU$493,3,))*$E106)</f>
        <v>0</v>
      </c>
      <c r="X106" s="67">
        <f>IF(VLOOKUP($D106,$C$5:$AU$493,3,)=0,0,(VLOOKUP($D106,$C$5:$AU$493,22,)/VLOOKUP($D106,$C$5:$AU$493,3,))*$E106)</f>
        <v>0</v>
      </c>
      <c r="Y106" s="67">
        <f>IF(VLOOKUP($D106,$C$5:$AU$493,3,)=0,0,(VLOOKUP($D106,$C$5:$AU$493,23,)/VLOOKUP($D106,$C$5:$AU$493,3,))*$E106)</f>
        <v>0</v>
      </c>
      <c r="Z106" s="67">
        <f>IF(VLOOKUP($D106,$C$5:$AU$493,3,)=0,0,(VLOOKUP($D106,$C$5:$AU$493,24,)/VLOOKUP($D106,$C$5:$AU$493,3,))*$E106)</f>
        <v>0</v>
      </c>
      <c r="AA106" s="67">
        <f>IF(VLOOKUP($D106,$C$5:$AU$493,3,)=0,0,(VLOOKUP($D106,$C$5:$AU$493,25,)/VLOOKUP($D106,$C$5:$AU$493,3,))*$E106)</f>
        <v>0</v>
      </c>
      <c r="AB106" s="67">
        <f>IF(VLOOKUP($D106,$C$5:$AU$493,3,)=0,0,(VLOOKUP($D106,$C$5:$AU$493,26,)/VLOOKUP($D106,$C$5:$AU$493,3,))*$E106)</f>
        <v>0</v>
      </c>
      <c r="AC106" s="67">
        <f>IF(VLOOKUP($D106,$C$5:$AU$493,3,)=0,0,(VLOOKUP($D106,$C$5:$AU$493,27,)/VLOOKUP($D106,$C$5:$AU$493,3,))*$E106)</f>
        <v>0</v>
      </c>
      <c r="AD106" s="67">
        <f>IF(VLOOKUP($D106,$C$5:$AU$493,3,)=0,0,(VLOOKUP($D106,$C$5:$AU$493,28,)/VLOOKUP($D106,$C$5:$AU$493,3,))*$E106)</f>
        <v>0</v>
      </c>
      <c r="AE106" s="67">
        <f>IF(VLOOKUP($D106,$C$5:$AU$493,3,)=0,0,(VLOOKUP($D106,$C$5:$AU$493,29,)/VLOOKUP($D106,$C$5:$AU$493,3,))*$E106)</f>
        <v>0</v>
      </c>
      <c r="AF106" s="67">
        <f>IF(VLOOKUP($D106,$C$5:$AU$493,3,)=0,0,(VLOOKUP($D106,$C$5:$AU$493,30,)/VLOOKUP($D106,$C$5:$AU$493,3,))*$E106)</f>
        <v>0</v>
      </c>
      <c r="AG106" s="90">
        <f>SUM(F106:AF106)</f>
        <v>3457273.7656875122</v>
      </c>
      <c r="AH106" s="28" t="str">
        <f>IF(ABS(E106-AG106)&lt;0.01,"ok","err")</f>
        <v>ok</v>
      </c>
    </row>
    <row r="107" spans="1:34" x14ac:dyDescent="0.25">
      <c r="E107" s="50"/>
    </row>
    <row r="108" spans="1:34" x14ac:dyDescent="0.25">
      <c r="A108" s="13" t="s">
        <v>5</v>
      </c>
      <c r="E108" s="50"/>
    </row>
    <row r="109" spans="1:34" x14ac:dyDescent="0.25">
      <c r="A109" s="93" t="s">
        <v>219</v>
      </c>
      <c r="C109" s="14" t="s">
        <v>257</v>
      </c>
      <c r="D109" s="14" t="s">
        <v>230</v>
      </c>
      <c r="E109" s="67">
        <f>'Func &amp; Classif'!W144</f>
        <v>2843958.9055965794</v>
      </c>
      <c r="F109" s="67">
        <f>IF(VLOOKUP($D109,$C$5:$AU$493,3,)=0,0,(VLOOKUP($D109,$C$5:$AU$493,4,)/VLOOKUP($D109,$C$5:$AU$493,3,))*$E109)</f>
        <v>0</v>
      </c>
      <c r="G109" s="67">
        <f>IF(VLOOKUP($D109,$C$5:$AU$493,3,)=0,0,(VLOOKUP($D109,$C$5:$AU$493,5,)/VLOOKUP($D109,$C$5:$AU$493,3,))*$E109)</f>
        <v>0</v>
      </c>
      <c r="H109" s="67">
        <f>IF(VLOOKUP($D109,$C$5:$AU$493,3,)=0,0,(VLOOKUP($D109,$C$5:$AU$493,6,)/VLOOKUP($D109,$C$5:$AU$493,3,))*$E109)</f>
        <v>0</v>
      </c>
      <c r="I109" s="67">
        <f>IF(VLOOKUP($D109,$C$5:$AU$493,3,)=0,0,(VLOOKUP($D109,$C$5:$AU$493,7,)/VLOOKUP($D109,$C$5:$AU$493,3,))*$E109)</f>
        <v>0</v>
      </c>
      <c r="J109" s="67">
        <f>IF(VLOOKUP($D109,$C$5:$AU$493,3,)=0,0,(VLOOKUP($D109,$C$5:$AU$493,8,)/VLOOKUP($D109,$C$5:$AU$493,3,))*$E109)</f>
        <v>0</v>
      </c>
      <c r="K109" s="67">
        <f>IF(VLOOKUP($D109,$C$5:$AU$493,3,)=0,0,(VLOOKUP($D109,$C$5:$AU$493,9,)/VLOOKUP($D109,$C$5:$AU$493,3,))*$E109)</f>
        <v>0</v>
      </c>
      <c r="L109" s="67">
        <f>IF(VLOOKUP($D109,$C$5:$AU$493,3,)=0,0,(VLOOKUP($D109,$C$5:$AU$493,10,)/VLOOKUP($D109,$C$5:$AU$493,3,))*$E109)</f>
        <v>0</v>
      </c>
      <c r="M109" s="67">
        <f>IF(VLOOKUP($D109,$C$5:$AU$493,3,)=0,0,(VLOOKUP($D109,$C$5:$AU$493,11,)/VLOOKUP($D109,$C$5:$AU$493,3,))*$E109)</f>
        <v>2843958.9055965794</v>
      </c>
      <c r="N109" s="67">
        <f>IF(VLOOKUP($D109,$C$5:$AU$493,3,)=0,0,(VLOOKUP($D109,$C$5:$AU$493,12,)/VLOOKUP($D109,$C$5:$AU$493,3,))*$E109)</f>
        <v>0</v>
      </c>
      <c r="O109" s="67">
        <f>IF(VLOOKUP($D109,$C$5:$AU$493,3,)=0,0,(VLOOKUP($D109,$C$5:$AU$493,13,)/VLOOKUP($D109,$C$5:$AU$493,3,))*$E109)</f>
        <v>0</v>
      </c>
      <c r="P109" s="67">
        <f>IF(VLOOKUP($D109,$C$5:$AU$493,3,)=0,0,(VLOOKUP($D109,$C$5:$AU$493,14,)/VLOOKUP($D109,$C$5:$AU$493,3,))*$E109)</f>
        <v>0</v>
      </c>
      <c r="Q109" s="67">
        <f>IF(VLOOKUP($D109,$C$5:$AU$493,3,)=0,0,(VLOOKUP($D109,$C$5:$AU$493,15,)/VLOOKUP($D109,$C$5:$AU$493,3,))*$E109)</f>
        <v>0</v>
      </c>
      <c r="R109" s="67">
        <f>IF(VLOOKUP($D109,$C$5:$AU$493,3,)=0,0,(VLOOKUP($D109,$C$5:$AU$493,16,)/VLOOKUP($D109,$C$5:$AU$493,3,))*$E109)</f>
        <v>0</v>
      </c>
      <c r="S109" s="67">
        <f>IF(VLOOKUP($D109,$C$5:$AU$493,3,)=0,0,(VLOOKUP($D109,$C$5:$AU$493,17,)/VLOOKUP($D109,$C$5:$AU$493,3,))*$E109)</f>
        <v>0</v>
      </c>
      <c r="T109" s="67">
        <f>IF(VLOOKUP($D109,$C$5:$AU$493,3,)=0,0,(VLOOKUP($D109,$C$5:$AU$493,18,)/VLOOKUP($D109,$C$5:$AU$493,3,))*$E109)</f>
        <v>0</v>
      </c>
      <c r="U109" s="67">
        <f>IF(VLOOKUP($D109,$C$5:$AU$493,3,)=0,0,(VLOOKUP($D109,$C$5:$AU$493,19,)/VLOOKUP($D109,$C$5:$AU$493,3,))*$E109)</f>
        <v>0</v>
      </c>
      <c r="V109" s="67">
        <f>IF(VLOOKUP($D109,$C$5:$AU$493,3,)=0,0,(VLOOKUP($D109,$C$5:$AU$493,20,)/VLOOKUP($D109,$C$5:$AU$493,3,))*$E109)</f>
        <v>0</v>
      </c>
      <c r="W109" s="67">
        <f>IF(VLOOKUP($D109,$C$5:$AU$493,3,)=0,0,(VLOOKUP($D109,$C$5:$AU$493,21,)/VLOOKUP($D109,$C$5:$AU$493,3,))*$E109)</f>
        <v>0</v>
      </c>
      <c r="X109" s="67">
        <f>IF(VLOOKUP($D109,$C$5:$AU$493,3,)=0,0,(VLOOKUP($D109,$C$5:$AU$493,22,)/VLOOKUP($D109,$C$5:$AU$493,3,))*$E109)</f>
        <v>0</v>
      </c>
      <c r="Y109" s="67">
        <f>IF(VLOOKUP($D109,$C$5:$AU$493,3,)=0,0,(VLOOKUP($D109,$C$5:$AU$493,23,)/VLOOKUP($D109,$C$5:$AU$493,3,))*$E109)</f>
        <v>0</v>
      </c>
      <c r="Z109" s="67">
        <f>IF(VLOOKUP($D109,$C$5:$AU$493,3,)=0,0,(VLOOKUP($D109,$C$5:$AU$493,24,)/VLOOKUP($D109,$C$5:$AU$493,3,))*$E109)</f>
        <v>0</v>
      </c>
      <c r="AA109" s="67">
        <f>IF(VLOOKUP($D109,$C$5:$AU$493,3,)=0,0,(VLOOKUP($D109,$C$5:$AU$493,25,)/VLOOKUP($D109,$C$5:$AU$493,3,))*$E109)</f>
        <v>0</v>
      </c>
      <c r="AB109" s="67">
        <f>IF(VLOOKUP($D109,$C$5:$AU$493,3,)=0,0,(VLOOKUP($D109,$C$5:$AU$493,26,)/VLOOKUP($D109,$C$5:$AU$493,3,))*$E109)</f>
        <v>0</v>
      </c>
      <c r="AC109" s="67">
        <f>IF(VLOOKUP($D109,$C$5:$AU$493,3,)=0,0,(VLOOKUP($D109,$C$5:$AU$493,27,)/VLOOKUP($D109,$C$5:$AU$493,3,))*$E109)</f>
        <v>0</v>
      </c>
      <c r="AD109" s="67">
        <f>IF(VLOOKUP($D109,$C$5:$AU$493,3,)=0,0,(VLOOKUP($D109,$C$5:$AU$493,28,)/VLOOKUP($D109,$C$5:$AU$493,3,))*$E109)</f>
        <v>0</v>
      </c>
      <c r="AE109" s="67">
        <f>IF(VLOOKUP($D109,$C$5:$AU$493,3,)=0,0,(VLOOKUP($D109,$C$5:$AU$493,29,)/VLOOKUP($D109,$C$5:$AU$493,3,))*$E109)</f>
        <v>0</v>
      </c>
      <c r="AF109" s="67">
        <f>IF(VLOOKUP($D109,$C$5:$AU$493,3,)=0,0,(VLOOKUP($D109,$C$5:$AU$493,30,)/VLOOKUP($D109,$C$5:$AU$493,3,))*$E109)</f>
        <v>0</v>
      </c>
      <c r="AG109" s="90">
        <f>SUM(F109:AF109)</f>
        <v>2843958.9055965794</v>
      </c>
      <c r="AH109" s="28" t="str">
        <f>IF(ABS(E109-AG109)&lt;0.01,"ok","err")</f>
        <v>ok</v>
      </c>
    </row>
    <row r="110" spans="1:34" x14ac:dyDescent="0.25">
      <c r="E110" s="50"/>
    </row>
    <row r="111" spans="1:34" x14ac:dyDescent="0.25">
      <c r="A111" s="13" t="s">
        <v>544</v>
      </c>
      <c r="E111" s="50"/>
    </row>
    <row r="112" spans="1:34" x14ac:dyDescent="0.25">
      <c r="A112" s="93" t="s">
        <v>219</v>
      </c>
      <c r="C112" s="14" t="s">
        <v>258</v>
      </c>
      <c r="D112" s="14" t="s">
        <v>232</v>
      </c>
      <c r="E112" s="67">
        <f>'Func &amp; Classif'!Y144</f>
        <v>130188.36059374191</v>
      </c>
      <c r="F112" s="67">
        <f>IF(VLOOKUP($D112,$C$5:$AU$493,3,)=0,0,(VLOOKUP($D112,$C$5:$AU$493,4,)/VLOOKUP($D112,$C$5:$AU$493,3,))*$E112)</f>
        <v>95575.800045241296</v>
      </c>
      <c r="G112" s="67">
        <f>IF(VLOOKUP($D112,$C$5:$AU$493,3,)=0,0,(VLOOKUP($D112,$C$5:$AU$493,5,)/VLOOKUP($D112,$C$5:$AU$493,3,))*$E112)</f>
        <v>128.98633083448908</v>
      </c>
      <c r="H112" s="67">
        <f>IF(VLOOKUP($D112,$C$5:$AU$493,3,)=0,0,(VLOOKUP($D112,$C$5:$AU$493,6,)/VLOOKUP($D112,$C$5:$AU$493,3,))*$E112)</f>
        <v>5988.0368538353996</v>
      </c>
      <c r="I112" s="67">
        <f>IF(VLOOKUP($D112,$C$5:$AU$493,3,)=0,0,(VLOOKUP($D112,$C$5:$AU$493,7,)/VLOOKUP($D112,$C$5:$AU$493,3,))*$E112)</f>
        <v>27682.923479573441</v>
      </c>
      <c r="J112" s="67">
        <f>IF(VLOOKUP($D112,$C$5:$AU$493,3,)=0,0,(VLOOKUP($D112,$C$5:$AU$493,8,)/VLOOKUP($D112,$C$5:$AU$493,3,))*$E112)</f>
        <v>451.45215792071178</v>
      </c>
      <c r="K112" s="67">
        <f>IF(VLOOKUP($D112,$C$5:$AU$493,3,)=0,0,(VLOOKUP($D112,$C$5:$AU$493,9,)/VLOOKUP($D112,$C$5:$AU$493,3,))*$E112)</f>
        <v>103.18906466759127</v>
      </c>
      <c r="L112" s="67">
        <f>IF(VLOOKUP($D112,$C$5:$AU$493,3,)=0,0,(VLOOKUP($D112,$C$5:$AU$493,10,)/VLOOKUP($D112,$C$5:$AU$493,3,))*$E112)</f>
        <v>7.3706474762565186</v>
      </c>
      <c r="M112" s="67">
        <f>IF(VLOOKUP($D112,$C$5:$AU$493,3,)=0,0,(VLOOKUP($D112,$C$5:$AU$493,11,)/VLOOKUP($D112,$C$5:$AU$493,3,))*$E112)</f>
        <v>250.60201419272164</v>
      </c>
      <c r="N112" s="67">
        <f>IF(VLOOKUP($D112,$C$5:$AU$493,3,)=0,0,(VLOOKUP($D112,$C$5:$AU$493,12,)/VLOOKUP($D112,$C$5:$AU$493,3,))*$E112)</f>
        <v>0</v>
      </c>
      <c r="O112" s="67">
        <f>IF(VLOOKUP($D112,$C$5:$AU$493,3,)=0,0,(VLOOKUP($D112,$C$5:$AU$493,13,)/VLOOKUP($D112,$C$5:$AU$493,3,))*$E112)</f>
        <v>0</v>
      </c>
      <c r="P112" s="67">
        <f>IF(VLOOKUP($D112,$C$5:$AU$493,3,)=0,0,(VLOOKUP($D112,$C$5:$AU$493,14,)/VLOOKUP($D112,$C$5:$AU$493,3,))*$E112)</f>
        <v>0</v>
      </c>
      <c r="Q112" s="67">
        <f>IF(VLOOKUP($D112,$C$5:$AU$493,3,)=0,0,(VLOOKUP($D112,$C$5:$AU$493,15,)/VLOOKUP($D112,$C$5:$AU$493,3,))*$E112)</f>
        <v>0</v>
      </c>
      <c r="R112" s="67">
        <f>IF(VLOOKUP($D112,$C$5:$AU$493,3,)=0,0,(VLOOKUP($D112,$C$5:$AU$493,16,)/VLOOKUP($D112,$C$5:$AU$493,3,))*$E112)</f>
        <v>0</v>
      </c>
      <c r="S112" s="67">
        <f>IF(VLOOKUP($D112,$C$5:$AU$493,3,)=0,0,(VLOOKUP($D112,$C$5:$AU$493,17,)/VLOOKUP($D112,$C$5:$AU$493,3,))*$E112)</f>
        <v>0</v>
      </c>
      <c r="T112" s="67">
        <f>IF(VLOOKUP($D112,$C$5:$AU$493,3,)=0,0,(VLOOKUP($D112,$C$5:$AU$493,18,)/VLOOKUP($D112,$C$5:$AU$493,3,))*$E112)</f>
        <v>0</v>
      </c>
      <c r="U112" s="67">
        <f>IF(VLOOKUP($D112,$C$5:$AU$493,3,)=0,0,(VLOOKUP($D112,$C$5:$AU$493,19,)/VLOOKUP($D112,$C$5:$AU$493,3,))*$E112)</f>
        <v>0</v>
      </c>
      <c r="V112" s="67">
        <f>IF(VLOOKUP($D112,$C$5:$AU$493,3,)=0,0,(VLOOKUP($D112,$C$5:$AU$493,20,)/VLOOKUP($D112,$C$5:$AU$493,3,))*$E112)</f>
        <v>0</v>
      </c>
      <c r="W112" s="67">
        <f>IF(VLOOKUP($D112,$C$5:$AU$493,3,)=0,0,(VLOOKUP($D112,$C$5:$AU$493,21,)/VLOOKUP($D112,$C$5:$AU$493,3,))*$E112)</f>
        <v>0</v>
      </c>
      <c r="X112" s="67">
        <f>IF(VLOOKUP($D112,$C$5:$AU$493,3,)=0,0,(VLOOKUP($D112,$C$5:$AU$493,22,)/VLOOKUP($D112,$C$5:$AU$493,3,))*$E112)</f>
        <v>0</v>
      </c>
      <c r="Y112" s="67">
        <f>IF(VLOOKUP($D112,$C$5:$AU$493,3,)=0,0,(VLOOKUP($D112,$C$5:$AU$493,23,)/VLOOKUP($D112,$C$5:$AU$493,3,))*$E112)</f>
        <v>0</v>
      </c>
      <c r="Z112" s="67">
        <f>IF(VLOOKUP($D112,$C$5:$AU$493,3,)=0,0,(VLOOKUP($D112,$C$5:$AU$493,24,)/VLOOKUP($D112,$C$5:$AU$493,3,))*$E112)</f>
        <v>0</v>
      </c>
      <c r="AA112" s="67">
        <f>IF(VLOOKUP($D112,$C$5:$AU$493,3,)=0,0,(VLOOKUP($D112,$C$5:$AU$493,25,)/VLOOKUP($D112,$C$5:$AU$493,3,))*$E112)</f>
        <v>0</v>
      </c>
      <c r="AB112" s="67">
        <f>IF(VLOOKUP($D112,$C$5:$AU$493,3,)=0,0,(VLOOKUP($D112,$C$5:$AU$493,26,)/VLOOKUP($D112,$C$5:$AU$493,3,))*$E112)</f>
        <v>0</v>
      </c>
      <c r="AC112" s="67">
        <f>IF(VLOOKUP($D112,$C$5:$AU$493,3,)=0,0,(VLOOKUP($D112,$C$5:$AU$493,27,)/VLOOKUP($D112,$C$5:$AU$493,3,))*$E112)</f>
        <v>0</v>
      </c>
      <c r="AD112" s="67">
        <f>IF(VLOOKUP($D112,$C$5:$AU$493,3,)=0,0,(VLOOKUP($D112,$C$5:$AU$493,28,)/VLOOKUP($D112,$C$5:$AU$493,3,))*$E112)</f>
        <v>0</v>
      </c>
      <c r="AE112" s="67">
        <f>IF(VLOOKUP($D112,$C$5:$AU$493,3,)=0,0,(VLOOKUP($D112,$C$5:$AU$493,29,)/VLOOKUP($D112,$C$5:$AU$493,3,))*$E112)</f>
        <v>0</v>
      </c>
      <c r="AF112" s="67">
        <f>IF(VLOOKUP($D112,$C$5:$AU$493,3,)=0,0,(VLOOKUP($D112,$C$5:$AU$493,30,)/VLOOKUP($D112,$C$5:$AU$493,3,))*$E112)</f>
        <v>0</v>
      </c>
      <c r="AG112" s="90">
        <f>SUM(F112:AF112)</f>
        <v>130188.36059374189</v>
      </c>
      <c r="AH112" s="28" t="str">
        <f>IF(ABS(E112-AG112)&lt;0.01,"ok","err")</f>
        <v>ok</v>
      </c>
    </row>
    <row r="113" spans="1:35" x14ac:dyDescent="0.25">
      <c r="E113" s="50"/>
    </row>
    <row r="114" spans="1:35" x14ac:dyDescent="0.25">
      <c r="A114" s="13" t="s">
        <v>469</v>
      </c>
      <c r="E114" s="50"/>
    </row>
    <row r="115" spans="1:35" x14ac:dyDescent="0.25">
      <c r="A115" s="93" t="s">
        <v>219</v>
      </c>
      <c r="C115" s="14" t="s">
        <v>255</v>
      </c>
      <c r="D115" s="14" t="s">
        <v>233</v>
      </c>
      <c r="E115" s="67">
        <f>'Func &amp; Classif'!AA144</f>
        <v>100.77240231865042</v>
      </c>
      <c r="F115" s="67">
        <f>IF(VLOOKUP($D115,$C$5:$AU$493,3,)=0,0,(VLOOKUP($D115,$C$5:$AU$493,4,)/VLOOKUP($D115,$C$5:$AU$493,3,))*$E115)</f>
        <v>73.980522760718443</v>
      </c>
      <c r="G115" s="67">
        <f>IF(VLOOKUP($D115,$C$5:$AU$493,3,)=0,0,(VLOOKUP($D115,$C$5:$AU$493,5,)/VLOOKUP($D115,$C$5:$AU$493,3,))*$E115)</f>
        <v>9.9841970243571054E-2</v>
      </c>
      <c r="H115" s="67">
        <f>IF(VLOOKUP($D115,$C$5:$AU$493,3,)=0,0,(VLOOKUP($D115,$C$5:$AU$493,6,)/VLOOKUP($D115,$C$5:$AU$493,3,))*$E115)</f>
        <v>4.6350446090694009</v>
      </c>
      <c r="I115" s="67">
        <f>IF(VLOOKUP($D115,$C$5:$AU$493,3,)=0,0,(VLOOKUP($D115,$C$5:$AU$493,7,)/VLOOKUP($D115,$C$5:$AU$493,3,))*$E115)</f>
        <v>21.427988566084512</v>
      </c>
      <c r="J115" s="67">
        <f>IF(VLOOKUP($D115,$C$5:$AU$493,3,)=0,0,(VLOOKUP($D115,$C$5:$AU$493,8,)/VLOOKUP($D115,$C$5:$AU$493,3,))*$E115)</f>
        <v>0.34944689585249872</v>
      </c>
      <c r="K115" s="67">
        <f>IF(VLOOKUP($D115,$C$5:$AU$493,3,)=0,0,(VLOOKUP($D115,$C$5:$AU$493,9,)/VLOOKUP($D115,$C$5:$AU$493,3,))*$E115)</f>
        <v>7.9873576194856841E-2</v>
      </c>
      <c r="L115" s="67">
        <f>IF(VLOOKUP($D115,$C$5:$AU$493,3,)=0,0,(VLOOKUP($D115,$C$5:$AU$493,10,)/VLOOKUP($D115,$C$5:$AU$493,3,))*$E115)</f>
        <v>5.7052554424897742E-3</v>
      </c>
      <c r="M115" s="67">
        <f>IF(VLOOKUP($D115,$C$5:$AU$493,3,)=0,0,(VLOOKUP($D115,$C$5:$AU$493,11,)/VLOOKUP($D115,$C$5:$AU$493,3,))*$E115)</f>
        <v>0.19397868504465235</v>
      </c>
      <c r="N115" s="67">
        <f>IF(VLOOKUP($D115,$C$5:$AU$493,3,)=0,0,(VLOOKUP($D115,$C$5:$AU$493,12,)/VLOOKUP($D115,$C$5:$AU$493,3,))*$E115)</f>
        <v>0</v>
      </c>
      <c r="O115" s="67">
        <f>IF(VLOOKUP($D115,$C$5:$AU$493,3,)=0,0,(VLOOKUP($D115,$C$5:$AU$493,13,)/VLOOKUP($D115,$C$5:$AU$493,3,))*$E115)</f>
        <v>0</v>
      </c>
      <c r="P115" s="67">
        <f>IF(VLOOKUP($D115,$C$5:$AU$493,3,)=0,0,(VLOOKUP($D115,$C$5:$AU$493,14,)/VLOOKUP($D115,$C$5:$AU$493,3,))*$E115)</f>
        <v>0</v>
      </c>
      <c r="Q115" s="67">
        <f>IF(VLOOKUP($D115,$C$5:$AU$493,3,)=0,0,(VLOOKUP($D115,$C$5:$AU$493,15,)/VLOOKUP($D115,$C$5:$AU$493,3,))*$E115)</f>
        <v>0</v>
      </c>
      <c r="R115" s="67">
        <f>IF(VLOOKUP($D115,$C$5:$AU$493,3,)=0,0,(VLOOKUP($D115,$C$5:$AU$493,16,)/VLOOKUP($D115,$C$5:$AU$493,3,))*$E115)</f>
        <v>0</v>
      </c>
      <c r="S115" s="67">
        <f>IF(VLOOKUP($D115,$C$5:$AU$493,3,)=0,0,(VLOOKUP($D115,$C$5:$AU$493,17,)/VLOOKUP($D115,$C$5:$AU$493,3,))*$E115)</f>
        <v>0</v>
      </c>
      <c r="T115" s="67">
        <f>IF(VLOOKUP($D115,$C$5:$AU$493,3,)=0,0,(VLOOKUP($D115,$C$5:$AU$493,18,)/VLOOKUP($D115,$C$5:$AU$493,3,))*$E115)</f>
        <v>0</v>
      </c>
      <c r="U115" s="67">
        <f>IF(VLOOKUP($D115,$C$5:$AU$493,3,)=0,0,(VLOOKUP($D115,$C$5:$AU$493,19,)/VLOOKUP($D115,$C$5:$AU$493,3,))*$E115)</f>
        <v>0</v>
      </c>
      <c r="V115" s="67">
        <f>IF(VLOOKUP($D115,$C$5:$AU$493,3,)=0,0,(VLOOKUP($D115,$C$5:$AU$493,20,)/VLOOKUP($D115,$C$5:$AU$493,3,))*$E115)</f>
        <v>0</v>
      </c>
      <c r="W115" s="67">
        <f>IF(VLOOKUP($D115,$C$5:$AU$493,3,)=0,0,(VLOOKUP($D115,$C$5:$AU$493,21,)/VLOOKUP($D115,$C$5:$AU$493,3,))*$E115)</f>
        <v>0</v>
      </c>
      <c r="X115" s="67">
        <f>IF(VLOOKUP($D115,$C$5:$AU$493,3,)=0,0,(VLOOKUP($D115,$C$5:$AU$493,22,)/VLOOKUP($D115,$C$5:$AU$493,3,))*$E115)</f>
        <v>0</v>
      </c>
      <c r="Y115" s="67">
        <f>IF(VLOOKUP($D115,$C$5:$AU$493,3,)=0,0,(VLOOKUP($D115,$C$5:$AU$493,23,)/VLOOKUP($D115,$C$5:$AU$493,3,))*$E115)</f>
        <v>0</v>
      </c>
      <c r="Z115" s="67">
        <f>IF(VLOOKUP($D115,$C$5:$AU$493,3,)=0,0,(VLOOKUP($D115,$C$5:$AU$493,24,)/VLOOKUP($D115,$C$5:$AU$493,3,))*$E115)</f>
        <v>0</v>
      </c>
      <c r="AA115" s="67">
        <f>IF(VLOOKUP($D115,$C$5:$AU$493,3,)=0,0,(VLOOKUP($D115,$C$5:$AU$493,25,)/VLOOKUP($D115,$C$5:$AU$493,3,))*$E115)</f>
        <v>0</v>
      </c>
      <c r="AB115" s="67">
        <f>IF(VLOOKUP($D115,$C$5:$AU$493,3,)=0,0,(VLOOKUP($D115,$C$5:$AU$493,26,)/VLOOKUP($D115,$C$5:$AU$493,3,))*$E115)</f>
        <v>0</v>
      </c>
      <c r="AC115" s="67">
        <f>IF(VLOOKUP($D115,$C$5:$AU$493,3,)=0,0,(VLOOKUP($D115,$C$5:$AU$493,27,)/VLOOKUP($D115,$C$5:$AU$493,3,))*$E115)</f>
        <v>0</v>
      </c>
      <c r="AD115" s="67">
        <f>IF(VLOOKUP($D115,$C$5:$AU$493,3,)=0,0,(VLOOKUP($D115,$C$5:$AU$493,28,)/VLOOKUP($D115,$C$5:$AU$493,3,))*$E115)</f>
        <v>0</v>
      </c>
      <c r="AE115" s="67">
        <f>IF(VLOOKUP($D115,$C$5:$AU$493,3,)=0,0,(VLOOKUP($D115,$C$5:$AU$493,29,)/VLOOKUP($D115,$C$5:$AU$493,3,))*$E115)</f>
        <v>0</v>
      </c>
      <c r="AF115" s="67">
        <f>IF(VLOOKUP($D115,$C$5:$AU$493,3,)=0,0,(VLOOKUP($D115,$C$5:$AU$493,30,)/VLOOKUP($D115,$C$5:$AU$493,3,))*$E115)</f>
        <v>0</v>
      </c>
      <c r="AG115" s="90">
        <f>SUM(F115:AF115)</f>
        <v>100.77240231865042</v>
      </c>
      <c r="AH115" s="28" t="str">
        <f>IF(ABS(E115-AG115)&lt;0.01,"ok","err")</f>
        <v>ok</v>
      </c>
    </row>
    <row r="116" spans="1:35" x14ac:dyDescent="0.25">
      <c r="E116" s="50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  <c r="AE116" s="67"/>
      <c r="AF116" s="67"/>
    </row>
    <row r="117" spans="1:35" x14ac:dyDescent="0.25">
      <c r="A117" s="14" t="s">
        <v>0</v>
      </c>
      <c r="C117" s="14" t="s">
        <v>259</v>
      </c>
      <c r="E117" s="67">
        <f>E87+E90+E93+E98+E103+E106+E109+E112+E115</f>
        <v>90562883.879807696</v>
      </c>
      <c r="F117" s="67">
        <f t="shared" ref="F117:R117" si="22">F87+F90+F93+F98+F103+F106+F109+F112+F115</f>
        <v>62800668.179839551</v>
      </c>
      <c r="G117" s="67">
        <f t="shared" si="22"/>
        <v>66720.427183814187</v>
      </c>
      <c r="H117" s="67">
        <f t="shared" si="22"/>
        <v>2959292.9884449947</v>
      </c>
      <c r="I117" s="67">
        <f t="shared" si="22"/>
        <v>10253680.408332247</v>
      </c>
      <c r="J117" s="67">
        <f t="shared" si="22"/>
        <v>4297128.2448560596</v>
      </c>
      <c r="K117" s="67">
        <f t="shared" si="22"/>
        <v>5719861.2777235387</v>
      </c>
      <c r="L117" s="67">
        <f t="shared" si="22"/>
        <v>1496439.8088717931</v>
      </c>
      <c r="M117" s="67">
        <f t="shared" si="22"/>
        <v>2969092.542478492</v>
      </c>
      <c r="N117" s="67">
        <f t="shared" si="22"/>
        <v>0</v>
      </c>
      <c r="O117" s="67">
        <f t="shared" si="22"/>
        <v>0</v>
      </c>
      <c r="P117" s="67">
        <f t="shared" si="22"/>
        <v>0</v>
      </c>
      <c r="Q117" s="67">
        <f t="shared" si="22"/>
        <v>0</v>
      </c>
      <c r="R117" s="67">
        <f t="shared" si="22"/>
        <v>0</v>
      </c>
      <c r="S117" s="67">
        <f t="shared" ref="S117:AF117" si="23">S87+S93+S98+S103+S106+S109+S112+S115</f>
        <v>0</v>
      </c>
      <c r="T117" s="67">
        <f t="shared" si="23"/>
        <v>0</v>
      </c>
      <c r="U117" s="67">
        <f t="shared" si="23"/>
        <v>0</v>
      </c>
      <c r="V117" s="67">
        <f t="shared" si="23"/>
        <v>0</v>
      </c>
      <c r="W117" s="67">
        <f t="shared" si="23"/>
        <v>0</v>
      </c>
      <c r="X117" s="67">
        <f t="shared" si="23"/>
        <v>0</v>
      </c>
      <c r="Y117" s="67">
        <f t="shared" si="23"/>
        <v>0</v>
      </c>
      <c r="Z117" s="67">
        <f t="shared" si="23"/>
        <v>0</v>
      </c>
      <c r="AA117" s="67">
        <f t="shared" si="23"/>
        <v>0</v>
      </c>
      <c r="AB117" s="67">
        <f t="shared" si="23"/>
        <v>0</v>
      </c>
      <c r="AC117" s="67">
        <f t="shared" si="23"/>
        <v>0</v>
      </c>
      <c r="AD117" s="67">
        <f t="shared" si="23"/>
        <v>0</v>
      </c>
      <c r="AE117" s="67">
        <f t="shared" si="23"/>
        <v>0</v>
      </c>
      <c r="AF117" s="67">
        <f t="shared" si="23"/>
        <v>0</v>
      </c>
      <c r="AG117" s="90">
        <f>SUM(F117:AF117)</f>
        <v>90562883.877730474</v>
      </c>
      <c r="AH117" s="28" t="str">
        <f>IF(ABS(E117-AG117)&lt;0.01,"ok","err")</f>
        <v>ok</v>
      </c>
    </row>
    <row r="118" spans="1:35" x14ac:dyDescent="0.25">
      <c r="E118" s="142">
        <f>E117/$E117</f>
        <v>1</v>
      </c>
      <c r="F118" s="142">
        <f>F117/$E117</f>
        <v>0.69344819300572058</v>
      </c>
      <c r="G118" s="142">
        <f t="shared" ref="G118:M118" si="24">G117/$E117</f>
        <v>7.367303725924133E-4</v>
      </c>
      <c r="H118" s="142">
        <f t="shared" si="24"/>
        <v>3.2676664673935055E-2</v>
      </c>
      <c r="I118" s="142">
        <f t="shared" si="24"/>
        <v>0.11322166398698853</v>
      </c>
      <c r="J118" s="142">
        <f t="shared" si="24"/>
        <v>4.744911006322499E-2</v>
      </c>
      <c r="K118" s="142">
        <f t="shared" si="24"/>
        <v>6.3159001046331126E-2</v>
      </c>
      <c r="L118" s="142">
        <f t="shared" si="24"/>
        <v>1.6523764977027702E-2</v>
      </c>
      <c r="M118" s="48">
        <f t="shared" si="24"/>
        <v>3.2784871851242958E-2</v>
      </c>
    </row>
    <row r="119" spans="1:35" x14ac:dyDescent="0.25">
      <c r="E119" s="90"/>
    </row>
    <row r="120" spans="1:35" x14ac:dyDescent="0.25">
      <c r="A120" s="26" t="s">
        <v>86</v>
      </c>
    </row>
    <row r="122" spans="1:35" x14ac:dyDescent="0.25">
      <c r="A122" s="13" t="s">
        <v>890</v>
      </c>
    </row>
    <row r="123" spans="1:35" x14ac:dyDescent="0.25">
      <c r="A123" s="93" t="s">
        <v>207</v>
      </c>
      <c r="C123" s="14" t="s">
        <v>260</v>
      </c>
      <c r="D123" s="14" t="s">
        <v>656</v>
      </c>
      <c r="E123" s="67">
        <f>'Func &amp; Classif'!H285</f>
        <v>9006886.8765010126</v>
      </c>
      <c r="F123" s="67">
        <f>IF(VLOOKUP($D123,$C$5:$AU$493,3,)=0,0,(VLOOKUP($D123,$C$5:$AU$493,4,)/VLOOKUP($D123,$C$5:$AU$493,3,))*$E123)</f>
        <v>4474506.8259881809</v>
      </c>
      <c r="G123" s="67">
        <f>IF(VLOOKUP($D123,$C$5:$AU$493,3,)=0,0,(VLOOKUP($D123,$C$5:$AU$493,5,)/VLOOKUP($D123,$C$5:$AU$493,3,))*$E123)</f>
        <v>0</v>
      </c>
      <c r="H123" s="67">
        <f>IF(VLOOKUP($D123,$C$5:$AU$493,3,)=0,0,(VLOOKUP($D123,$C$5:$AU$493,6,)/VLOOKUP($D123,$C$5:$AU$493,3,))*$E123)</f>
        <v>317830.43662963342</v>
      </c>
      <c r="I123" s="67">
        <f>IF(VLOOKUP($D123,$C$5:$AU$493,3,)=0,0,(VLOOKUP($D123,$C$5:$AU$493,7,)/VLOOKUP($D123,$C$5:$AU$493,3,))*$E123)</f>
        <v>642782.76553710271</v>
      </c>
      <c r="J123" s="67">
        <f>IF(VLOOKUP($D123,$C$5:$AU$493,3,)=0,0,(VLOOKUP($D123,$C$5:$AU$493,8,)/VLOOKUP($D123,$C$5:$AU$493,3,))*$E123)</f>
        <v>519100.84834609588</v>
      </c>
      <c r="K123" s="67">
        <f>IF(VLOOKUP($D123,$C$5:$AU$493,3,)=0,0,(VLOOKUP($D123,$C$5:$AU$493,9,)/VLOOKUP($D123,$C$5:$AU$493,3,))*$E123)</f>
        <v>2418533.1346225496</v>
      </c>
      <c r="L123" s="67">
        <f>IF(VLOOKUP($D123,$C$5:$AU$493,3,)=0,0,(VLOOKUP($D123,$C$5:$AU$493,10,)/VLOOKUP($D123,$C$5:$AU$493,3,))*$E123)</f>
        <v>634132.86537745071</v>
      </c>
      <c r="M123" s="67">
        <f>IF(VLOOKUP($D123,$C$5:$AU$493,3,)=0,0,(VLOOKUP($D123,$C$5:$AU$493,11,)/VLOOKUP($D123,$C$5:$AU$493,3,))*$E123)</f>
        <v>0</v>
      </c>
      <c r="N123" s="67">
        <f>IF(VLOOKUP($D123,$C$5:$AU$493,3,)=0,0,(VLOOKUP($D123,$C$5:$AU$493,12,)/VLOOKUP($D123,$C$5:$AU$493,3,))*$E123)</f>
        <v>0</v>
      </c>
      <c r="O123" s="67">
        <f>IF(VLOOKUP($D123,$C$5:$AU$493,3,)=0,0,(VLOOKUP($D123,$C$5:$AU$493,13,)/VLOOKUP($D123,$C$5:$AU$493,3,))*$E123)</f>
        <v>0</v>
      </c>
      <c r="P123" s="67">
        <f>IF(VLOOKUP($D123,$C$5:$AU$493,3,)=0,0,(VLOOKUP($D123,$C$5:$AU$493,14,)/VLOOKUP($D123,$C$5:$AU$493,3,))*$E123)</f>
        <v>0</v>
      </c>
      <c r="Q123" s="67">
        <f>IF(VLOOKUP($D123,$C$5:$AU$493,3,)=0,0,(VLOOKUP($D123,$C$5:$AU$493,15,)/VLOOKUP($D123,$C$5:$AU$493,3,))*$E123)</f>
        <v>0</v>
      </c>
      <c r="R123" s="67">
        <f>IF(VLOOKUP($D123,$C$5:$AU$493,3,)=0,0,(VLOOKUP($D123,$C$5:$AU$493,16,)/VLOOKUP($D123,$C$5:$AU$493,3,))*$E123)</f>
        <v>0</v>
      </c>
      <c r="S123" s="67">
        <f>IF(VLOOKUP($D123,$C$5:$AU$493,3,)=0,0,(VLOOKUP($D123,$C$5:$AU$493,17,)/VLOOKUP($D123,$C$5:$AU$493,3,))*$E123)</f>
        <v>0</v>
      </c>
      <c r="T123" s="67">
        <f>IF(VLOOKUP($D123,$C$5:$AU$493,3,)=0,0,(VLOOKUP($D123,$C$5:$AU$493,18,)/VLOOKUP($D123,$C$5:$AU$493,3,))*$E123)</f>
        <v>0</v>
      </c>
      <c r="U123" s="67">
        <f>IF(VLOOKUP($D123,$C$5:$AU$493,3,)=0,0,(VLOOKUP($D123,$C$5:$AU$493,19,)/VLOOKUP($D123,$C$5:$AU$493,3,))*$E123)</f>
        <v>0</v>
      </c>
      <c r="V123" s="67">
        <f>IF(VLOOKUP($D123,$C$5:$AU$493,3,)=0,0,(VLOOKUP($D123,$C$5:$AU$493,20,)/VLOOKUP($D123,$C$5:$AU$493,3,))*$E123)</f>
        <v>0</v>
      </c>
      <c r="W123" s="67">
        <f>IF(VLOOKUP($D123,$C$5:$AU$493,3,)=0,0,(VLOOKUP($D123,$C$5:$AU$493,21,)/VLOOKUP($D123,$C$5:$AU$493,3,))*$E123)</f>
        <v>0</v>
      </c>
      <c r="X123" s="67">
        <f>IF(VLOOKUP($D123,$C$5:$AU$493,3,)=0,0,(VLOOKUP($D123,$C$5:$AU$493,22,)/VLOOKUP($D123,$C$5:$AU$493,3,))*$E123)</f>
        <v>0</v>
      </c>
      <c r="Y123" s="67">
        <f>IF(VLOOKUP($D123,$C$5:$AU$493,3,)=0,0,(VLOOKUP($D123,$C$5:$AU$493,23,)/VLOOKUP($D123,$C$5:$AU$493,3,))*$E123)</f>
        <v>0</v>
      </c>
      <c r="Z123" s="67">
        <f>IF(VLOOKUP($D123,$C$5:$AU$493,3,)=0,0,(VLOOKUP($D123,$C$5:$AU$493,24,)/VLOOKUP($D123,$C$5:$AU$493,3,))*$E123)</f>
        <v>0</v>
      </c>
      <c r="AA123" s="67">
        <f>IF(VLOOKUP($D123,$C$5:$AU$493,3,)=0,0,(VLOOKUP($D123,$C$5:$AU$493,25,)/VLOOKUP($D123,$C$5:$AU$493,3,))*$E123)</f>
        <v>0</v>
      </c>
      <c r="AB123" s="67">
        <f>IF(VLOOKUP($D123,$C$5:$AU$493,3,)=0,0,(VLOOKUP($D123,$C$5:$AU$493,26,)/VLOOKUP($D123,$C$5:$AU$493,3,))*$E123)</f>
        <v>0</v>
      </c>
      <c r="AC123" s="67">
        <f>IF(VLOOKUP($D123,$C$5:$AU$493,3,)=0,0,(VLOOKUP($D123,$C$5:$AU$493,27,)/VLOOKUP($D123,$C$5:$AU$493,3,))*$E123)</f>
        <v>0</v>
      </c>
      <c r="AD123" s="67">
        <f>IF(VLOOKUP($D123,$C$5:$AU$493,3,)=0,0,(VLOOKUP($D123,$C$5:$AU$493,28,)/VLOOKUP($D123,$C$5:$AU$493,3,))*$E123)</f>
        <v>0</v>
      </c>
      <c r="AE123" s="67">
        <f>IF(VLOOKUP($D123,$C$5:$AU$493,3,)=0,0,(VLOOKUP($D123,$C$5:$AU$493,29,)/VLOOKUP($D123,$C$5:$AU$493,3,))*$E123)</f>
        <v>0</v>
      </c>
      <c r="AF123" s="67">
        <f>IF(VLOOKUP($D123,$C$5:$AU$493,3,)=0,0,(VLOOKUP($D123,$C$5:$AU$493,30,)/VLOOKUP($D123,$C$5:$AU$493,3,))*$E123)</f>
        <v>0</v>
      </c>
      <c r="AG123" s="90">
        <f>SUM(F123:AF123)</f>
        <v>9006886.8765010126</v>
      </c>
      <c r="AH123" s="28" t="str">
        <f>IF(ABS(E123-AG123)&lt;0.01,"ok","err")</f>
        <v>ok</v>
      </c>
      <c r="AI123" s="68">
        <f>M123/AG123</f>
        <v>0</v>
      </c>
    </row>
    <row r="124" spans="1:35" x14ac:dyDescent="0.25">
      <c r="A124" s="93" t="s">
        <v>210</v>
      </c>
      <c r="C124" s="14" t="s">
        <v>261</v>
      </c>
      <c r="D124" s="14" t="s">
        <v>665</v>
      </c>
      <c r="E124" s="50">
        <f>'Func &amp; Classif'!I285</f>
        <v>32964492.123498984</v>
      </c>
      <c r="F124" s="67">
        <f>IF(VLOOKUP($D124,$C$5:$AU$493,3,)=0,0,(VLOOKUP($D124,$C$5:$AU$493,4,)/VLOOKUP($D124,$C$5:$AU$493,3,))*$E124)</f>
        <v>16507902.339716198</v>
      </c>
      <c r="G124" s="67">
        <f>IF(VLOOKUP($D124,$C$5:$AU$493,3,)=0,0,(VLOOKUP($D124,$C$5:$AU$493,5,)/VLOOKUP($D124,$C$5:$AU$493,3,))*$E124)</f>
        <v>14443.959586562311</v>
      </c>
      <c r="H124" s="67">
        <f>IF(VLOOKUP($D124,$C$5:$AU$493,3,)=0,0,(VLOOKUP($D124,$C$5:$AU$493,6,)/VLOOKUP($D124,$C$5:$AU$493,3,))*$E124)</f>
        <v>1171762.4356318049</v>
      </c>
      <c r="I124" s="67">
        <f>IF(VLOOKUP($D124,$C$5:$AU$493,3,)=0,0,(VLOOKUP($D124,$C$5:$AU$493,7,)/VLOOKUP($D124,$C$5:$AU$493,3,))*$E124)</f>
        <v>2867615.2794370409</v>
      </c>
      <c r="J124" s="67">
        <f>IF(VLOOKUP($D124,$C$5:$AU$493,3,)=0,0,(VLOOKUP($D124,$C$5:$AU$493,8,)/VLOOKUP($D124,$C$5:$AU$493,3,))*$E124)</f>
        <v>4725588.2070660349</v>
      </c>
      <c r="K124" s="67">
        <f>IF(VLOOKUP($D124,$C$5:$AU$493,3,)=0,0,(VLOOKUP($D124,$C$5:$AU$493,9,)/VLOOKUP($D124,$C$5:$AU$493,3,))*$E124)</f>
        <v>5808488.7759340769</v>
      </c>
      <c r="L124" s="67">
        <f>IF(VLOOKUP($D124,$C$5:$AU$493,3,)=0,0,(VLOOKUP($D124,$C$5:$AU$493,10,)/VLOOKUP($D124,$C$5:$AU$493,3,))*$E124)</f>
        <v>1734593.2240659231</v>
      </c>
      <c r="M124" s="67">
        <f>IF(VLOOKUP($D124,$C$5:$AU$493,3,)=0,0,(VLOOKUP($D124,$C$5:$AU$493,11,)/VLOOKUP($D124,$C$5:$AU$493,3,))*$E124)</f>
        <v>134097.90206134148</v>
      </c>
      <c r="N124" s="67">
        <f>IF(VLOOKUP($D124,$C$5:$AU$493,3,)=0,0,(VLOOKUP($D124,$C$5:$AU$493,12,)/VLOOKUP($D124,$C$5:$AU$493,3,))*$E124)</f>
        <v>0</v>
      </c>
      <c r="O124" s="67">
        <f>IF(VLOOKUP($D124,$C$5:$AU$493,3,)=0,0,(VLOOKUP($D124,$C$5:$AU$493,13,)/VLOOKUP($D124,$C$5:$AU$493,3,))*$E124)</f>
        <v>0</v>
      </c>
      <c r="P124" s="67">
        <f>IF(VLOOKUP($D124,$C$5:$AU$493,3,)=0,0,(VLOOKUP($D124,$C$5:$AU$493,14,)/VLOOKUP($D124,$C$5:$AU$493,3,))*$E124)</f>
        <v>0</v>
      </c>
      <c r="Q124" s="67">
        <f>IF(VLOOKUP($D124,$C$5:$AU$493,3,)=0,0,(VLOOKUP($D124,$C$5:$AU$493,15,)/VLOOKUP($D124,$C$5:$AU$493,3,))*$E124)</f>
        <v>0</v>
      </c>
      <c r="R124" s="67">
        <f>IF(VLOOKUP($D124,$C$5:$AU$493,3,)=0,0,(VLOOKUP($D124,$C$5:$AU$493,16,)/VLOOKUP($D124,$C$5:$AU$493,3,))*$E124)</f>
        <v>0</v>
      </c>
      <c r="S124" s="67">
        <f>IF(VLOOKUP($D124,$C$5:$AU$493,3,)=0,0,(VLOOKUP($D124,$C$5:$AU$493,17,)/VLOOKUP($D124,$C$5:$AU$493,3,))*$E124)</f>
        <v>0</v>
      </c>
      <c r="T124" s="67">
        <f>IF(VLOOKUP($D124,$C$5:$AU$493,3,)=0,0,(VLOOKUP($D124,$C$5:$AU$493,18,)/VLOOKUP($D124,$C$5:$AU$493,3,))*$E124)</f>
        <v>0</v>
      </c>
      <c r="U124" s="67">
        <f>IF(VLOOKUP($D124,$C$5:$AU$493,3,)=0,0,(VLOOKUP($D124,$C$5:$AU$493,19,)/VLOOKUP($D124,$C$5:$AU$493,3,))*$E124)</f>
        <v>0</v>
      </c>
      <c r="V124" s="67">
        <f>IF(VLOOKUP($D124,$C$5:$AU$493,3,)=0,0,(VLOOKUP($D124,$C$5:$AU$493,20,)/VLOOKUP($D124,$C$5:$AU$493,3,))*$E124)</f>
        <v>0</v>
      </c>
      <c r="W124" s="67">
        <f>IF(VLOOKUP($D124,$C$5:$AU$493,3,)=0,0,(VLOOKUP($D124,$C$5:$AU$493,21,)/VLOOKUP($D124,$C$5:$AU$493,3,))*$E124)</f>
        <v>0</v>
      </c>
      <c r="X124" s="67">
        <f>IF(VLOOKUP($D124,$C$5:$AU$493,3,)=0,0,(VLOOKUP($D124,$C$5:$AU$493,22,)/VLOOKUP($D124,$C$5:$AU$493,3,))*$E124)</f>
        <v>0</v>
      </c>
      <c r="Y124" s="67">
        <f>IF(VLOOKUP($D124,$C$5:$AU$493,3,)=0,0,(VLOOKUP($D124,$C$5:$AU$493,23,)/VLOOKUP($D124,$C$5:$AU$493,3,))*$E124)</f>
        <v>0</v>
      </c>
      <c r="Z124" s="67">
        <f>IF(VLOOKUP($D124,$C$5:$AU$493,3,)=0,0,(VLOOKUP($D124,$C$5:$AU$493,24,)/VLOOKUP($D124,$C$5:$AU$493,3,))*$E124)</f>
        <v>0</v>
      </c>
      <c r="AA124" s="67">
        <f>IF(VLOOKUP($D124,$C$5:$AU$493,3,)=0,0,(VLOOKUP($D124,$C$5:$AU$493,25,)/VLOOKUP($D124,$C$5:$AU$493,3,))*$E124)</f>
        <v>0</v>
      </c>
      <c r="AB124" s="67">
        <f>IF(VLOOKUP($D124,$C$5:$AU$493,3,)=0,0,(VLOOKUP($D124,$C$5:$AU$493,26,)/VLOOKUP($D124,$C$5:$AU$493,3,))*$E124)</f>
        <v>0</v>
      </c>
      <c r="AC124" s="67">
        <f>IF(VLOOKUP($D124,$C$5:$AU$493,3,)=0,0,(VLOOKUP($D124,$C$5:$AU$493,27,)/VLOOKUP($D124,$C$5:$AU$493,3,))*$E124)</f>
        <v>0</v>
      </c>
      <c r="AD124" s="67">
        <f>IF(VLOOKUP($D124,$C$5:$AU$493,3,)=0,0,(VLOOKUP($D124,$C$5:$AU$493,28,)/VLOOKUP($D124,$C$5:$AU$493,3,))*$E124)</f>
        <v>0</v>
      </c>
      <c r="AE124" s="67">
        <f>IF(VLOOKUP($D124,$C$5:$AU$493,3,)=0,0,(VLOOKUP($D124,$C$5:$AU$493,29,)/VLOOKUP($D124,$C$5:$AU$493,3,))*$E124)</f>
        <v>0</v>
      </c>
      <c r="AF124" s="67">
        <f>IF(VLOOKUP($D124,$C$5:$AU$493,3,)=0,0,(VLOOKUP($D124,$C$5:$AU$493,30,)/VLOOKUP($D124,$C$5:$AU$493,3,))*$E124)</f>
        <v>0</v>
      </c>
      <c r="AG124" s="90">
        <f>SUM(F124:AF124)</f>
        <v>32964492.123498984</v>
      </c>
      <c r="AH124" s="28" t="str">
        <f>IF(ABS(E124-AG124)&lt;0.01,"ok","err")</f>
        <v>ok</v>
      </c>
      <c r="AI124" s="68">
        <f t="shared" ref="AI124:AI155" si="25">M124/AG124</f>
        <v>4.0679498885938786E-3</v>
      </c>
    </row>
    <row r="125" spans="1:35" x14ac:dyDescent="0.25">
      <c r="A125" s="14" t="s">
        <v>213</v>
      </c>
      <c r="C125" s="14" t="s">
        <v>262</v>
      </c>
      <c r="E125" s="178">
        <f t="shared" ref="E125:T125" si="26">E123+E124</f>
        <v>41971379</v>
      </c>
      <c r="F125" s="99">
        <f t="shared" si="26"/>
        <v>20982409.165704377</v>
      </c>
      <c r="G125" s="99">
        <f t="shared" si="26"/>
        <v>14443.959586562311</v>
      </c>
      <c r="H125" s="99">
        <f t="shared" si="26"/>
        <v>1489592.8722614383</v>
      </c>
      <c r="I125" s="99">
        <f t="shared" si="26"/>
        <v>3510398.0449741436</v>
      </c>
      <c r="J125" s="99">
        <f t="shared" si="26"/>
        <v>5244689.0554121304</v>
      </c>
      <c r="K125" s="99">
        <f t="shared" si="26"/>
        <v>8227021.9105566265</v>
      </c>
      <c r="L125" s="99">
        <f t="shared" si="26"/>
        <v>2368726.089443374</v>
      </c>
      <c r="M125" s="99">
        <f t="shared" si="26"/>
        <v>134097.90206134148</v>
      </c>
      <c r="N125" s="99">
        <f t="shared" si="26"/>
        <v>0</v>
      </c>
      <c r="O125" s="99">
        <f t="shared" si="26"/>
        <v>0</v>
      </c>
      <c r="P125" s="99">
        <f t="shared" si="26"/>
        <v>0</v>
      </c>
      <c r="Q125" s="99">
        <f t="shared" si="26"/>
        <v>0</v>
      </c>
      <c r="R125" s="99">
        <f t="shared" si="26"/>
        <v>0</v>
      </c>
      <c r="S125" s="99">
        <f t="shared" si="26"/>
        <v>0</v>
      </c>
      <c r="T125" s="99">
        <f t="shared" si="26"/>
        <v>0</v>
      </c>
      <c r="U125" s="99">
        <f t="shared" ref="U125:AF125" si="27">U123+U124</f>
        <v>0</v>
      </c>
      <c r="V125" s="99">
        <f t="shared" si="27"/>
        <v>0</v>
      </c>
      <c r="W125" s="99">
        <f t="shared" si="27"/>
        <v>0</v>
      </c>
      <c r="X125" s="99">
        <f t="shared" si="27"/>
        <v>0</v>
      </c>
      <c r="Y125" s="99">
        <f t="shared" si="27"/>
        <v>0</v>
      </c>
      <c r="Z125" s="99">
        <f t="shared" si="27"/>
        <v>0</v>
      </c>
      <c r="AA125" s="99">
        <f t="shared" si="27"/>
        <v>0</v>
      </c>
      <c r="AB125" s="99">
        <f t="shared" si="27"/>
        <v>0</v>
      </c>
      <c r="AC125" s="99">
        <f t="shared" si="27"/>
        <v>0</v>
      </c>
      <c r="AD125" s="99">
        <f t="shared" si="27"/>
        <v>0</v>
      </c>
      <c r="AE125" s="99">
        <f t="shared" si="27"/>
        <v>0</v>
      </c>
      <c r="AF125" s="99">
        <f t="shared" si="27"/>
        <v>0</v>
      </c>
      <c r="AG125" s="190">
        <f>SUM(F125:AF125)</f>
        <v>41971378.999999993</v>
      </c>
      <c r="AH125" s="28" t="str">
        <f>IF(ABS(E125-AG125)&lt;0.01,"ok","err")</f>
        <v>ok</v>
      </c>
      <c r="AI125" s="68">
        <f t="shared" si="25"/>
        <v>3.1949844216779604E-3</v>
      </c>
    </row>
    <row r="126" spans="1:35" x14ac:dyDescent="0.25">
      <c r="E126" s="50"/>
      <c r="F126" s="50"/>
      <c r="AI126" s="68"/>
    </row>
    <row r="127" spans="1:35" x14ac:dyDescent="0.25">
      <c r="A127" s="13" t="s">
        <v>348</v>
      </c>
      <c r="E127" s="50"/>
      <c r="F127" s="50"/>
      <c r="AI127" s="68"/>
    </row>
    <row r="128" spans="1:35" x14ac:dyDescent="0.25">
      <c r="A128" s="93" t="s">
        <v>207</v>
      </c>
      <c r="C128" s="14" t="s">
        <v>882</v>
      </c>
      <c r="D128" s="14" t="s">
        <v>624</v>
      </c>
      <c r="E128" s="67">
        <f>'Func &amp; Classif'!K285</f>
        <v>0</v>
      </c>
      <c r="F128" s="67">
        <f>IF(VLOOKUP($D128,$C$5:$AU$493,3,)=0,0,(VLOOKUP($D128,$C$5:$AU$493,4,)/VLOOKUP($D128,$C$5:$AU$493,3,))*$E128)</f>
        <v>0</v>
      </c>
      <c r="G128" s="67">
        <f>IF(VLOOKUP($D128,$C$5:$AU$493,3,)=0,0,(VLOOKUP($D128,$C$5:$AU$493,5,)/VLOOKUP($D128,$C$5:$AU$493,3,))*$E128)</f>
        <v>0</v>
      </c>
      <c r="H128" s="67">
        <f>IF(VLOOKUP($D128,$C$5:$AU$493,3,)=0,0,(VLOOKUP($D128,$C$5:$AU$493,6,)/VLOOKUP($D128,$C$5:$AU$493,3,))*$E128)</f>
        <v>0</v>
      </c>
      <c r="I128" s="67">
        <f>IF(VLOOKUP($D128,$C$5:$AU$493,3,)=0,0,(VLOOKUP($D128,$C$5:$AU$493,7,)/VLOOKUP($D128,$C$5:$AU$493,3,))*$E128)</f>
        <v>0</v>
      </c>
      <c r="J128" s="67">
        <f>IF(VLOOKUP($D128,$C$5:$AU$493,3,)=0,0,(VLOOKUP($D128,$C$5:$AU$493,8,)/VLOOKUP($D128,$C$5:$AU$493,3,))*$E128)</f>
        <v>0</v>
      </c>
      <c r="K128" s="67">
        <f>IF(VLOOKUP($D128,$C$5:$AU$493,3,)=0,0,(VLOOKUP($D128,$C$5:$AU$493,9,)/VLOOKUP($D128,$C$5:$AU$493,3,))*$E128)</f>
        <v>0</v>
      </c>
      <c r="L128" s="67">
        <f>IF(VLOOKUP($D128,$C$5:$AU$493,3,)=0,0,(VLOOKUP($D128,$C$5:$AU$493,10,)/VLOOKUP($D128,$C$5:$AU$493,3,))*$E128)</f>
        <v>0</v>
      </c>
      <c r="M128" s="67">
        <f>IF(VLOOKUP($D128,$C$5:$AU$493,3,)=0,0,(VLOOKUP($D128,$C$5:$AU$493,11,)/VLOOKUP($D128,$C$5:$AU$493,3,))*$E128)</f>
        <v>0</v>
      </c>
      <c r="N128" s="67">
        <f>IF(VLOOKUP($D128,$C$5:$AU$493,3,)=0,0,(VLOOKUP($D128,$C$5:$AU$493,12,)/VLOOKUP($D128,$C$5:$AU$493,3,))*$E128)</f>
        <v>0</v>
      </c>
      <c r="O128" s="67">
        <f>IF(VLOOKUP($D128,$C$5:$AU$493,3,)=0,0,(VLOOKUP($D128,$C$5:$AU$493,13,)/VLOOKUP($D128,$C$5:$AU$493,3,))*$E128)</f>
        <v>0</v>
      </c>
      <c r="P128" s="67">
        <f>IF(VLOOKUP($D128,$C$5:$AU$493,3,)=0,0,(VLOOKUP($D128,$C$5:$AU$493,14,)/VLOOKUP($D128,$C$5:$AU$493,3,))*$E128)</f>
        <v>0</v>
      </c>
      <c r="Q128" s="67">
        <f>IF(VLOOKUP($D128,$C$5:$AU$493,3,)=0,0,(VLOOKUP($D128,$C$5:$AU$493,15,)/VLOOKUP($D128,$C$5:$AU$493,3,))*$E128)</f>
        <v>0</v>
      </c>
      <c r="R128" s="67">
        <f>IF(VLOOKUP($D128,$C$5:$AU$493,3,)=0,0,(VLOOKUP($D128,$C$5:$AU$493,16,)/VLOOKUP($D128,$C$5:$AU$493,3,))*$E128)</f>
        <v>0</v>
      </c>
      <c r="S128" s="67">
        <f>IF(VLOOKUP($D128,$C$5:$AU$493,3,)=0,0,(VLOOKUP($D128,$C$5:$AU$493,17,)/VLOOKUP($D128,$C$5:$AU$493,3,))*$E128)</f>
        <v>0</v>
      </c>
      <c r="T128" s="67">
        <f>IF(VLOOKUP($D128,$C$5:$AU$493,3,)=0,0,(VLOOKUP($D128,$C$5:$AU$493,18,)/VLOOKUP($D128,$C$5:$AU$493,3,))*$E128)</f>
        <v>0</v>
      </c>
      <c r="U128" s="67">
        <f>IF(VLOOKUP($D128,$C$5:$AU$493,3,)=0,0,(VLOOKUP($D128,$C$5:$AU$493,19,)/VLOOKUP($D128,$C$5:$AU$493,3,))*$E128)</f>
        <v>0</v>
      </c>
      <c r="V128" s="67">
        <f>IF(VLOOKUP($D128,$C$5:$AU$493,3,)=0,0,(VLOOKUP($D128,$C$5:$AU$493,20,)/VLOOKUP($D128,$C$5:$AU$493,3,))*$E128)</f>
        <v>0</v>
      </c>
      <c r="W128" s="67">
        <f>IF(VLOOKUP($D128,$C$5:$AU$493,3,)=0,0,(VLOOKUP($D128,$C$5:$AU$493,21,)/VLOOKUP($D128,$C$5:$AU$493,3,))*$E128)</f>
        <v>0</v>
      </c>
      <c r="X128" s="67">
        <f>IF(VLOOKUP($D128,$C$5:$AU$493,3,)=0,0,(VLOOKUP($D128,$C$5:$AU$493,22,)/VLOOKUP($D128,$C$5:$AU$493,3,))*$E128)</f>
        <v>0</v>
      </c>
      <c r="Y128" s="67">
        <f>IF(VLOOKUP($D128,$C$5:$AU$493,3,)=0,0,(VLOOKUP($D128,$C$5:$AU$493,23,)/VLOOKUP($D128,$C$5:$AU$493,3,))*$E128)</f>
        <v>0</v>
      </c>
      <c r="Z128" s="67">
        <f>IF(VLOOKUP($D128,$C$5:$AU$493,3,)=0,0,(VLOOKUP($D128,$C$5:$AU$493,24,)/VLOOKUP($D128,$C$5:$AU$493,3,))*$E128)</f>
        <v>0</v>
      </c>
      <c r="AA128" s="67">
        <f>IF(VLOOKUP($D128,$C$5:$AU$493,3,)=0,0,(VLOOKUP($D128,$C$5:$AU$493,25,)/VLOOKUP($D128,$C$5:$AU$493,3,))*$E128)</f>
        <v>0</v>
      </c>
      <c r="AB128" s="67">
        <f>IF(VLOOKUP($D128,$C$5:$AU$493,3,)=0,0,(VLOOKUP($D128,$C$5:$AU$493,26,)/VLOOKUP($D128,$C$5:$AU$493,3,))*$E128)</f>
        <v>0</v>
      </c>
      <c r="AC128" s="67">
        <f>IF(VLOOKUP($D128,$C$5:$AU$493,3,)=0,0,(VLOOKUP($D128,$C$5:$AU$493,27,)/VLOOKUP($D128,$C$5:$AU$493,3,))*$E128)</f>
        <v>0</v>
      </c>
      <c r="AD128" s="67">
        <f>IF(VLOOKUP($D128,$C$5:$AU$493,3,)=0,0,(VLOOKUP($D128,$C$5:$AU$493,28,)/VLOOKUP($D128,$C$5:$AU$493,3,))*$E128)</f>
        <v>0</v>
      </c>
      <c r="AE128" s="67">
        <f>IF(VLOOKUP($D128,$C$5:$AU$493,3,)=0,0,(VLOOKUP($D128,$C$5:$AU$493,29,)/VLOOKUP($D128,$C$5:$AU$493,3,))*$E128)</f>
        <v>0</v>
      </c>
      <c r="AF128" s="67">
        <f>IF(VLOOKUP($D128,$C$5:$AU$493,3,)=0,0,(VLOOKUP($D128,$C$5:$AU$493,30,)/VLOOKUP($D128,$C$5:$AU$493,3,))*$E128)</f>
        <v>0</v>
      </c>
      <c r="AG128" s="90">
        <f>SUM(F128:AF128)</f>
        <v>0</v>
      </c>
      <c r="AH128" s="28" t="str">
        <f>IF(ABS(E128-AG128)&lt;0.01,"ok","err")</f>
        <v>ok</v>
      </c>
      <c r="AI128" s="68"/>
    </row>
    <row r="129" spans="1:35" x14ac:dyDescent="0.25">
      <c r="E129" s="50"/>
      <c r="AI129" s="68"/>
    </row>
    <row r="130" spans="1:35" x14ac:dyDescent="0.25">
      <c r="A130" s="13" t="s">
        <v>1</v>
      </c>
      <c r="E130" s="50"/>
      <c r="F130" s="50"/>
      <c r="AI130" s="68"/>
    </row>
    <row r="131" spans="1:35" x14ac:dyDescent="0.25">
      <c r="A131" s="93" t="s">
        <v>207</v>
      </c>
      <c r="C131" s="14" t="s">
        <v>263</v>
      </c>
      <c r="D131" s="14" t="s">
        <v>631</v>
      </c>
      <c r="E131" s="67">
        <f>'Func &amp; Classif'!M285</f>
        <v>9846.3608303521687</v>
      </c>
      <c r="F131" s="67">
        <f>IF(VLOOKUP($D131,$C$5:$AU$493,3,)=0,0,(VLOOKUP($D131,$C$5:$AU$493,4,)/VLOOKUP($D131,$C$5:$AU$493,3,))*$E131)</f>
        <v>6292.7908283114057</v>
      </c>
      <c r="G131" s="67">
        <f>IF(VLOOKUP($D131,$C$5:$AU$493,3,)=0,0,(VLOOKUP($D131,$C$5:$AU$493,5,)/VLOOKUP($D131,$C$5:$AU$493,3,))*$E131)</f>
        <v>0</v>
      </c>
      <c r="H131" s="67">
        <f>IF(VLOOKUP($D131,$C$5:$AU$493,3,)=0,0,(VLOOKUP($D131,$C$5:$AU$493,6,)/VLOOKUP($D131,$C$5:$AU$493,3,))*$E131)</f>
        <v>446.98567559777121</v>
      </c>
      <c r="I131" s="67">
        <f>IF(VLOOKUP($D131,$C$5:$AU$493,3,)=0,0,(VLOOKUP($D131,$C$5:$AU$493,7,)/VLOOKUP($D131,$C$5:$AU$493,3,))*$E131)</f>
        <v>903.98733287778998</v>
      </c>
      <c r="J131" s="67">
        <f>IF(VLOOKUP($D131,$C$5:$AU$493,3,)=0,0,(VLOOKUP($D131,$C$5:$AU$493,8,)/VLOOKUP($D131,$C$5:$AU$493,3,))*$E131)</f>
        <v>730.04538477144126</v>
      </c>
      <c r="K131" s="67">
        <f>IF(VLOOKUP($D131,$C$5:$AU$493,3,)=0,0,(VLOOKUP($D131,$C$5:$AU$493,9,)/VLOOKUP($D131,$C$5:$AU$493,3,))*$E131)</f>
        <v>1166.6572082873952</v>
      </c>
      <c r="L131" s="67">
        <f>IF(VLOOKUP($D131,$C$5:$AU$493,3,)=0,0,(VLOOKUP($D131,$C$5:$AU$493,10,)/VLOOKUP($D131,$C$5:$AU$493,3,))*$E131)</f>
        <v>305.89437366546701</v>
      </c>
      <c r="M131" s="67">
        <f>IF(VLOOKUP($D131,$C$5:$AU$493,3,)=0,0,(VLOOKUP($D131,$C$5:$AU$493,11,)/VLOOKUP($D131,$C$5:$AU$493,3,))*$E131)</f>
        <v>0</v>
      </c>
      <c r="N131" s="67">
        <f>IF(VLOOKUP($D131,$C$5:$AU$493,3,)=0,0,(VLOOKUP($D131,$C$5:$AU$493,12,)/VLOOKUP($D131,$C$5:$AU$493,3,))*$E131)</f>
        <v>0</v>
      </c>
      <c r="O131" s="67">
        <f>IF(VLOOKUP($D131,$C$5:$AU$493,3,)=0,0,(VLOOKUP($D131,$C$5:$AU$493,13,)/VLOOKUP($D131,$C$5:$AU$493,3,))*$E131)</f>
        <v>0</v>
      </c>
      <c r="P131" s="67">
        <f>IF(VLOOKUP($D131,$C$5:$AU$493,3,)=0,0,(VLOOKUP($D131,$C$5:$AU$493,14,)/VLOOKUP($D131,$C$5:$AU$493,3,))*$E131)</f>
        <v>0</v>
      </c>
      <c r="Q131" s="67">
        <f>IF(VLOOKUP($D131,$C$5:$AU$493,3,)=0,0,(VLOOKUP($D131,$C$5:$AU$493,15,)/VLOOKUP($D131,$C$5:$AU$493,3,))*$E131)</f>
        <v>0</v>
      </c>
      <c r="R131" s="67">
        <f>IF(VLOOKUP($D131,$C$5:$AU$493,3,)=0,0,(VLOOKUP($D131,$C$5:$AU$493,16,)/VLOOKUP($D131,$C$5:$AU$493,3,))*$E131)</f>
        <v>0</v>
      </c>
      <c r="S131" s="67">
        <f>IF(VLOOKUP($D131,$C$5:$AU$493,3,)=0,0,(VLOOKUP($D131,$C$5:$AU$493,17,)/VLOOKUP($D131,$C$5:$AU$493,3,))*$E131)</f>
        <v>0</v>
      </c>
      <c r="T131" s="67">
        <f>IF(VLOOKUP($D131,$C$5:$AU$493,3,)=0,0,(VLOOKUP($D131,$C$5:$AU$493,18,)/VLOOKUP($D131,$C$5:$AU$493,3,))*$E131)</f>
        <v>0</v>
      </c>
      <c r="U131" s="67">
        <f>IF(VLOOKUP($D131,$C$5:$AU$493,3,)=0,0,(VLOOKUP($D131,$C$5:$AU$493,19,)/VLOOKUP($D131,$C$5:$AU$493,3,))*$E131)</f>
        <v>0</v>
      </c>
      <c r="V131" s="67">
        <f>IF(VLOOKUP($D131,$C$5:$AU$493,3,)=0,0,(VLOOKUP($D131,$C$5:$AU$493,20,)/VLOOKUP($D131,$C$5:$AU$493,3,))*$E131)</f>
        <v>0</v>
      </c>
      <c r="W131" s="67">
        <f>IF(VLOOKUP($D131,$C$5:$AU$493,3,)=0,0,(VLOOKUP($D131,$C$5:$AU$493,21,)/VLOOKUP($D131,$C$5:$AU$493,3,))*$E131)</f>
        <v>0</v>
      </c>
      <c r="X131" s="67">
        <f>IF(VLOOKUP($D131,$C$5:$AU$493,3,)=0,0,(VLOOKUP($D131,$C$5:$AU$493,22,)/VLOOKUP($D131,$C$5:$AU$493,3,))*$E131)</f>
        <v>0</v>
      </c>
      <c r="Y131" s="67">
        <f>IF(VLOOKUP($D131,$C$5:$AU$493,3,)=0,0,(VLOOKUP($D131,$C$5:$AU$493,23,)/VLOOKUP($D131,$C$5:$AU$493,3,))*$E131)</f>
        <v>0</v>
      </c>
      <c r="Z131" s="67">
        <f>IF(VLOOKUP($D131,$C$5:$AU$493,3,)=0,0,(VLOOKUP($D131,$C$5:$AU$493,24,)/VLOOKUP($D131,$C$5:$AU$493,3,))*$E131)</f>
        <v>0</v>
      </c>
      <c r="AA131" s="67">
        <f>IF(VLOOKUP($D131,$C$5:$AU$493,3,)=0,0,(VLOOKUP($D131,$C$5:$AU$493,25,)/VLOOKUP($D131,$C$5:$AU$493,3,))*$E131)</f>
        <v>0</v>
      </c>
      <c r="AB131" s="67">
        <f>IF(VLOOKUP($D131,$C$5:$AU$493,3,)=0,0,(VLOOKUP($D131,$C$5:$AU$493,26,)/VLOOKUP($D131,$C$5:$AU$493,3,))*$E131)</f>
        <v>0</v>
      </c>
      <c r="AC131" s="67">
        <f>IF(VLOOKUP($D131,$C$5:$AU$493,3,)=0,0,(VLOOKUP($D131,$C$5:$AU$493,27,)/VLOOKUP($D131,$C$5:$AU$493,3,))*$E131)</f>
        <v>0</v>
      </c>
      <c r="AD131" s="67">
        <f>IF(VLOOKUP($D131,$C$5:$AU$493,3,)=0,0,(VLOOKUP($D131,$C$5:$AU$493,28,)/VLOOKUP($D131,$C$5:$AU$493,3,))*$E131)</f>
        <v>0</v>
      </c>
      <c r="AE131" s="67">
        <f>IF(VLOOKUP($D131,$C$5:$AU$493,3,)=0,0,(VLOOKUP($D131,$C$5:$AU$493,29,)/VLOOKUP($D131,$C$5:$AU$493,3,))*$E131)</f>
        <v>0</v>
      </c>
      <c r="AF131" s="67">
        <f>IF(VLOOKUP($D131,$C$5:$AU$493,3,)=0,0,(VLOOKUP($D131,$C$5:$AU$493,30,)/VLOOKUP($D131,$C$5:$AU$493,3,))*$E131)</f>
        <v>0</v>
      </c>
      <c r="AG131" s="90">
        <f>SUM(F131:AF131)</f>
        <v>9846.360803511272</v>
      </c>
      <c r="AH131" s="28" t="str">
        <f>IF(ABS(E131-AG131)&lt;0.01,"ok","err")</f>
        <v>ok</v>
      </c>
      <c r="AI131" s="68">
        <f t="shared" si="25"/>
        <v>0</v>
      </c>
    </row>
    <row r="132" spans="1:35" x14ac:dyDescent="0.25">
      <c r="E132" s="50"/>
      <c r="AI132" s="68"/>
    </row>
    <row r="133" spans="1:35" x14ac:dyDescent="0.25">
      <c r="A133" s="13" t="s">
        <v>2</v>
      </c>
      <c r="E133" s="50"/>
      <c r="AI133" s="68"/>
    </row>
    <row r="134" spans="1:35" x14ac:dyDescent="0.25">
      <c r="A134" s="93" t="s">
        <v>207</v>
      </c>
      <c r="C134" s="14" t="s">
        <v>264</v>
      </c>
      <c r="D134" s="14" t="s">
        <v>628</v>
      </c>
      <c r="E134" s="67">
        <f>'Func &amp; Classif'!O285</f>
        <v>4064739.157485052</v>
      </c>
      <c r="F134" s="67">
        <f>IF(VLOOKUP($D134,$C$5:$AU$493,3,)=0,0,(VLOOKUP($D134,$C$5:$AU$493,4,)/VLOOKUP($D134,$C$5:$AU$493,3,))*$E134)</f>
        <v>2885593.1372722532</v>
      </c>
      <c r="G134" s="67">
        <f>IF(VLOOKUP($D134,$C$5:$AU$493,3,)=0,0,(VLOOKUP($D134,$C$5:$AU$493,5,)/VLOOKUP($D134,$C$5:$AU$493,3,))*$E134)</f>
        <v>2541.2615684089878</v>
      </c>
      <c r="H134" s="67">
        <f>IF(VLOOKUP($D134,$C$5:$AU$493,3,)=0,0,(VLOOKUP($D134,$C$5:$AU$493,6,)/VLOOKUP($D134,$C$5:$AU$493,3,))*$E134)</f>
        <v>104526.06352655546</v>
      </c>
      <c r="I134" s="67">
        <f>IF(VLOOKUP($D134,$C$5:$AU$493,3,)=0,0,(VLOOKUP($D134,$C$5:$AU$493,7,)/VLOOKUP($D134,$C$5:$AU$493,3,))*$E134)</f>
        <v>210142.96693196316</v>
      </c>
      <c r="J134" s="67">
        <f>IF(VLOOKUP($D134,$C$5:$AU$493,3,)=0,0,(VLOOKUP($D134,$C$5:$AU$493,8,)/VLOOKUP($D134,$C$5:$AU$493,3,))*$E134)</f>
        <v>303852.81686849269</v>
      </c>
      <c r="K134" s="67">
        <f>IF(VLOOKUP($D134,$C$5:$AU$493,3,)=0,0,(VLOOKUP($D134,$C$5:$AU$493,9,)/VLOOKUP($D134,$C$5:$AU$493,3,))*$E134)</f>
        <v>437017.85917342035</v>
      </c>
      <c r="L134" s="67">
        <f>IF(VLOOKUP($D134,$C$5:$AU$493,3,)=0,0,(VLOOKUP($D134,$C$5:$AU$493,10,)/VLOOKUP($D134,$C$5:$AU$493,3,))*$E134)</f>
        <v>114584.90408567854</v>
      </c>
      <c r="M134" s="67">
        <f>IF(VLOOKUP($D134,$C$5:$AU$493,3,)=0,0,(VLOOKUP($D134,$C$5:$AU$493,11,)/VLOOKUP($D134,$C$5:$AU$493,3,))*$E134)</f>
        <v>6480.14805828101</v>
      </c>
      <c r="N134" s="67">
        <f>IF(VLOOKUP($D134,$C$5:$AU$493,3,)=0,0,(VLOOKUP($D134,$C$5:$AU$493,12,)/VLOOKUP($D134,$C$5:$AU$493,3,))*$E134)</f>
        <v>0</v>
      </c>
      <c r="O134" s="67">
        <f>IF(VLOOKUP($D134,$C$5:$AU$493,3,)=0,0,(VLOOKUP($D134,$C$5:$AU$493,13,)/VLOOKUP($D134,$C$5:$AU$493,3,))*$E134)</f>
        <v>0</v>
      </c>
      <c r="P134" s="67">
        <f>IF(VLOOKUP($D134,$C$5:$AU$493,3,)=0,0,(VLOOKUP($D134,$C$5:$AU$493,14,)/VLOOKUP($D134,$C$5:$AU$493,3,))*$E134)</f>
        <v>0</v>
      </c>
      <c r="Q134" s="67">
        <f>IF(VLOOKUP($D134,$C$5:$AU$493,3,)=0,0,(VLOOKUP($D134,$C$5:$AU$493,15,)/VLOOKUP($D134,$C$5:$AU$493,3,))*$E134)</f>
        <v>0</v>
      </c>
      <c r="R134" s="67">
        <f>IF(VLOOKUP($D134,$C$5:$AU$493,3,)=0,0,(VLOOKUP($D134,$C$5:$AU$493,16,)/VLOOKUP($D134,$C$5:$AU$493,3,))*$E134)</f>
        <v>0</v>
      </c>
      <c r="S134" s="67">
        <f>IF(VLOOKUP($D134,$C$5:$AU$493,3,)=0,0,(VLOOKUP($D134,$C$5:$AU$493,17,)/VLOOKUP($D134,$C$5:$AU$493,3,))*$E134)</f>
        <v>0</v>
      </c>
      <c r="T134" s="67">
        <f>IF(VLOOKUP($D134,$C$5:$AU$493,3,)=0,0,(VLOOKUP($D134,$C$5:$AU$493,18,)/VLOOKUP($D134,$C$5:$AU$493,3,))*$E134)</f>
        <v>0</v>
      </c>
      <c r="U134" s="67">
        <f>IF(VLOOKUP($D134,$C$5:$AU$493,3,)=0,0,(VLOOKUP($D134,$C$5:$AU$493,19,)/VLOOKUP($D134,$C$5:$AU$493,3,))*$E134)</f>
        <v>0</v>
      </c>
      <c r="V134" s="67">
        <f>IF(VLOOKUP($D134,$C$5:$AU$493,3,)=0,0,(VLOOKUP($D134,$C$5:$AU$493,20,)/VLOOKUP($D134,$C$5:$AU$493,3,))*$E134)</f>
        <v>0</v>
      </c>
      <c r="W134" s="67">
        <f>IF(VLOOKUP($D134,$C$5:$AU$493,3,)=0,0,(VLOOKUP($D134,$C$5:$AU$493,21,)/VLOOKUP($D134,$C$5:$AU$493,3,))*$E134)</f>
        <v>0</v>
      </c>
      <c r="X134" s="67">
        <f>IF(VLOOKUP($D134,$C$5:$AU$493,3,)=0,0,(VLOOKUP($D134,$C$5:$AU$493,22,)/VLOOKUP($D134,$C$5:$AU$493,3,))*$E134)</f>
        <v>0</v>
      </c>
      <c r="Y134" s="67">
        <f>IF(VLOOKUP($D134,$C$5:$AU$493,3,)=0,0,(VLOOKUP($D134,$C$5:$AU$493,23,)/VLOOKUP($D134,$C$5:$AU$493,3,))*$E134)</f>
        <v>0</v>
      </c>
      <c r="Z134" s="67">
        <f>IF(VLOOKUP($D134,$C$5:$AU$493,3,)=0,0,(VLOOKUP($D134,$C$5:$AU$493,24,)/VLOOKUP($D134,$C$5:$AU$493,3,))*$E134)</f>
        <v>0</v>
      </c>
      <c r="AA134" s="67">
        <f>IF(VLOOKUP($D134,$C$5:$AU$493,3,)=0,0,(VLOOKUP($D134,$C$5:$AU$493,25,)/VLOOKUP($D134,$C$5:$AU$493,3,))*$E134)</f>
        <v>0</v>
      </c>
      <c r="AB134" s="67">
        <f>IF(VLOOKUP($D134,$C$5:$AU$493,3,)=0,0,(VLOOKUP($D134,$C$5:$AU$493,26,)/VLOOKUP($D134,$C$5:$AU$493,3,))*$E134)</f>
        <v>0</v>
      </c>
      <c r="AC134" s="67">
        <f>IF(VLOOKUP($D134,$C$5:$AU$493,3,)=0,0,(VLOOKUP($D134,$C$5:$AU$493,27,)/VLOOKUP($D134,$C$5:$AU$493,3,))*$E134)</f>
        <v>0</v>
      </c>
      <c r="AD134" s="67">
        <f>IF(VLOOKUP($D134,$C$5:$AU$493,3,)=0,0,(VLOOKUP($D134,$C$5:$AU$493,28,)/VLOOKUP($D134,$C$5:$AU$493,3,))*$E134)</f>
        <v>0</v>
      </c>
      <c r="AE134" s="67">
        <f>IF(VLOOKUP($D134,$C$5:$AU$493,3,)=0,0,(VLOOKUP($D134,$C$5:$AU$493,29,)/VLOOKUP($D134,$C$5:$AU$493,3,))*$E134)</f>
        <v>0</v>
      </c>
      <c r="AF134" s="67">
        <f>IF(VLOOKUP($D134,$C$5:$AU$493,3,)=0,0,(VLOOKUP($D134,$C$5:$AU$493,30,)/VLOOKUP($D134,$C$5:$AU$493,3,))*$E134)</f>
        <v>0</v>
      </c>
      <c r="AG134" s="90">
        <f>SUM(F134:AF134)</f>
        <v>4064739.1574850534</v>
      </c>
      <c r="AH134" s="28" t="str">
        <f>IF(ABS(E134-AG134)&lt;0.01,"ok","err")</f>
        <v>ok</v>
      </c>
      <c r="AI134" s="68">
        <f t="shared" si="25"/>
        <v>1.5942346623517227E-3</v>
      </c>
    </row>
    <row r="135" spans="1:35" x14ac:dyDescent="0.25">
      <c r="A135" s="93" t="s">
        <v>219</v>
      </c>
      <c r="C135" s="14" t="s">
        <v>265</v>
      </c>
      <c r="D135" s="14" t="s">
        <v>221</v>
      </c>
      <c r="E135" s="50">
        <f>'Func &amp; Classif'!P285</f>
        <v>1105381.6356017161</v>
      </c>
      <c r="F135" s="67">
        <f>IF(VLOOKUP($D135,$C$5:$AU$493,3,)=0,0,(VLOOKUP($D135,$C$5:$AU$493,4,)/VLOOKUP($D135,$C$5:$AU$493,3,))*$E135)</f>
        <v>811499.07484916772</v>
      </c>
      <c r="G135" s="67">
        <f>IF(VLOOKUP($D135,$C$5:$AU$493,3,)=0,0,(VLOOKUP($D135,$C$5:$AU$493,5,)/VLOOKUP($D135,$C$5:$AU$493,3,))*$E135)</f>
        <v>1095.1756416459962</v>
      </c>
      <c r="H135" s="67">
        <f>IF(VLOOKUP($D135,$C$5:$AU$493,3,)=0,0,(VLOOKUP($D135,$C$5:$AU$493,6,)/VLOOKUP($D135,$C$5:$AU$493,3,))*$E135)</f>
        <v>50842.225382889599</v>
      </c>
      <c r="I135" s="67">
        <f>IF(VLOOKUP($D135,$C$5:$AU$493,3,)=0,0,(VLOOKUP($D135,$C$5:$AU$493,7,)/VLOOKUP($D135,$C$5:$AU$493,3,))*$E135)</f>
        <v>235045.55318564308</v>
      </c>
      <c r="J135" s="67">
        <f>IF(VLOOKUP($D135,$C$5:$AU$493,3,)=0,0,(VLOOKUP($D135,$C$5:$AU$493,8,)/VLOOKUP($D135,$C$5:$AU$493,3,))*$E135)</f>
        <v>3833.1147457609868</v>
      </c>
      <c r="K135" s="67">
        <f>IF(VLOOKUP($D135,$C$5:$AU$493,3,)=0,0,(VLOOKUP($D135,$C$5:$AU$493,9,)/VLOOKUP($D135,$C$5:$AU$493,3,))*$E135)</f>
        <v>876.14051331679684</v>
      </c>
      <c r="L135" s="67">
        <f>IF(VLOOKUP($D135,$C$5:$AU$493,3,)=0,0,(VLOOKUP($D135,$C$5:$AU$493,10,)/VLOOKUP($D135,$C$5:$AU$493,3,))*$E135)</f>
        <v>62.581465236914063</v>
      </c>
      <c r="M135" s="67">
        <f>IF(VLOOKUP($D135,$C$5:$AU$493,3,)=0,0,(VLOOKUP($D135,$C$5:$AU$493,11,)/VLOOKUP($D135,$C$5:$AU$493,3,))*$E135)</f>
        <v>2127.7698180550783</v>
      </c>
      <c r="N135" s="67">
        <f>IF(VLOOKUP($D135,$C$5:$AU$493,3,)=0,0,(VLOOKUP($D135,$C$5:$AU$493,12,)/VLOOKUP($D135,$C$5:$AU$493,3,))*$E135)</f>
        <v>0</v>
      </c>
      <c r="O135" s="67">
        <f>IF(VLOOKUP($D135,$C$5:$AU$493,3,)=0,0,(VLOOKUP($D135,$C$5:$AU$493,13,)/VLOOKUP($D135,$C$5:$AU$493,3,))*$E135)</f>
        <v>0</v>
      </c>
      <c r="P135" s="67">
        <f>IF(VLOOKUP($D135,$C$5:$AU$493,3,)=0,0,(VLOOKUP($D135,$C$5:$AU$493,14,)/VLOOKUP($D135,$C$5:$AU$493,3,))*$E135)</f>
        <v>0</v>
      </c>
      <c r="Q135" s="67">
        <f>IF(VLOOKUP($D135,$C$5:$AU$493,3,)=0,0,(VLOOKUP($D135,$C$5:$AU$493,15,)/VLOOKUP($D135,$C$5:$AU$493,3,))*$E135)</f>
        <v>0</v>
      </c>
      <c r="R135" s="67">
        <f>IF(VLOOKUP($D135,$C$5:$AU$493,3,)=0,0,(VLOOKUP($D135,$C$5:$AU$493,16,)/VLOOKUP($D135,$C$5:$AU$493,3,))*$E135)</f>
        <v>0</v>
      </c>
      <c r="S135" s="67">
        <f>IF(VLOOKUP($D135,$C$5:$AU$493,3,)=0,0,(VLOOKUP($D135,$C$5:$AU$493,17,)/VLOOKUP($D135,$C$5:$AU$493,3,))*$E135)</f>
        <v>0</v>
      </c>
      <c r="T135" s="67">
        <f>IF(VLOOKUP($D135,$C$5:$AU$493,3,)=0,0,(VLOOKUP($D135,$C$5:$AU$493,18,)/VLOOKUP($D135,$C$5:$AU$493,3,))*$E135)</f>
        <v>0</v>
      </c>
      <c r="U135" s="67">
        <f>IF(VLOOKUP($D135,$C$5:$AU$493,3,)=0,0,(VLOOKUP($D135,$C$5:$AU$493,19,)/VLOOKUP($D135,$C$5:$AU$493,3,))*$E135)</f>
        <v>0</v>
      </c>
      <c r="V135" s="67">
        <f>IF(VLOOKUP($D135,$C$5:$AU$493,3,)=0,0,(VLOOKUP($D135,$C$5:$AU$493,20,)/VLOOKUP($D135,$C$5:$AU$493,3,))*$E135)</f>
        <v>0</v>
      </c>
      <c r="W135" s="67">
        <f>IF(VLOOKUP($D135,$C$5:$AU$493,3,)=0,0,(VLOOKUP($D135,$C$5:$AU$493,21,)/VLOOKUP($D135,$C$5:$AU$493,3,))*$E135)</f>
        <v>0</v>
      </c>
      <c r="X135" s="67">
        <f>IF(VLOOKUP($D135,$C$5:$AU$493,3,)=0,0,(VLOOKUP($D135,$C$5:$AU$493,22,)/VLOOKUP($D135,$C$5:$AU$493,3,))*$E135)</f>
        <v>0</v>
      </c>
      <c r="Y135" s="67">
        <f>IF(VLOOKUP($D135,$C$5:$AU$493,3,)=0,0,(VLOOKUP($D135,$C$5:$AU$493,23,)/VLOOKUP($D135,$C$5:$AU$493,3,))*$E135)</f>
        <v>0</v>
      </c>
      <c r="Z135" s="67">
        <f>IF(VLOOKUP($D135,$C$5:$AU$493,3,)=0,0,(VLOOKUP($D135,$C$5:$AU$493,24,)/VLOOKUP($D135,$C$5:$AU$493,3,))*$E135)</f>
        <v>0</v>
      </c>
      <c r="AA135" s="67">
        <f>IF(VLOOKUP($D135,$C$5:$AU$493,3,)=0,0,(VLOOKUP($D135,$C$5:$AU$493,25,)/VLOOKUP($D135,$C$5:$AU$493,3,))*$E135)</f>
        <v>0</v>
      </c>
      <c r="AB135" s="67">
        <f>IF(VLOOKUP($D135,$C$5:$AU$493,3,)=0,0,(VLOOKUP($D135,$C$5:$AU$493,26,)/VLOOKUP($D135,$C$5:$AU$493,3,))*$E135)</f>
        <v>0</v>
      </c>
      <c r="AC135" s="67">
        <f>IF(VLOOKUP($D135,$C$5:$AU$493,3,)=0,0,(VLOOKUP($D135,$C$5:$AU$493,27,)/VLOOKUP($D135,$C$5:$AU$493,3,))*$E135)</f>
        <v>0</v>
      </c>
      <c r="AD135" s="67">
        <f>IF(VLOOKUP($D135,$C$5:$AU$493,3,)=0,0,(VLOOKUP($D135,$C$5:$AU$493,28,)/VLOOKUP($D135,$C$5:$AU$493,3,))*$E135)</f>
        <v>0</v>
      </c>
      <c r="AE135" s="67">
        <f>IF(VLOOKUP($D135,$C$5:$AU$493,3,)=0,0,(VLOOKUP($D135,$C$5:$AU$493,29,)/VLOOKUP($D135,$C$5:$AU$493,3,))*$E135)</f>
        <v>0</v>
      </c>
      <c r="AF135" s="67">
        <f>IF(VLOOKUP($D135,$C$5:$AU$493,3,)=0,0,(VLOOKUP($D135,$C$5:$AU$493,30,)/VLOOKUP($D135,$C$5:$AU$493,3,))*$E135)</f>
        <v>0</v>
      </c>
      <c r="AG135" s="90">
        <f>SUM(F135:AF135)</f>
        <v>1105381.6356017161</v>
      </c>
      <c r="AH135" s="28" t="str">
        <f>IF(ABS(E135-AG135)&lt;0.01,"ok","err")</f>
        <v>ok</v>
      </c>
      <c r="AI135" s="68">
        <f t="shared" si="25"/>
        <v>1.924918733516704E-3</v>
      </c>
    </row>
    <row r="136" spans="1:35" x14ac:dyDescent="0.25">
      <c r="A136" s="14" t="s">
        <v>222</v>
      </c>
      <c r="E136" s="67">
        <f t="shared" ref="E136:T136" si="28">E134+E135</f>
        <v>5170120.7930867681</v>
      </c>
      <c r="F136" s="67">
        <f t="shared" si="28"/>
        <v>3697092.212121421</v>
      </c>
      <c r="G136" s="67">
        <f t="shared" si="28"/>
        <v>3636.437210054984</v>
      </c>
      <c r="H136" s="67">
        <f t="shared" si="28"/>
        <v>155368.28890944505</v>
      </c>
      <c r="I136" s="67">
        <f t="shared" si="28"/>
        <v>445188.52011760627</v>
      </c>
      <c r="J136" s="67">
        <f t="shared" si="28"/>
        <v>307685.93161425367</v>
      </c>
      <c r="K136" s="67">
        <f t="shared" si="28"/>
        <v>437893.99968673714</v>
      </c>
      <c r="L136" s="67">
        <f t="shared" si="28"/>
        <v>114647.48555091546</v>
      </c>
      <c r="M136" s="67">
        <f t="shared" si="28"/>
        <v>8607.9178763360887</v>
      </c>
      <c r="N136" s="67">
        <f t="shared" si="28"/>
        <v>0</v>
      </c>
      <c r="O136" s="67">
        <f t="shared" si="28"/>
        <v>0</v>
      </c>
      <c r="P136" s="67">
        <f t="shared" si="28"/>
        <v>0</v>
      </c>
      <c r="Q136" s="67">
        <f t="shared" si="28"/>
        <v>0</v>
      </c>
      <c r="R136" s="67">
        <f t="shared" si="28"/>
        <v>0</v>
      </c>
      <c r="S136" s="67">
        <f t="shared" si="28"/>
        <v>0</v>
      </c>
      <c r="T136" s="67">
        <f t="shared" si="28"/>
        <v>0</v>
      </c>
      <c r="U136" s="67">
        <f t="shared" ref="U136:AF136" si="29">U134+U135</f>
        <v>0</v>
      </c>
      <c r="V136" s="67">
        <f t="shared" si="29"/>
        <v>0</v>
      </c>
      <c r="W136" s="67">
        <f t="shared" si="29"/>
        <v>0</v>
      </c>
      <c r="X136" s="67">
        <f t="shared" si="29"/>
        <v>0</v>
      </c>
      <c r="Y136" s="67">
        <f t="shared" si="29"/>
        <v>0</v>
      </c>
      <c r="Z136" s="67">
        <f t="shared" si="29"/>
        <v>0</v>
      </c>
      <c r="AA136" s="67">
        <f t="shared" si="29"/>
        <v>0</v>
      </c>
      <c r="AB136" s="67">
        <f t="shared" si="29"/>
        <v>0</v>
      </c>
      <c r="AC136" s="67">
        <f t="shared" si="29"/>
        <v>0</v>
      </c>
      <c r="AD136" s="67">
        <f t="shared" si="29"/>
        <v>0</v>
      </c>
      <c r="AE136" s="67">
        <f t="shared" si="29"/>
        <v>0</v>
      </c>
      <c r="AF136" s="67">
        <f t="shared" si="29"/>
        <v>0</v>
      </c>
      <c r="AG136" s="90">
        <f>SUM(F136:AF136)</f>
        <v>5170120.79308677</v>
      </c>
      <c r="AH136" s="28" t="str">
        <f>IF(ABS(E136-AG136)&lt;0.01,"ok","err")</f>
        <v>ok</v>
      </c>
      <c r="AI136" s="68">
        <f t="shared" si="25"/>
        <v>1.664935544222907E-3</v>
      </c>
    </row>
    <row r="137" spans="1:35" x14ac:dyDescent="0.25">
      <c r="E137" s="50"/>
      <c r="AI137" s="68"/>
    </row>
    <row r="138" spans="1:35" x14ac:dyDescent="0.25">
      <c r="A138" s="13" t="s">
        <v>3</v>
      </c>
      <c r="E138" s="50"/>
      <c r="AI138" s="68"/>
    </row>
    <row r="139" spans="1:35" x14ac:dyDescent="0.25">
      <c r="A139" s="93" t="s">
        <v>207</v>
      </c>
      <c r="C139" s="14" t="s">
        <v>266</v>
      </c>
      <c r="D139" s="14" t="s">
        <v>700</v>
      </c>
      <c r="E139" s="67">
        <f>'Func &amp; Classif'!R285</f>
        <v>0</v>
      </c>
      <c r="F139" s="67">
        <f>IF(VLOOKUP($D139,$C$5:$AU$493,3,)=0,0,(VLOOKUP($D139,$C$5:$AU$493,4,)/VLOOKUP($D139,$C$5:$AU$493,3,))*$E139)</f>
        <v>0</v>
      </c>
      <c r="G139" s="67">
        <f>IF(VLOOKUP($D139,$C$5:$AU$493,3,)=0,0,(VLOOKUP($D139,$C$5:$AU$493,5,)/VLOOKUP($D139,$C$5:$AU$493,3,))*$E139)</f>
        <v>0</v>
      </c>
      <c r="H139" s="67">
        <f>IF(VLOOKUP($D139,$C$5:$AU$493,3,)=0,0,(VLOOKUP($D139,$C$5:$AU$493,6,)/VLOOKUP($D139,$C$5:$AU$493,3,))*$E139)</f>
        <v>0</v>
      </c>
      <c r="I139" s="67">
        <f>IF(VLOOKUP($D139,$C$5:$AU$493,3,)=0,0,(VLOOKUP($D139,$C$5:$AU$493,7,)/VLOOKUP($D139,$C$5:$AU$493,3,))*$E139)</f>
        <v>0</v>
      </c>
      <c r="J139" s="67">
        <f>IF(VLOOKUP($D139,$C$5:$AU$493,3,)=0,0,(VLOOKUP($D139,$C$5:$AU$493,8,)/VLOOKUP($D139,$C$5:$AU$493,3,))*$E139)</f>
        <v>0</v>
      </c>
      <c r="K139" s="67">
        <f>IF(VLOOKUP($D139,$C$5:$AU$493,3,)=0,0,(VLOOKUP($D139,$C$5:$AU$493,9,)/VLOOKUP($D139,$C$5:$AU$493,3,))*$E139)</f>
        <v>0</v>
      </c>
      <c r="L139" s="67">
        <f>IF(VLOOKUP($D139,$C$5:$AU$493,3,)=0,0,(VLOOKUP($D139,$C$5:$AU$493,10,)/VLOOKUP($D139,$C$5:$AU$493,3,))*$E139)</f>
        <v>0</v>
      </c>
      <c r="M139" s="67">
        <f>IF(VLOOKUP($D139,$C$5:$AU$493,3,)=0,0,(VLOOKUP($D139,$C$5:$AU$493,11,)/VLOOKUP($D139,$C$5:$AU$493,3,))*$E139)</f>
        <v>0</v>
      </c>
      <c r="N139" s="67">
        <f>IF(VLOOKUP($D139,$C$5:$AU$493,3,)=0,0,(VLOOKUP($D139,$C$5:$AU$493,12,)/VLOOKUP($D139,$C$5:$AU$493,3,))*$E139)</f>
        <v>0</v>
      </c>
      <c r="O139" s="67">
        <f>IF(VLOOKUP($D139,$C$5:$AU$493,3,)=0,0,(VLOOKUP($D139,$C$5:$AU$493,13,)/VLOOKUP($D139,$C$5:$AU$493,3,))*$E139)</f>
        <v>0</v>
      </c>
      <c r="P139" s="67">
        <f>IF(VLOOKUP($D139,$C$5:$AU$493,3,)=0,0,(VLOOKUP($D139,$C$5:$AU$493,14,)/VLOOKUP($D139,$C$5:$AU$493,3,))*$E139)</f>
        <v>0</v>
      </c>
      <c r="Q139" s="67">
        <f>IF(VLOOKUP($D139,$C$5:$AU$493,3,)=0,0,(VLOOKUP($D139,$C$5:$AU$493,15,)/VLOOKUP($D139,$C$5:$AU$493,3,))*$E139)</f>
        <v>0</v>
      </c>
      <c r="R139" s="67">
        <f>IF(VLOOKUP($D139,$C$5:$AU$493,3,)=0,0,(VLOOKUP($D139,$C$5:$AU$493,16,)/VLOOKUP($D139,$C$5:$AU$493,3,))*$E139)</f>
        <v>0</v>
      </c>
      <c r="S139" s="67">
        <f>IF(VLOOKUP($D139,$C$5:$AU$493,3,)=0,0,(VLOOKUP($D139,$C$5:$AU$493,17,)/VLOOKUP($D139,$C$5:$AU$493,3,))*$E139)</f>
        <v>0</v>
      </c>
      <c r="T139" s="67">
        <f>IF(VLOOKUP($D139,$C$5:$AU$493,3,)=0,0,(VLOOKUP($D139,$C$5:$AU$493,18,)/VLOOKUP($D139,$C$5:$AU$493,3,))*$E139)</f>
        <v>0</v>
      </c>
      <c r="U139" s="67">
        <f>IF(VLOOKUP($D139,$C$5:$AU$493,3,)=0,0,(VLOOKUP($D139,$C$5:$AU$493,19,)/VLOOKUP($D139,$C$5:$AU$493,3,))*$E139)</f>
        <v>0</v>
      </c>
      <c r="V139" s="67">
        <f>IF(VLOOKUP($D139,$C$5:$AU$493,3,)=0,0,(VLOOKUP($D139,$C$5:$AU$493,20,)/VLOOKUP($D139,$C$5:$AU$493,3,))*$E139)</f>
        <v>0</v>
      </c>
      <c r="W139" s="67">
        <f>IF(VLOOKUP($D139,$C$5:$AU$493,3,)=0,0,(VLOOKUP($D139,$C$5:$AU$493,21,)/VLOOKUP($D139,$C$5:$AU$493,3,))*$E139)</f>
        <v>0</v>
      </c>
      <c r="X139" s="67">
        <f>IF(VLOOKUP($D139,$C$5:$AU$493,3,)=0,0,(VLOOKUP($D139,$C$5:$AU$493,22,)/VLOOKUP($D139,$C$5:$AU$493,3,))*$E139)</f>
        <v>0</v>
      </c>
      <c r="Y139" s="67">
        <f>IF(VLOOKUP($D139,$C$5:$AU$493,3,)=0,0,(VLOOKUP($D139,$C$5:$AU$493,23,)/VLOOKUP($D139,$C$5:$AU$493,3,))*$E139)</f>
        <v>0</v>
      </c>
      <c r="Z139" s="67">
        <f>IF(VLOOKUP($D139,$C$5:$AU$493,3,)=0,0,(VLOOKUP($D139,$C$5:$AU$493,24,)/VLOOKUP($D139,$C$5:$AU$493,3,))*$E139)</f>
        <v>0</v>
      </c>
      <c r="AA139" s="67">
        <f>IF(VLOOKUP($D139,$C$5:$AU$493,3,)=0,0,(VLOOKUP($D139,$C$5:$AU$493,25,)/VLOOKUP($D139,$C$5:$AU$493,3,))*$E139)</f>
        <v>0</v>
      </c>
      <c r="AB139" s="67">
        <f>IF(VLOOKUP($D139,$C$5:$AU$493,3,)=0,0,(VLOOKUP($D139,$C$5:$AU$493,26,)/VLOOKUP($D139,$C$5:$AU$493,3,))*$E139)</f>
        <v>0</v>
      </c>
      <c r="AC139" s="67">
        <f>IF(VLOOKUP($D139,$C$5:$AU$493,3,)=0,0,(VLOOKUP($D139,$C$5:$AU$493,27,)/VLOOKUP($D139,$C$5:$AU$493,3,))*$E139)</f>
        <v>0</v>
      </c>
      <c r="AD139" s="67">
        <f>IF(VLOOKUP($D139,$C$5:$AU$493,3,)=0,0,(VLOOKUP($D139,$C$5:$AU$493,28,)/VLOOKUP($D139,$C$5:$AU$493,3,))*$E139)</f>
        <v>0</v>
      </c>
      <c r="AE139" s="67">
        <f>IF(VLOOKUP($D139,$C$5:$AU$493,3,)=0,0,(VLOOKUP($D139,$C$5:$AU$493,29,)/VLOOKUP($D139,$C$5:$AU$493,3,))*$E139)</f>
        <v>0</v>
      </c>
      <c r="AF139" s="67">
        <f>IF(VLOOKUP($D139,$C$5:$AU$493,3,)=0,0,(VLOOKUP($D139,$C$5:$AU$493,30,)/VLOOKUP($D139,$C$5:$AU$493,3,))*$E139)</f>
        <v>0</v>
      </c>
      <c r="AG139" s="90">
        <f>SUM(F139:AF139)</f>
        <v>0</v>
      </c>
      <c r="AH139" s="28" t="str">
        <f>IF(ABS(E139-AG139)&lt;0.01,"ok","err")</f>
        <v>ok</v>
      </c>
      <c r="AI139" s="68"/>
    </row>
    <row r="140" spans="1:35" x14ac:dyDescent="0.25">
      <c r="A140" s="93" t="s">
        <v>219</v>
      </c>
      <c r="C140" s="14" t="s">
        <v>267</v>
      </c>
      <c r="D140" s="14" t="s">
        <v>700</v>
      </c>
      <c r="E140" s="50">
        <f>'Func &amp; Classif'!S285</f>
        <v>365761.80295818183</v>
      </c>
      <c r="F140" s="67">
        <f>IF(VLOOKUP($D140,$C$5:$AU$493,3,)=0,0,(VLOOKUP($D140,$C$5:$AU$493,4,)/VLOOKUP($D140,$C$5:$AU$493,3,))*$E140)</f>
        <v>258947.03653077642</v>
      </c>
      <c r="G140" s="67">
        <f>IF(VLOOKUP($D140,$C$5:$AU$493,3,)=0,0,(VLOOKUP($D140,$C$5:$AU$493,5,)/VLOOKUP($D140,$C$5:$AU$493,3,))*$E140)</f>
        <v>349.46741860134983</v>
      </c>
      <c r="H140" s="67">
        <f>IF(VLOOKUP($D140,$C$5:$AU$493,3,)=0,0,(VLOOKUP($D140,$C$5:$AU$493,6,)/VLOOKUP($D140,$C$5:$AU$493,3,))*$E140)</f>
        <v>16223.608875926473</v>
      </c>
      <c r="I140" s="67">
        <f>IF(VLOOKUP($D140,$C$5:$AU$493,3,)=0,0,(VLOOKUP($D140,$C$5:$AU$493,7,)/VLOOKUP($D140,$C$5:$AU$493,3,))*$E140)</f>
        <v>81521.227216536718</v>
      </c>
      <c r="J140" s="67">
        <f>IF(VLOOKUP($D140,$C$5:$AU$493,3,)=0,0,(VLOOKUP($D140,$C$5:$AU$493,8,)/VLOOKUP($D140,$C$5:$AU$493,3,))*$E140)</f>
        <v>8720.4629163408754</v>
      </c>
      <c r="K140" s="67">
        <f>IF(VLOOKUP($D140,$C$5:$AU$493,3,)=0,0,(VLOOKUP($D140,$C$5:$AU$493,9,)/VLOOKUP($D140,$C$5:$AU$493,3,))*$E140)</f>
        <v>0</v>
      </c>
      <c r="L140" s="67">
        <f>IF(VLOOKUP($D140,$C$5:$AU$493,3,)=0,0,(VLOOKUP($D140,$C$5:$AU$493,10,)/VLOOKUP($D140,$C$5:$AU$493,3,))*$E140)</f>
        <v>0</v>
      </c>
      <c r="M140" s="67">
        <f>IF(VLOOKUP($D140,$C$5:$AU$493,3,)=0,0,(VLOOKUP($D140,$C$5:$AU$493,11,)/VLOOKUP($D140,$C$5:$AU$493,3,))*$E140)</f>
        <v>0</v>
      </c>
      <c r="N140" s="67">
        <f>IF(VLOOKUP($D140,$C$5:$AU$493,3,)=0,0,(VLOOKUP($D140,$C$5:$AU$493,12,)/VLOOKUP($D140,$C$5:$AU$493,3,))*$E140)</f>
        <v>0</v>
      </c>
      <c r="O140" s="67">
        <f>IF(VLOOKUP($D140,$C$5:$AU$493,3,)=0,0,(VLOOKUP($D140,$C$5:$AU$493,13,)/VLOOKUP($D140,$C$5:$AU$493,3,))*$E140)</f>
        <v>0</v>
      </c>
      <c r="P140" s="67">
        <f>IF(VLOOKUP($D140,$C$5:$AU$493,3,)=0,0,(VLOOKUP($D140,$C$5:$AU$493,14,)/VLOOKUP($D140,$C$5:$AU$493,3,))*$E140)</f>
        <v>0</v>
      </c>
      <c r="Q140" s="67">
        <f>IF(VLOOKUP($D140,$C$5:$AU$493,3,)=0,0,(VLOOKUP($D140,$C$5:$AU$493,15,)/VLOOKUP($D140,$C$5:$AU$493,3,))*$E140)</f>
        <v>0</v>
      </c>
      <c r="R140" s="67">
        <f>IF(VLOOKUP($D140,$C$5:$AU$493,3,)=0,0,(VLOOKUP($D140,$C$5:$AU$493,16,)/VLOOKUP($D140,$C$5:$AU$493,3,))*$E140)</f>
        <v>0</v>
      </c>
      <c r="S140" s="67">
        <f>IF(VLOOKUP($D140,$C$5:$AU$493,3,)=0,0,(VLOOKUP($D140,$C$5:$AU$493,17,)/VLOOKUP($D140,$C$5:$AU$493,3,))*$E140)</f>
        <v>0</v>
      </c>
      <c r="T140" s="67">
        <f>IF(VLOOKUP($D140,$C$5:$AU$493,3,)=0,0,(VLOOKUP($D140,$C$5:$AU$493,18,)/VLOOKUP($D140,$C$5:$AU$493,3,))*$E140)</f>
        <v>0</v>
      </c>
      <c r="U140" s="67">
        <f>IF(VLOOKUP($D140,$C$5:$AU$493,3,)=0,0,(VLOOKUP($D140,$C$5:$AU$493,19,)/VLOOKUP($D140,$C$5:$AU$493,3,))*$E140)</f>
        <v>0</v>
      </c>
      <c r="V140" s="67">
        <f>IF(VLOOKUP($D140,$C$5:$AU$493,3,)=0,0,(VLOOKUP($D140,$C$5:$AU$493,20,)/VLOOKUP($D140,$C$5:$AU$493,3,))*$E140)</f>
        <v>0</v>
      </c>
      <c r="W140" s="67">
        <f>IF(VLOOKUP($D140,$C$5:$AU$493,3,)=0,0,(VLOOKUP($D140,$C$5:$AU$493,21,)/VLOOKUP($D140,$C$5:$AU$493,3,))*$E140)</f>
        <v>0</v>
      </c>
      <c r="X140" s="67">
        <f>IF(VLOOKUP($D140,$C$5:$AU$493,3,)=0,0,(VLOOKUP($D140,$C$5:$AU$493,22,)/VLOOKUP($D140,$C$5:$AU$493,3,))*$E140)</f>
        <v>0</v>
      </c>
      <c r="Y140" s="67">
        <f>IF(VLOOKUP($D140,$C$5:$AU$493,3,)=0,0,(VLOOKUP($D140,$C$5:$AU$493,23,)/VLOOKUP($D140,$C$5:$AU$493,3,))*$E140)</f>
        <v>0</v>
      </c>
      <c r="Z140" s="67">
        <f>IF(VLOOKUP($D140,$C$5:$AU$493,3,)=0,0,(VLOOKUP($D140,$C$5:$AU$493,24,)/VLOOKUP($D140,$C$5:$AU$493,3,))*$E140)</f>
        <v>0</v>
      </c>
      <c r="AA140" s="67">
        <f>IF(VLOOKUP($D140,$C$5:$AU$493,3,)=0,0,(VLOOKUP($D140,$C$5:$AU$493,25,)/VLOOKUP($D140,$C$5:$AU$493,3,))*$E140)</f>
        <v>0</v>
      </c>
      <c r="AB140" s="67">
        <f>IF(VLOOKUP($D140,$C$5:$AU$493,3,)=0,0,(VLOOKUP($D140,$C$5:$AU$493,26,)/VLOOKUP($D140,$C$5:$AU$493,3,))*$E140)</f>
        <v>0</v>
      </c>
      <c r="AC140" s="67">
        <f>IF(VLOOKUP($D140,$C$5:$AU$493,3,)=0,0,(VLOOKUP($D140,$C$5:$AU$493,27,)/VLOOKUP($D140,$C$5:$AU$493,3,))*$E140)</f>
        <v>0</v>
      </c>
      <c r="AD140" s="67">
        <f>IF(VLOOKUP($D140,$C$5:$AU$493,3,)=0,0,(VLOOKUP($D140,$C$5:$AU$493,28,)/VLOOKUP($D140,$C$5:$AU$493,3,))*$E140)</f>
        <v>0</v>
      </c>
      <c r="AE140" s="67">
        <f>IF(VLOOKUP($D140,$C$5:$AU$493,3,)=0,0,(VLOOKUP($D140,$C$5:$AU$493,29,)/VLOOKUP($D140,$C$5:$AU$493,3,))*$E140)</f>
        <v>0</v>
      </c>
      <c r="AF140" s="67">
        <f>IF(VLOOKUP($D140,$C$5:$AU$493,3,)=0,0,(VLOOKUP($D140,$C$5:$AU$493,30,)/VLOOKUP($D140,$C$5:$AU$493,3,))*$E140)</f>
        <v>0</v>
      </c>
      <c r="AG140" s="90">
        <f>SUM(F140:AF140)</f>
        <v>365761.80295818183</v>
      </c>
      <c r="AH140" s="28" t="str">
        <f>IF(ABS(E140-AG140)&lt;0.01,"ok","err")</f>
        <v>ok</v>
      </c>
      <c r="AI140" s="68">
        <f t="shared" si="25"/>
        <v>0</v>
      </c>
    </row>
    <row r="141" spans="1:35" x14ac:dyDescent="0.25">
      <c r="A141" s="14" t="s">
        <v>226</v>
      </c>
      <c r="E141" s="67">
        <f t="shared" ref="E141:T141" si="30">E139+E140</f>
        <v>365761.80295818183</v>
      </c>
      <c r="F141" s="67">
        <f t="shared" si="30"/>
        <v>258947.03653077642</v>
      </c>
      <c r="G141" s="67">
        <f t="shared" si="30"/>
        <v>349.46741860134983</v>
      </c>
      <c r="H141" s="67">
        <f t="shared" si="30"/>
        <v>16223.608875926473</v>
      </c>
      <c r="I141" s="67">
        <f t="shared" si="30"/>
        <v>81521.227216536718</v>
      </c>
      <c r="J141" s="67">
        <f t="shared" si="30"/>
        <v>8720.4629163408754</v>
      </c>
      <c r="K141" s="67">
        <f t="shared" si="30"/>
        <v>0</v>
      </c>
      <c r="L141" s="67">
        <f t="shared" si="30"/>
        <v>0</v>
      </c>
      <c r="M141" s="67">
        <f t="shared" si="30"/>
        <v>0</v>
      </c>
      <c r="N141" s="67">
        <f t="shared" si="30"/>
        <v>0</v>
      </c>
      <c r="O141" s="67">
        <f t="shared" si="30"/>
        <v>0</v>
      </c>
      <c r="P141" s="67">
        <f t="shared" si="30"/>
        <v>0</v>
      </c>
      <c r="Q141" s="67">
        <f t="shared" si="30"/>
        <v>0</v>
      </c>
      <c r="R141" s="67">
        <f t="shared" si="30"/>
        <v>0</v>
      </c>
      <c r="S141" s="67">
        <f t="shared" si="30"/>
        <v>0</v>
      </c>
      <c r="T141" s="67">
        <f t="shared" si="30"/>
        <v>0</v>
      </c>
      <c r="U141" s="67">
        <f t="shared" ref="U141:AF141" si="31">U139+U140</f>
        <v>0</v>
      </c>
      <c r="V141" s="67">
        <f t="shared" si="31"/>
        <v>0</v>
      </c>
      <c r="W141" s="67">
        <f t="shared" si="31"/>
        <v>0</v>
      </c>
      <c r="X141" s="67">
        <f t="shared" si="31"/>
        <v>0</v>
      </c>
      <c r="Y141" s="67">
        <f t="shared" si="31"/>
        <v>0</v>
      </c>
      <c r="Z141" s="67">
        <f t="shared" si="31"/>
        <v>0</v>
      </c>
      <c r="AA141" s="67">
        <f t="shared" si="31"/>
        <v>0</v>
      </c>
      <c r="AB141" s="67">
        <f t="shared" si="31"/>
        <v>0</v>
      </c>
      <c r="AC141" s="67">
        <f t="shared" si="31"/>
        <v>0</v>
      </c>
      <c r="AD141" s="67">
        <f t="shared" si="31"/>
        <v>0</v>
      </c>
      <c r="AE141" s="67">
        <f t="shared" si="31"/>
        <v>0</v>
      </c>
      <c r="AF141" s="67">
        <f t="shared" si="31"/>
        <v>0</v>
      </c>
      <c r="AG141" s="90">
        <f>SUM(F141:AF141)</f>
        <v>365761.80295818183</v>
      </c>
      <c r="AH141" s="28" t="str">
        <f>IF(ABS(E141-AG141)&lt;0.01,"ok","err")</f>
        <v>ok</v>
      </c>
      <c r="AI141" s="68">
        <f t="shared" si="25"/>
        <v>0</v>
      </c>
    </row>
    <row r="142" spans="1:35" x14ac:dyDescent="0.25">
      <c r="E142" s="50"/>
      <c r="AI142" s="68"/>
    </row>
    <row r="143" spans="1:35" x14ac:dyDescent="0.25">
      <c r="A143" s="13" t="s">
        <v>4</v>
      </c>
      <c r="E143" s="50"/>
      <c r="AI143" s="68"/>
    </row>
    <row r="144" spans="1:35" x14ac:dyDescent="0.25">
      <c r="A144" s="93" t="s">
        <v>219</v>
      </c>
      <c r="C144" s="14" t="s">
        <v>268</v>
      </c>
      <c r="D144" s="14" t="s">
        <v>228</v>
      </c>
      <c r="E144" s="67">
        <f>'Func &amp; Classif'!U285</f>
        <v>328089.28020139493</v>
      </c>
      <c r="F144" s="67">
        <f>IF(VLOOKUP($D144,$C$5:$AU$493,3,)=0,0,(VLOOKUP($D144,$C$5:$AU$493,4,)/VLOOKUP($D144,$C$5:$AU$493,3,))*$E144)</f>
        <v>239860.27505312755</v>
      </c>
      <c r="G144" s="67">
        <f>IF(VLOOKUP($D144,$C$5:$AU$493,3,)=0,0,(VLOOKUP($D144,$C$5:$AU$493,5,)/VLOOKUP($D144,$C$5:$AU$493,3,))*$E144)</f>
        <v>323.70847826970078</v>
      </c>
      <c r="H144" s="67">
        <f>IF(VLOOKUP($D144,$C$5:$AU$493,3,)=0,0,(VLOOKUP($D144,$C$5:$AU$493,6,)/VLOOKUP($D144,$C$5:$AU$493,3,))*$E144)</f>
        <v>15027.780736434823</v>
      </c>
      <c r="I144" s="67">
        <f>IF(VLOOKUP($D144,$C$5:$AU$493,3,)=0,0,(VLOOKUP($D144,$C$5:$AU$493,7,)/VLOOKUP($D144,$C$5:$AU$493,3,))*$E144)</f>
        <v>69474.005312454348</v>
      </c>
      <c r="J144" s="67">
        <f>IF(VLOOKUP($D144,$C$5:$AU$493,3,)=0,0,(VLOOKUP($D144,$C$5:$AU$493,8,)/VLOOKUP($D144,$C$5:$AU$493,3,))*$E144)</f>
        <v>3403.5106211085472</v>
      </c>
      <c r="K144" s="67">
        <f>IF(VLOOKUP($D144,$C$5:$AU$493,3,)=0,0,(VLOOKUP($D144,$C$5:$AU$493,9,)/VLOOKUP($D144,$C$5:$AU$493,3,))*$E144)</f>
        <v>0</v>
      </c>
      <c r="L144" s="67">
        <f>IF(VLOOKUP($D144,$C$5:$AU$493,3,)=0,0,(VLOOKUP($D144,$C$5:$AU$493,10,)/VLOOKUP($D144,$C$5:$AU$493,3,))*$E144)</f>
        <v>0</v>
      </c>
      <c r="M144" s="67">
        <f>IF(VLOOKUP($D144,$C$5:$AU$493,3,)=0,0,(VLOOKUP($D144,$C$5:$AU$493,11,)/VLOOKUP($D144,$C$5:$AU$493,3,))*$E144)</f>
        <v>0</v>
      </c>
      <c r="N144" s="67">
        <f>IF(VLOOKUP($D144,$C$5:$AU$493,3,)=0,0,(VLOOKUP($D144,$C$5:$AU$493,12,)/VLOOKUP($D144,$C$5:$AU$493,3,))*$E144)</f>
        <v>0</v>
      </c>
      <c r="O144" s="67">
        <f>IF(VLOOKUP($D144,$C$5:$AU$493,3,)=0,0,(VLOOKUP($D144,$C$5:$AU$493,13,)/VLOOKUP($D144,$C$5:$AU$493,3,))*$E144)</f>
        <v>0</v>
      </c>
      <c r="P144" s="67">
        <f>IF(VLOOKUP($D144,$C$5:$AU$493,3,)=0,0,(VLOOKUP($D144,$C$5:$AU$493,14,)/VLOOKUP($D144,$C$5:$AU$493,3,))*$E144)</f>
        <v>0</v>
      </c>
      <c r="Q144" s="67">
        <f>IF(VLOOKUP($D144,$C$5:$AU$493,3,)=0,0,(VLOOKUP($D144,$C$5:$AU$493,15,)/VLOOKUP($D144,$C$5:$AU$493,3,))*$E144)</f>
        <v>0</v>
      </c>
      <c r="R144" s="67">
        <f>IF(VLOOKUP($D144,$C$5:$AU$493,3,)=0,0,(VLOOKUP($D144,$C$5:$AU$493,16,)/VLOOKUP($D144,$C$5:$AU$493,3,))*$E144)</f>
        <v>0</v>
      </c>
      <c r="S144" s="67">
        <f>IF(VLOOKUP($D144,$C$5:$AU$493,3,)=0,0,(VLOOKUP($D144,$C$5:$AU$493,17,)/VLOOKUP($D144,$C$5:$AU$493,3,))*$E144)</f>
        <v>0</v>
      </c>
      <c r="T144" s="67">
        <f>IF(VLOOKUP($D144,$C$5:$AU$493,3,)=0,0,(VLOOKUP($D144,$C$5:$AU$493,18,)/VLOOKUP($D144,$C$5:$AU$493,3,))*$E144)</f>
        <v>0</v>
      </c>
      <c r="U144" s="67">
        <f>IF(VLOOKUP($D144,$C$5:$AU$493,3,)=0,0,(VLOOKUP($D144,$C$5:$AU$493,19,)/VLOOKUP($D144,$C$5:$AU$493,3,))*$E144)</f>
        <v>0</v>
      </c>
      <c r="V144" s="67">
        <f>IF(VLOOKUP($D144,$C$5:$AU$493,3,)=0,0,(VLOOKUP($D144,$C$5:$AU$493,20,)/VLOOKUP($D144,$C$5:$AU$493,3,))*$E144)</f>
        <v>0</v>
      </c>
      <c r="W144" s="67">
        <f>IF(VLOOKUP($D144,$C$5:$AU$493,3,)=0,0,(VLOOKUP($D144,$C$5:$AU$493,21,)/VLOOKUP($D144,$C$5:$AU$493,3,))*$E144)</f>
        <v>0</v>
      </c>
      <c r="X144" s="67">
        <f>IF(VLOOKUP($D144,$C$5:$AU$493,3,)=0,0,(VLOOKUP($D144,$C$5:$AU$493,22,)/VLOOKUP($D144,$C$5:$AU$493,3,))*$E144)</f>
        <v>0</v>
      </c>
      <c r="Y144" s="67">
        <f>IF(VLOOKUP($D144,$C$5:$AU$493,3,)=0,0,(VLOOKUP($D144,$C$5:$AU$493,23,)/VLOOKUP($D144,$C$5:$AU$493,3,))*$E144)</f>
        <v>0</v>
      </c>
      <c r="Z144" s="67">
        <f>IF(VLOOKUP($D144,$C$5:$AU$493,3,)=0,0,(VLOOKUP($D144,$C$5:$AU$493,24,)/VLOOKUP($D144,$C$5:$AU$493,3,))*$E144)</f>
        <v>0</v>
      </c>
      <c r="AA144" s="67">
        <f>IF(VLOOKUP($D144,$C$5:$AU$493,3,)=0,0,(VLOOKUP($D144,$C$5:$AU$493,25,)/VLOOKUP($D144,$C$5:$AU$493,3,))*$E144)</f>
        <v>0</v>
      </c>
      <c r="AB144" s="67">
        <f>IF(VLOOKUP($D144,$C$5:$AU$493,3,)=0,0,(VLOOKUP($D144,$C$5:$AU$493,26,)/VLOOKUP($D144,$C$5:$AU$493,3,))*$E144)</f>
        <v>0</v>
      </c>
      <c r="AC144" s="67">
        <f>IF(VLOOKUP($D144,$C$5:$AU$493,3,)=0,0,(VLOOKUP($D144,$C$5:$AU$493,27,)/VLOOKUP($D144,$C$5:$AU$493,3,))*$E144)</f>
        <v>0</v>
      </c>
      <c r="AD144" s="67">
        <f>IF(VLOOKUP($D144,$C$5:$AU$493,3,)=0,0,(VLOOKUP($D144,$C$5:$AU$493,28,)/VLOOKUP($D144,$C$5:$AU$493,3,))*$E144)</f>
        <v>0</v>
      </c>
      <c r="AE144" s="67">
        <f>IF(VLOOKUP($D144,$C$5:$AU$493,3,)=0,0,(VLOOKUP($D144,$C$5:$AU$493,29,)/VLOOKUP($D144,$C$5:$AU$493,3,))*$E144)</f>
        <v>0</v>
      </c>
      <c r="AF144" s="67">
        <f>IF(VLOOKUP($D144,$C$5:$AU$493,3,)=0,0,(VLOOKUP($D144,$C$5:$AU$493,30,)/VLOOKUP($D144,$C$5:$AU$493,3,))*$E144)</f>
        <v>0</v>
      </c>
      <c r="AG144" s="90">
        <f>SUM(F144:AF144)</f>
        <v>328089.28020139493</v>
      </c>
      <c r="AH144" s="28" t="str">
        <f>IF(ABS(E144-AG144)&lt;0.01,"ok","err")</f>
        <v>ok</v>
      </c>
      <c r="AI144" s="68">
        <f t="shared" si="25"/>
        <v>0</v>
      </c>
    </row>
    <row r="145" spans="1:35" x14ac:dyDescent="0.25">
      <c r="E145" s="50"/>
      <c r="AI145" s="68"/>
    </row>
    <row r="146" spans="1:35" x14ac:dyDescent="0.25">
      <c r="A146" s="13" t="s">
        <v>5</v>
      </c>
      <c r="E146" s="50"/>
      <c r="AI146" s="68"/>
    </row>
    <row r="147" spans="1:35" x14ac:dyDescent="0.25">
      <c r="A147" s="93" t="s">
        <v>219</v>
      </c>
      <c r="C147" s="14" t="s">
        <v>269</v>
      </c>
      <c r="D147" s="14" t="s">
        <v>230</v>
      </c>
      <c r="E147" s="67">
        <f>'Func &amp; Classif'!W285</f>
        <v>38785.878954819113</v>
      </c>
      <c r="F147" s="67">
        <f>IF(VLOOKUP($D147,$C$5:$AU$493,3,)=0,0,(VLOOKUP($D147,$C$5:$AU$493,4,)/VLOOKUP($D147,$C$5:$AU$493,3,))*$E147)</f>
        <v>0</v>
      </c>
      <c r="G147" s="67">
        <f>IF(VLOOKUP($D147,$C$5:$AU$493,3,)=0,0,(VLOOKUP($D147,$C$5:$AU$493,5,)/VLOOKUP($D147,$C$5:$AU$493,3,))*$E147)</f>
        <v>0</v>
      </c>
      <c r="H147" s="67">
        <f>IF(VLOOKUP($D147,$C$5:$AU$493,3,)=0,0,(VLOOKUP($D147,$C$5:$AU$493,6,)/VLOOKUP($D147,$C$5:$AU$493,3,))*$E147)</f>
        <v>0</v>
      </c>
      <c r="I147" s="67">
        <f>IF(VLOOKUP($D147,$C$5:$AU$493,3,)=0,0,(VLOOKUP($D147,$C$5:$AU$493,7,)/VLOOKUP($D147,$C$5:$AU$493,3,))*$E147)</f>
        <v>0</v>
      </c>
      <c r="J147" s="67">
        <f>IF(VLOOKUP($D147,$C$5:$AU$493,3,)=0,0,(VLOOKUP($D147,$C$5:$AU$493,8,)/VLOOKUP($D147,$C$5:$AU$493,3,))*$E147)</f>
        <v>0</v>
      </c>
      <c r="K147" s="67">
        <f>IF(VLOOKUP($D147,$C$5:$AU$493,3,)=0,0,(VLOOKUP($D147,$C$5:$AU$493,9,)/VLOOKUP($D147,$C$5:$AU$493,3,))*$E147)</f>
        <v>0</v>
      </c>
      <c r="L147" s="67">
        <f>IF(VLOOKUP($D147,$C$5:$AU$493,3,)=0,0,(VLOOKUP($D147,$C$5:$AU$493,10,)/VLOOKUP($D147,$C$5:$AU$493,3,))*$E147)</f>
        <v>0</v>
      </c>
      <c r="M147" s="67">
        <f>IF(VLOOKUP($D147,$C$5:$AU$493,3,)=0,0,(VLOOKUP($D147,$C$5:$AU$493,11,)/VLOOKUP($D147,$C$5:$AU$493,3,))*$E147)</f>
        <v>38785.878954819113</v>
      </c>
      <c r="N147" s="67">
        <f>IF(VLOOKUP($D147,$C$5:$AU$493,3,)=0,0,(VLOOKUP($D147,$C$5:$AU$493,12,)/VLOOKUP($D147,$C$5:$AU$493,3,))*$E147)</f>
        <v>0</v>
      </c>
      <c r="O147" s="67">
        <f>IF(VLOOKUP($D147,$C$5:$AU$493,3,)=0,0,(VLOOKUP($D147,$C$5:$AU$493,13,)/VLOOKUP($D147,$C$5:$AU$493,3,))*$E147)</f>
        <v>0</v>
      </c>
      <c r="P147" s="67">
        <f>IF(VLOOKUP($D147,$C$5:$AU$493,3,)=0,0,(VLOOKUP($D147,$C$5:$AU$493,14,)/VLOOKUP($D147,$C$5:$AU$493,3,))*$E147)</f>
        <v>0</v>
      </c>
      <c r="Q147" s="67">
        <f>IF(VLOOKUP($D147,$C$5:$AU$493,3,)=0,0,(VLOOKUP($D147,$C$5:$AU$493,15,)/VLOOKUP($D147,$C$5:$AU$493,3,))*$E147)</f>
        <v>0</v>
      </c>
      <c r="R147" s="67">
        <f>IF(VLOOKUP($D147,$C$5:$AU$493,3,)=0,0,(VLOOKUP($D147,$C$5:$AU$493,16,)/VLOOKUP($D147,$C$5:$AU$493,3,))*$E147)</f>
        <v>0</v>
      </c>
      <c r="S147" s="67">
        <f>IF(VLOOKUP($D147,$C$5:$AU$493,3,)=0,0,(VLOOKUP($D147,$C$5:$AU$493,17,)/VLOOKUP($D147,$C$5:$AU$493,3,))*$E147)</f>
        <v>0</v>
      </c>
      <c r="T147" s="67">
        <f>IF(VLOOKUP($D147,$C$5:$AU$493,3,)=0,0,(VLOOKUP($D147,$C$5:$AU$493,18,)/VLOOKUP($D147,$C$5:$AU$493,3,))*$E147)</f>
        <v>0</v>
      </c>
      <c r="U147" s="67">
        <f>IF(VLOOKUP($D147,$C$5:$AU$493,3,)=0,0,(VLOOKUP($D147,$C$5:$AU$493,19,)/VLOOKUP($D147,$C$5:$AU$493,3,))*$E147)</f>
        <v>0</v>
      </c>
      <c r="V147" s="67">
        <f>IF(VLOOKUP($D147,$C$5:$AU$493,3,)=0,0,(VLOOKUP($D147,$C$5:$AU$493,20,)/VLOOKUP($D147,$C$5:$AU$493,3,))*$E147)</f>
        <v>0</v>
      </c>
      <c r="W147" s="67">
        <f>IF(VLOOKUP($D147,$C$5:$AU$493,3,)=0,0,(VLOOKUP($D147,$C$5:$AU$493,21,)/VLOOKUP($D147,$C$5:$AU$493,3,))*$E147)</f>
        <v>0</v>
      </c>
      <c r="X147" s="67">
        <f>IF(VLOOKUP($D147,$C$5:$AU$493,3,)=0,0,(VLOOKUP($D147,$C$5:$AU$493,22,)/VLOOKUP($D147,$C$5:$AU$493,3,))*$E147)</f>
        <v>0</v>
      </c>
      <c r="Y147" s="67">
        <f>IF(VLOOKUP($D147,$C$5:$AU$493,3,)=0,0,(VLOOKUP($D147,$C$5:$AU$493,23,)/VLOOKUP($D147,$C$5:$AU$493,3,))*$E147)</f>
        <v>0</v>
      </c>
      <c r="Z147" s="67">
        <f>IF(VLOOKUP($D147,$C$5:$AU$493,3,)=0,0,(VLOOKUP($D147,$C$5:$AU$493,24,)/VLOOKUP($D147,$C$5:$AU$493,3,))*$E147)</f>
        <v>0</v>
      </c>
      <c r="AA147" s="67">
        <f>IF(VLOOKUP($D147,$C$5:$AU$493,3,)=0,0,(VLOOKUP($D147,$C$5:$AU$493,25,)/VLOOKUP($D147,$C$5:$AU$493,3,))*$E147)</f>
        <v>0</v>
      </c>
      <c r="AB147" s="67">
        <f>IF(VLOOKUP($D147,$C$5:$AU$493,3,)=0,0,(VLOOKUP($D147,$C$5:$AU$493,26,)/VLOOKUP($D147,$C$5:$AU$493,3,))*$E147)</f>
        <v>0</v>
      </c>
      <c r="AC147" s="67">
        <f>IF(VLOOKUP($D147,$C$5:$AU$493,3,)=0,0,(VLOOKUP($D147,$C$5:$AU$493,27,)/VLOOKUP($D147,$C$5:$AU$493,3,))*$E147)</f>
        <v>0</v>
      </c>
      <c r="AD147" s="67">
        <f>IF(VLOOKUP($D147,$C$5:$AU$493,3,)=0,0,(VLOOKUP($D147,$C$5:$AU$493,28,)/VLOOKUP($D147,$C$5:$AU$493,3,))*$E147)</f>
        <v>0</v>
      </c>
      <c r="AE147" s="67">
        <f>IF(VLOOKUP($D147,$C$5:$AU$493,3,)=0,0,(VLOOKUP($D147,$C$5:$AU$493,29,)/VLOOKUP($D147,$C$5:$AU$493,3,))*$E147)</f>
        <v>0</v>
      </c>
      <c r="AF147" s="67">
        <f>IF(VLOOKUP($D147,$C$5:$AU$493,3,)=0,0,(VLOOKUP($D147,$C$5:$AU$493,30,)/VLOOKUP($D147,$C$5:$AU$493,3,))*$E147)</f>
        <v>0</v>
      </c>
      <c r="AG147" s="90">
        <f>SUM(F147:AF147)</f>
        <v>38785.878954819113</v>
      </c>
      <c r="AH147" s="28" t="str">
        <f>IF(ABS(E147-AG147)&lt;0.01,"ok","err")</f>
        <v>ok</v>
      </c>
      <c r="AI147" s="68">
        <f t="shared" si="25"/>
        <v>1</v>
      </c>
    </row>
    <row r="148" spans="1:35" x14ac:dyDescent="0.25">
      <c r="E148" s="50"/>
      <c r="AI148" s="68"/>
    </row>
    <row r="149" spans="1:35" x14ac:dyDescent="0.25">
      <c r="A149" s="13" t="s">
        <v>544</v>
      </c>
      <c r="E149" s="50"/>
      <c r="AI149" s="68"/>
    </row>
    <row r="150" spans="1:35" x14ac:dyDescent="0.25">
      <c r="A150" s="93" t="s">
        <v>219</v>
      </c>
      <c r="C150" s="14" t="s">
        <v>270</v>
      </c>
      <c r="D150" s="14" t="s">
        <v>232</v>
      </c>
      <c r="E150" s="67">
        <f>'Func &amp; Classif'!Y285</f>
        <v>1041506.8847499352</v>
      </c>
      <c r="F150" s="67">
        <f>IF(VLOOKUP($D150,$C$5:$AU$493,3,)=0,0,(VLOOKUP($D150,$C$5:$AU$493,4,)/VLOOKUP($D150,$C$5:$AU$493,3,))*$E150)</f>
        <v>764606.40036193037</v>
      </c>
      <c r="G150" s="67">
        <f>IF(VLOOKUP($D150,$C$5:$AU$493,3,)=0,0,(VLOOKUP($D150,$C$5:$AU$493,5,)/VLOOKUP($D150,$C$5:$AU$493,3,))*$E150)</f>
        <v>1031.8906466759126</v>
      </c>
      <c r="H150" s="67">
        <f>IF(VLOOKUP($D150,$C$5:$AU$493,3,)=0,0,(VLOOKUP($D150,$C$5:$AU$493,6,)/VLOOKUP($D150,$C$5:$AU$493,3,))*$E150)</f>
        <v>47904.294830683197</v>
      </c>
      <c r="I150" s="67">
        <f>IF(VLOOKUP($D150,$C$5:$AU$493,3,)=0,0,(VLOOKUP($D150,$C$5:$AU$493,7,)/VLOOKUP($D150,$C$5:$AU$493,3,))*$E150)</f>
        <v>221463.38783658753</v>
      </c>
      <c r="J150" s="67">
        <f>IF(VLOOKUP($D150,$C$5:$AU$493,3,)=0,0,(VLOOKUP($D150,$C$5:$AU$493,8,)/VLOOKUP($D150,$C$5:$AU$493,3,))*$E150)</f>
        <v>3611.6172633656943</v>
      </c>
      <c r="K150" s="67">
        <f>IF(VLOOKUP($D150,$C$5:$AU$493,3,)=0,0,(VLOOKUP($D150,$C$5:$AU$493,9,)/VLOOKUP($D150,$C$5:$AU$493,3,))*$E150)</f>
        <v>825.51251734073014</v>
      </c>
      <c r="L150" s="67">
        <f>IF(VLOOKUP($D150,$C$5:$AU$493,3,)=0,0,(VLOOKUP($D150,$C$5:$AU$493,10,)/VLOOKUP($D150,$C$5:$AU$493,3,))*$E150)</f>
        <v>58.965179810052149</v>
      </c>
      <c r="M150" s="67">
        <f>IF(VLOOKUP($D150,$C$5:$AU$493,3,)=0,0,(VLOOKUP($D150,$C$5:$AU$493,11,)/VLOOKUP($D150,$C$5:$AU$493,3,))*$E150)</f>
        <v>2004.8161135417731</v>
      </c>
      <c r="N150" s="67">
        <f>IF(VLOOKUP($D150,$C$5:$AU$493,3,)=0,0,(VLOOKUP($D150,$C$5:$AU$493,12,)/VLOOKUP($D150,$C$5:$AU$493,3,))*$E150)</f>
        <v>0</v>
      </c>
      <c r="O150" s="67">
        <f>IF(VLOOKUP($D150,$C$5:$AU$493,3,)=0,0,(VLOOKUP($D150,$C$5:$AU$493,13,)/VLOOKUP($D150,$C$5:$AU$493,3,))*$E150)</f>
        <v>0</v>
      </c>
      <c r="P150" s="67">
        <f>IF(VLOOKUP($D150,$C$5:$AU$493,3,)=0,0,(VLOOKUP($D150,$C$5:$AU$493,14,)/VLOOKUP($D150,$C$5:$AU$493,3,))*$E150)</f>
        <v>0</v>
      </c>
      <c r="Q150" s="67">
        <f>IF(VLOOKUP($D150,$C$5:$AU$493,3,)=0,0,(VLOOKUP($D150,$C$5:$AU$493,15,)/VLOOKUP($D150,$C$5:$AU$493,3,))*$E150)</f>
        <v>0</v>
      </c>
      <c r="R150" s="67">
        <f>IF(VLOOKUP($D150,$C$5:$AU$493,3,)=0,0,(VLOOKUP($D150,$C$5:$AU$493,16,)/VLOOKUP($D150,$C$5:$AU$493,3,))*$E150)</f>
        <v>0</v>
      </c>
      <c r="S150" s="67">
        <f>IF(VLOOKUP($D150,$C$5:$AU$493,3,)=0,0,(VLOOKUP($D150,$C$5:$AU$493,17,)/VLOOKUP($D150,$C$5:$AU$493,3,))*$E150)</f>
        <v>0</v>
      </c>
      <c r="T150" s="67">
        <f>IF(VLOOKUP($D150,$C$5:$AU$493,3,)=0,0,(VLOOKUP($D150,$C$5:$AU$493,18,)/VLOOKUP($D150,$C$5:$AU$493,3,))*$E150)</f>
        <v>0</v>
      </c>
      <c r="U150" s="67">
        <f>IF(VLOOKUP($D150,$C$5:$AU$493,3,)=0,0,(VLOOKUP($D150,$C$5:$AU$493,19,)/VLOOKUP($D150,$C$5:$AU$493,3,))*$E150)</f>
        <v>0</v>
      </c>
      <c r="V150" s="67">
        <f>IF(VLOOKUP($D150,$C$5:$AU$493,3,)=0,0,(VLOOKUP($D150,$C$5:$AU$493,20,)/VLOOKUP($D150,$C$5:$AU$493,3,))*$E150)</f>
        <v>0</v>
      </c>
      <c r="W150" s="67">
        <f>IF(VLOOKUP($D150,$C$5:$AU$493,3,)=0,0,(VLOOKUP($D150,$C$5:$AU$493,21,)/VLOOKUP($D150,$C$5:$AU$493,3,))*$E150)</f>
        <v>0</v>
      </c>
      <c r="X150" s="67">
        <f>IF(VLOOKUP($D150,$C$5:$AU$493,3,)=0,0,(VLOOKUP($D150,$C$5:$AU$493,22,)/VLOOKUP($D150,$C$5:$AU$493,3,))*$E150)</f>
        <v>0</v>
      </c>
      <c r="Y150" s="67">
        <f>IF(VLOOKUP($D150,$C$5:$AU$493,3,)=0,0,(VLOOKUP($D150,$C$5:$AU$493,23,)/VLOOKUP($D150,$C$5:$AU$493,3,))*$E150)</f>
        <v>0</v>
      </c>
      <c r="Z150" s="67">
        <f>IF(VLOOKUP($D150,$C$5:$AU$493,3,)=0,0,(VLOOKUP($D150,$C$5:$AU$493,24,)/VLOOKUP($D150,$C$5:$AU$493,3,))*$E150)</f>
        <v>0</v>
      </c>
      <c r="AA150" s="67">
        <f>IF(VLOOKUP($D150,$C$5:$AU$493,3,)=0,0,(VLOOKUP($D150,$C$5:$AU$493,25,)/VLOOKUP($D150,$C$5:$AU$493,3,))*$E150)</f>
        <v>0</v>
      </c>
      <c r="AB150" s="67">
        <f>IF(VLOOKUP($D150,$C$5:$AU$493,3,)=0,0,(VLOOKUP($D150,$C$5:$AU$493,26,)/VLOOKUP($D150,$C$5:$AU$493,3,))*$E150)</f>
        <v>0</v>
      </c>
      <c r="AC150" s="67">
        <f>IF(VLOOKUP($D150,$C$5:$AU$493,3,)=0,0,(VLOOKUP($D150,$C$5:$AU$493,27,)/VLOOKUP($D150,$C$5:$AU$493,3,))*$E150)</f>
        <v>0</v>
      </c>
      <c r="AD150" s="67">
        <f>IF(VLOOKUP($D150,$C$5:$AU$493,3,)=0,0,(VLOOKUP($D150,$C$5:$AU$493,28,)/VLOOKUP($D150,$C$5:$AU$493,3,))*$E150)</f>
        <v>0</v>
      </c>
      <c r="AE150" s="67">
        <f>IF(VLOOKUP($D150,$C$5:$AU$493,3,)=0,0,(VLOOKUP($D150,$C$5:$AU$493,29,)/VLOOKUP($D150,$C$5:$AU$493,3,))*$E150)</f>
        <v>0</v>
      </c>
      <c r="AF150" s="67">
        <f>IF(VLOOKUP($D150,$C$5:$AU$493,3,)=0,0,(VLOOKUP($D150,$C$5:$AU$493,30,)/VLOOKUP($D150,$C$5:$AU$493,3,))*$E150)</f>
        <v>0</v>
      </c>
      <c r="AG150" s="90">
        <f>SUM(F150:AF150)</f>
        <v>1041506.8847499351</v>
      </c>
      <c r="AH150" s="28" t="str">
        <f>IF(ABS(E150-AG150)&lt;0.01,"ok","err")</f>
        <v>ok</v>
      </c>
      <c r="AI150" s="68">
        <f t="shared" si="25"/>
        <v>1.9249187335167043E-3</v>
      </c>
    </row>
    <row r="151" spans="1:35" x14ac:dyDescent="0.25">
      <c r="E151" s="50"/>
      <c r="AI151" s="68"/>
    </row>
    <row r="152" spans="1:35" x14ac:dyDescent="0.25">
      <c r="A152" s="13" t="s">
        <v>469</v>
      </c>
      <c r="E152" s="50"/>
      <c r="AI152" s="68"/>
    </row>
    <row r="153" spans="1:35" x14ac:dyDescent="0.25">
      <c r="A153" s="93" t="s">
        <v>219</v>
      </c>
      <c r="C153" s="14" t="s">
        <v>267</v>
      </c>
      <c r="D153" s="14" t="s">
        <v>233</v>
      </c>
      <c r="E153" s="67">
        <f>'Func &amp; Classif'!AA285</f>
        <v>806.17921854920337</v>
      </c>
      <c r="F153" s="67">
        <f>IF(VLOOKUP($D153,$C$5:$AU$493,3,)=0,0,(VLOOKUP($D153,$C$5:$AU$493,4,)/VLOOKUP($D153,$C$5:$AU$493,3,))*$E153)</f>
        <v>591.84418208574755</v>
      </c>
      <c r="G153" s="67">
        <f>IF(VLOOKUP($D153,$C$5:$AU$493,3,)=0,0,(VLOOKUP($D153,$C$5:$AU$493,5,)/VLOOKUP($D153,$C$5:$AU$493,3,))*$E153)</f>
        <v>0.79873576194856843</v>
      </c>
      <c r="H153" s="67">
        <f>IF(VLOOKUP($D153,$C$5:$AU$493,3,)=0,0,(VLOOKUP($D153,$C$5:$AU$493,6,)/VLOOKUP($D153,$C$5:$AU$493,3,))*$E153)</f>
        <v>37.080356872555207</v>
      </c>
      <c r="I153" s="67">
        <f>IF(VLOOKUP($D153,$C$5:$AU$493,3,)=0,0,(VLOOKUP($D153,$C$5:$AU$493,7,)/VLOOKUP($D153,$C$5:$AU$493,3,))*$E153)</f>
        <v>171.42390852867609</v>
      </c>
      <c r="J153" s="67">
        <f>IF(VLOOKUP($D153,$C$5:$AU$493,3,)=0,0,(VLOOKUP($D153,$C$5:$AU$493,8,)/VLOOKUP($D153,$C$5:$AU$493,3,))*$E153)</f>
        <v>2.7955751668199897</v>
      </c>
      <c r="K153" s="67">
        <f>IF(VLOOKUP($D153,$C$5:$AU$493,3,)=0,0,(VLOOKUP($D153,$C$5:$AU$493,9,)/VLOOKUP($D153,$C$5:$AU$493,3,))*$E153)</f>
        <v>0.63898860955885473</v>
      </c>
      <c r="L153" s="67">
        <f>IF(VLOOKUP($D153,$C$5:$AU$493,3,)=0,0,(VLOOKUP($D153,$C$5:$AU$493,10,)/VLOOKUP($D153,$C$5:$AU$493,3,))*$E153)</f>
        <v>4.5642043539918194E-2</v>
      </c>
      <c r="M153" s="67">
        <f>IF(VLOOKUP($D153,$C$5:$AU$493,3,)=0,0,(VLOOKUP($D153,$C$5:$AU$493,11,)/VLOOKUP($D153,$C$5:$AU$493,3,))*$E153)</f>
        <v>1.5518294803572188</v>
      </c>
      <c r="N153" s="67">
        <f>IF(VLOOKUP($D153,$C$5:$AU$493,3,)=0,0,(VLOOKUP($D153,$C$5:$AU$493,12,)/VLOOKUP($D153,$C$5:$AU$493,3,))*$E153)</f>
        <v>0</v>
      </c>
      <c r="O153" s="67">
        <f>IF(VLOOKUP($D153,$C$5:$AU$493,3,)=0,0,(VLOOKUP($D153,$C$5:$AU$493,13,)/VLOOKUP($D153,$C$5:$AU$493,3,))*$E153)</f>
        <v>0</v>
      </c>
      <c r="P153" s="67">
        <f>IF(VLOOKUP($D153,$C$5:$AU$493,3,)=0,0,(VLOOKUP($D153,$C$5:$AU$493,14,)/VLOOKUP($D153,$C$5:$AU$493,3,))*$E153)</f>
        <v>0</v>
      </c>
      <c r="Q153" s="67">
        <f>IF(VLOOKUP($D153,$C$5:$AU$493,3,)=0,0,(VLOOKUP($D153,$C$5:$AU$493,15,)/VLOOKUP($D153,$C$5:$AU$493,3,))*$E153)</f>
        <v>0</v>
      </c>
      <c r="R153" s="67">
        <f>IF(VLOOKUP($D153,$C$5:$AU$493,3,)=0,0,(VLOOKUP($D153,$C$5:$AU$493,16,)/VLOOKUP($D153,$C$5:$AU$493,3,))*$E153)</f>
        <v>0</v>
      </c>
      <c r="S153" s="67">
        <f>IF(VLOOKUP($D153,$C$5:$AU$493,3,)=0,0,(VLOOKUP($D153,$C$5:$AU$493,17,)/VLOOKUP($D153,$C$5:$AU$493,3,))*$E153)</f>
        <v>0</v>
      </c>
      <c r="T153" s="67">
        <f>IF(VLOOKUP($D153,$C$5:$AU$493,3,)=0,0,(VLOOKUP($D153,$C$5:$AU$493,18,)/VLOOKUP($D153,$C$5:$AU$493,3,))*$E153)</f>
        <v>0</v>
      </c>
      <c r="U153" s="67">
        <f>IF(VLOOKUP($D153,$C$5:$AU$493,3,)=0,0,(VLOOKUP($D153,$C$5:$AU$493,19,)/VLOOKUP($D153,$C$5:$AU$493,3,))*$E153)</f>
        <v>0</v>
      </c>
      <c r="V153" s="67">
        <f>IF(VLOOKUP($D153,$C$5:$AU$493,3,)=0,0,(VLOOKUP($D153,$C$5:$AU$493,20,)/VLOOKUP($D153,$C$5:$AU$493,3,))*$E153)</f>
        <v>0</v>
      </c>
      <c r="W153" s="67">
        <f>IF(VLOOKUP($D153,$C$5:$AU$493,3,)=0,0,(VLOOKUP($D153,$C$5:$AU$493,21,)/VLOOKUP($D153,$C$5:$AU$493,3,))*$E153)</f>
        <v>0</v>
      </c>
      <c r="X153" s="67">
        <f>IF(VLOOKUP($D153,$C$5:$AU$493,3,)=0,0,(VLOOKUP($D153,$C$5:$AU$493,22,)/VLOOKUP($D153,$C$5:$AU$493,3,))*$E153)</f>
        <v>0</v>
      </c>
      <c r="Y153" s="67">
        <f>IF(VLOOKUP($D153,$C$5:$AU$493,3,)=0,0,(VLOOKUP($D153,$C$5:$AU$493,23,)/VLOOKUP($D153,$C$5:$AU$493,3,))*$E153)</f>
        <v>0</v>
      </c>
      <c r="Z153" s="67">
        <f>IF(VLOOKUP($D153,$C$5:$AU$493,3,)=0,0,(VLOOKUP($D153,$C$5:$AU$493,24,)/VLOOKUP($D153,$C$5:$AU$493,3,))*$E153)</f>
        <v>0</v>
      </c>
      <c r="AA153" s="67">
        <f>IF(VLOOKUP($D153,$C$5:$AU$493,3,)=0,0,(VLOOKUP($D153,$C$5:$AU$493,25,)/VLOOKUP($D153,$C$5:$AU$493,3,))*$E153)</f>
        <v>0</v>
      </c>
      <c r="AB153" s="67">
        <f>IF(VLOOKUP($D153,$C$5:$AU$493,3,)=0,0,(VLOOKUP($D153,$C$5:$AU$493,26,)/VLOOKUP($D153,$C$5:$AU$493,3,))*$E153)</f>
        <v>0</v>
      </c>
      <c r="AC153" s="67">
        <f>IF(VLOOKUP($D153,$C$5:$AU$493,3,)=0,0,(VLOOKUP($D153,$C$5:$AU$493,27,)/VLOOKUP($D153,$C$5:$AU$493,3,))*$E153)</f>
        <v>0</v>
      </c>
      <c r="AD153" s="67">
        <f>IF(VLOOKUP($D153,$C$5:$AU$493,3,)=0,0,(VLOOKUP($D153,$C$5:$AU$493,28,)/VLOOKUP($D153,$C$5:$AU$493,3,))*$E153)</f>
        <v>0</v>
      </c>
      <c r="AE153" s="67">
        <f>IF(VLOOKUP($D153,$C$5:$AU$493,3,)=0,0,(VLOOKUP($D153,$C$5:$AU$493,29,)/VLOOKUP($D153,$C$5:$AU$493,3,))*$E153)</f>
        <v>0</v>
      </c>
      <c r="AF153" s="67">
        <f>IF(VLOOKUP($D153,$C$5:$AU$493,3,)=0,0,(VLOOKUP($D153,$C$5:$AU$493,30,)/VLOOKUP($D153,$C$5:$AU$493,3,))*$E153)</f>
        <v>0</v>
      </c>
      <c r="AG153" s="90">
        <f>SUM(F153:AF153)</f>
        <v>806.17921854920337</v>
      </c>
      <c r="AH153" s="28" t="str">
        <f>IF(ABS(E153-AG153)&lt;0.01,"ok","err")</f>
        <v>ok</v>
      </c>
      <c r="AI153" s="68"/>
    </row>
    <row r="154" spans="1:35" x14ac:dyDescent="0.25">
      <c r="E154" s="50"/>
      <c r="AI154" s="68"/>
    </row>
    <row r="155" spans="1:35" x14ac:dyDescent="0.25">
      <c r="A155" s="14" t="s">
        <v>0</v>
      </c>
      <c r="C155" s="14" t="s">
        <v>271</v>
      </c>
      <c r="E155" s="67">
        <f>E125+E128+E131+E136+E141+E144+E147+E150+E153</f>
        <v>48926296.18</v>
      </c>
      <c r="F155" s="67">
        <f t="shared" ref="F155:R155" si="32">F125+F128+F131+F136+F141+F144+F147+F150+F153</f>
        <v>25949799.724782027</v>
      </c>
      <c r="G155" s="67">
        <f t="shared" si="32"/>
        <v>19786.262075926206</v>
      </c>
      <c r="H155" s="67">
        <f t="shared" si="32"/>
        <v>1724600.9116463983</v>
      </c>
      <c r="I155" s="67">
        <f t="shared" si="32"/>
        <v>4329120.5966987349</v>
      </c>
      <c r="J155" s="67">
        <f t="shared" si="32"/>
        <v>5568843.4187871367</v>
      </c>
      <c r="K155" s="67">
        <f t="shared" si="32"/>
        <v>8666908.7189576011</v>
      </c>
      <c r="L155" s="67">
        <f t="shared" si="32"/>
        <v>2483738.4801898082</v>
      </c>
      <c r="M155" s="67">
        <f t="shared" si="32"/>
        <v>183498.06683551881</v>
      </c>
      <c r="N155" s="67">
        <f t="shared" si="32"/>
        <v>0</v>
      </c>
      <c r="O155" s="67">
        <f t="shared" si="32"/>
        <v>0</v>
      </c>
      <c r="P155" s="67">
        <f t="shared" si="32"/>
        <v>0</v>
      </c>
      <c r="Q155" s="67">
        <f t="shared" si="32"/>
        <v>0</v>
      </c>
      <c r="R155" s="67">
        <f t="shared" si="32"/>
        <v>0</v>
      </c>
      <c r="S155" s="67">
        <f t="shared" ref="S155:AF155" si="33">S125+S131+S136+S141+S144+S147+S150+S153</f>
        <v>0</v>
      </c>
      <c r="T155" s="67">
        <f t="shared" si="33"/>
        <v>0</v>
      </c>
      <c r="U155" s="67">
        <f t="shared" si="33"/>
        <v>0</v>
      </c>
      <c r="V155" s="67">
        <f t="shared" si="33"/>
        <v>0</v>
      </c>
      <c r="W155" s="67">
        <f t="shared" si="33"/>
        <v>0</v>
      </c>
      <c r="X155" s="67">
        <f t="shared" si="33"/>
        <v>0</v>
      </c>
      <c r="Y155" s="67">
        <f t="shared" si="33"/>
        <v>0</v>
      </c>
      <c r="Z155" s="67">
        <f t="shared" si="33"/>
        <v>0</v>
      </c>
      <c r="AA155" s="67">
        <f t="shared" si="33"/>
        <v>0</v>
      </c>
      <c r="AB155" s="67">
        <f t="shared" si="33"/>
        <v>0</v>
      </c>
      <c r="AC155" s="67">
        <f t="shared" si="33"/>
        <v>0</v>
      </c>
      <c r="AD155" s="67">
        <f t="shared" si="33"/>
        <v>0</v>
      </c>
      <c r="AE155" s="67">
        <f t="shared" si="33"/>
        <v>0</v>
      </c>
      <c r="AF155" s="67">
        <f t="shared" si="33"/>
        <v>0</v>
      </c>
      <c r="AG155" s="90">
        <f>SUM(F155:AF155)</f>
        <v>48926296.179973155</v>
      </c>
      <c r="AH155" s="28" t="str">
        <f>IF(ABS(E155-AG155)&lt;0.01,"ok","err")</f>
        <v>ok</v>
      </c>
      <c r="AI155" s="68">
        <f t="shared" si="25"/>
        <v>3.7504998571837424E-3</v>
      </c>
    </row>
    <row r="156" spans="1:35" x14ac:dyDescent="0.25">
      <c r="E156" s="142">
        <f>E155/$E155</f>
        <v>1</v>
      </c>
      <c r="F156" s="142">
        <f>F155/$E155</f>
        <v>0.53038553397364541</v>
      </c>
      <c r="G156" s="142">
        <f t="shared" ref="G156" si="34">G155/$E155</f>
        <v>4.0440956337942454E-4</v>
      </c>
      <c r="H156" s="142">
        <f t="shared" ref="H156" si="35">H155/$E155</f>
        <v>3.5248957029193173E-2</v>
      </c>
      <c r="I156" s="142">
        <f t="shared" ref="I156" si="36">I155/$E155</f>
        <v>8.8482491721259396E-2</v>
      </c>
      <c r="J156" s="142">
        <f t="shared" ref="J156" si="37">J155/$E155</f>
        <v>0.11382107074484739</v>
      </c>
      <c r="K156" s="142">
        <f t="shared" ref="K156" si="38">K155/$E155</f>
        <v>0.17714213818826621</v>
      </c>
      <c r="L156" s="142">
        <f t="shared" ref="L156" si="39">L155/$E155</f>
        <v>5.076489892167857E-2</v>
      </c>
      <c r="M156" s="48">
        <f t="shared" ref="M156" si="40">M155/$E155</f>
        <v>3.7504998571816846E-3</v>
      </c>
    </row>
    <row r="158" spans="1:35" x14ac:dyDescent="0.25">
      <c r="A158" s="26" t="s">
        <v>182</v>
      </c>
    </row>
    <row r="160" spans="1:35" x14ac:dyDescent="0.25">
      <c r="A160" s="13" t="s">
        <v>890</v>
      </c>
    </row>
    <row r="161" spans="1:34" x14ac:dyDescent="0.25">
      <c r="A161" s="93" t="s">
        <v>207</v>
      </c>
      <c r="C161" s="14" t="s">
        <v>272</v>
      </c>
      <c r="D161" s="14" t="s">
        <v>656</v>
      </c>
      <c r="E161" s="67">
        <f>'Func &amp; Classif'!H461</f>
        <v>0</v>
      </c>
      <c r="F161" s="67">
        <f>IF(VLOOKUP($D161,$C$5:$AU$493,3,)=0,0,(VLOOKUP($D161,$C$5:$AU$493,4,)/VLOOKUP($D161,$C$5:$AU$493,3,))*$E161)</f>
        <v>0</v>
      </c>
      <c r="G161" s="67">
        <f>IF(VLOOKUP($D161,$C$5:$AU$493,3,)=0,0,(VLOOKUP($D161,$C$5:$AU$493,5,)/VLOOKUP($D161,$C$5:$AU$493,3,))*$E161)</f>
        <v>0</v>
      </c>
      <c r="H161" s="67">
        <f>IF(VLOOKUP($D161,$C$5:$AU$493,3,)=0,0,(VLOOKUP($D161,$C$5:$AU$493,6,)/VLOOKUP($D161,$C$5:$AU$493,3,))*$E161)</f>
        <v>0</v>
      </c>
      <c r="I161" s="67">
        <f>IF(VLOOKUP($D161,$C$5:$AU$493,3,)=0,0,(VLOOKUP($D161,$C$5:$AU$493,7,)/VLOOKUP($D161,$C$5:$AU$493,3,))*$E161)</f>
        <v>0</v>
      </c>
      <c r="J161" s="67">
        <f>IF(VLOOKUP($D161,$C$5:$AU$493,3,)=0,0,(VLOOKUP($D161,$C$5:$AU$493,8,)/VLOOKUP($D161,$C$5:$AU$493,3,))*$E161)</f>
        <v>0</v>
      </c>
      <c r="K161" s="67">
        <f>IF(VLOOKUP($D161,$C$5:$AU$493,3,)=0,0,(VLOOKUP($D161,$C$5:$AU$493,9,)/VLOOKUP($D161,$C$5:$AU$493,3,))*$E161)</f>
        <v>0</v>
      </c>
      <c r="L161" s="67">
        <f>IF(VLOOKUP($D161,$C$5:$AU$493,3,)=0,0,(VLOOKUP($D161,$C$5:$AU$493,10,)/VLOOKUP($D161,$C$5:$AU$493,3,))*$E161)</f>
        <v>0</v>
      </c>
      <c r="M161" s="67">
        <f>IF(VLOOKUP($D161,$C$5:$AU$493,3,)=0,0,(VLOOKUP($D161,$C$5:$AU$493,11,)/VLOOKUP($D161,$C$5:$AU$493,3,))*$E161)</f>
        <v>0</v>
      </c>
      <c r="N161" s="67">
        <f>IF(VLOOKUP($D161,$C$5:$AU$493,3,)=0,0,(VLOOKUP($D161,$C$5:$AU$493,12,)/VLOOKUP($D161,$C$5:$AU$493,3,))*$E161)</f>
        <v>0</v>
      </c>
      <c r="O161" s="67">
        <f>IF(VLOOKUP($D161,$C$5:$AU$493,3,)=0,0,(VLOOKUP($D161,$C$5:$AU$493,13,)/VLOOKUP($D161,$C$5:$AU$493,3,))*$E161)</f>
        <v>0</v>
      </c>
      <c r="P161" s="67">
        <f>IF(VLOOKUP($D161,$C$5:$AU$493,3,)=0,0,(VLOOKUP($D161,$C$5:$AU$493,14,)/VLOOKUP($D161,$C$5:$AU$493,3,))*$E161)</f>
        <v>0</v>
      </c>
      <c r="Q161" s="67">
        <f>IF(VLOOKUP($D161,$C$5:$AU$493,3,)=0,0,(VLOOKUP($D161,$C$5:$AU$493,15,)/VLOOKUP($D161,$C$5:$AU$493,3,))*$E161)</f>
        <v>0</v>
      </c>
      <c r="R161" s="67">
        <f>IF(VLOOKUP($D161,$C$5:$AU$493,3,)=0,0,(VLOOKUP($D161,$C$5:$AU$493,16,)/VLOOKUP($D161,$C$5:$AU$493,3,))*$E161)</f>
        <v>0</v>
      </c>
      <c r="S161" s="67">
        <f>IF(VLOOKUP($D161,$C$5:$AU$493,3,)=0,0,(VLOOKUP($D161,$C$5:$AU$493,17,)/VLOOKUP($D161,$C$5:$AU$493,3,))*$E161)</f>
        <v>0</v>
      </c>
      <c r="T161" s="67">
        <f>IF(VLOOKUP($D161,$C$5:$AU$493,3,)=0,0,(VLOOKUP($D161,$C$5:$AU$493,18,)/VLOOKUP($D161,$C$5:$AU$493,3,))*$E161)</f>
        <v>0</v>
      </c>
      <c r="U161" s="67">
        <f>IF(VLOOKUP($D161,$C$5:$AU$493,3,)=0,0,(VLOOKUP($D161,$C$5:$AU$493,19,)/VLOOKUP($D161,$C$5:$AU$493,3,))*$E161)</f>
        <v>0</v>
      </c>
      <c r="V161" s="67">
        <f>IF(VLOOKUP($D161,$C$5:$AU$493,3,)=0,0,(VLOOKUP($D161,$C$5:$AU$493,20,)/VLOOKUP($D161,$C$5:$AU$493,3,))*$E161)</f>
        <v>0</v>
      </c>
      <c r="W161" s="67">
        <f>IF(VLOOKUP($D161,$C$5:$AU$493,3,)=0,0,(VLOOKUP($D161,$C$5:$AU$493,21,)/VLOOKUP($D161,$C$5:$AU$493,3,))*$E161)</f>
        <v>0</v>
      </c>
      <c r="X161" s="67">
        <f>IF(VLOOKUP($D161,$C$5:$AU$493,3,)=0,0,(VLOOKUP($D161,$C$5:$AU$493,22,)/VLOOKUP($D161,$C$5:$AU$493,3,))*$E161)</f>
        <v>0</v>
      </c>
      <c r="Y161" s="67">
        <f>IF(VLOOKUP($D161,$C$5:$AU$493,3,)=0,0,(VLOOKUP($D161,$C$5:$AU$493,23,)/VLOOKUP($D161,$C$5:$AU$493,3,))*$E161)</f>
        <v>0</v>
      </c>
      <c r="Z161" s="67">
        <f>IF(VLOOKUP($D161,$C$5:$AU$493,3,)=0,0,(VLOOKUP($D161,$C$5:$AU$493,24,)/VLOOKUP($D161,$C$5:$AU$493,3,))*$E161)</f>
        <v>0</v>
      </c>
      <c r="AA161" s="67">
        <f>IF(VLOOKUP($D161,$C$5:$AU$493,3,)=0,0,(VLOOKUP($D161,$C$5:$AU$493,25,)/VLOOKUP($D161,$C$5:$AU$493,3,))*$E161)</f>
        <v>0</v>
      </c>
      <c r="AB161" s="67">
        <f>IF(VLOOKUP($D161,$C$5:$AU$493,3,)=0,0,(VLOOKUP($D161,$C$5:$AU$493,26,)/VLOOKUP($D161,$C$5:$AU$493,3,))*$E161)</f>
        <v>0</v>
      </c>
      <c r="AC161" s="67">
        <f>IF(VLOOKUP($D161,$C$5:$AU$493,3,)=0,0,(VLOOKUP($D161,$C$5:$AU$493,27,)/VLOOKUP($D161,$C$5:$AU$493,3,))*$E161)</f>
        <v>0</v>
      </c>
      <c r="AD161" s="67">
        <f>IF(VLOOKUP($D161,$C$5:$AU$493,3,)=0,0,(VLOOKUP($D161,$C$5:$AU$493,28,)/VLOOKUP($D161,$C$5:$AU$493,3,))*$E161)</f>
        <v>0</v>
      </c>
      <c r="AE161" s="67">
        <f>IF(VLOOKUP($D161,$C$5:$AU$493,3,)=0,0,(VLOOKUP($D161,$C$5:$AU$493,29,)/VLOOKUP($D161,$C$5:$AU$493,3,))*$E161)</f>
        <v>0</v>
      </c>
      <c r="AF161" s="67">
        <f>IF(VLOOKUP($D161,$C$5:$AU$493,3,)=0,0,(VLOOKUP($D161,$C$5:$AU$493,30,)/VLOOKUP($D161,$C$5:$AU$493,3,))*$E161)</f>
        <v>0</v>
      </c>
      <c r="AG161" s="90">
        <f>SUM(F161:AF161)</f>
        <v>0</v>
      </c>
      <c r="AH161" s="28" t="str">
        <f>IF(ABS(E161-AG161)&lt;0.01,"ok","err")</f>
        <v>ok</v>
      </c>
    </row>
    <row r="162" spans="1:34" x14ac:dyDescent="0.25">
      <c r="A162" s="93" t="s">
        <v>210</v>
      </c>
      <c r="C162" s="14" t="s">
        <v>273</v>
      </c>
      <c r="D162" s="14" t="s">
        <v>665</v>
      </c>
      <c r="E162" s="50">
        <f>'Func &amp; Classif'!I461</f>
        <v>0</v>
      </c>
      <c r="F162" s="67">
        <f>IF(VLOOKUP($D162,$C$5:$AU$493,3,)=0,0,(VLOOKUP($D162,$C$5:$AU$493,4,)/VLOOKUP($D162,$C$5:$AU$493,3,))*$E162)</f>
        <v>0</v>
      </c>
      <c r="G162" s="67">
        <f>IF(VLOOKUP($D162,$C$5:$AU$493,3,)=0,0,(VLOOKUP($D162,$C$5:$AU$493,5,)/VLOOKUP($D162,$C$5:$AU$493,3,))*$E162)</f>
        <v>0</v>
      </c>
      <c r="H162" s="67">
        <f>IF(VLOOKUP($D162,$C$5:$AU$493,3,)=0,0,(VLOOKUP($D162,$C$5:$AU$493,6,)/VLOOKUP($D162,$C$5:$AU$493,3,))*$E162)</f>
        <v>0</v>
      </c>
      <c r="I162" s="67">
        <f>IF(VLOOKUP($D162,$C$5:$AU$493,3,)=0,0,(VLOOKUP($D162,$C$5:$AU$493,7,)/VLOOKUP($D162,$C$5:$AU$493,3,))*$E162)</f>
        <v>0</v>
      </c>
      <c r="J162" s="67">
        <f>IF(VLOOKUP($D162,$C$5:$AU$493,3,)=0,0,(VLOOKUP($D162,$C$5:$AU$493,8,)/VLOOKUP($D162,$C$5:$AU$493,3,))*$E162)</f>
        <v>0</v>
      </c>
      <c r="K162" s="67">
        <f>IF(VLOOKUP($D162,$C$5:$AU$493,3,)=0,0,(VLOOKUP($D162,$C$5:$AU$493,9,)/VLOOKUP($D162,$C$5:$AU$493,3,))*$E162)</f>
        <v>0</v>
      </c>
      <c r="L162" s="67">
        <f>IF(VLOOKUP($D162,$C$5:$AU$493,3,)=0,0,(VLOOKUP($D162,$C$5:$AU$493,10,)/VLOOKUP($D162,$C$5:$AU$493,3,))*$E162)</f>
        <v>0</v>
      </c>
      <c r="M162" s="67">
        <f>IF(VLOOKUP($D162,$C$5:$AU$493,3,)=0,0,(VLOOKUP($D162,$C$5:$AU$493,11,)/VLOOKUP($D162,$C$5:$AU$493,3,))*$E162)</f>
        <v>0</v>
      </c>
      <c r="N162" s="67">
        <f>IF(VLOOKUP($D162,$C$5:$AU$493,3,)=0,0,(VLOOKUP($D162,$C$5:$AU$493,12,)/VLOOKUP($D162,$C$5:$AU$493,3,))*$E162)</f>
        <v>0</v>
      </c>
      <c r="O162" s="67">
        <f>IF(VLOOKUP($D162,$C$5:$AU$493,3,)=0,0,(VLOOKUP($D162,$C$5:$AU$493,13,)/VLOOKUP($D162,$C$5:$AU$493,3,))*$E162)</f>
        <v>0</v>
      </c>
      <c r="P162" s="67">
        <f>IF(VLOOKUP($D162,$C$5:$AU$493,3,)=0,0,(VLOOKUP($D162,$C$5:$AU$493,14,)/VLOOKUP($D162,$C$5:$AU$493,3,))*$E162)</f>
        <v>0</v>
      </c>
      <c r="Q162" s="67">
        <f>IF(VLOOKUP($D162,$C$5:$AU$493,3,)=0,0,(VLOOKUP($D162,$C$5:$AU$493,15,)/VLOOKUP($D162,$C$5:$AU$493,3,))*$E162)</f>
        <v>0</v>
      </c>
      <c r="R162" s="67">
        <f>IF(VLOOKUP($D162,$C$5:$AU$493,3,)=0,0,(VLOOKUP($D162,$C$5:$AU$493,16,)/VLOOKUP($D162,$C$5:$AU$493,3,))*$E162)</f>
        <v>0</v>
      </c>
      <c r="S162" s="67">
        <f>IF(VLOOKUP($D162,$C$5:$AU$493,3,)=0,0,(VLOOKUP($D162,$C$5:$AU$493,17,)/VLOOKUP($D162,$C$5:$AU$493,3,))*$E162)</f>
        <v>0</v>
      </c>
      <c r="T162" s="67">
        <f>IF(VLOOKUP($D162,$C$5:$AU$493,3,)=0,0,(VLOOKUP($D162,$C$5:$AU$493,18,)/VLOOKUP($D162,$C$5:$AU$493,3,))*$E162)</f>
        <v>0</v>
      </c>
      <c r="U162" s="67">
        <f>IF(VLOOKUP($D162,$C$5:$AU$493,3,)=0,0,(VLOOKUP($D162,$C$5:$AU$493,19,)/VLOOKUP($D162,$C$5:$AU$493,3,))*$E162)</f>
        <v>0</v>
      </c>
      <c r="V162" s="67">
        <f>IF(VLOOKUP($D162,$C$5:$AU$493,3,)=0,0,(VLOOKUP($D162,$C$5:$AU$493,20,)/VLOOKUP($D162,$C$5:$AU$493,3,))*$E162)</f>
        <v>0</v>
      </c>
      <c r="W162" s="67">
        <f>IF(VLOOKUP($D162,$C$5:$AU$493,3,)=0,0,(VLOOKUP($D162,$C$5:$AU$493,21,)/VLOOKUP($D162,$C$5:$AU$493,3,))*$E162)</f>
        <v>0</v>
      </c>
      <c r="X162" s="67">
        <f>IF(VLOOKUP($D162,$C$5:$AU$493,3,)=0,0,(VLOOKUP($D162,$C$5:$AU$493,22,)/VLOOKUP($D162,$C$5:$AU$493,3,))*$E162)</f>
        <v>0</v>
      </c>
      <c r="Y162" s="67">
        <f>IF(VLOOKUP($D162,$C$5:$AU$493,3,)=0,0,(VLOOKUP($D162,$C$5:$AU$493,23,)/VLOOKUP($D162,$C$5:$AU$493,3,))*$E162)</f>
        <v>0</v>
      </c>
      <c r="Z162" s="67">
        <f>IF(VLOOKUP($D162,$C$5:$AU$493,3,)=0,0,(VLOOKUP($D162,$C$5:$AU$493,24,)/VLOOKUP($D162,$C$5:$AU$493,3,))*$E162)</f>
        <v>0</v>
      </c>
      <c r="AA162" s="67">
        <f>IF(VLOOKUP($D162,$C$5:$AU$493,3,)=0,0,(VLOOKUP($D162,$C$5:$AU$493,25,)/VLOOKUP($D162,$C$5:$AU$493,3,))*$E162)</f>
        <v>0</v>
      </c>
      <c r="AB162" s="67">
        <f>IF(VLOOKUP($D162,$C$5:$AU$493,3,)=0,0,(VLOOKUP($D162,$C$5:$AU$493,26,)/VLOOKUP($D162,$C$5:$AU$493,3,))*$E162)</f>
        <v>0</v>
      </c>
      <c r="AC162" s="67">
        <f>IF(VLOOKUP($D162,$C$5:$AU$493,3,)=0,0,(VLOOKUP($D162,$C$5:$AU$493,27,)/VLOOKUP($D162,$C$5:$AU$493,3,))*$E162)</f>
        <v>0</v>
      </c>
      <c r="AD162" s="67">
        <f>IF(VLOOKUP($D162,$C$5:$AU$493,3,)=0,0,(VLOOKUP($D162,$C$5:$AU$493,28,)/VLOOKUP($D162,$C$5:$AU$493,3,))*$E162)</f>
        <v>0</v>
      </c>
      <c r="AE162" s="67">
        <f>IF(VLOOKUP($D162,$C$5:$AU$493,3,)=0,0,(VLOOKUP($D162,$C$5:$AU$493,29,)/VLOOKUP($D162,$C$5:$AU$493,3,))*$E162)</f>
        <v>0</v>
      </c>
      <c r="AF162" s="67">
        <f>IF(VLOOKUP($D162,$C$5:$AU$493,3,)=0,0,(VLOOKUP($D162,$C$5:$AU$493,30,)/VLOOKUP($D162,$C$5:$AU$493,3,))*$E162)</f>
        <v>0</v>
      </c>
      <c r="AG162" s="90">
        <f>SUM(F162:AF162)</f>
        <v>0</v>
      </c>
      <c r="AH162" s="28" t="str">
        <f>IF(ABS(E162-AG162)&lt;0.01,"ok","err")</f>
        <v>ok</v>
      </c>
    </row>
    <row r="163" spans="1:34" x14ac:dyDescent="0.25">
      <c r="A163" s="14" t="s">
        <v>213</v>
      </c>
      <c r="C163" s="14" t="s">
        <v>274</v>
      </c>
      <c r="E163" s="50">
        <f t="shared" ref="E163:T163" si="41">E161+E162</f>
        <v>0</v>
      </c>
      <c r="F163" s="67">
        <f t="shared" si="41"/>
        <v>0</v>
      </c>
      <c r="G163" s="67">
        <f t="shared" si="41"/>
        <v>0</v>
      </c>
      <c r="H163" s="67">
        <f t="shared" si="41"/>
        <v>0</v>
      </c>
      <c r="I163" s="67">
        <f t="shared" si="41"/>
        <v>0</v>
      </c>
      <c r="J163" s="67">
        <f t="shared" si="41"/>
        <v>0</v>
      </c>
      <c r="K163" s="67">
        <f t="shared" si="41"/>
        <v>0</v>
      </c>
      <c r="L163" s="67">
        <f t="shared" si="41"/>
        <v>0</v>
      </c>
      <c r="M163" s="67">
        <f t="shared" si="41"/>
        <v>0</v>
      </c>
      <c r="N163" s="67">
        <f t="shared" si="41"/>
        <v>0</v>
      </c>
      <c r="O163" s="67">
        <f t="shared" si="41"/>
        <v>0</v>
      </c>
      <c r="P163" s="67">
        <f t="shared" si="41"/>
        <v>0</v>
      </c>
      <c r="Q163" s="67">
        <f t="shared" si="41"/>
        <v>0</v>
      </c>
      <c r="R163" s="67">
        <f t="shared" si="41"/>
        <v>0</v>
      </c>
      <c r="S163" s="67">
        <f t="shared" si="41"/>
        <v>0</v>
      </c>
      <c r="T163" s="67">
        <f t="shared" si="41"/>
        <v>0</v>
      </c>
      <c r="U163" s="67">
        <f t="shared" ref="U163:AF163" si="42">U161+U162</f>
        <v>0</v>
      </c>
      <c r="V163" s="67">
        <f t="shared" si="42"/>
        <v>0</v>
      </c>
      <c r="W163" s="67">
        <f t="shared" si="42"/>
        <v>0</v>
      </c>
      <c r="X163" s="67">
        <f t="shared" si="42"/>
        <v>0</v>
      </c>
      <c r="Y163" s="67">
        <f t="shared" si="42"/>
        <v>0</v>
      </c>
      <c r="Z163" s="67">
        <f t="shared" si="42"/>
        <v>0</v>
      </c>
      <c r="AA163" s="67">
        <f t="shared" si="42"/>
        <v>0</v>
      </c>
      <c r="AB163" s="67">
        <f t="shared" si="42"/>
        <v>0</v>
      </c>
      <c r="AC163" s="67">
        <f t="shared" si="42"/>
        <v>0</v>
      </c>
      <c r="AD163" s="67">
        <f t="shared" si="42"/>
        <v>0</v>
      </c>
      <c r="AE163" s="67">
        <f t="shared" si="42"/>
        <v>0</v>
      </c>
      <c r="AF163" s="67">
        <f t="shared" si="42"/>
        <v>0</v>
      </c>
      <c r="AG163" s="90">
        <f>SUM(F163:AF163)</f>
        <v>0</v>
      </c>
      <c r="AH163" s="28" t="str">
        <f>IF(ABS(E163-AG163)&lt;0.01,"ok","err")</f>
        <v>ok</v>
      </c>
    </row>
    <row r="164" spans="1:34" x14ac:dyDescent="0.25">
      <c r="E164" s="50"/>
      <c r="F164" s="50"/>
    </row>
    <row r="165" spans="1:34" x14ac:dyDescent="0.25">
      <c r="A165" s="13" t="s">
        <v>348</v>
      </c>
      <c r="E165" s="50"/>
      <c r="F165" s="50"/>
    </row>
    <row r="166" spans="1:34" x14ac:dyDescent="0.25">
      <c r="A166" s="93" t="s">
        <v>207</v>
      </c>
      <c r="C166" s="14" t="s">
        <v>883</v>
      </c>
      <c r="D166" s="14" t="s">
        <v>624</v>
      </c>
      <c r="E166" s="67">
        <f>'Func &amp; Classif'!K461</f>
        <v>0</v>
      </c>
      <c r="F166" s="67">
        <f>IF(VLOOKUP($D166,$C$5:$AU$493,3,)=0,0,(VLOOKUP($D166,$C$5:$AU$493,4,)/VLOOKUP($D166,$C$5:$AU$493,3,))*$E166)</f>
        <v>0</v>
      </c>
      <c r="G166" s="67">
        <f>IF(VLOOKUP($D166,$C$5:$AU$493,3,)=0,0,(VLOOKUP($D166,$C$5:$AU$493,5,)/VLOOKUP($D166,$C$5:$AU$493,3,))*$E166)</f>
        <v>0</v>
      </c>
      <c r="H166" s="67">
        <f>IF(VLOOKUP($D166,$C$5:$AU$493,3,)=0,0,(VLOOKUP($D166,$C$5:$AU$493,6,)/VLOOKUP($D166,$C$5:$AU$493,3,))*$E166)</f>
        <v>0</v>
      </c>
      <c r="I166" s="67">
        <f>IF(VLOOKUP($D166,$C$5:$AU$493,3,)=0,0,(VLOOKUP($D166,$C$5:$AU$493,7,)/VLOOKUP($D166,$C$5:$AU$493,3,))*$E166)</f>
        <v>0</v>
      </c>
      <c r="J166" s="67">
        <f>IF(VLOOKUP($D166,$C$5:$AU$493,3,)=0,0,(VLOOKUP($D166,$C$5:$AU$493,8,)/VLOOKUP($D166,$C$5:$AU$493,3,))*$E166)</f>
        <v>0</v>
      </c>
      <c r="K166" s="67">
        <f>IF(VLOOKUP($D166,$C$5:$AU$493,3,)=0,0,(VLOOKUP($D166,$C$5:$AU$493,9,)/VLOOKUP($D166,$C$5:$AU$493,3,))*$E166)</f>
        <v>0</v>
      </c>
      <c r="L166" s="67">
        <f>IF(VLOOKUP($D166,$C$5:$AU$493,3,)=0,0,(VLOOKUP($D166,$C$5:$AU$493,10,)/VLOOKUP($D166,$C$5:$AU$493,3,))*$E166)</f>
        <v>0</v>
      </c>
      <c r="M166" s="67">
        <f>IF(VLOOKUP($D166,$C$5:$AU$493,3,)=0,0,(VLOOKUP($D166,$C$5:$AU$493,11,)/VLOOKUP($D166,$C$5:$AU$493,3,))*$E166)</f>
        <v>0</v>
      </c>
      <c r="N166" s="67">
        <f>IF(VLOOKUP($D166,$C$5:$AU$493,3,)=0,0,(VLOOKUP($D166,$C$5:$AU$493,12,)/VLOOKUP($D166,$C$5:$AU$493,3,))*$E166)</f>
        <v>0</v>
      </c>
      <c r="O166" s="67">
        <f>IF(VLOOKUP($D166,$C$5:$AU$493,3,)=0,0,(VLOOKUP($D166,$C$5:$AU$493,13,)/VLOOKUP($D166,$C$5:$AU$493,3,))*$E166)</f>
        <v>0</v>
      </c>
      <c r="P166" s="67">
        <f>IF(VLOOKUP($D166,$C$5:$AU$493,3,)=0,0,(VLOOKUP($D166,$C$5:$AU$493,14,)/VLOOKUP($D166,$C$5:$AU$493,3,))*$E166)</f>
        <v>0</v>
      </c>
      <c r="Q166" s="67">
        <f>IF(VLOOKUP($D166,$C$5:$AU$493,3,)=0,0,(VLOOKUP($D166,$C$5:$AU$493,15,)/VLOOKUP($D166,$C$5:$AU$493,3,))*$E166)</f>
        <v>0</v>
      </c>
      <c r="R166" s="67">
        <f>IF(VLOOKUP($D166,$C$5:$AU$493,3,)=0,0,(VLOOKUP($D166,$C$5:$AU$493,16,)/VLOOKUP($D166,$C$5:$AU$493,3,))*$E166)</f>
        <v>0</v>
      </c>
      <c r="S166" s="67">
        <f>IF(VLOOKUP($D166,$C$5:$AU$493,3,)=0,0,(VLOOKUP($D166,$C$5:$AU$493,17,)/VLOOKUP($D166,$C$5:$AU$493,3,))*$E166)</f>
        <v>0</v>
      </c>
      <c r="T166" s="67">
        <f>IF(VLOOKUP($D166,$C$5:$AU$493,3,)=0,0,(VLOOKUP($D166,$C$5:$AU$493,18,)/VLOOKUP($D166,$C$5:$AU$493,3,))*$E166)</f>
        <v>0</v>
      </c>
      <c r="U166" s="67">
        <f>IF(VLOOKUP($D166,$C$5:$AU$493,3,)=0,0,(VLOOKUP($D166,$C$5:$AU$493,19,)/VLOOKUP($D166,$C$5:$AU$493,3,))*$E166)</f>
        <v>0</v>
      </c>
      <c r="V166" s="67">
        <f>IF(VLOOKUP($D166,$C$5:$AU$493,3,)=0,0,(VLOOKUP($D166,$C$5:$AU$493,20,)/VLOOKUP($D166,$C$5:$AU$493,3,))*$E166)</f>
        <v>0</v>
      </c>
      <c r="W166" s="67">
        <f>IF(VLOOKUP($D166,$C$5:$AU$493,3,)=0,0,(VLOOKUP($D166,$C$5:$AU$493,21,)/VLOOKUP($D166,$C$5:$AU$493,3,))*$E166)</f>
        <v>0</v>
      </c>
      <c r="X166" s="67">
        <f>IF(VLOOKUP($D166,$C$5:$AU$493,3,)=0,0,(VLOOKUP($D166,$C$5:$AU$493,22,)/VLOOKUP($D166,$C$5:$AU$493,3,))*$E166)</f>
        <v>0</v>
      </c>
      <c r="Y166" s="67">
        <f>IF(VLOOKUP($D166,$C$5:$AU$493,3,)=0,0,(VLOOKUP($D166,$C$5:$AU$493,23,)/VLOOKUP($D166,$C$5:$AU$493,3,))*$E166)</f>
        <v>0</v>
      </c>
      <c r="Z166" s="67">
        <f>IF(VLOOKUP($D166,$C$5:$AU$493,3,)=0,0,(VLOOKUP($D166,$C$5:$AU$493,24,)/VLOOKUP($D166,$C$5:$AU$493,3,))*$E166)</f>
        <v>0</v>
      </c>
      <c r="AA166" s="67">
        <f>IF(VLOOKUP($D166,$C$5:$AU$493,3,)=0,0,(VLOOKUP($D166,$C$5:$AU$493,25,)/VLOOKUP($D166,$C$5:$AU$493,3,))*$E166)</f>
        <v>0</v>
      </c>
      <c r="AB166" s="67">
        <f>IF(VLOOKUP($D166,$C$5:$AU$493,3,)=0,0,(VLOOKUP($D166,$C$5:$AU$493,26,)/VLOOKUP($D166,$C$5:$AU$493,3,))*$E166)</f>
        <v>0</v>
      </c>
      <c r="AC166" s="67">
        <f>IF(VLOOKUP($D166,$C$5:$AU$493,3,)=0,0,(VLOOKUP($D166,$C$5:$AU$493,27,)/VLOOKUP($D166,$C$5:$AU$493,3,))*$E166)</f>
        <v>0</v>
      </c>
      <c r="AD166" s="67">
        <f>IF(VLOOKUP($D166,$C$5:$AU$493,3,)=0,0,(VLOOKUP($D166,$C$5:$AU$493,28,)/VLOOKUP($D166,$C$5:$AU$493,3,))*$E166)</f>
        <v>0</v>
      </c>
      <c r="AE166" s="67">
        <f>IF(VLOOKUP($D166,$C$5:$AU$493,3,)=0,0,(VLOOKUP($D166,$C$5:$AU$493,29,)/VLOOKUP($D166,$C$5:$AU$493,3,))*$E166)</f>
        <v>0</v>
      </c>
      <c r="AF166" s="67">
        <f>IF(VLOOKUP($D166,$C$5:$AU$493,3,)=0,0,(VLOOKUP($D166,$C$5:$AU$493,30,)/VLOOKUP($D166,$C$5:$AU$493,3,))*$E166)</f>
        <v>0</v>
      </c>
      <c r="AG166" s="90">
        <f>SUM(F166:AF166)</f>
        <v>0</v>
      </c>
      <c r="AH166" s="28" t="str">
        <f>IF(ABS(E166-AG166)&lt;0.01,"ok","err")</f>
        <v>ok</v>
      </c>
    </row>
    <row r="167" spans="1:34" x14ac:dyDescent="0.25">
      <c r="E167" s="50"/>
    </row>
    <row r="168" spans="1:34" x14ac:dyDescent="0.25">
      <c r="A168" s="13" t="s">
        <v>1</v>
      </c>
      <c r="E168" s="50"/>
      <c r="F168" s="50"/>
    </row>
    <row r="169" spans="1:34" x14ac:dyDescent="0.25">
      <c r="A169" s="93" t="s">
        <v>207</v>
      </c>
      <c r="C169" s="14" t="s">
        <v>275</v>
      </c>
      <c r="D169" s="14" t="s">
        <v>631</v>
      </c>
      <c r="E169" s="67">
        <f>'Func &amp; Classif'!M461</f>
        <v>6520.6673864328004</v>
      </c>
      <c r="F169" s="67">
        <f>IF(VLOOKUP($D169,$C$5:$AU$493,3,)=0,0,(VLOOKUP($D169,$C$5:$AU$493,4,)/VLOOKUP($D169,$C$5:$AU$493,3,))*$E169)</f>
        <v>4167.3463557546693</v>
      </c>
      <c r="G169" s="67">
        <f>IF(VLOOKUP($D169,$C$5:$AU$493,3,)=0,0,(VLOOKUP($D169,$C$5:$AU$493,5,)/VLOOKUP($D169,$C$5:$AU$493,3,))*$E169)</f>
        <v>0</v>
      </c>
      <c r="H169" s="67">
        <f>IF(VLOOKUP($D169,$C$5:$AU$493,3,)=0,0,(VLOOKUP($D169,$C$5:$AU$493,6,)/VLOOKUP($D169,$C$5:$AU$493,3,))*$E169)</f>
        <v>296.0124016670606</v>
      </c>
      <c r="I169" s="67">
        <f>IF(VLOOKUP($D169,$C$5:$AU$493,3,)=0,0,(VLOOKUP($D169,$C$5:$AU$493,7,)/VLOOKUP($D169,$C$5:$AU$493,3,))*$E169)</f>
        <v>598.65780066418188</v>
      </c>
      <c r="J169" s="67">
        <f>IF(VLOOKUP($D169,$C$5:$AU$493,3,)=0,0,(VLOOKUP($D169,$C$5:$AU$493,8,)/VLOOKUP($D169,$C$5:$AU$493,3,))*$E169)</f>
        <v>483.4662484052659</v>
      </c>
      <c r="K169" s="67">
        <f>IF(VLOOKUP($D169,$C$5:$AU$493,3,)=0,0,(VLOOKUP($D169,$C$5:$AU$493,9,)/VLOOKUP($D169,$C$5:$AU$493,3,))*$E169)</f>
        <v>772.60865616218416</v>
      </c>
      <c r="L169" s="67">
        <f>IF(VLOOKUP($D169,$C$5:$AU$493,3,)=0,0,(VLOOKUP($D169,$C$5:$AU$493,10,)/VLOOKUP($D169,$C$5:$AU$493,3,))*$E169)</f>
        <v>202.57590600428549</v>
      </c>
      <c r="M169" s="67">
        <f>IF(VLOOKUP($D169,$C$5:$AU$493,3,)=0,0,(VLOOKUP($D169,$C$5:$AU$493,11,)/VLOOKUP($D169,$C$5:$AU$493,3,))*$E169)</f>
        <v>0</v>
      </c>
      <c r="N169" s="67">
        <f>IF(VLOOKUP($D169,$C$5:$AU$493,3,)=0,0,(VLOOKUP($D169,$C$5:$AU$493,12,)/VLOOKUP($D169,$C$5:$AU$493,3,))*$E169)</f>
        <v>0</v>
      </c>
      <c r="O169" s="67">
        <f>IF(VLOOKUP($D169,$C$5:$AU$493,3,)=0,0,(VLOOKUP($D169,$C$5:$AU$493,13,)/VLOOKUP($D169,$C$5:$AU$493,3,))*$E169)</f>
        <v>0</v>
      </c>
      <c r="P169" s="67">
        <f>IF(VLOOKUP($D169,$C$5:$AU$493,3,)=0,0,(VLOOKUP($D169,$C$5:$AU$493,14,)/VLOOKUP($D169,$C$5:$AU$493,3,))*$E169)</f>
        <v>0</v>
      </c>
      <c r="Q169" s="67">
        <f>IF(VLOOKUP($D169,$C$5:$AU$493,3,)=0,0,(VLOOKUP($D169,$C$5:$AU$493,15,)/VLOOKUP($D169,$C$5:$AU$493,3,))*$E169)</f>
        <v>0</v>
      </c>
      <c r="R169" s="67">
        <f>IF(VLOOKUP($D169,$C$5:$AU$493,3,)=0,0,(VLOOKUP($D169,$C$5:$AU$493,16,)/VLOOKUP($D169,$C$5:$AU$493,3,))*$E169)</f>
        <v>0</v>
      </c>
      <c r="S169" s="67">
        <f>IF(VLOOKUP($D169,$C$5:$AU$493,3,)=0,0,(VLOOKUP($D169,$C$5:$AU$493,17,)/VLOOKUP($D169,$C$5:$AU$493,3,))*$E169)</f>
        <v>0</v>
      </c>
      <c r="T169" s="67">
        <f>IF(VLOOKUP($D169,$C$5:$AU$493,3,)=0,0,(VLOOKUP($D169,$C$5:$AU$493,18,)/VLOOKUP($D169,$C$5:$AU$493,3,))*$E169)</f>
        <v>0</v>
      </c>
      <c r="U169" s="67">
        <f>IF(VLOOKUP($D169,$C$5:$AU$493,3,)=0,0,(VLOOKUP($D169,$C$5:$AU$493,19,)/VLOOKUP($D169,$C$5:$AU$493,3,))*$E169)</f>
        <v>0</v>
      </c>
      <c r="V169" s="67">
        <f>IF(VLOOKUP($D169,$C$5:$AU$493,3,)=0,0,(VLOOKUP($D169,$C$5:$AU$493,20,)/VLOOKUP($D169,$C$5:$AU$493,3,))*$E169)</f>
        <v>0</v>
      </c>
      <c r="W169" s="67">
        <f>IF(VLOOKUP($D169,$C$5:$AU$493,3,)=0,0,(VLOOKUP($D169,$C$5:$AU$493,21,)/VLOOKUP($D169,$C$5:$AU$493,3,))*$E169)</f>
        <v>0</v>
      </c>
      <c r="X169" s="67">
        <f>IF(VLOOKUP($D169,$C$5:$AU$493,3,)=0,0,(VLOOKUP($D169,$C$5:$AU$493,22,)/VLOOKUP($D169,$C$5:$AU$493,3,))*$E169)</f>
        <v>0</v>
      </c>
      <c r="Y169" s="67">
        <f>IF(VLOOKUP($D169,$C$5:$AU$493,3,)=0,0,(VLOOKUP($D169,$C$5:$AU$493,23,)/VLOOKUP($D169,$C$5:$AU$493,3,))*$E169)</f>
        <v>0</v>
      </c>
      <c r="Z169" s="67">
        <f>IF(VLOOKUP($D169,$C$5:$AU$493,3,)=0,0,(VLOOKUP($D169,$C$5:$AU$493,24,)/VLOOKUP($D169,$C$5:$AU$493,3,))*$E169)</f>
        <v>0</v>
      </c>
      <c r="AA169" s="67">
        <f>IF(VLOOKUP($D169,$C$5:$AU$493,3,)=0,0,(VLOOKUP($D169,$C$5:$AU$493,25,)/VLOOKUP($D169,$C$5:$AU$493,3,))*$E169)</f>
        <v>0</v>
      </c>
      <c r="AB169" s="67">
        <f>IF(VLOOKUP($D169,$C$5:$AU$493,3,)=0,0,(VLOOKUP($D169,$C$5:$AU$493,26,)/VLOOKUP($D169,$C$5:$AU$493,3,))*$E169)</f>
        <v>0</v>
      </c>
      <c r="AC169" s="67">
        <f>IF(VLOOKUP($D169,$C$5:$AU$493,3,)=0,0,(VLOOKUP($D169,$C$5:$AU$493,27,)/VLOOKUP($D169,$C$5:$AU$493,3,))*$E169)</f>
        <v>0</v>
      </c>
      <c r="AD169" s="67">
        <f>IF(VLOOKUP($D169,$C$5:$AU$493,3,)=0,0,(VLOOKUP($D169,$C$5:$AU$493,28,)/VLOOKUP($D169,$C$5:$AU$493,3,))*$E169)</f>
        <v>0</v>
      </c>
      <c r="AE169" s="67">
        <f>IF(VLOOKUP($D169,$C$5:$AU$493,3,)=0,0,(VLOOKUP($D169,$C$5:$AU$493,29,)/VLOOKUP($D169,$C$5:$AU$493,3,))*$E169)</f>
        <v>0</v>
      </c>
      <c r="AF169" s="67">
        <f>IF(VLOOKUP($D169,$C$5:$AU$493,3,)=0,0,(VLOOKUP($D169,$C$5:$AU$493,30,)/VLOOKUP($D169,$C$5:$AU$493,3,))*$E169)</f>
        <v>0</v>
      </c>
      <c r="AG169" s="90">
        <f>SUM(F169:AF169)</f>
        <v>6520.6673686576478</v>
      </c>
      <c r="AH169" s="28" t="str">
        <f>IF(ABS(E169-AG169)&lt;0.01,"ok","err")</f>
        <v>ok</v>
      </c>
    </row>
    <row r="170" spans="1:34" x14ac:dyDescent="0.25">
      <c r="E170" s="50"/>
    </row>
    <row r="171" spans="1:34" x14ac:dyDescent="0.25">
      <c r="A171" s="13" t="s">
        <v>2</v>
      </c>
      <c r="E171" s="50"/>
    </row>
    <row r="172" spans="1:34" x14ac:dyDescent="0.25">
      <c r="A172" s="93" t="s">
        <v>207</v>
      </c>
      <c r="C172" s="14" t="s">
        <v>276</v>
      </c>
      <c r="D172" s="14" t="s">
        <v>628</v>
      </c>
      <c r="E172" s="67">
        <f>'Func &amp; Classif'!O461</f>
        <v>1493501.8733136002</v>
      </c>
      <c r="F172" s="67">
        <f>IF(VLOOKUP($D172,$C$5:$AU$493,3,)=0,0,(VLOOKUP($D172,$C$5:$AU$493,4,)/VLOOKUP($D172,$C$5:$AU$493,3,))*$E172)</f>
        <v>1060249.7698286381</v>
      </c>
      <c r="G172" s="67">
        <f>IF(VLOOKUP($D172,$C$5:$AU$493,3,)=0,0,(VLOOKUP($D172,$C$5:$AU$493,5,)/VLOOKUP($D172,$C$5:$AU$493,3,))*$E172)</f>
        <v>933.73246497494063</v>
      </c>
      <c r="H172" s="67">
        <f>IF(VLOOKUP($D172,$C$5:$AU$493,3,)=0,0,(VLOOKUP($D172,$C$5:$AU$493,6,)/VLOOKUP($D172,$C$5:$AU$493,3,))*$E172)</f>
        <v>38405.87689361001</v>
      </c>
      <c r="I172" s="67">
        <f>IF(VLOOKUP($D172,$C$5:$AU$493,3,)=0,0,(VLOOKUP($D172,$C$5:$AU$493,7,)/VLOOKUP($D172,$C$5:$AU$493,3,))*$E172)</f>
        <v>77212.559678921811</v>
      </c>
      <c r="J172" s="67">
        <f>IF(VLOOKUP($D172,$C$5:$AU$493,3,)=0,0,(VLOOKUP($D172,$C$5:$AU$493,8,)/VLOOKUP($D172,$C$5:$AU$493,3,))*$E172)</f>
        <v>111644.24914426431</v>
      </c>
      <c r="K172" s="67">
        <f>IF(VLOOKUP($D172,$C$5:$AU$493,3,)=0,0,(VLOOKUP($D172,$C$5:$AU$493,9,)/VLOOKUP($D172,$C$5:$AU$493,3,))*$E172)</f>
        <v>160572.90912385014</v>
      </c>
      <c r="L172" s="67">
        <f>IF(VLOOKUP($D172,$C$5:$AU$493,3,)=0,0,(VLOOKUP($D172,$C$5:$AU$493,10,)/VLOOKUP($D172,$C$5:$AU$493,3,))*$E172)</f>
        <v>42101.78372461762</v>
      </c>
      <c r="M172" s="67">
        <f>IF(VLOOKUP($D172,$C$5:$AU$493,3,)=0,0,(VLOOKUP($D172,$C$5:$AU$493,11,)/VLOOKUP($D172,$C$5:$AU$493,3,))*$E172)</f>
        <v>2380.9924547237738</v>
      </c>
      <c r="N172" s="67">
        <f>IF(VLOOKUP($D172,$C$5:$AU$493,3,)=0,0,(VLOOKUP($D172,$C$5:$AU$493,12,)/VLOOKUP($D172,$C$5:$AU$493,3,))*$E172)</f>
        <v>0</v>
      </c>
      <c r="O172" s="67">
        <f>IF(VLOOKUP($D172,$C$5:$AU$493,3,)=0,0,(VLOOKUP($D172,$C$5:$AU$493,13,)/VLOOKUP($D172,$C$5:$AU$493,3,))*$E172)</f>
        <v>0</v>
      </c>
      <c r="P172" s="67">
        <f>IF(VLOOKUP($D172,$C$5:$AU$493,3,)=0,0,(VLOOKUP($D172,$C$5:$AU$493,14,)/VLOOKUP($D172,$C$5:$AU$493,3,))*$E172)</f>
        <v>0</v>
      </c>
      <c r="Q172" s="67">
        <f>IF(VLOOKUP($D172,$C$5:$AU$493,3,)=0,0,(VLOOKUP($D172,$C$5:$AU$493,15,)/VLOOKUP($D172,$C$5:$AU$493,3,))*$E172)</f>
        <v>0</v>
      </c>
      <c r="R172" s="67">
        <f>IF(VLOOKUP($D172,$C$5:$AU$493,3,)=0,0,(VLOOKUP($D172,$C$5:$AU$493,16,)/VLOOKUP($D172,$C$5:$AU$493,3,))*$E172)</f>
        <v>0</v>
      </c>
      <c r="S172" s="67">
        <f>IF(VLOOKUP($D172,$C$5:$AU$493,3,)=0,0,(VLOOKUP($D172,$C$5:$AU$493,17,)/VLOOKUP($D172,$C$5:$AU$493,3,))*$E172)</f>
        <v>0</v>
      </c>
      <c r="T172" s="67">
        <f>IF(VLOOKUP($D172,$C$5:$AU$493,3,)=0,0,(VLOOKUP($D172,$C$5:$AU$493,18,)/VLOOKUP($D172,$C$5:$AU$493,3,))*$E172)</f>
        <v>0</v>
      </c>
      <c r="U172" s="67">
        <f>IF(VLOOKUP($D172,$C$5:$AU$493,3,)=0,0,(VLOOKUP($D172,$C$5:$AU$493,19,)/VLOOKUP($D172,$C$5:$AU$493,3,))*$E172)</f>
        <v>0</v>
      </c>
      <c r="V172" s="67">
        <f>IF(VLOOKUP($D172,$C$5:$AU$493,3,)=0,0,(VLOOKUP($D172,$C$5:$AU$493,20,)/VLOOKUP($D172,$C$5:$AU$493,3,))*$E172)</f>
        <v>0</v>
      </c>
      <c r="W172" s="67">
        <f>IF(VLOOKUP($D172,$C$5:$AU$493,3,)=0,0,(VLOOKUP($D172,$C$5:$AU$493,21,)/VLOOKUP($D172,$C$5:$AU$493,3,))*$E172)</f>
        <v>0</v>
      </c>
      <c r="X172" s="67">
        <f>IF(VLOOKUP($D172,$C$5:$AU$493,3,)=0,0,(VLOOKUP($D172,$C$5:$AU$493,22,)/VLOOKUP($D172,$C$5:$AU$493,3,))*$E172)</f>
        <v>0</v>
      </c>
      <c r="Y172" s="67">
        <f>IF(VLOOKUP($D172,$C$5:$AU$493,3,)=0,0,(VLOOKUP($D172,$C$5:$AU$493,23,)/VLOOKUP($D172,$C$5:$AU$493,3,))*$E172)</f>
        <v>0</v>
      </c>
      <c r="Z172" s="67">
        <f>IF(VLOOKUP($D172,$C$5:$AU$493,3,)=0,0,(VLOOKUP($D172,$C$5:$AU$493,24,)/VLOOKUP($D172,$C$5:$AU$493,3,))*$E172)</f>
        <v>0</v>
      </c>
      <c r="AA172" s="67">
        <f>IF(VLOOKUP($D172,$C$5:$AU$493,3,)=0,0,(VLOOKUP($D172,$C$5:$AU$493,25,)/VLOOKUP($D172,$C$5:$AU$493,3,))*$E172)</f>
        <v>0</v>
      </c>
      <c r="AB172" s="67">
        <f>IF(VLOOKUP($D172,$C$5:$AU$493,3,)=0,0,(VLOOKUP($D172,$C$5:$AU$493,26,)/VLOOKUP($D172,$C$5:$AU$493,3,))*$E172)</f>
        <v>0</v>
      </c>
      <c r="AC172" s="67">
        <f>IF(VLOOKUP($D172,$C$5:$AU$493,3,)=0,0,(VLOOKUP($D172,$C$5:$AU$493,27,)/VLOOKUP($D172,$C$5:$AU$493,3,))*$E172)</f>
        <v>0</v>
      </c>
      <c r="AD172" s="67">
        <f>IF(VLOOKUP($D172,$C$5:$AU$493,3,)=0,0,(VLOOKUP($D172,$C$5:$AU$493,28,)/VLOOKUP($D172,$C$5:$AU$493,3,))*$E172)</f>
        <v>0</v>
      </c>
      <c r="AE172" s="67">
        <f>IF(VLOOKUP($D172,$C$5:$AU$493,3,)=0,0,(VLOOKUP($D172,$C$5:$AU$493,29,)/VLOOKUP($D172,$C$5:$AU$493,3,))*$E172)</f>
        <v>0</v>
      </c>
      <c r="AF172" s="67">
        <f>IF(VLOOKUP($D172,$C$5:$AU$493,3,)=0,0,(VLOOKUP($D172,$C$5:$AU$493,30,)/VLOOKUP($D172,$C$5:$AU$493,3,))*$E172)</f>
        <v>0</v>
      </c>
      <c r="AG172" s="90">
        <f>SUM(F172:AF172)</f>
        <v>1493501.8733136004</v>
      </c>
      <c r="AH172" s="28" t="str">
        <f>IF(ABS(E172-AG172)&lt;0.01,"ok","err")</f>
        <v>ok</v>
      </c>
    </row>
    <row r="173" spans="1:34" x14ac:dyDescent="0.25">
      <c r="A173" s="93" t="s">
        <v>219</v>
      </c>
      <c r="C173" s="14" t="s">
        <v>277</v>
      </c>
      <c r="D173" s="14" t="s">
        <v>221</v>
      </c>
      <c r="E173" s="50">
        <f>'Func &amp; Classif'!P461</f>
        <v>437559.91348233039</v>
      </c>
      <c r="F173" s="67">
        <f>IF(VLOOKUP($D173,$C$5:$AU$493,3,)=0,0,(VLOOKUP($D173,$C$5:$AU$493,4,)/VLOOKUP($D173,$C$5:$AU$493,3,))*$E173)</f>
        <v>321227.93933400657</v>
      </c>
      <c r="G173" s="67">
        <f>IF(VLOOKUP($D173,$C$5:$AU$493,3,)=0,0,(VLOOKUP($D173,$C$5:$AU$493,5,)/VLOOKUP($D173,$C$5:$AU$493,3,))*$E173)</f>
        <v>433.51992069754431</v>
      </c>
      <c r="H173" s="67">
        <f>IF(VLOOKUP($D173,$C$5:$AU$493,3,)=0,0,(VLOOKUP($D173,$C$5:$AU$493,6,)/VLOOKUP($D173,$C$5:$AU$493,3,))*$E173)</f>
        <v>20125.646223239804</v>
      </c>
      <c r="I173" s="67">
        <f>IF(VLOOKUP($D173,$C$5:$AU$493,3,)=0,0,(VLOOKUP($D173,$C$5:$AU$493,7,)/VLOOKUP($D173,$C$5:$AU$493,3,))*$E173)</f>
        <v>93041.632503992005</v>
      </c>
      <c r="J173" s="67">
        <f>IF(VLOOKUP($D173,$C$5:$AU$493,3,)=0,0,(VLOOKUP($D173,$C$5:$AU$493,8,)/VLOOKUP($D173,$C$5:$AU$493,3,))*$E173)</f>
        <v>1517.319722441405</v>
      </c>
      <c r="K173" s="67">
        <f>IF(VLOOKUP($D173,$C$5:$AU$493,3,)=0,0,(VLOOKUP($D173,$C$5:$AU$493,9,)/VLOOKUP($D173,$C$5:$AU$493,3,))*$E173)</f>
        <v>346.81593655803539</v>
      </c>
      <c r="L173" s="67">
        <f>IF(VLOOKUP($D173,$C$5:$AU$493,3,)=0,0,(VLOOKUP($D173,$C$5:$AU$493,10,)/VLOOKUP($D173,$C$5:$AU$493,3,))*$E173)</f>
        <v>24.772566897002527</v>
      </c>
      <c r="M173" s="67">
        <f>IF(VLOOKUP($D173,$C$5:$AU$493,3,)=0,0,(VLOOKUP($D173,$C$5:$AU$493,11,)/VLOOKUP($D173,$C$5:$AU$493,3,))*$E173)</f>
        <v>842.26727449808595</v>
      </c>
      <c r="N173" s="67">
        <f>IF(VLOOKUP($D173,$C$5:$AU$493,3,)=0,0,(VLOOKUP($D173,$C$5:$AU$493,12,)/VLOOKUP($D173,$C$5:$AU$493,3,))*$E173)</f>
        <v>0</v>
      </c>
      <c r="O173" s="67">
        <f>IF(VLOOKUP($D173,$C$5:$AU$493,3,)=0,0,(VLOOKUP($D173,$C$5:$AU$493,13,)/VLOOKUP($D173,$C$5:$AU$493,3,))*$E173)</f>
        <v>0</v>
      </c>
      <c r="P173" s="67">
        <f>IF(VLOOKUP($D173,$C$5:$AU$493,3,)=0,0,(VLOOKUP($D173,$C$5:$AU$493,14,)/VLOOKUP($D173,$C$5:$AU$493,3,))*$E173)</f>
        <v>0</v>
      </c>
      <c r="Q173" s="67">
        <f>IF(VLOOKUP($D173,$C$5:$AU$493,3,)=0,0,(VLOOKUP($D173,$C$5:$AU$493,15,)/VLOOKUP($D173,$C$5:$AU$493,3,))*$E173)</f>
        <v>0</v>
      </c>
      <c r="R173" s="67">
        <f>IF(VLOOKUP($D173,$C$5:$AU$493,3,)=0,0,(VLOOKUP($D173,$C$5:$AU$493,16,)/VLOOKUP($D173,$C$5:$AU$493,3,))*$E173)</f>
        <v>0</v>
      </c>
      <c r="S173" s="67">
        <f>IF(VLOOKUP($D173,$C$5:$AU$493,3,)=0,0,(VLOOKUP($D173,$C$5:$AU$493,17,)/VLOOKUP($D173,$C$5:$AU$493,3,))*$E173)</f>
        <v>0</v>
      </c>
      <c r="T173" s="67">
        <f>IF(VLOOKUP($D173,$C$5:$AU$493,3,)=0,0,(VLOOKUP($D173,$C$5:$AU$493,18,)/VLOOKUP($D173,$C$5:$AU$493,3,))*$E173)</f>
        <v>0</v>
      </c>
      <c r="U173" s="67">
        <f>IF(VLOOKUP($D173,$C$5:$AU$493,3,)=0,0,(VLOOKUP($D173,$C$5:$AU$493,19,)/VLOOKUP($D173,$C$5:$AU$493,3,))*$E173)</f>
        <v>0</v>
      </c>
      <c r="V173" s="67">
        <f>IF(VLOOKUP($D173,$C$5:$AU$493,3,)=0,0,(VLOOKUP($D173,$C$5:$AU$493,20,)/VLOOKUP($D173,$C$5:$AU$493,3,))*$E173)</f>
        <v>0</v>
      </c>
      <c r="W173" s="67">
        <f>IF(VLOOKUP($D173,$C$5:$AU$493,3,)=0,0,(VLOOKUP($D173,$C$5:$AU$493,21,)/VLOOKUP($D173,$C$5:$AU$493,3,))*$E173)</f>
        <v>0</v>
      </c>
      <c r="X173" s="67">
        <f>IF(VLOOKUP($D173,$C$5:$AU$493,3,)=0,0,(VLOOKUP($D173,$C$5:$AU$493,22,)/VLOOKUP($D173,$C$5:$AU$493,3,))*$E173)</f>
        <v>0</v>
      </c>
      <c r="Y173" s="67">
        <f>IF(VLOOKUP($D173,$C$5:$AU$493,3,)=0,0,(VLOOKUP($D173,$C$5:$AU$493,23,)/VLOOKUP($D173,$C$5:$AU$493,3,))*$E173)</f>
        <v>0</v>
      </c>
      <c r="Z173" s="67">
        <f>IF(VLOOKUP($D173,$C$5:$AU$493,3,)=0,0,(VLOOKUP($D173,$C$5:$AU$493,24,)/VLOOKUP($D173,$C$5:$AU$493,3,))*$E173)</f>
        <v>0</v>
      </c>
      <c r="AA173" s="67">
        <f>IF(VLOOKUP($D173,$C$5:$AU$493,3,)=0,0,(VLOOKUP($D173,$C$5:$AU$493,25,)/VLOOKUP($D173,$C$5:$AU$493,3,))*$E173)</f>
        <v>0</v>
      </c>
      <c r="AB173" s="67">
        <f>IF(VLOOKUP($D173,$C$5:$AU$493,3,)=0,0,(VLOOKUP($D173,$C$5:$AU$493,26,)/VLOOKUP($D173,$C$5:$AU$493,3,))*$E173)</f>
        <v>0</v>
      </c>
      <c r="AC173" s="67">
        <f>IF(VLOOKUP($D173,$C$5:$AU$493,3,)=0,0,(VLOOKUP($D173,$C$5:$AU$493,27,)/VLOOKUP($D173,$C$5:$AU$493,3,))*$E173)</f>
        <v>0</v>
      </c>
      <c r="AD173" s="67">
        <f>IF(VLOOKUP($D173,$C$5:$AU$493,3,)=0,0,(VLOOKUP($D173,$C$5:$AU$493,28,)/VLOOKUP($D173,$C$5:$AU$493,3,))*$E173)</f>
        <v>0</v>
      </c>
      <c r="AE173" s="67">
        <f>IF(VLOOKUP($D173,$C$5:$AU$493,3,)=0,0,(VLOOKUP($D173,$C$5:$AU$493,29,)/VLOOKUP($D173,$C$5:$AU$493,3,))*$E173)</f>
        <v>0</v>
      </c>
      <c r="AF173" s="67">
        <f>IF(VLOOKUP($D173,$C$5:$AU$493,3,)=0,0,(VLOOKUP($D173,$C$5:$AU$493,30,)/VLOOKUP($D173,$C$5:$AU$493,3,))*$E173)</f>
        <v>0</v>
      </c>
      <c r="AG173" s="90">
        <f>SUM(F173:AF173)</f>
        <v>437559.91348233039</v>
      </c>
      <c r="AH173" s="28" t="str">
        <f>IF(ABS(E173-AG173)&lt;0.01,"ok","err")</f>
        <v>ok</v>
      </c>
    </row>
    <row r="174" spans="1:34" x14ac:dyDescent="0.25">
      <c r="A174" s="14" t="s">
        <v>222</v>
      </c>
      <c r="E174" s="67">
        <f t="shared" ref="E174:T174" si="43">E172+E173</f>
        <v>1931061.7867959305</v>
      </c>
      <c r="F174" s="67">
        <f t="shared" si="43"/>
        <v>1381477.7091626446</v>
      </c>
      <c r="G174" s="67">
        <f t="shared" si="43"/>
        <v>1367.2523856724849</v>
      </c>
      <c r="H174" s="67">
        <f t="shared" si="43"/>
        <v>58531.523116849814</v>
      </c>
      <c r="I174" s="67">
        <f t="shared" si="43"/>
        <v>170254.19218291383</v>
      </c>
      <c r="J174" s="67">
        <f t="shared" si="43"/>
        <v>113161.56886670571</v>
      </c>
      <c r="K174" s="67">
        <f t="shared" si="43"/>
        <v>160919.72506040818</v>
      </c>
      <c r="L174" s="67">
        <f t="shared" si="43"/>
        <v>42126.556291514622</v>
      </c>
      <c r="M174" s="67">
        <f t="shared" si="43"/>
        <v>3223.2597292218597</v>
      </c>
      <c r="N174" s="67">
        <f t="shared" si="43"/>
        <v>0</v>
      </c>
      <c r="O174" s="67">
        <f t="shared" si="43"/>
        <v>0</v>
      </c>
      <c r="P174" s="67">
        <f t="shared" si="43"/>
        <v>0</v>
      </c>
      <c r="Q174" s="67">
        <f t="shared" si="43"/>
        <v>0</v>
      </c>
      <c r="R174" s="67">
        <f t="shared" si="43"/>
        <v>0</v>
      </c>
      <c r="S174" s="67">
        <f t="shared" si="43"/>
        <v>0</v>
      </c>
      <c r="T174" s="67">
        <f t="shared" si="43"/>
        <v>0</v>
      </c>
      <c r="U174" s="67">
        <f t="shared" ref="U174:AF174" si="44">U172+U173</f>
        <v>0</v>
      </c>
      <c r="V174" s="67">
        <f t="shared" si="44"/>
        <v>0</v>
      </c>
      <c r="W174" s="67">
        <f t="shared" si="44"/>
        <v>0</v>
      </c>
      <c r="X174" s="67">
        <f t="shared" si="44"/>
        <v>0</v>
      </c>
      <c r="Y174" s="67">
        <f t="shared" si="44"/>
        <v>0</v>
      </c>
      <c r="Z174" s="67">
        <f t="shared" si="44"/>
        <v>0</v>
      </c>
      <c r="AA174" s="67">
        <f t="shared" si="44"/>
        <v>0</v>
      </c>
      <c r="AB174" s="67">
        <f t="shared" si="44"/>
        <v>0</v>
      </c>
      <c r="AC174" s="67">
        <f t="shared" si="44"/>
        <v>0</v>
      </c>
      <c r="AD174" s="67">
        <f t="shared" si="44"/>
        <v>0</v>
      </c>
      <c r="AE174" s="67">
        <f t="shared" si="44"/>
        <v>0</v>
      </c>
      <c r="AF174" s="67">
        <f t="shared" si="44"/>
        <v>0</v>
      </c>
      <c r="AG174" s="90">
        <f>SUM(F174:AF174)</f>
        <v>1931061.7867959312</v>
      </c>
      <c r="AH174" s="28" t="str">
        <f>IF(ABS(E174-AG174)&lt;0.01,"ok","err")</f>
        <v>ok</v>
      </c>
    </row>
    <row r="175" spans="1:34" x14ac:dyDescent="0.25">
      <c r="E175" s="50"/>
    </row>
    <row r="176" spans="1:34" x14ac:dyDescent="0.25">
      <c r="A176" s="13" t="s">
        <v>3</v>
      </c>
      <c r="E176" s="50"/>
    </row>
    <row r="177" spans="1:34" x14ac:dyDescent="0.25">
      <c r="A177" s="93" t="s">
        <v>207</v>
      </c>
      <c r="C177" s="14" t="s">
        <v>278</v>
      </c>
      <c r="D177" s="14" t="s">
        <v>700</v>
      </c>
      <c r="E177" s="67">
        <f>'Func &amp; Classif'!R461</f>
        <v>0</v>
      </c>
      <c r="F177" s="67">
        <f>IF(VLOOKUP($D177,$C$5:$AU$493,3,)=0,0,(VLOOKUP($D177,$C$5:$AU$493,4,)/VLOOKUP($D177,$C$5:$AU$493,3,))*$E177)</f>
        <v>0</v>
      </c>
      <c r="G177" s="67">
        <f>IF(VLOOKUP($D177,$C$5:$AU$493,3,)=0,0,(VLOOKUP($D177,$C$5:$AU$493,5,)/VLOOKUP($D177,$C$5:$AU$493,3,))*$E177)</f>
        <v>0</v>
      </c>
      <c r="H177" s="67">
        <f>IF(VLOOKUP($D177,$C$5:$AU$493,3,)=0,0,(VLOOKUP($D177,$C$5:$AU$493,6,)/VLOOKUP($D177,$C$5:$AU$493,3,))*$E177)</f>
        <v>0</v>
      </c>
      <c r="I177" s="67">
        <f>IF(VLOOKUP($D177,$C$5:$AU$493,3,)=0,0,(VLOOKUP($D177,$C$5:$AU$493,7,)/VLOOKUP($D177,$C$5:$AU$493,3,))*$E177)</f>
        <v>0</v>
      </c>
      <c r="J177" s="67">
        <f>IF(VLOOKUP($D177,$C$5:$AU$493,3,)=0,0,(VLOOKUP($D177,$C$5:$AU$493,8,)/VLOOKUP($D177,$C$5:$AU$493,3,))*$E177)</f>
        <v>0</v>
      </c>
      <c r="K177" s="67">
        <f>IF(VLOOKUP($D177,$C$5:$AU$493,3,)=0,0,(VLOOKUP($D177,$C$5:$AU$493,9,)/VLOOKUP($D177,$C$5:$AU$493,3,))*$E177)</f>
        <v>0</v>
      </c>
      <c r="L177" s="67">
        <f>IF(VLOOKUP($D177,$C$5:$AU$493,3,)=0,0,(VLOOKUP($D177,$C$5:$AU$493,10,)/VLOOKUP($D177,$C$5:$AU$493,3,))*$E177)</f>
        <v>0</v>
      </c>
      <c r="M177" s="67">
        <f>IF(VLOOKUP($D177,$C$5:$AU$493,3,)=0,0,(VLOOKUP($D177,$C$5:$AU$493,11,)/VLOOKUP($D177,$C$5:$AU$493,3,))*$E177)</f>
        <v>0</v>
      </c>
      <c r="N177" s="67">
        <f>IF(VLOOKUP($D177,$C$5:$AU$493,3,)=0,0,(VLOOKUP($D177,$C$5:$AU$493,12,)/VLOOKUP($D177,$C$5:$AU$493,3,))*$E177)</f>
        <v>0</v>
      </c>
      <c r="O177" s="67">
        <f>IF(VLOOKUP($D177,$C$5:$AU$493,3,)=0,0,(VLOOKUP($D177,$C$5:$AU$493,13,)/VLOOKUP($D177,$C$5:$AU$493,3,))*$E177)</f>
        <v>0</v>
      </c>
      <c r="P177" s="67">
        <f>IF(VLOOKUP($D177,$C$5:$AU$493,3,)=0,0,(VLOOKUP($D177,$C$5:$AU$493,14,)/VLOOKUP($D177,$C$5:$AU$493,3,))*$E177)</f>
        <v>0</v>
      </c>
      <c r="Q177" s="67">
        <f>IF(VLOOKUP($D177,$C$5:$AU$493,3,)=0,0,(VLOOKUP($D177,$C$5:$AU$493,15,)/VLOOKUP($D177,$C$5:$AU$493,3,))*$E177)</f>
        <v>0</v>
      </c>
      <c r="R177" s="67">
        <f>IF(VLOOKUP($D177,$C$5:$AU$493,3,)=0,0,(VLOOKUP($D177,$C$5:$AU$493,16,)/VLOOKUP($D177,$C$5:$AU$493,3,))*$E177)</f>
        <v>0</v>
      </c>
      <c r="S177" s="67">
        <f>IF(VLOOKUP($D177,$C$5:$AU$493,3,)=0,0,(VLOOKUP($D177,$C$5:$AU$493,17,)/VLOOKUP($D177,$C$5:$AU$493,3,))*$E177)</f>
        <v>0</v>
      </c>
      <c r="T177" s="67">
        <f>IF(VLOOKUP($D177,$C$5:$AU$493,3,)=0,0,(VLOOKUP($D177,$C$5:$AU$493,18,)/VLOOKUP($D177,$C$5:$AU$493,3,))*$E177)</f>
        <v>0</v>
      </c>
      <c r="U177" s="67">
        <f>IF(VLOOKUP($D177,$C$5:$AU$493,3,)=0,0,(VLOOKUP($D177,$C$5:$AU$493,19,)/VLOOKUP($D177,$C$5:$AU$493,3,))*$E177)</f>
        <v>0</v>
      </c>
      <c r="V177" s="67">
        <f>IF(VLOOKUP($D177,$C$5:$AU$493,3,)=0,0,(VLOOKUP($D177,$C$5:$AU$493,20,)/VLOOKUP($D177,$C$5:$AU$493,3,))*$E177)</f>
        <v>0</v>
      </c>
      <c r="W177" s="67">
        <f>IF(VLOOKUP($D177,$C$5:$AU$493,3,)=0,0,(VLOOKUP($D177,$C$5:$AU$493,21,)/VLOOKUP($D177,$C$5:$AU$493,3,))*$E177)</f>
        <v>0</v>
      </c>
      <c r="X177" s="67">
        <f>IF(VLOOKUP($D177,$C$5:$AU$493,3,)=0,0,(VLOOKUP($D177,$C$5:$AU$493,22,)/VLOOKUP($D177,$C$5:$AU$493,3,))*$E177)</f>
        <v>0</v>
      </c>
      <c r="Y177" s="67">
        <f>IF(VLOOKUP($D177,$C$5:$AU$493,3,)=0,0,(VLOOKUP($D177,$C$5:$AU$493,23,)/VLOOKUP($D177,$C$5:$AU$493,3,))*$E177)</f>
        <v>0</v>
      </c>
      <c r="Z177" s="67">
        <f>IF(VLOOKUP($D177,$C$5:$AU$493,3,)=0,0,(VLOOKUP($D177,$C$5:$AU$493,24,)/VLOOKUP($D177,$C$5:$AU$493,3,))*$E177)</f>
        <v>0</v>
      </c>
      <c r="AA177" s="67">
        <f>IF(VLOOKUP($D177,$C$5:$AU$493,3,)=0,0,(VLOOKUP($D177,$C$5:$AU$493,25,)/VLOOKUP($D177,$C$5:$AU$493,3,))*$E177)</f>
        <v>0</v>
      </c>
      <c r="AB177" s="67">
        <f>IF(VLOOKUP($D177,$C$5:$AU$493,3,)=0,0,(VLOOKUP($D177,$C$5:$AU$493,26,)/VLOOKUP($D177,$C$5:$AU$493,3,))*$E177)</f>
        <v>0</v>
      </c>
      <c r="AC177" s="67">
        <f>IF(VLOOKUP($D177,$C$5:$AU$493,3,)=0,0,(VLOOKUP($D177,$C$5:$AU$493,27,)/VLOOKUP($D177,$C$5:$AU$493,3,))*$E177)</f>
        <v>0</v>
      </c>
      <c r="AD177" s="67">
        <f>IF(VLOOKUP($D177,$C$5:$AU$493,3,)=0,0,(VLOOKUP($D177,$C$5:$AU$493,28,)/VLOOKUP($D177,$C$5:$AU$493,3,))*$E177)</f>
        <v>0</v>
      </c>
      <c r="AE177" s="67">
        <f>IF(VLOOKUP($D177,$C$5:$AU$493,3,)=0,0,(VLOOKUP($D177,$C$5:$AU$493,29,)/VLOOKUP($D177,$C$5:$AU$493,3,))*$E177)</f>
        <v>0</v>
      </c>
      <c r="AF177" s="67">
        <f>IF(VLOOKUP($D177,$C$5:$AU$493,3,)=0,0,(VLOOKUP($D177,$C$5:$AU$493,30,)/VLOOKUP($D177,$C$5:$AU$493,3,))*$E177)</f>
        <v>0</v>
      </c>
      <c r="AG177" s="90">
        <f>SUM(F177:AF177)</f>
        <v>0</v>
      </c>
      <c r="AH177" s="28" t="str">
        <f>IF(ABS(E177-AG177)&lt;0.01,"ok","err")</f>
        <v>ok</v>
      </c>
    </row>
    <row r="178" spans="1:34" x14ac:dyDescent="0.25">
      <c r="A178" s="93" t="s">
        <v>219</v>
      </c>
      <c r="C178" s="14" t="s">
        <v>279</v>
      </c>
      <c r="D178" s="14" t="s">
        <v>700</v>
      </c>
      <c r="E178" s="50">
        <f>'Func &amp; Classif'!S461</f>
        <v>90789.092370047598</v>
      </c>
      <c r="F178" s="67">
        <f>IF(VLOOKUP($D178,$C$5:$AU$493,3,)=0,0,(VLOOKUP($D178,$C$5:$AU$493,4,)/VLOOKUP($D178,$C$5:$AU$493,3,))*$E178)</f>
        <v>64275.619346809261</v>
      </c>
      <c r="G178" s="67">
        <f>IF(VLOOKUP($D178,$C$5:$AU$493,3,)=0,0,(VLOOKUP($D178,$C$5:$AU$493,5,)/VLOOKUP($D178,$C$5:$AU$493,3,))*$E178)</f>
        <v>86.744513754891827</v>
      </c>
      <c r="H178" s="67">
        <f>IF(VLOOKUP($D178,$C$5:$AU$493,3,)=0,0,(VLOOKUP($D178,$C$5:$AU$493,6,)/VLOOKUP($D178,$C$5:$AU$493,3,))*$E178)</f>
        <v>4027.0107837925734</v>
      </c>
      <c r="I178" s="67">
        <f>IF(VLOOKUP($D178,$C$5:$AU$493,3,)=0,0,(VLOOKUP($D178,$C$5:$AU$493,7,)/VLOOKUP($D178,$C$5:$AU$493,3,))*$E178)</f>
        <v>20235.131629444604</v>
      </c>
      <c r="J178" s="67">
        <f>IF(VLOOKUP($D178,$C$5:$AU$493,3,)=0,0,(VLOOKUP($D178,$C$5:$AU$493,8,)/VLOOKUP($D178,$C$5:$AU$493,3,))*$E178)</f>
        <v>2164.5860962462652</v>
      </c>
      <c r="K178" s="67">
        <f>IF(VLOOKUP($D178,$C$5:$AU$493,3,)=0,0,(VLOOKUP($D178,$C$5:$AU$493,9,)/VLOOKUP($D178,$C$5:$AU$493,3,))*$E178)</f>
        <v>0</v>
      </c>
      <c r="L178" s="67">
        <f>IF(VLOOKUP($D178,$C$5:$AU$493,3,)=0,0,(VLOOKUP($D178,$C$5:$AU$493,10,)/VLOOKUP($D178,$C$5:$AU$493,3,))*$E178)</f>
        <v>0</v>
      </c>
      <c r="M178" s="67">
        <f>IF(VLOOKUP($D178,$C$5:$AU$493,3,)=0,0,(VLOOKUP($D178,$C$5:$AU$493,11,)/VLOOKUP($D178,$C$5:$AU$493,3,))*$E178)</f>
        <v>0</v>
      </c>
      <c r="N178" s="67">
        <f>IF(VLOOKUP($D178,$C$5:$AU$493,3,)=0,0,(VLOOKUP($D178,$C$5:$AU$493,12,)/VLOOKUP($D178,$C$5:$AU$493,3,))*$E178)</f>
        <v>0</v>
      </c>
      <c r="O178" s="67">
        <f>IF(VLOOKUP($D178,$C$5:$AU$493,3,)=0,0,(VLOOKUP($D178,$C$5:$AU$493,13,)/VLOOKUP($D178,$C$5:$AU$493,3,))*$E178)</f>
        <v>0</v>
      </c>
      <c r="P178" s="67">
        <f>IF(VLOOKUP($D178,$C$5:$AU$493,3,)=0,0,(VLOOKUP($D178,$C$5:$AU$493,14,)/VLOOKUP($D178,$C$5:$AU$493,3,))*$E178)</f>
        <v>0</v>
      </c>
      <c r="Q178" s="67">
        <f>IF(VLOOKUP($D178,$C$5:$AU$493,3,)=0,0,(VLOOKUP($D178,$C$5:$AU$493,15,)/VLOOKUP($D178,$C$5:$AU$493,3,))*$E178)</f>
        <v>0</v>
      </c>
      <c r="R178" s="67">
        <f>IF(VLOOKUP($D178,$C$5:$AU$493,3,)=0,0,(VLOOKUP($D178,$C$5:$AU$493,16,)/VLOOKUP($D178,$C$5:$AU$493,3,))*$E178)</f>
        <v>0</v>
      </c>
      <c r="S178" s="67">
        <f>IF(VLOOKUP($D178,$C$5:$AU$493,3,)=0,0,(VLOOKUP($D178,$C$5:$AU$493,17,)/VLOOKUP($D178,$C$5:$AU$493,3,))*$E178)</f>
        <v>0</v>
      </c>
      <c r="T178" s="67">
        <f>IF(VLOOKUP($D178,$C$5:$AU$493,3,)=0,0,(VLOOKUP($D178,$C$5:$AU$493,18,)/VLOOKUP($D178,$C$5:$AU$493,3,))*$E178)</f>
        <v>0</v>
      </c>
      <c r="U178" s="67">
        <f>IF(VLOOKUP($D178,$C$5:$AU$493,3,)=0,0,(VLOOKUP($D178,$C$5:$AU$493,19,)/VLOOKUP($D178,$C$5:$AU$493,3,))*$E178)</f>
        <v>0</v>
      </c>
      <c r="V178" s="67">
        <f>IF(VLOOKUP($D178,$C$5:$AU$493,3,)=0,0,(VLOOKUP($D178,$C$5:$AU$493,20,)/VLOOKUP($D178,$C$5:$AU$493,3,))*$E178)</f>
        <v>0</v>
      </c>
      <c r="W178" s="67">
        <f>IF(VLOOKUP($D178,$C$5:$AU$493,3,)=0,0,(VLOOKUP($D178,$C$5:$AU$493,21,)/VLOOKUP($D178,$C$5:$AU$493,3,))*$E178)</f>
        <v>0</v>
      </c>
      <c r="X178" s="67">
        <f>IF(VLOOKUP($D178,$C$5:$AU$493,3,)=0,0,(VLOOKUP($D178,$C$5:$AU$493,22,)/VLOOKUP($D178,$C$5:$AU$493,3,))*$E178)</f>
        <v>0</v>
      </c>
      <c r="Y178" s="67">
        <f>IF(VLOOKUP($D178,$C$5:$AU$493,3,)=0,0,(VLOOKUP($D178,$C$5:$AU$493,23,)/VLOOKUP($D178,$C$5:$AU$493,3,))*$E178)</f>
        <v>0</v>
      </c>
      <c r="Z178" s="67">
        <f>IF(VLOOKUP($D178,$C$5:$AU$493,3,)=0,0,(VLOOKUP($D178,$C$5:$AU$493,24,)/VLOOKUP($D178,$C$5:$AU$493,3,))*$E178)</f>
        <v>0</v>
      </c>
      <c r="AA178" s="67">
        <f>IF(VLOOKUP($D178,$C$5:$AU$493,3,)=0,0,(VLOOKUP($D178,$C$5:$AU$493,25,)/VLOOKUP($D178,$C$5:$AU$493,3,))*$E178)</f>
        <v>0</v>
      </c>
      <c r="AB178" s="67">
        <f>IF(VLOOKUP($D178,$C$5:$AU$493,3,)=0,0,(VLOOKUP($D178,$C$5:$AU$493,26,)/VLOOKUP($D178,$C$5:$AU$493,3,))*$E178)</f>
        <v>0</v>
      </c>
      <c r="AC178" s="67">
        <f>IF(VLOOKUP($D178,$C$5:$AU$493,3,)=0,0,(VLOOKUP($D178,$C$5:$AU$493,27,)/VLOOKUP($D178,$C$5:$AU$493,3,))*$E178)</f>
        <v>0</v>
      </c>
      <c r="AD178" s="67">
        <f>IF(VLOOKUP($D178,$C$5:$AU$493,3,)=0,0,(VLOOKUP($D178,$C$5:$AU$493,28,)/VLOOKUP($D178,$C$5:$AU$493,3,))*$E178)</f>
        <v>0</v>
      </c>
      <c r="AE178" s="67">
        <f>IF(VLOOKUP($D178,$C$5:$AU$493,3,)=0,0,(VLOOKUP($D178,$C$5:$AU$493,29,)/VLOOKUP($D178,$C$5:$AU$493,3,))*$E178)</f>
        <v>0</v>
      </c>
      <c r="AF178" s="67">
        <f>IF(VLOOKUP($D178,$C$5:$AU$493,3,)=0,0,(VLOOKUP($D178,$C$5:$AU$493,30,)/VLOOKUP($D178,$C$5:$AU$493,3,))*$E178)</f>
        <v>0</v>
      </c>
      <c r="AG178" s="90">
        <f>SUM(F178:AF178)</f>
        <v>90789.092370047583</v>
      </c>
      <c r="AH178" s="28" t="str">
        <f>IF(ABS(E178-AG178)&lt;0.01,"ok","err")</f>
        <v>ok</v>
      </c>
    </row>
    <row r="179" spans="1:34" x14ac:dyDescent="0.25">
      <c r="A179" s="14" t="s">
        <v>226</v>
      </c>
      <c r="E179" s="67">
        <f t="shared" ref="E179:T179" si="45">E177+E178</f>
        <v>90789.092370047598</v>
      </c>
      <c r="F179" s="67">
        <f t="shared" si="45"/>
        <v>64275.619346809261</v>
      </c>
      <c r="G179" s="67">
        <f t="shared" si="45"/>
        <v>86.744513754891827</v>
      </c>
      <c r="H179" s="67">
        <f t="shared" si="45"/>
        <v>4027.0107837925734</v>
      </c>
      <c r="I179" s="67">
        <f t="shared" si="45"/>
        <v>20235.131629444604</v>
      </c>
      <c r="J179" s="67">
        <f t="shared" si="45"/>
        <v>2164.5860962462652</v>
      </c>
      <c r="K179" s="67">
        <f t="shared" si="45"/>
        <v>0</v>
      </c>
      <c r="L179" s="67">
        <f t="shared" si="45"/>
        <v>0</v>
      </c>
      <c r="M179" s="67">
        <f t="shared" si="45"/>
        <v>0</v>
      </c>
      <c r="N179" s="67">
        <f t="shared" si="45"/>
        <v>0</v>
      </c>
      <c r="O179" s="67">
        <f t="shared" si="45"/>
        <v>0</v>
      </c>
      <c r="P179" s="67">
        <f t="shared" si="45"/>
        <v>0</v>
      </c>
      <c r="Q179" s="67">
        <f t="shared" si="45"/>
        <v>0</v>
      </c>
      <c r="R179" s="67">
        <f t="shared" si="45"/>
        <v>0</v>
      </c>
      <c r="S179" s="67">
        <f t="shared" si="45"/>
        <v>0</v>
      </c>
      <c r="T179" s="67">
        <f t="shared" si="45"/>
        <v>0</v>
      </c>
      <c r="U179" s="67">
        <f t="shared" ref="U179:AF179" si="46">U177+U178</f>
        <v>0</v>
      </c>
      <c r="V179" s="67">
        <f t="shared" si="46"/>
        <v>0</v>
      </c>
      <c r="W179" s="67">
        <f t="shared" si="46"/>
        <v>0</v>
      </c>
      <c r="X179" s="67">
        <f t="shared" si="46"/>
        <v>0</v>
      </c>
      <c r="Y179" s="67">
        <f t="shared" si="46"/>
        <v>0</v>
      </c>
      <c r="Z179" s="67">
        <f t="shared" si="46"/>
        <v>0</v>
      </c>
      <c r="AA179" s="67">
        <f t="shared" si="46"/>
        <v>0</v>
      </c>
      <c r="AB179" s="67">
        <f t="shared" si="46"/>
        <v>0</v>
      </c>
      <c r="AC179" s="67">
        <f t="shared" si="46"/>
        <v>0</v>
      </c>
      <c r="AD179" s="67">
        <f t="shared" si="46"/>
        <v>0</v>
      </c>
      <c r="AE179" s="67">
        <f t="shared" si="46"/>
        <v>0</v>
      </c>
      <c r="AF179" s="67">
        <f t="shared" si="46"/>
        <v>0</v>
      </c>
      <c r="AG179" s="90">
        <f>SUM(F179:AF179)</f>
        <v>90789.092370047583</v>
      </c>
      <c r="AH179" s="28" t="str">
        <f>IF(ABS(E179-AG179)&lt;0.01,"ok","err")</f>
        <v>ok</v>
      </c>
    </row>
    <row r="180" spans="1:34" x14ac:dyDescent="0.25">
      <c r="E180" s="50"/>
    </row>
    <row r="181" spans="1:34" x14ac:dyDescent="0.25">
      <c r="A181" s="13" t="s">
        <v>4</v>
      </c>
      <c r="E181" s="50"/>
    </row>
    <row r="182" spans="1:34" x14ac:dyDescent="0.25">
      <c r="A182" s="93" t="s">
        <v>219</v>
      </c>
      <c r="C182" s="14" t="s">
        <v>280</v>
      </c>
      <c r="D182" s="14" t="s">
        <v>228</v>
      </c>
      <c r="E182" s="67">
        <f>'Func &amp; Classif'!U461</f>
        <v>234634.09511693564</v>
      </c>
      <c r="F182" s="67">
        <f>IF(VLOOKUP($D182,$C$5:$AU$493,3,)=0,0,(VLOOKUP($D182,$C$5:$AU$493,4,)/VLOOKUP($D182,$C$5:$AU$493,3,))*$E182)</f>
        <v>171536.84069483535</v>
      </c>
      <c r="G182" s="67">
        <f>IF(VLOOKUP($D182,$C$5:$AU$493,3,)=0,0,(VLOOKUP($D182,$C$5:$AU$493,5,)/VLOOKUP($D182,$C$5:$AU$493,3,))*$E182)</f>
        <v>231.50115064371596</v>
      </c>
      <c r="H182" s="67">
        <f>IF(VLOOKUP($D182,$C$5:$AU$493,3,)=0,0,(VLOOKUP($D182,$C$5:$AU$493,6,)/VLOOKUP($D182,$C$5:$AU$493,3,))*$E182)</f>
        <v>10747.165322026603</v>
      </c>
      <c r="I182" s="67">
        <f>IF(VLOOKUP($D182,$C$5:$AU$493,3,)=0,0,(VLOOKUP($D182,$C$5:$AU$493,7,)/VLOOKUP($D182,$C$5:$AU$493,3,))*$E182)</f>
        <v>49684.556473867997</v>
      </c>
      <c r="J182" s="67">
        <f>IF(VLOOKUP($D182,$C$5:$AU$493,3,)=0,0,(VLOOKUP($D182,$C$5:$AU$493,8,)/VLOOKUP($D182,$C$5:$AU$493,3,))*$E182)</f>
        <v>2434.0314755620238</v>
      </c>
      <c r="K182" s="67">
        <f>IF(VLOOKUP($D182,$C$5:$AU$493,3,)=0,0,(VLOOKUP($D182,$C$5:$AU$493,9,)/VLOOKUP($D182,$C$5:$AU$493,3,))*$E182)</f>
        <v>0</v>
      </c>
      <c r="L182" s="67">
        <f>IF(VLOOKUP($D182,$C$5:$AU$493,3,)=0,0,(VLOOKUP($D182,$C$5:$AU$493,10,)/VLOOKUP($D182,$C$5:$AU$493,3,))*$E182)</f>
        <v>0</v>
      </c>
      <c r="M182" s="67">
        <f>IF(VLOOKUP($D182,$C$5:$AU$493,3,)=0,0,(VLOOKUP($D182,$C$5:$AU$493,11,)/VLOOKUP($D182,$C$5:$AU$493,3,))*$E182)</f>
        <v>0</v>
      </c>
      <c r="N182" s="67">
        <f>IF(VLOOKUP($D182,$C$5:$AU$493,3,)=0,0,(VLOOKUP($D182,$C$5:$AU$493,12,)/VLOOKUP($D182,$C$5:$AU$493,3,))*$E182)</f>
        <v>0</v>
      </c>
      <c r="O182" s="67">
        <f>IF(VLOOKUP($D182,$C$5:$AU$493,3,)=0,0,(VLOOKUP($D182,$C$5:$AU$493,13,)/VLOOKUP($D182,$C$5:$AU$493,3,))*$E182)</f>
        <v>0</v>
      </c>
      <c r="P182" s="67">
        <f>IF(VLOOKUP($D182,$C$5:$AU$493,3,)=0,0,(VLOOKUP($D182,$C$5:$AU$493,14,)/VLOOKUP($D182,$C$5:$AU$493,3,))*$E182)</f>
        <v>0</v>
      </c>
      <c r="Q182" s="67">
        <f>IF(VLOOKUP($D182,$C$5:$AU$493,3,)=0,0,(VLOOKUP($D182,$C$5:$AU$493,15,)/VLOOKUP($D182,$C$5:$AU$493,3,))*$E182)</f>
        <v>0</v>
      </c>
      <c r="R182" s="67">
        <f>IF(VLOOKUP($D182,$C$5:$AU$493,3,)=0,0,(VLOOKUP($D182,$C$5:$AU$493,16,)/VLOOKUP($D182,$C$5:$AU$493,3,))*$E182)</f>
        <v>0</v>
      </c>
      <c r="S182" s="67">
        <f>IF(VLOOKUP($D182,$C$5:$AU$493,3,)=0,0,(VLOOKUP($D182,$C$5:$AU$493,17,)/VLOOKUP($D182,$C$5:$AU$493,3,))*$E182)</f>
        <v>0</v>
      </c>
      <c r="T182" s="67">
        <f>IF(VLOOKUP($D182,$C$5:$AU$493,3,)=0,0,(VLOOKUP($D182,$C$5:$AU$493,18,)/VLOOKUP($D182,$C$5:$AU$493,3,))*$E182)</f>
        <v>0</v>
      </c>
      <c r="U182" s="67">
        <f>IF(VLOOKUP($D182,$C$5:$AU$493,3,)=0,0,(VLOOKUP($D182,$C$5:$AU$493,19,)/VLOOKUP($D182,$C$5:$AU$493,3,))*$E182)</f>
        <v>0</v>
      </c>
      <c r="V182" s="67">
        <f>IF(VLOOKUP($D182,$C$5:$AU$493,3,)=0,0,(VLOOKUP($D182,$C$5:$AU$493,20,)/VLOOKUP($D182,$C$5:$AU$493,3,))*$E182)</f>
        <v>0</v>
      </c>
      <c r="W182" s="67">
        <f>IF(VLOOKUP($D182,$C$5:$AU$493,3,)=0,0,(VLOOKUP($D182,$C$5:$AU$493,21,)/VLOOKUP($D182,$C$5:$AU$493,3,))*$E182)</f>
        <v>0</v>
      </c>
      <c r="X182" s="67">
        <f>IF(VLOOKUP($D182,$C$5:$AU$493,3,)=0,0,(VLOOKUP($D182,$C$5:$AU$493,22,)/VLOOKUP($D182,$C$5:$AU$493,3,))*$E182)</f>
        <v>0</v>
      </c>
      <c r="Y182" s="67">
        <f>IF(VLOOKUP($D182,$C$5:$AU$493,3,)=0,0,(VLOOKUP($D182,$C$5:$AU$493,23,)/VLOOKUP($D182,$C$5:$AU$493,3,))*$E182)</f>
        <v>0</v>
      </c>
      <c r="Z182" s="67">
        <f>IF(VLOOKUP($D182,$C$5:$AU$493,3,)=0,0,(VLOOKUP($D182,$C$5:$AU$493,24,)/VLOOKUP($D182,$C$5:$AU$493,3,))*$E182)</f>
        <v>0</v>
      </c>
      <c r="AA182" s="67">
        <f>IF(VLOOKUP($D182,$C$5:$AU$493,3,)=0,0,(VLOOKUP($D182,$C$5:$AU$493,25,)/VLOOKUP($D182,$C$5:$AU$493,3,))*$E182)</f>
        <v>0</v>
      </c>
      <c r="AB182" s="67">
        <f>IF(VLOOKUP($D182,$C$5:$AU$493,3,)=0,0,(VLOOKUP($D182,$C$5:$AU$493,26,)/VLOOKUP($D182,$C$5:$AU$493,3,))*$E182)</f>
        <v>0</v>
      </c>
      <c r="AC182" s="67">
        <f>IF(VLOOKUP($D182,$C$5:$AU$493,3,)=0,0,(VLOOKUP($D182,$C$5:$AU$493,27,)/VLOOKUP($D182,$C$5:$AU$493,3,))*$E182)</f>
        <v>0</v>
      </c>
      <c r="AD182" s="67">
        <f>IF(VLOOKUP($D182,$C$5:$AU$493,3,)=0,0,(VLOOKUP($D182,$C$5:$AU$493,28,)/VLOOKUP($D182,$C$5:$AU$493,3,))*$E182)</f>
        <v>0</v>
      </c>
      <c r="AE182" s="67">
        <f>IF(VLOOKUP($D182,$C$5:$AU$493,3,)=0,0,(VLOOKUP($D182,$C$5:$AU$493,29,)/VLOOKUP($D182,$C$5:$AU$493,3,))*$E182)</f>
        <v>0</v>
      </c>
      <c r="AF182" s="67">
        <f>IF(VLOOKUP($D182,$C$5:$AU$493,3,)=0,0,(VLOOKUP($D182,$C$5:$AU$493,30,)/VLOOKUP($D182,$C$5:$AU$493,3,))*$E182)</f>
        <v>0</v>
      </c>
      <c r="AG182" s="90">
        <f>SUM(F182:AF182)</f>
        <v>234634.0951169357</v>
      </c>
      <c r="AH182" s="28" t="str">
        <f>IF(ABS(E182-AG182)&lt;0.01,"ok","err")</f>
        <v>ok</v>
      </c>
    </row>
    <row r="183" spans="1:34" x14ac:dyDescent="0.25">
      <c r="E183" s="50"/>
    </row>
    <row r="184" spans="1:34" x14ac:dyDescent="0.25">
      <c r="A184" s="13" t="s">
        <v>5</v>
      </c>
      <c r="E184" s="50"/>
    </row>
    <row r="185" spans="1:34" x14ac:dyDescent="0.25">
      <c r="A185" s="93" t="s">
        <v>219</v>
      </c>
      <c r="C185" s="14" t="s">
        <v>281</v>
      </c>
      <c r="D185" s="14" t="s">
        <v>230</v>
      </c>
      <c r="E185" s="67">
        <f>'Func &amp; Classif'!W461</f>
        <v>24414.124483537333</v>
      </c>
      <c r="F185" s="67">
        <f>IF(VLOOKUP($D185,$C$5:$AU$493,3,)=0,0,(VLOOKUP($D185,$C$5:$AU$493,4,)/VLOOKUP($D185,$C$5:$AU$493,3,))*$E185)</f>
        <v>0</v>
      </c>
      <c r="G185" s="67">
        <f>IF(VLOOKUP($D185,$C$5:$AU$493,3,)=0,0,(VLOOKUP($D185,$C$5:$AU$493,5,)/VLOOKUP($D185,$C$5:$AU$493,3,))*$E185)</f>
        <v>0</v>
      </c>
      <c r="H185" s="67">
        <f>IF(VLOOKUP($D185,$C$5:$AU$493,3,)=0,0,(VLOOKUP($D185,$C$5:$AU$493,6,)/VLOOKUP($D185,$C$5:$AU$493,3,))*$E185)</f>
        <v>0</v>
      </c>
      <c r="I185" s="67">
        <f>IF(VLOOKUP($D185,$C$5:$AU$493,3,)=0,0,(VLOOKUP($D185,$C$5:$AU$493,7,)/VLOOKUP($D185,$C$5:$AU$493,3,))*$E185)</f>
        <v>0</v>
      </c>
      <c r="J185" s="67">
        <f>IF(VLOOKUP($D185,$C$5:$AU$493,3,)=0,0,(VLOOKUP($D185,$C$5:$AU$493,8,)/VLOOKUP($D185,$C$5:$AU$493,3,))*$E185)</f>
        <v>0</v>
      </c>
      <c r="K185" s="67">
        <f>IF(VLOOKUP($D185,$C$5:$AU$493,3,)=0,0,(VLOOKUP($D185,$C$5:$AU$493,9,)/VLOOKUP($D185,$C$5:$AU$493,3,))*$E185)</f>
        <v>0</v>
      </c>
      <c r="L185" s="67">
        <f>IF(VLOOKUP($D185,$C$5:$AU$493,3,)=0,0,(VLOOKUP($D185,$C$5:$AU$493,10,)/VLOOKUP($D185,$C$5:$AU$493,3,))*$E185)</f>
        <v>0</v>
      </c>
      <c r="M185" s="67">
        <f>IF(VLOOKUP($D185,$C$5:$AU$493,3,)=0,0,(VLOOKUP($D185,$C$5:$AU$493,11,)/VLOOKUP($D185,$C$5:$AU$493,3,))*$E185)</f>
        <v>24414.124483537333</v>
      </c>
      <c r="N185" s="67">
        <f>IF(VLOOKUP($D185,$C$5:$AU$493,3,)=0,0,(VLOOKUP($D185,$C$5:$AU$493,12,)/VLOOKUP($D185,$C$5:$AU$493,3,))*$E185)</f>
        <v>0</v>
      </c>
      <c r="O185" s="67">
        <f>IF(VLOOKUP($D185,$C$5:$AU$493,3,)=0,0,(VLOOKUP($D185,$C$5:$AU$493,13,)/VLOOKUP($D185,$C$5:$AU$493,3,))*$E185)</f>
        <v>0</v>
      </c>
      <c r="P185" s="67">
        <f>IF(VLOOKUP($D185,$C$5:$AU$493,3,)=0,0,(VLOOKUP($D185,$C$5:$AU$493,14,)/VLOOKUP($D185,$C$5:$AU$493,3,))*$E185)</f>
        <v>0</v>
      </c>
      <c r="Q185" s="67">
        <f>IF(VLOOKUP($D185,$C$5:$AU$493,3,)=0,0,(VLOOKUP($D185,$C$5:$AU$493,15,)/VLOOKUP($D185,$C$5:$AU$493,3,))*$E185)</f>
        <v>0</v>
      </c>
      <c r="R185" s="67">
        <f>IF(VLOOKUP($D185,$C$5:$AU$493,3,)=0,0,(VLOOKUP($D185,$C$5:$AU$493,16,)/VLOOKUP($D185,$C$5:$AU$493,3,))*$E185)</f>
        <v>0</v>
      </c>
      <c r="S185" s="67">
        <f>IF(VLOOKUP($D185,$C$5:$AU$493,3,)=0,0,(VLOOKUP($D185,$C$5:$AU$493,17,)/VLOOKUP($D185,$C$5:$AU$493,3,))*$E185)</f>
        <v>0</v>
      </c>
      <c r="T185" s="67">
        <f>IF(VLOOKUP($D185,$C$5:$AU$493,3,)=0,0,(VLOOKUP($D185,$C$5:$AU$493,18,)/VLOOKUP($D185,$C$5:$AU$493,3,))*$E185)</f>
        <v>0</v>
      </c>
      <c r="U185" s="67">
        <f>IF(VLOOKUP($D185,$C$5:$AU$493,3,)=0,0,(VLOOKUP($D185,$C$5:$AU$493,19,)/VLOOKUP($D185,$C$5:$AU$493,3,))*$E185)</f>
        <v>0</v>
      </c>
      <c r="V185" s="67">
        <f>IF(VLOOKUP($D185,$C$5:$AU$493,3,)=0,0,(VLOOKUP($D185,$C$5:$AU$493,20,)/VLOOKUP($D185,$C$5:$AU$493,3,))*$E185)</f>
        <v>0</v>
      </c>
      <c r="W185" s="67">
        <f>IF(VLOOKUP($D185,$C$5:$AU$493,3,)=0,0,(VLOOKUP($D185,$C$5:$AU$493,21,)/VLOOKUP($D185,$C$5:$AU$493,3,))*$E185)</f>
        <v>0</v>
      </c>
      <c r="X185" s="67">
        <f>IF(VLOOKUP($D185,$C$5:$AU$493,3,)=0,0,(VLOOKUP($D185,$C$5:$AU$493,22,)/VLOOKUP($D185,$C$5:$AU$493,3,))*$E185)</f>
        <v>0</v>
      </c>
      <c r="Y185" s="67">
        <f>IF(VLOOKUP($D185,$C$5:$AU$493,3,)=0,0,(VLOOKUP($D185,$C$5:$AU$493,23,)/VLOOKUP($D185,$C$5:$AU$493,3,))*$E185)</f>
        <v>0</v>
      </c>
      <c r="Z185" s="67">
        <f>IF(VLOOKUP($D185,$C$5:$AU$493,3,)=0,0,(VLOOKUP($D185,$C$5:$AU$493,24,)/VLOOKUP($D185,$C$5:$AU$493,3,))*$E185)</f>
        <v>0</v>
      </c>
      <c r="AA185" s="67">
        <f>IF(VLOOKUP($D185,$C$5:$AU$493,3,)=0,0,(VLOOKUP($D185,$C$5:$AU$493,25,)/VLOOKUP($D185,$C$5:$AU$493,3,))*$E185)</f>
        <v>0</v>
      </c>
      <c r="AB185" s="67">
        <f>IF(VLOOKUP($D185,$C$5:$AU$493,3,)=0,0,(VLOOKUP($D185,$C$5:$AU$493,26,)/VLOOKUP($D185,$C$5:$AU$493,3,))*$E185)</f>
        <v>0</v>
      </c>
      <c r="AC185" s="67">
        <f>IF(VLOOKUP($D185,$C$5:$AU$493,3,)=0,0,(VLOOKUP($D185,$C$5:$AU$493,27,)/VLOOKUP($D185,$C$5:$AU$493,3,))*$E185)</f>
        <v>0</v>
      </c>
      <c r="AD185" s="67">
        <f>IF(VLOOKUP($D185,$C$5:$AU$493,3,)=0,0,(VLOOKUP($D185,$C$5:$AU$493,28,)/VLOOKUP($D185,$C$5:$AU$493,3,))*$E185)</f>
        <v>0</v>
      </c>
      <c r="AE185" s="67">
        <f>IF(VLOOKUP($D185,$C$5:$AU$493,3,)=0,0,(VLOOKUP($D185,$C$5:$AU$493,29,)/VLOOKUP($D185,$C$5:$AU$493,3,))*$E185)</f>
        <v>0</v>
      </c>
      <c r="AF185" s="67">
        <f>IF(VLOOKUP($D185,$C$5:$AU$493,3,)=0,0,(VLOOKUP($D185,$C$5:$AU$493,30,)/VLOOKUP($D185,$C$5:$AU$493,3,))*$E185)</f>
        <v>0</v>
      </c>
      <c r="AG185" s="90">
        <f>SUM(F185:AF185)</f>
        <v>24414.124483537333</v>
      </c>
      <c r="AH185" s="28" t="str">
        <f>IF(ABS(E185-AG185)&lt;0.01,"ok","err")</f>
        <v>ok</v>
      </c>
    </row>
    <row r="186" spans="1:34" x14ac:dyDescent="0.25">
      <c r="E186" s="50"/>
    </row>
    <row r="187" spans="1:34" x14ac:dyDescent="0.25">
      <c r="A187" s="13" t="s">
        <v>544</v>
      </c>
      <c r="E187" s="50"/>
    </row>
    <row r="188" spans="1:34" x14ac:dyDescent="0.25">
      <c r="A188" s="93" t="s">
        <v>219</v>
      </c>
      <c r="C188" s="14" t="s">
        <v>282</v>
      </c>
      <c r="D188" s="14" t="s">
        <v>232</v>
      </c>
      <c r="E188" s="67">
        <f>'Func &amp; Classif'!Y461</f>
        <v>769159.21107336553</v>
      </c>
      <c r="F188" s="67">
        <f>IF(VLOOKUP($D188,$C$5:$AU$493,3,)=0,0,(VLOOKUP($D188,$C$5:$AU$493,4,)/VLOOKUP($D188,$C$5:$AU$493,3,))*$E188)</f>
        <v>564666.50801375299</v>
      </c>
      <c r="G188" s="67">
        <f>IF(VLOOKUP($D188,$C$5:$AU$493,3,)=0,0,(VLOOKUP($D188,$C$5:$AU$493,5,)/VLOOKUP($D188,$C$5:$AU$493,3,))*$E188)</f>
        <v>762.05756037973163</v>
      </c>
      <c r="H188" s="67">
        <f>IF(VLOOKUP($D188,$C$5:$AU$493,3,)=0,0,(VLOOKUP($D188,$C$5:$AU$493,6,)/VLOOKUP($D188,$C$5:$AU$493,3,))*$E188)</f>
        <v>35377.61502924763</v>
      </c>
      <c r="I188" s="67">
        <f>IF(VLOOKUP($D188,$C$5:$AU$493,3,)=0,0,(VLOOKUP($D188,$C$5:$AU$493,7,)/VLOOKUP($D188,$C$5:$AU$493,3,))*$E188)</f>
        <v>163552.06783959287</v>
      </c>
      <c r="J188" s="67">
        <f>IF(VLOOKUP($D188,$C$5:$AU$493,3,)=0,0,(VLOOKUP($D188,$C$5:$AU$493,8,)/VLOOKUP($D188,$C$5:$AU$493,3,))*$E188)</f>
        <v>2667.2014613290607</v>
      </c>
      <c r="K188" s="67">
        <f>IF(VLOOKUP($D188,$C$5:$AU$493,3,)=0,0,(VLOOKUP($D188,$C$5:$AU$493,9,)/VLOOKUP($D188,$C$5:$AU$493,3,))*$E188)</f>
        <v>609.64604830378528</v>
      </c>
      <c r="L188" s="67">
        <f>IF(VLOOKUP($D188,$C$5:$AU$493,3,)=0,0,(VLOOKUP($D188,$C$5:$AU$493,10,)/VLOOKUP($D188,$C$5:$AU$493,3,))*$E188)</f>
        <v>43.546146307413231</v>
      </c>
      <c r="M188" s="67">
        <f>IF(VLOOKUP($D188,$C$5:$AU$493,3,)=0,0,(VLOOKUP($D188,$C$5:$AU$493,11,)/VLOOKUP($D188,$C$5:$AU$493,3,))*$E188)</f>
        <v>1480.56897445205</v>
      </c>
      <c r="N188" s="67">
        <f>IF(VLOOKUP($D188,$C$5:$AU$493,3,)=0,0,(VLOOKUP($D188,$C$5:$AU$493,12,)/VLOOKUP($D188,$C$5:$AU$493,3,))*$E188)</f>
        <v>0</v>
      </c>
      <c r="O188" s="67">
        <f>IF(VLOOKUP($D188,$C$5:$AU$493,3,)=0,0,(VLOOKUP($D188,$C$5:$AU$493,13,)/VLOOKUP($D188,$C$5:$AU$493,3,))*$E188)</f>
        <v>0</v>
      </c>
      <c r="P188" s="67">
        <f>IF(VLOOKUP($D188,$C$5:$AU$493,3,)=0,0,(VLOOKUP($D188,$C$5:$AU$493,14,)/VLOOKUP($D188,$C$5:$AU$493,3,))*$E188)</f>
        <v>0</v>
      </c>
      <c r="Q188" s="67">
        <f>IF(VLOOKUP($D188,$C$5:$AU$493,3,)=0,0,(VLOOKUP($D188,$C$5:$AU$493,15,)/VLOOKUP($D188,$C$5:$AU$493,3,))*$E188)</f>
        <v>0</v>
      </c>
      <c r="R188" s="67">
        <f>IF(VLOOKUP($D188,$C$5:$AU$493,3,)=0,0,(VLOOKUP($D188,$C$5:$AU$493,16,)/VLOOKUP($D188,$C$5:$AU$493,3,))*$E188)</f>
        <v>0</v>
      </c>
      <c r="S188" s="67">
        <f>IF(VLOOKUP($D188,$C$5:$AU$493,3,)=0,0,(VLOOKUP($D188,$C$5:$AU$493,17,)/VLOOKUP($D188,$C$5:$AU$493,3,))*$E188)</f>
        <v>0</v>
      </c>
      <c r="T188" s="67">
        <f>IF(VLOOKUP($D188,$C$5:$AU$493,3,)=0,0,(VLOOKUP($D188,$C$5:$AU$493,18,)/VLOOKUP($D188,$C$5:$AU$493,3,))*$E188)</f>
        <v>0</v>
      </c>
      <c r="U188" s="67">
        <f>IF(VLOOKUP($D188,$C$5:$AU$493,3,)=0,0,(VLOOKUP($D188,$C$5:$AU$493,19,)/VLOOKUP($D188,$C$5:$AU$493,3,))*$E188)</f>
        <v>0</v>
      </c>
      <c r="V188" s="67">
        <f>IF(VLOOKUP($D188,$C$5:$AU$493,3,)=0,0,(VLOOKUP($D188,$C$5:$AU$493,20,)/VLOOKUP($D188,$C$5:$AU$493,3,))*$E188)</f>
        <v>0</v>
      </c>
      <c r="W188" s="67">
        <f>IF(VLOOKUP($D188,$C$5:$AU$493,3,)=0,0,(VLOOKUP($D188,$C$5:$AU$493,21,)/VLOOKUP($D188,$C$5:$AU$493,3,))*$E188)</f>
        <v>0</v>
      </c>
      <c r="X188" s="67">
        <f>IF(VLOOKUP($D188,$C$5:$AU$493,3,)=0,0,(VLOOKUP($D188,$C$5:$AU$493,22,)/VLOOKUP($D188,$C$5:$AU$493,3,))*$E188)</f>
        <v>0</v>
      </c>
      <c r="Y188" s="67">
        <f>IF(VLOOKUP($D188,$C$5:$AU$493,3,)=0,0,(VLOOKUP($D188,$C$5:$AU$493,23,)/VLOOKUP($D188,$C$5:$AU$493,3,))*$E188)</f>
        <v>0</v>
      </c>
      <c r="Z188" s="67">
        <f>IF(VLOOKUP($D188,$C$5:$AU$493,3,)=0,0,(VLOOKUP($D188,$C$5:$AU$493,24,)/VLOOKUP($D188,$C$5:$AU$493,3,))*$E188)</f>
        <v>0</v>
      </c>
      <c r="AA188" s="67">
        <f>IF(VLOOKUP($D188,$C$5:$AU$493,3,)=0,0,(VLOOKUP($D188,$C$5:$AU$493,25,)/VLOOKUP($D188,$C$5:$AU$493,3,))*$E188)</f>
        <v>0</v>
      </c>
      <c r="AB188" s="67">
        <f>IF(VLOOKUP($D188,$C$5:$AU$493,3,)=0,0,(VLOOKUP($D188,$C$5:$AU$493,26,)/VLOOKUP($D188,$C$5:$AU$493,3,))*$E188)</f>
        <v>0</v>
      </c>
      <c r="AC188" s="67">
        <f>IF(VLOOKUP($D188,$C$5:$AU$493,3,)=0,0,(VLOOKUP($D188,$C$5:$AU$493,27,)/VLOOKUP($D188,$C$5:$AU$493,3,))*$E188)</f>
        <v>0</v>
      </c>
      <c r="AD188" s="67">
        <f>IF(VLOOKUP($D188,$C$5:$AU$493,3,)=0,0,(VLOOKUP($D188,$C$5:$AU$493,28,)/VLOOKUP($D188,$C$5:$AU$493,3,))*$E188)</f>
        <v>0</v>
      </c>
      <c r="AE188" s="67">
        <f>IF(VLOOKUP($D188,$C$5:$AU$493,3,)=0,0,(VLOOKUP($D188,$C$5:$AU$493,29,)/VLOOKUP($D188,$C$5:$AU$493,3,))*$E188)</f>
        <v>0</v>
      </c>
      <c r="AF188" s="67">
        <f>IF(VLOOKUP($D188,$C$5:$AU$493,3,)=0,0,(VLOOKUP($D188,$C$5:$AU$493,30,)/VLOOKUP($D188,$C$5:$AU$493,3,))*$E188)</f>
        <v>0</v>
      </c>
      <c r="AG188" s="90">
        <f>SUM(F188:AF188)</f>
        <v>769159.21107336553</v>
      </c>
      <c r="AH188" s="28" t="str">
        <f>IF(ABS(E188-AG188)&lt;0.01,"ok","err")</f>
        <v>ok</v>
      </c>
    </row>
    <row r="189" spans="1:34" x14ac:dyDescent="0.25">
      <c r="E189" s="50"/>
    </row>
    <row r="190" spans="1:34" x14ac:dyDescent="0.25">
      <c r="A190" s="13" t="s">
        <v>469</v>
      </c>
      <c r="E190" s="50"/>
    </row>
    <row r="191" spans="1:34" x14ac:dyDescent="0.25">
      <c r="A191" s="93" t="s">
        <v>219</v>
      </c>
      <c r="C191" s="14" t="s">
        <v>279</v>
      </c>
      <c r="D191" s="14" t="s">
        <v>233</v>
      </c>
      <c r="E191" s="67">
        <f>'Func &amp; Classif'!AA461</f>
        <v>31.652773750767629</v>
      </c>
      <c r="F191" s="67">
        <f>IF(VLOOKUP($D191,$C$5:$AU$493,3,)=0,0,(VLOOKUP($D191,$C$5:$AU$493,4,)/VLOOKUP($D191,$C$5:$AU$493,3,))*$E191)</f>
        <v>23.237401262936338</v>
      </c>
      <c r="G191" s="67">
        <f>IF(VLOOKUP($D191,$C$5:$AU$493,3,)=0,0,(VLOOKUP($D191,$C$5:$AU$493,5,)/VLOOKUP($D191,$C$5:$AU$493,3,))*$E191)</f>
        <v>3.1360523538553585E-2</v>
      </c>
      <c r="H191" s="67">
        <f>IF(VLOOKUP($D191,$C$5:$AU$493,3,)=0,0,(VLOOKUP($D191,$C$5:$AU$493,6,)/VLOOKUP($D191,$C$5:$AU$493,3,))*$E191)</f>
        <v>1.4558749713207566</v>
      </c>
      <c r="I191" s="67">
        <f>IF(VLOOKUP($D191,$C$5:$AU$493,3,)=0,0,(VLOOKUP($D191,$C$5:$AU$493,7,)/VLOOKUP($D191,$C$5:$AU$493,3,))*$E191)</f>
        <v>6.7305656946790959</v>
      </c>
      <c r="J191" s="67">
        <f>IF(VLOOKUP($D191,$C$5:$AU$493,3,)=0,0,(VLOOKUP($D191,$C$5:$AU$493,8,)/VLOOKUP($D191,$C$5:$AU$493,3,))*$E191)</f>
        <v>0.10976183238493756</v>
      </c>
      <c r="K191" s="67">
        <f>IF(VLOOKUP($D191,$C$5:$AU$493,3,)=0,0,(VLOOKUP($D191,$C$5:$AU$493,9,)/VLOOKUP($D191,$C$5:$AU$493,3,))*$E191)</f>
        <v>2.5088418830842868E-2</v>
      </c>
      <c r="L191" s="67">
        <f>IF(VLOOKUP($D191,$C$5:$AU$493,3,)=0,0,(VLOOKUP($D191,$C$5:$AU$493,10,)/VLOOKUP($D191,$C$5:$AU$493,3,))*$E191)</f>
        <v>1.7920299164887763E-3</v>
      </c>
      <c r="M191" s="67">
        <f>IF(VLOOKUP($D191,$C$5:$AU$493,3,)=0,0,(VLOOKUP($D191,$C$5:$AU$493,11,)/VLOOKUP($D191,$C$5:$AU$493,3,))*$E191)</f>
        <v>6.0929017160618396E-2</v>
      </c>
      <c r="N191" s="67">
        <f>IF(VLOOKUP($D191,$C$5:$AU$493,3,)=0,0,(VLOOKUP($D191,$C$5:$AU$493,12,)/VLOOKUP($D191,$C$5:$AU$493,3,))*$E191)</f>
        <v>0</v>
      </c>
      <c r="O191" s="67">
        <f>IF(VLOOKUP($D191,$C$5:$AU$493,3,)=0,0,(VLOOKUP($D191,$C$5:$AU$493,13,)/VLOOKUP($D191,$C$5:$AU$493,3,))*$E191)</f>
        <v>0</v>
      </c>
      <c r="P191" s="67">
        <f>IF(VLOOKUP($D191,$C$5:$AU$493,3,)=0,0,(VLOOKUP($D191,$C$5:$AU$493,14,)/VLOOKUP($D191,$C$5:$AU$493,3,))*$E191)</f>
        <v>0</v>
      </c>
      <c r="Q191" s="67">
        <f>IF(VLOOKUP($D191,$C$5:$AU$493,3,)=0,0,(VLOOKUP($D191,$C$5:$AU$493,15,)/VLOOKUP($D191,$C$5:$AU$493,3,))*$E191)</f>
        <v>0</v>
      </c>
      <c r="R191" s="67">
        <f>IF(VLOOKUP($D191,$C$5:$AU$493,3,)=0,0,(VLOOKUP($D191,$C$5:$AU$493,16,)/VLOOKUP($D191,$C$5:$AU$493,3,))*$E191)</f>
        <v>0</v>
      </c>
      <c r="S191" s="67">
        <f>IF(VLOOKUP($D191,$C$5:$AU$493,3,)=0,0,(VLOOKUP($D191,$C$5:$AU$493,17,)/VLOOKUP($D191,$C$5:$AU$493,3,))*$E191)</f>
        <v>0</v>
      </c>
      <c r="T191" s="67">
        <f>IF(VLOOKUP($D191,$C$5:$AU$493,3,)=0,0,(VLOOKUP($D191,$C$5:$AU$493,18,)/VLOOKUP($D191,$C$5:$AU$493,3,))*$E191)</f>
        <v>0</v>
      </c>
      <c r="U191" s="67">
        <f>IF(VLOOKUP($D191,$C$5:$AU$493,3,)=0,0,(VLOOKUP($D191,$C$5:$AU$493,19,)/VLOOKUP($D191,$C$5:$AU$493,3,))*$E191)</f>
        <v>0</v>
      </c>
      <c r="V191" s="67">
        <f>IF(VLOOKUP($D191,$C$5:$AU$493,3,)=0,0,(VLOOKUP($D191,$C$5:$AU$493,20,)/VLOOKUP($D191,$C$5:$AU$493,3,))*$E191)</f>
        <v>0</v>
      </c>
      <c r="W191" s="67">
        <f>IF(VLOOKUP($D191,$C$5:$AU$493,3,)=0,0,(VLOOKUP($D191,$C$5:$AU$493,21,)/VLOOKUP($D191,$C$5:$AU$493,3,))*$E191)</f>
        <v>0</v>
      </c>
      <c r="X191" s="67">
        <f>IF(VLOOKUP($D191,$C$5:$AU$493,3,)=0,0,(VLOOKUP($D191,$C$5:$AU$493,22,)/VLOOKUP($D191,$C$5:$AU$493,3,))*$E191)</f>
        <v>0</v>
      </c>
      <c r="Y191" s="67">
        <f>IF(VLOOKUP($D191,$C$5:$AU$493,3,)=0,0,(VLOOKUP($D191,$C$5:$AU$493,23,)/VLOOKUP($D191,$C$5:$AU$493,3,))*$E191)</f>
        <v>0</v>
      </c>
      <c r="Z191" s="67">
        <f>IF(VLOOKUP($D191,$C$5:$AU$493,3,)=0,0,(VLOOKUP($D191,$C$5:$AU$493,24,)/VLOOKUP($D191,$C$5:$AU$493,3,))*$E191)</f>
        <v>0</v>
      </c>
      <c r="AA191" s="67">
        <f>IF(VLOOKUP($D191,$C$5:$AU$493,3,)=0,0,(VLOOKUP($D191,$C$5:$AU$493,25,)/VLOOKUP($D191,$C$5:$AU$493,3,))*$E191)</f>
        <v>0</v>
      </c>
      <c r="AB191" s="67">
        <f>IF(VLOOKUP($D191,$C$5:$AU$493,3,)=0,0,(VLOOKUP($D191,$C$5:$AU$493,26,)/VLOOKUP($D191,$C$5:$AU$493,3,))*$E191)</f>
        <v>0</v>
      </c>
      <c r="AC191" s="67">
        <f>IF(VLOOKUP($D191,$C$5:$AU$493,3,)=0,0,(VLOOKUP($D191,$C$5:$AU$493,27,)/VLOOKUP($D191,$C$5:$AU$493,3,))*$E191)</f>
        <v>0</v>
      </c>
      <c r="AD191" s="67">
        <f>IF(VLOOKUP($D191,$C$5:$AU$493,3,)=0,0,(VLOOKUP($D191,$C$5:$AU$493,28,)/VLOOKUP($D191,$C$5:$AU$493,3,))*$E191)</f>
        <v>0</v>
      </c>
      <c r="AE191" s="67">
        <f>IF(VLOOKUP($D191,$C$5:$AU$493,3,)=0,0,(VLOOKUP($D191,$C$5:$AU$493,29,)/VLOOKUP($D191,$C$5:$AU$493,3,))*$E191)</f>
        <v>0</v>
      </c>
      <c r="AF191" s="67">
        <f>IF(VLOOKUP($D191,$C$5:$AU$493,3,)=0,0,(VLOOKUP($D191,$C$5:$AU$493,30,)/VLOOKUP($D191,$C$5:$AU$493,3,))*$E191)</f>
        <v>0</v>
      </c>
      <c r="AG191" s="90">
        <f>SUM(F191:AF191)</f>
        <v>31.652773750767629</v>
      </c>
      <c r="AH191" s="28" t="str">
        <f>IF(ABS(E191-AG191)&lt;0.01,"ok","err")</f>
        <v>ok</v>
      </c>
    </row>
    <row r="192" spans="1:34" x14ac:dyDescent="0.25">
      <c r="E192" s="50"/>
    </row>
    <row r="193" spans="1:34" x14ac:dyDescent="0.25">
      <c r="A193" s="14" t="s">
        <v>0</v>
      </c>
      <c r="C193" s="14" t="s">
        <v>283</v>
      </c>
      <c r="E193" s="67">
        <f>E163+E166+E169+E174+E179+E182+E185+E188+E191</f>
        <v>3056610.6300000004</v>
      </c>
      <c r="F193" s="67">
        <f t="shared" ref="F193:R193" si="47">F163+F166+F169+F174+F179+F182+F185+F188+F191</f>
        <v>2186147.2609750601</v>
      </c>
      <c r="G193" s="67">
        <f t="shared" si="47"/>
        <v>2447.5869709743629</v>
      </c>
      <c r="H193" s="67">
        <f t="shared" si="47"/>
        <v>108980.78252855499</v>
      </c>
      <c r="I193" s="67">
        <f t="shared" si="47"/>
        <v>404331.3364921782</v>
      </c>
      <c r="J193" s="67">
        <f t="shared" si="47"/>
        <v>120910.96391008071</v>
      </c>
      <c r="K193" s="67">
        <f t="shared" si="47"/>
        <v>162302.00485329298</v>
      </c>
      <c r="L193" s="67">
        <f t="shared" si="47"/>
        <v>42372.68013585623</v>
      </c>
      <c r="M193" s="67">
        <f t="shared" si="47"/>
        <v>29118.014116228402</v>
      </c>
      <c r="N193" s="67">
        <f t="shared" si="47"/>
        <v>0</v>
      </c>
      <c r="O193" s="67">
        <f t="shared" si="47"/>
        <v>0</v>
      </c>
      <c r="P193" s="67">
        <f t="shared" si="47"/>
        <v>0</v>
      </c>
      <c r="Q193" s="67">
        <f t="shared" si="47"/>
        <v>0</v>
      </c>
      <c r="R193" s="67">
        <f t="shared" si="47"/>
        <v>0</v>
      </c>
      <c r="S193" s="67">
        <f t="shared" ref="S193:AF193" si="48">S163+S169+S174+S179+S182+S185+S188+S191</f>
        <v>0</v>
      </c>
      <c r="T193" s="67">
        <f t="shared" si="48"/>
        <v>0</v>
      </c>
      <c r="U193" s="67">
        <f t="shared" si="48"/>
        <v>0</v>
      </c>
      <c r="V193" s="67">
        <f t="shared" si="48"/>
        <v>0</v>
      </c>
      <c r="W193" s="67">
        <f t="shared" si="48"/>
        <v>0</v>
      </c>
      <c r="X193" s="67">
        <f t="shared" si="48"/>
        <v>0</v>
      </c>
      <c r="Y193" s="67">
        <f t="shared" si="48"/>
        <v>0</v>
      </c>
      <c r="Z193" s="67">
        <f t="shared" si="48"/>
        <v>0</v>
      </c>
      <c r="AA193" s="67">
        <f t="shared" si="48"/>
        <v>0</v>
      </c>
      <c r="AB193" s="67">
        <f t="shared" si="48"/>
        <v>0</v>
      </c>
      <c r="AC193" s="67">
        <f t="shared" si="48"/>
        <v>0</v>
      </c>
      <c r="AD193" s="67">
        <f t="shared" si="48"/>
        <v>0</v>
      </c>
      <c r="AE193" s="67">
        <f t="shared" si="48"/>
        <v>0</v>
      </c>
      <c r="AF193" s="67">
        <f t="shared" si="48"/>
        <v>0</v>
      </c>
      <c r="AG193" s="90">
        <f>SUM(F193:AF193)</f>
        <v>3056610.6299822256</v>
      </c>
      <c r="AH193" s="28" t="str">
        <f>IF(ABS(E193-AG193)&lt;0.01,"ok","err")</f>
        <v>ok</v>
      </c>
    </row>
    <row r="194" spans="1:34" x14ac:dyDescent="0.25">
      <c r="E194" s="142">
        <f>E193/$E193</f>
        <v>1</v>
      </c>
      <c r="F194" s="142">
        <f>F193/$E193</f>
        <v>0.71521941313639281</v>
      </c>
      <c r="G194" s="142">
        <f t="shared" ref="G194" si="49">G193/$E193</f>
        <v>8.0075196590360693E-4</v>
      </c>
      <c r="H194" s="142">
        <f t="shared" ref="H194" si="50">H193/$E193</f>
        <v>3.5654126652224255E-2</v>
      </c>
      <c r="I194" s="142">
        <f t="shared" ref="I194" si="51">I193/$E193</f>
        <v>0.13228094299082449</v>
      </c>
      <c r="J194" s="142">
        <f t="shared" ref="J194" si="52">J193/$E193</f>
        <v>3.9557201929275726E-2</v>
      </c>
      <c r="K194" s="142">
        <f t="shared" ref="K194" si="53">K193/$E193</f>
        <v>5.309868494872471E-2</v>
      </c>
      <c r="L194" s="142">
        <f t="shared" ref="L194" si="54">L193/$E193</f>
        <v>1.3862635862081075E-2</v>
      </c>
      <c r="M194" s="48">
        <f t="shared" ref="M194" si="55">M193/$E193</f>
        <v>9.5262425087582706E-3</v>
      </c>
    </row>
    <row r="196" spans="1:34" x14ac:dyDescent="0.25">
      <c r="A196" s="26" t="s">
        <v>184</v>
      </c>
    </row>
    <row r="198" spans="1:34" x14ac:dyDescent="0.25">
      <c r="A198" s="13" t="s">
        <v>890</v>
      </c>
    </row>
    <row r="199" spans="1:34" x14ac:dyDescent="0.25">
      <c r="A199" s="93" t="s">
        <v>207</v>
      </c>
      <c r="C199" s="14" t="s">
        <v>284</v>
      </c>
      <c r="D199" s="14" t="s">
        <v>656</v>
      </c>
      <c r="E199" s="67">
        <f>'Func &amp; Classif'!H312</f>
        <v>0</v>
      </c>
      <c r="F199" s="67">
        <f>IF(VLOOKUP($D199,$C$5:$AU$493,3,)=0,0,(VLOOKUP($D199,$C$5:$AU$493,4,)/VLOOKUP($D199,$C$5:$AU$493,3,))*$E199)</f>
        <v>0</v>
      </c>
      <c r="G199" s="67">
        <f>IF(VLOOKUP($D199,$C$5:$AU$493,3,)=0,0,(VLOOKUP($D199,$C$5:$AU$493,5,)/VLOOKUP($D199,$C$5:$AU$493,3,))*$E199)</f>
        <v>0</v>
      </c>
      <c r="H199" s="67">
        <f>IF(VLOOKUP($D199,$C$5:$AU$493,3,)=0,0,(VLOOKUP($D199,$C$5:$AU$493,6,)/VLOOKUP($D199,$C$5:$AU$493,3,))*$E199)</f>
        <v>0</v>
      </c>
      <c r="I199" s="67">
        <f>IF(VLOOKUP($D199,$C$5:$AU$493,3,)=0,0,(VLOOKUP($D199,$C$5:$AU$493,7,)/VLOOKUP($D199,$C$5:$AU$493,3,))*$E199)</f>
        <v>0</v>
      </c>
      <c r="J199" s="67">
        <f>IF(VLOOKUP($D199,$C$5:$AU$493,3,)=0,0,(VLOOKUP($D199,$C$5:$AU$493,8,)/VLOOKUP($D199,$C$5:$AU$493,3,))*$E199)</f>
        <v>0</v>
      </c>
      <c r="K199" s="67">
        <f>IF(VLOOKUP($D199,$C$5:$AU$493,3,)=0,0,(VLOOKUP($D199,$C$5:$AU$493,9,)/VLOOKUP($D199,$C$5:$AU$493,3,))*$E199)</f>
        <v>0</v>
      </c>
      <c r="L199" s="67">
        <f>IF(VLOOKUP($D199,$C$5:$AU$493,3,)=0,0,(VLOOKUP($D199,$C$5:$AU$493,10,)/VLOOKUP($D199,$C$5:$AU$493,3,))*$E199)</f>
        <v>0</v>
      </c>
      <c r="M199" s="67">
        <f>IF(VLOOKUP($D199,$C$5:$AU$493,3,)=0,0,(VLOOKUP($D199,$C$5:$AU$493,11,)/VLOOKUP($D199,$C$5:$AU$493,3,))*$E199)</f>
        <v>0</v>
      </c>
      <c r="N199" s="67">
        <f>IF(VLOOKUP($D199,$C$5:$AU$493,3,)=0,0,(VLOOKUP($D199,$C$5:$AU$493,12,)/VLOOKUP($D199,$C$5:$AU$493,3,))*$E199)</f>
        <v>0</v>
      </c>
      <c r="O199" s="67">
        <f>IF(VLOOKUP($D199,$C$5:$AU$493,3,)=0,0,(VLOOKUP($D199,$C$5:$AU$493,13,)/VLOOKUP($D199,$C$5:$AU$493,3,))*$E199)</f>
        <v>0</v>
      </c>
      <c r="P199" s="67">
        <f>IF(VLOOKUP($D199,$C$5:$AU$493,3,)=0,0,(VLOOKUP($D199,$C$5:$AU$493,14,)/VLOOKUP($D199,$C$5:$AU$493,3,))*$E199)</f>
        <v>0</v>
      </c>
      <c r="Q199" s="67">
        <f>IF(VLOOKUP($D199,$C$5:$AU$493,3,)=0,0,(VLOOKUP($D199,$C$5:$AU$493,15,)/VLOOKUP($D199,$C$5:$AU$493,3,))*$E199)</f>
        <v>0</v>
      </c>
      <c r="R199" s="67">
        <f>IF(VLOOKUP($D199,$C$5:$AU$493,3,)=0,0,(VLOOKUP($D199,$C$5:$AU$493,16,)/VLOOKUP($D199,$C$5:$AU$493,3,))*$E199)</f>
        <v>0</v>
      </c>
      <c r="S199" s="67">
        <f>IF(VLOOKUP($D199,$C$5:$AU$493,3,)=0,0,(VLOOKUP($D199,$C$5:$AU$493,17,)/VLOOKUP($D199,$C$5:$AU$493,3,))*$E199)</f>
        <v>0</v>
      </c>
      <c r="T199" s="67">
        <f>IF(VLOOKUP($D199,$C$5:$AU$493,3,)=0,0,(VLOOKUP($D199,$C$5:$AU$493,18,)/VLOOKUP($D199,$C$5:$AU$493,3,))*$E199)</f>
        <v>0</v>
      </c>
      <c r="U199" s="67">
        <f>IF(VLOOKUP($D199,$C$5:$AU$493,3,)=0,0,(VLOOKUP($D199,$C$5:$AU$493,19,)/VLOOKUP($D199,$C$5:$AU$493,3,))*$E199)</f>
        <v>0</v>
      </c>
      <c r="V199" s="67">
        <f>IF(VLOOKUP($D199,$C$5:$AU$493,3,)=0,0,(VLOOKUP($D199,$C$5:$AU$493,20,)/VLOOKUP($D199,$C$5:$AU$493,3,))*$E199)</f>
        <v>0</v>
      </c>
      <c r="W199" s="67">
        <f>IF(VLOOKUP($D199,$C$5:$AU$493,3,)=0,0,(VLOOKUP($D199,$C$5:$AU$493,21,)/VLOOKUP($D199,$C$5:$AU$493,3,))*$E199)</f>
        <v>0</v>
      </c>
      <c r="X199" s="67">
        <f>IF(VLOOKUP($D199,$C$5:$AU$493,3,)=0,0,(VLOOKUP($D199,$C$5:$AU$493,22,)/VLOOKUP($D199,$C$5:$AU$493,3,))*$E199)</f>
        <v>0</v>
      </c>
      <c r="Y199" s="67">
        <f>IF(VLOOKUP($D199,$C$5:$AU$493,3,)=0,0,(VLOOKUP($D199,$C$5:$AU$493,23,)/VLOOKUP($D199,$C$5:$AU$493,3,))*$E199)</f>
        <v>0</v>
      </c>
      <c r="Z199" s="67">
        <f>IF(VLOOKUP($D199,$C$5:$AU$493,3,)=0,0,(VLOOKUP($D199,$C$5:$AU$493,24,)/VLOOKUP($D199,$C$5:$AU$493,3,))*$E199)</f>
        <v>0</v>
      </c>
      <c r="AA199" s="67">
        <f>IF(VLOOKUP($D199,$C$5:$AU$493,3,)=0,0,(VLOOKUP($D199,$C$5:$AU$493,25,)/VLOOKUP($D199,$C$5:$AU$493,3,))*$E199)</f>
        <v>0</v>
      </c>
      <c r="AB199" s="67">
        <f>IF(VLOOKUP($D199,$C$5:$AU$493,3,)=0,0,(VLOOKUP($D199,$C$5:$AU$493,26,)/VLOOKUP($D199,$C$5:$AU$493,3,))*$E199)</f>
        <v>0</v>
      </c>
      <c r="AC199" s="67">
        <f>IF(VLOOKUP($D199,$C$5:$AU$493,3,)=0,0,(VLOOKUP($D199,$C$5:$AU$493,27,)/VLOOKUP($D199,$C$5:$AU$493,3,))*$E199)</f>
        <v>0</v>
      </c>
      <c r="AD199" s="67">
        <f>IF(VLOOKUP($D199,$C$5:$AU$493,3,)=0,0,(VLOOKUP($D199,$C$5:$AU$493,28,)/VLOOKUP($D199,$C$5:$AU$493,3,))*$E199)</f>
        <v>0</v>
      </c>
      <c r="AE199" s="67">
        <f>IF(VLOOKUP($D199,$C$5:$AU$493,3,)=0,0,(VLOOKUP($D199,$C$5:$AU$493,29,)/VLOOKUP($D199,$C$5:$AU$493,3,))*$E199)</f>
        <v>0</v>
      </c>
      <c r="AF199" s="67">
        <f>IF(VLOOKUP($D199,$C$5:$AU$493,3,)=0,0,(VLOOKUP($D199,$C$5:$AU$493,30,)/VLOOKUP($D199,$C$5:$AU$493,3,))*$E199)</f>
        <v>0</v>
      </c>
      <c r="AG199" s="90">
        <f>SUM(F199:AF199)</f>
        <v>0</v>
      </c>
      <c r="AH199" s="28" t="str">
        <f>IF(ABS(E199-AG199)&lt;0.01,"ok","err")</f>
        <v>ok</v>
      </c>
    </row>
    <row r="200" spans="1:34" x14ac:dyDescent="0.25">
      <c r="A200" s="93" t="s">
        <v>210</v>
      </c>
      <c r="C200" s="14" t="s">
        <v>285</v>
      </c>
      <c r="D200" s="14" t="s">
        <v>665</v>
      </c>
      <c r="E200" s="50">
        <f>'Func &amp; Classif'!I312</f>
        <v>0</v>
      </c>
      <c r="F200" s="67">
        <f>IF(VLOOKUP($D200,$C$5:$AU$493,3,)=0,0,(VLOOKUP($D200,$C$5:$AU$493,4,)/VLOOKUP($D200,$C$5:$AU$493,3,))*$E200)</f>
        <v>0</v>
      </c>
      <c r="G200" s="67">
        <f>IF(VLOOKUP($D200,$C$5:$AU$493,3,)=0,0,(VLOOKUP($D200,$C$5:$AU$493,5,)/VLOOKUP($D200,$C$5:$AU$493,3,))*$E200)</f>
        <v>0</v>
      </c>
      <c r="H200" s="67">
        <f>IF(VLOOKUP($D200,$C$5:$AU$493,3,)=0,0,(VLOOKUP($D200,$C$5:$AU$493,6,)/VLOOKUP($D200,$C$5:$AU$493,3,))*$E200)</f>
        <v>0</v>
      </c>
      <c r="I200" s="67">
        <f>IF(VLOOKUP($D200,$C$5:$AU$493,3,)=0,0,(VLOOKUP($D200,$C$5:$AU$493,7,)/VLOOKUP($D200,$C$5:$AU$493,3,))*$E200)</f>
        <v>0</v>
      </c>
      <c r="J200" s="67">
        <f>IF(VLOOKUP($D200,$C$5:$AU$493,3,)=0,0,(VLOOKUP($D200,$C$5:$AU$493,8,)/VLOOKUP($D200,$C$5:$AU$493,3,))*$E200)</f>
        <v>0</v>
      </c>
      <c r="K200" s="67">
        <f>IF(VLOOKUP($D200,$C$5:$AU$493,3,)=0,0,(VLOOKUP($D200,$C$5:$AU$493,9,)/VLOOKUP($D200,$C$5:$AU$493,3,))*$E200)</f>
        <v>0</v>
      </c>
      <c r="L200" s="67">
        <f>IF(VLOOKUP($D200,$C$5:$AU$493,3,)=0,0,(VLOOKUP($D200,$C$5:$AU$493,10,)/VLOOKUP($D200,$C$5:$AU$493,3,))*$E200)</f>
        <v>0</v>
      </c>
      <c r="M200" s="67">
        <f>IF(VLOOKUP($D200,$C$5:$AU$493,3,)=0,0,(VLOOKUP($D200,$C$5:$AU$493,11,)/VLOOKUP($D200,$C$5:$AU$493,3,))*$E200)</f>
        <v>0</v>
      </c>
      <c r="N200" s="67">
        <f>IF(VLOOKUP($D200,$C$5:$AU$493,3,)=0,0,(VLOOKUP($D200,$C$5:$AU$493,12,)/VLOOKUP($D200,$C$5:$AU$493,3,))*$E200)</f>
        <v>0</v>
      </c>
      <c r="O200" s="67">
        <f>IF(VLOOKUP($D200,$C$5:$AU$493,3,)=0,0,(VLOOKUP($D200,$C$5:$AU$493,13,)/VLOOKUP($D200,$C$5:$AU$493,3,))*$E200)</f>
        <v>0</v>
      </c>
      <c r="P200" s="67">
        <f>IF(VLOOKUP($D200,$C$5:$AU$493,3,)=0,0,(VLOOKUP($D200,$C$5:$AU$493,14,)/VLOOKUP($D200,$C$5:$AU$493,3,))*$E200)</f>
        <v>0</v>
      </c>
      <c r="Q200" s="67">
        <f>IF(VLOOKUP($D200,$C$5:$AU$493,3,)=0,0,(VLOOKUP($D200,$C$5:$AU$493,15,)/VLOOKUP($D200,$C$5:$AU$493,3,))*$E200)</f>
        <v>0</v>
      </c>
      <c r="R200" s="67">
        <f>IF(VLOOKUP($D200,$C$5:$AU$493,3,)=0,0,(VLOOKUP($D200,$C$5:$AU$493,16,)/VLOOKUP($D200,$C$5:$AU$493,3,))*$E200)</f>
        <v>0</v>
      </c>
      <c r="S200" s="67">
        <f>IF(VLOOKUP($D200,$C$5:$AU$493,3,)=0,0,(VLOOKUP($D200,$C$5:$AU$493,17,)/VLOOKUP($D200,$C$5:$AU$493,3,))*$E200)</f>
        <v>0</v>
      </c>
      <c r="T200" s="67">
        <f>IF(VLOOKUP($D200,$C$5:$AU$493,3,)=0,0,(VLOOKUP($D200,$C$5:$AU$493,18,)/VLOOKUP($D200,$C$5:$AU$493,3,))*$E200)</f>
        <v>0</v>
      </c>
      <c r="U200" s="67">
        <f>IF(VLOOKUP($D200,$C$5:$AU$493,3,)=0,0,(VLOOKUP($D200,$C$5:$AU$493,19,)/VLOOKUP($D200,$C$5:$AU$493,3,))*$E200)</f>
        <v>0</v>
      </c>
      <c r="V200" s="67">
        <f>IF(VLOOKUP($D200,$C$5:$AU$493,3,)=0,0,(VLOOKUP($D200,$C$5:$AU$493,20,)/VLOOKUP($D200,$C$5:$AU$493,3,))*$E200)</f>
        <v>0</v>
      </c>
      <c r="W200" s="67">
        <f>IF(VLOOKUP($D200,$C$5:$AU$493,3,)=0,0,(VLOOKUP($D200,$C$5:$AU$493,21,)/VLOOKUP($D200,$C$5:$AU$493,3,))*$E200)</f>
        <v>0</v>
      </c>
      <c r="X200" s="67">
        <f>IF(VLOOKUP($D200,$C$5:$AU$493,3,)=0,0,(VLOOKUP($D200,$C$5:$AU$493,22,)/VLOOKUP($D200,$C$5:$AU$493,3,))*$E200)</f>
        <v>0</v>
      </c>
      <c r="Y200" s="67">
        <f>IF(VLOOKUP($D200,$C$5:$AU$493,3,)=0,0,(VLOOKUP($D200,$C$5:$AU$493,23,)/VLOOKUP($D200,$C$5:$AU$493,3,))*$E200)</f>
        <v>0</v>
      </c>
      <c r="Z200" s="67">
        <f>IF(VLOOKUP($D200,$C$5:$AU$493,3,)=0,0,(VLOOKUP($D200,$C$5:$AU$493,24,)/VLOOKUP($D200,$C$5:$AU$493,3,))*$E200)</f>
        <v>0</v>
      </c>
      <c r="AA200" s="67">
        <f>IF(VLOOKUP($D200,$C$5:$AU$493,3,)=0,0,(VLOOKUP($D200,$C$5:$AU$493,25,)/VLOOKUP($D200,$C$5:$AU$493,3,))*$E200)</f>
        <v>0</v>
      </c>
      <c r="AB200" s="67">
        <f>IF(VLOOKUP($D200,$C$5:$AU$493,3,)=0,0,(VLOOKUP($D200,$C$5:$AU$493,26,)/VLOOKUP($D200,$C$5:$AU$493,3,))*$E200)</f>
        <v>0</v>
      </c>
      <c r="AC200" s="67">
        <f>IF(VLOOKUP($D200,$C$5:$AU$493,3,)=0,0,(VLOOKUP($D200,$C$5:$AU$493,27,)/VLOOKUP($D200,$C$5:$AU$493,3,))*$E200)</f>
        <v>0</v>
      </c>
      <c r="AD200" s="67">
        <f>IF(VLOOKUP($D200,$C$5:$AU$493,3,)=0,0,(VLOOKUP($D200,$C$5:$AU$493,28,)/VLOOKUP($D200,$C$5:$AU$493,3,))*$E200)</f>
        <v>0</v>
      </c>
      <c r="AE200" s="67">
        <f>IF(VLOOKUP($D200,$C$5:$AU$493,3,)=0,0,(VLOOKUP($D200,$C$5:$AU$493,29,)/VLOOKUP($D200,$C$5:$AU$493,3,))*$E200)</f>
        <v>0</v>
      </c>
      <c r="AF200" s="67">
        <f>IF(VLOOKUP($D200,$C$5:$AU$493,3,)=0,0,(VLOOKUP($D200,$C$5:$AU$493,30,)/VLOOKUP($D200,$C$5:$AU$493,3,))*$E200)</f>
        <v>0</v>
      </c>
      <c r="AG200" s="90">
        <f>SUM(F200:AF200)</f>
        <v>0</v>
      </c>
      <c r="AH200" s="28" t="str">
        <f>IF(ABS(E200-AG200)&lt;0.01,"ok","err")</f>
        <v>ok</v>
      </c>
    </row>
    <row r="201" spans="1:34" x14ac:dyDescent="0.25">
      <c r="A201" s="14" t="s">
        <v>213</v>
      </c>
      <c r="C201" s="14" t="s">
        <v>286</v>
      </c>
      <c r="E201" s="50">
        <f t="shared" ref="E201:T201" si="56">E199+E200</f>
        <v>0</v>
      </c>
      <c r="F201" s="67">
        <f t="shared" si="56"/>
        <v>0</v>
      </c>
      <c r="G201" s="67">
        <f t="shared" si="56"/>
        <v>0</v>
      </c>
      <c r="H201" s="67">
        <f t="shared" si="56"/>
        <v>0</v>
      </c>
      <c r="I201" s="67">
        <f t="shared" si="56"/>
        <v>0</v>
      </c>
      <c r="J201" s="67">
        <f t="shared" si="56"/>
        <v>0</v>
      </c>
      <c r="K201" s="67">
        <f t="shared" si="56"/>
        <v>0</v>
      </c>
      <c r="L201" s="67">
        <f t="shared" si="56"/>
        <v>0</v>
      </c>
      <c r="M201" s="67">
        <f t="shared" si="56"/>
        <v>0</v>
      </c>
      <c r="N201" s="67">
        <f t="shared" si="56"/>
        <v>0</v>
      </c>
      <c r="O201" s="67">
        <f t="shared" si="56"/>
        <v>0</v>
      </c>
      <c r="P201" s="67">
        <f t="shared" si="56"/>
        <v>0</v>
      </c>
      <c r="Q201" s="67">
        <f t="shared" si="56"/>
        <v>0</v>
      </c>
      <c r="R201" s="67">
        <f t="shared" si="56"/>
        <v>0</v>
      </c>
      <c r="S201" s="67">
        <f t="shared" si="56"/>
        <v>0</v>
      </c>
      <c r="T201" s="67">
        <f t="shared" si="56"/>
        <v>0</v>
      </c>
      <c r="U201" s="67">
        <f t="shared" ref="U201:AF201" si="57">U199+U200</f>
        <v>0</v>
      </c>
      <c r="V201" s="67">
        <f t="shared" si="57"/>
        <v>0</v>
      </c>
      <c r="W201" s="67">
        <f t="shared" si="57"/>
        <v>0</v>
      </c>
      <c r="X201" s="67">
        <f t="shared" si="57"/>
        <v>0</v>
      </c>
      <c r="Y201" s="67">
        <f t="shared" si="57"/>
        <v>0</v>
      </c>
      <c r="Z201" s="67">
        <f t="shared" si="57"/>
        <v>0</v>
      </c>
      <c r="AA201" s="67">
        <f t="shared" si="57"/>
        <v>0</v>
      </c>
      <c r="AB201" s="67">
        <f t="shared" si="57"/>
        <v>0</v>
      </c>
      <c r="AC201" s="67">
        <f t="shared" si="57"/>
        <v>0</v>
      </c>
      <c r="AD201" s="67">
        <f t="shared" si="57"/>
        <v>0</v>
      </c>
      <c r="AE201" s="67">
        <f t="shared" si="57"/>
        <v>0</v>
      </c>
      <c r="AF201" s="67">
        <f t="shared" si="57"/>
        <v>0</v>
      </c>
      <c r="AG201" s="90">
        <f>SUM(F201:AF201)</f>
        <v>0</v>
      </c>
      <c r="AH201" s="28" t="str">
        <f>IF(ABS(E201-AG201)&lt;0.01,"ok","err")</f>
        <v>ok</v>
      </c>
    </row>
    <row r="202" spans="1:34" x14ac:dyDescent="0.25">
      <c r="E202" s="50"/>
      <c r="F202" s="50"/>
    </row>
    <row r="203" spans="1:34" x14ac:dyDescent="0.25">
      <c r="A203" s="13" t="s">
        <v>348</v>
      </c>
      <c r="E203" s="50"/>
      <c r="F203" s="50"/>
    </row>
    <row r="204" spans="1:34" x14ac:dyDescent="0.25">
      <c r="A204" s="93" t="s">
        <v>207</v>
      </c>
      <c r="C204" s="14" t="s">
        <v>884</v>
      </c>
      <c r="D204" s="14" t="s">
        <v>599</v>
      </c>
      <c r="E204" s="67">
        <f>'Func &amp; Classif'!K312</f>
        <v>0</v>
      </c>
      <c r="F204" s="67">
        <f>IF(VLOOKUP($D204,$C$5:$AU$493,3,)=0,0,(VLOOKUP($D204,$C$5:$AU$493,4,)/VLOOKUP($D204,$C$5:$AU$493,3,))*$E204)</f>
        <v>0</v>
      </c>
      <c r="G204" s="67">
        <f>IF(VLOOKUP($D204,$C$5:$AU$493,3,)=0,0,(VLOOKUP($D204,$C$5:$AU$493,5,)/VLOOKUP($D204,$C$5:$AU$493,3,))*$E204)</f>
        <v>0</v>
      </c>
      <c r="H204" s="67">
        <f>IF(VLOOKUP($D204,$C$5:$AU$493,3,)=0,0,(VLOOKUP($D204,$C$5:$AU$493,6,)/VLOOKUP($D204,$C$5:$AU$493,3,))*$E204)</f>
        <v>0</v>
      </c>
      <c r="I204" s="67">
        <f>IF(VLOOKUP($D204,$C$5:$AU$493,3,)=0,0,(VLOOKUP($D204,$C$5:$AU$493,7,)/VLOOKUP($D204,$C$5:$AU$493,3,))*$E204)</f>
        <v>0</v>
      </c>
      <c r="J204" s="67">
        <f>IF(VLOOKUP($D204,$C$5:$AU$493,3,)=0,0,(VLOOKUP($D204,$C$5:$AU$493,8,)/VLOOKUP($D204,$C$5:$AU$493,3,))*$E204)</f>
        <v>0</v>
      </c>
      <c r="K204" s="67">
        <f>IF(VLOOKUP($D204,$C$5:$AU$493,3,)=0,0,(VLOOKUP($D204,$C$5:$AU$493,9,)/VLOOKUP($D204,$C$5:$AU$493,3,))*$E204)</f>
        <v>0</v>
      </c>
      <c r="L204" s="67">
        <f>IF(VLOOKUP($D204,$C$5:$AU$493,3,)=0,0,(VLOOKUP($D204,$C$5:$AU$493,10,)/VLOOKUP($D204,$C$5:$AU$493,3,))*$E204)</f>
        <v>0</v>
      </c>
      <c r="M204" s="67">
        <f>IF(VLOOKUP($D204,$C$5:$AU$493,3,)=0,0,(VLOOKUP($D204,$C$5:$AU$493,11,)/VLOOKUP($D204,$C$5:$AU$493,3,))*$E204)</f>
        <v>0</v>
      </c>
      <c r="N204" s="67">
        <f>IF(VLOOKUP($D204,$C$5:$AU$493,3,)=0,0,(VLOOKUP($D204,$C$5:$AU$493,12,)/VLOOKUP($D204,$C$5:$AU$493,3,))*$E204)</f>
        <v>0</v>
      </c>
      <c r="O204" s="67">
        <f>IF(VLOOKUP($D204,$C$5:$AU$493,3,)=0,0,(VLOOKUP($D204,$C$5:$AU$493,13,)/VLOOKUP($D204,$C$5:$AU$493,3,))*$E204)</f>
        <v>0</v>
      </c>
      <c r="P204" s="67">
        <f>IF(VLOOKUP($D204,$C$5:$AU$493,3,)=0,0,(VLOOKUP($D204,$C$5:$AU$493,14,)/VLOOKUP($D204,$C$5:$AU$493,3,))*$E204)</f>
        <v>0</v>
      </c>
      <c r="Q204" s="67">
        <f>IF(VLOOKUP($D204,$C$5:$AU$493,3,)=0,0,(VLOOKUP($D204,$C$5:$AU$493,15,)/VLOOKUP($D204,$C$5:$AU$493,3,))*$E204)</f>
        <v>0</v>
      </c>
      <c r="R204" s="67">
        <f>IF(VLOOKUP($D204,$C$5:$AU$493,3,)=0,0,(VLOOKUP($D204,$C$5:$AU$493,16,)/VLOOKUP($D204,$C$5:$AU$493,3,))*$E204)</f>
        <v>0</v>
      </c>
      <c r="S204" s="67">
        <f>IF(VLOOKUP($D204,$C$5:$AU$493,3,)=0,0,(VLOOKUP($D204,$C$5:$AU$493,17,)/VLOOKUP($D204,$C$5:$AU$493,3,))*$E204)</f>
        <v>0</v>
      </c>
      <c r="T204" s="67">
        <f>IF(VLOOKUP($D204,$C$5:$AU$493,3,)=0,0,(VLOOKUP($D204,$C$5:$AU$493,18,)/VLOOKUP($D204,$C$5:$AU$493,3,))*$E204)</f>
        <v>0</v>
      </c>
      <c r="U204" s="67">
        <f>IF(VLOOKUP($D204,$C$5:$AU$493,3,)=0,0,(VLOOKUP($D204,$C$5:$AU$493,19,)/VLOOKUP($D204,$C$5:$AU$493,3,))*$E204)</f>
        <v>0</v>
      </c>
      <c r="V204" s="67">
        <f>IF(VLOOKUP($D204,$C$5:$AU$493,3,)=0,0,(VLOOKUP($D204,$C$5:$AU$493,20,)/VLOOKUP($D204,$C$5:$AU$493,3,))*$E204)</f>
        <v>0</v>
      </c>
      <c r="W204" s="67">
        <f>IF(VLOOKUP($D204,$C$5:$AU$493,3,)=0,0,(VLOOKUP($D204,$C$5:$AU$493,21,)/VLOOKUP($D204,$C$5:$AU$493,3,))*$E204)</f>
        <v>0</v>
      </c>
      <c r="X204" s="67">
        <f>IF(VLOOKUP($D204,$C$5:$AU$493,3,)=0,0,(VLOOKUP($D204,$C$5:$AU$493,22,)/VLOOKUP($D204,$C$5:$AU$493,3,))*$E204)</f>
        <v>0</v>
      </c>
      <c r="Y204" s="67">
        <f>IF(VLOOKUP($D204,$C$5:$AU$493,3,)=0,0,(VLOOKUP($D204,$C$5:$AU$493,23,)/VLOOKUP($D204,$C$5:$AU$493,3,))*$E204)</f>
        <v>0</v>
      </c>
      <c r="Z204" s="67">
        <f>IF(VLOOKUP($D204,$C$5:$AU$493,3,)=0,0,(VLOOKUP($D204,$C$5:$AU$493,24,)/VLOOKUP($D204,$C$5:$AU$493,3,))*$E204)</f>
        <v>0</v>
      </c>
      <c r="AA204" s="67">
        <f>IF(VLOOKUP($D204,$C$5:$AU$493,3,)=0,0,(VLOOKUP($D204,$C$5:$AU$493,25,)/VLOOKUP($D204,$C$5:$AU$493,3,))*$E204)</f>
        <v>0</v>
      </c>
      <c r="AB204" s="67">
        <f>IF(VLOOKUP($D204,$C$5:$AU$493,3,)=0,0,(VLOOKUP($D204,$C$5:$AU$493,26,)/VLOOKUP($D204,$C$5:$AU$493,3,))*$E204)</f>
        <v>0</v>
      </c>
      <c r="AC204" s="67">
        <f>IF(VLOOKUP($D204,$C$5:$AU$493,3,)=0,0,(VLOOKUP($D204,$C$5:$AU$493,27,)/VLOOKUP($D204,$C$5:$AU$493,3,))*$E204)</f>
        <v>0</v>
      </c>
      <c r="AD204" s="67">
        <f>IF(VLOOKUP($D204,$C$5:$AU$493,3,)=0,0,(VLOOKUP($D204,$C$5:$AU$493,28,)/VLOOKUP($D204,$C$5:$AU$493,3,))*$E204)</f>
        <v>0</v>
      </c>
      <c r="AE204" s="67">
        <f>IF(VLOOKUP($D204,$C$5:$AU$493,3,)=0,0,(VLOOKUP($D204,$C$5:$AU$493,29,)/VLOOKUP($D204,$C$5:$AU$493,3,))*$E204)</f>
        <v>0</v>
      </c>
      <c r="AF204" s="67">
        <f>IF(VLOOKUP($D204,$C$5:$AU$493,3,)=0,0,(VLOOKUP($D204,$C$5:$AU$493,30,)/VLOOKUP($D204,$C$5:$AU$493,3,))*$E204)</f>
        <v>0</v>
      </c>
      <c r="AG204" s="90">
        <f>SUM(F204:AF204)</f>
        <v>0</v>
      </c>
      <c r="AH204" s="28" t="str">
        <f>IF(ABS(E204-AG204)&lt;0.01,"ok","err")</f>
        <v>ok</v>
      </c>
    </row>
    <row r="205" spans="1:34" x14ac:dyDescent="0.25">
      <c r="E205" s="50"/>
    </row>
    <row r="206" spans="1:34" x14ac:dyDescent="0.25">
      <c r="A206" s="13" t="s">
        <v>1</v>
      </c>
      <c r="E206" s="50"/>
      <c r="F206" s="50"/>
    </row>
    <row r="207" spans="1:34" x14ac:dyDescent="0.25">
      <c r="A207" s="93" t="s">
        <v>207</v>
      </c>
      <c r="C207" s="14" t="s">
        <v>287</v>
      </c>
      <c r="D207" s="14" t="s">
        <v>615</v>
      </c>
      <c r="E207" s="67">
        <f>'Func &amp; Classif'!M312</f>
        <v>33246.458184703923</v>
      </c>
      <c r="F207" s="67">
        <f>IF(VLOOKUP($D207,$C$5:$AU$493,3,)=0,0,(VLOOKUP($D207,$C$5:$AU$493,4,)/VLOOKUP($D207,$C$5:$AU$493,3,))*$E207)</f>
        <v>21247.749370877031</v>
      </c>
      <c r="G207" s="67">
        <f>IF(VLOOKUP($D207,$C$5:$AU$493,3,)=0,0,(VLOOKUP($D207,$C$5:$AU$493,5,)/VLOOKUP($D207,$C$5:$AU$493,3,))*$E207)</f>
        <v>0</v>
      </c>
      <c r="H207" s="67">
        <f>IF(VLOOKUP($D207,$C$5:$AU$493,3,)=0,0,(VLOOKUP($D207,$C$5:$AU$493,6,)/VLOOKUP($D207,$C$5:$AU$493,3,))*$E207)</f>
        <v>1509.2571589610757</v>
      </c>
      <c r="I207" s="67">
        <f>IF(VLOOKUP($D207,$C$5:$AU$493,3,)=0,0,(VLOOKUP($D207,$C$5:$AU$493,7,)/VLOOKUP($D207,$C$5:$AU$493,3,))*$E207)</f>
        <v>3052.3335047176543</v>
      </c>
      <c r="J207" s="67">
        <f>IF(VLOOKUP($D207,$C$5:$AU$493,3,)=0,0,(VLOOKUP($D207,$C$5:$AU$493,8,)/VLOOKUP($D207,$C$5:$AU$493,3,))*$E207)</f>
        <v>2465.0146156457386</v>
      </c>
      <c r="K207" s="67">
        <f>IF(VLOOKUP($D207,$C$5:$AU$493,3,)=0,0,(VLOOKUP($D207,$C$5:$AU$493,9,)/VLOOKUP($D207,$C$5:$AU$493,3,))*$E207)</f>
        <v>3939.2442303805988</v>
      </c>
      <c r="L207" s="67">
        <f>IF(VLOOKUP($D207,$C$5:$AU$493,3,)=0,0,(VLOOKUP($D207,$C$5:$AU$493,10,)/VLOOKUP($D207,$C$5:$AU$493,3,))*$E207)</f>
        <v>1032.8592134929311</v>
      </c>
      <c r="M207" s="67">
        <f>IF(VLOOKUP($D207,$C$5:$AU$493,3,)=0,0,(VLOOKUP($D207,$C$5:$AU$493,11,)/VLOOKUP($D207,$C$5:$AU$493,3,))*$E207)</f>
        <v>0</v>
      </c>
      <c r="N207" s="67">
        <f>IF(VLOOKUP($D207,$C$5:$AU$493,3,)=0,0,(VLOOKUP($D207,$C$5:$AU$493,12,)/VLOOKUP($D207,$C$5:$AU$493,3,))*$E207)</f>
        <v>0</v>
      </c>
      <c r="O207" s="67">
        <f>IF(VLOOKUP($D207,$C$5:$AU$493,3,)=0,0,(VLOOKUP($D207,$C$5:$AU$493,13,)/VLOOKUP($D207,$C$5:$AU$493,3,))*$E207)</f>
        <v>0</v>
      </c>
      <c r="P207" s="67">
        <f>IF(VLOOKUP($D207,$C$5:$AU$493,3,)=0,0,(VLOOKUP($D207,$C$5:$AU$493,14,)/VLOOKUP($D207,$C$5:$AU$493,3,))*$E207)</f>
        <v>0</v>
      </c>
      <c r="Q207" s="67">
        <f>IF(VLOOKUP($D207,$C$5:$AU$493,3,)=0,0,(VLOOKUP($D207,$C$5:$AU$493,15,)/VLOOKUP($D207,$C$5:$AU$493,3,))*$E207)</f>
        <v>0</v>
      </c>
      <c r="R207" s="67">
        <f>IF(VLOOKUP($D207,$C$5:$AU$493,3,)=0,0,(VLOOKUP($D207,$C$5:$AU$493,16,)/VLOOKUP($D207,$C$5:$AU$493,3,))*$E207)</f>
        <v>0</v>
      </c>
      <c r="S207" s="67">
        <f>IF(VLOOKUP($D207,$C$5:$AU$493,3,)=0,0,(VLOOKUP($D207,$C$5:$AU$493,17,)/VLOOKUP($D207,$C$5:$AU$493,3,))*$E207)</f>
        <v>0</v>
      </c>
      <c r="T207" s="67">
        <f>IF(VLOOKUP($D207,$C$5:$AU$493,3,)=0,0,(VLOOKUP($D207,$C$5:$AU$493,18,)/VLOOKUP($D207,$C$5:$AU$493,3,))*$E207)</f>
        <v>0</v>
      </c>
      <c r="U207" s="67">
        <f>IF(VLOOKUP($D207,$C$5:$AU$493,3,)=0,0,(VLOOKUP($D207,$C$5:$AU$493,19,)/VLOOKUP($D207,$C$5:$AU$493,3,))*$E207)</f>
        <v>0</v>
      </c>
      <c r="V207" s="67">
        <f>IF(VLOOKUP($D207,$C$5:$AU$493,3,)=0,0,(VLOOKUP($D207,$C$5:$AU$493,20,)/VLOOKUP($D207,$C$5:$AU$493,3,))*$E207)</f>
        <v>0</v>
      </c>
      <c r="W207" s="67">
        <f>IF(VLOOKUP($D207,$C$5:$AU$493,3,)=0,0,(VLOOKUP($D207,$C$5:$AU$493,21,)/VLOOKUP($D207,$C$5:$AU$493,3,))*$E207)</f>
        <v>0</v>
      </c>
      <c r="X207" s="67">
        <f>IF(VLOOKUP($D207,$C$5:$AU$493,3,)=0,0,(VLOOKUP($D207,$C$5:$AU$493,22,)/VLOOKUP($D207,$C$5:$AU$493,3,))*$E207)</f>
        <v>0</v>
      </c>
      <c r="Y207" s="67">
        <f>IF(VLOOKUP($D207,$C$5:$AU$493,3,)=0,0,(VLOOKUP($D207,$C$5:$AU$493,23,)/VLOOKUP($D207,$C$5:$AU$493,3,))*$E207)</f>
        <v>0</v>
      </c>
      <c r="Z207" s="67">
        <f>IF(VLOOKUP($D207,$C$5:$AU$493,3,)=0,0,(VLOOKUP($D207,$C$5:$AU$493,24,)/VLOOKUP($D207,$C$5:$AU$493,3,))*$E207)</f>
        <v>0</v>
      </c>
      <c r="AA207" s="67">
        <f>IF(VLOOKUP($D207,$C$5:$AU$493,3,)=0,0,(VLOOKUP($D207,$C$5:$AU$493,25,)/VLOOKUP($D207,$C$5:$AU$493,3,))*$E207)</f>
        <v>0</v>
      </c>
      <c r="AB207" s="67">
        <f>IF(VLOOKUP($D207,$C$5:$AU$493,3,)=0,0,(VLOOKUP($D207,$C$5:$AU$493,26,)/VLOOKUP($D207,$C$5:$AU$493,3,))*$E207)</f>
        <v>0</v>
      </c>
      <c r="AC207" s="67">
        <f>IF(VLOOKUP($D207,$C$5:$AU$493,3,)=0,0,(VLOOKUP($D207,$C$5:$AU$493,27,)/VLOOKUP($D207,$C$5:$AU$493,3,))*$E207)</f>
        <v>0</v>
      </c>
      <c r="AD207" s="67">
        <f>IF(VLOOKUP($D207,$C$5:$AU$493,3,)=0,0,(VLOOKUP($D207,$C$5:$AU$493,28,)/VLOOKUP($D207,$C$5:$AU$493,3,))*$E207)</f>
        <v>0</v>
      </c>
      <c r="AE207" s="67">
        <f>IF(VLOOKUP($D207,$C$5:$AU$493,3,)=0,0,(VLOOKUP($D207,$C$5:$AU$493,29,)/VLOOKUP($D207,$C$5:$AU$493,3,))*$E207)</f>
        <v>0</v>
      </c>
      <c r="AF207" s="67">
        <f>IF(VLOOKUP($D207,$C$5:$AU$493,3,)=0,0,(VLOOKUP($D207,$C$5:$AU$493,30,)/VLOOKUP($D207,$C$5:$AU$493,3,))*$E207)</f>
        <v>0</v>
      </c>
      <c r="AG207" s="90">
        <f>SUM(F207:AF207)</f>
        <v>33246.458094075024</v>
      </c>
      <c r="AH207" s="28" t="str">
        <f>IF(ABS(E207-AG207)&lt;0.01,"ok","err")</f>
        <v>ok</v>
      </c>
    </row>
    <row r="208" spans="1:34" x14ac:dyDescent="0.25">
      <c r="E208" s="50"/>
    </row>
    <row r="209" spans="1:34" x14ac:dyDescent="0.25">
      <c r="A209" s="13" t="s">
        <v>2</v>
      </c>
      <c r="E209" s="50"/>
    </row>
    <row r="210" spans="1:34" x14ac:dyDescent="0.25">
      <c r="A210" s="93" t="s">
        <v>207</v>
      </c>
      <c r="C210" s="14" t="s">
        <v>288</v>
      </c>
      <c r="D210" s="14" t="s">
        <v>607</v>
      </c>
      <c r="E210" s="67">
        <f>'Func &amp; Classif'!O312</f>
        <v>2258977.7361243838</v>
      </c>
      <c r="F210" s="67">
        <f>IF(VLOOKUP($D210,$C$5:$AU$493,3,)=0,0,(VLOOKUP($D210,$C$5:$AU$493,4,)/VLOOKUP($D210,$C$5:$AU$493,3,))*$E210)</f>
        <v>1603667.6401750888</v>
      </c>
      <c r="G210" s="67">
        <f>IF(VLOOKUP($D210,$C$5:$AU$493,3,)=0,0,(VLOOKUP($D210,$C$5:$AU$493,5,)/VLOOKUP($D210,$C$5:$AU$493,3,))*$E210)</f>
        <v>1412.3054597816581</v>
      </c>
      <c r="H210" s="67">
        <f>IF(VLOOKUP($D210,$C$5:$AU$493,3,)=0,0,(VLOOKUP($D210,$C$5:$AU$493,6,)/VLOOKUP($D210,$C$5:$AU$493,3,))*$E210)</f>
        <v>58090.332787136569</v>
      </c>
      <c r="I210" s="67">
        <f>IF(VLOOKUP($D210,$C$5:$AU$493,3,)=0,0,(VLOOKUP($D210,$C$5:$AU$493,7,)/VLOOKUP($D210,$C$5:$AU$493,3,))*$E210)</f>
        <v>116786.89955498654</v>
      </c>
      <c r="J210" s="67">
        <f>IF(VLOOKUP($D210,$C$5:$AU$493,3,)=0,0,(VLOOKUP($D210,$C$5:$AU$493,8,)/VLOOKUP($D210,$C$5:$AU$493,3,))*$E210)</f>
        <v>168866.12443522553</v>
      </c>
      <c r="K210" s="67">
        <f>IF(VLOOKUP($D210,$C$5:$AU$493,3,)=0,0,(VLOOKUP($D210,$C$5:$AU$493,9,)/VLOOKUP($D210,$C$5:$AU$493,3,))*$E210)</f>
        <v>242872.56227588039</v>
      </c>
      <c r="L210" s="67">
        <f>IF(VLOOKUP($D210,$C$5:$AU$493,3,)=0,0,(VLOOKUP($D210,$C$5:$AU$493,10,)/VLOOKUP($D210,$C$5:$AU$493,3,))*$E210)</f>
        <v>63680.530827874572</v>
      </c>
      <c r="M210" s="67">
        <f>IF(VLOOKUP($D210,$C$5:$AU$493,3,)=0,0,(VLOOKUP($D210,$C$5:$AU$493,11,)/VLOOKUP($D210,$C$5:$AU$493,3,))*$E210)</f>
        <v>3601.3406084103171</v>
      </c>
      <c r="N210" s="67">
        <f>IF(VLOOKUP($D210,$C$5:$AU$493,3,)=0,0,(VLOOKUP($D210,$C$5:$AU$493,12,)/VLOOKUP($D210,$C$5:$AU$493,3,))*$E210)</f>
        <v>0</v>
      </c>
      <c r="O210" s="67">
        <f>IF(VLOOKUP($D210,$C$5:$AU$493,3,)=0,0,(VLOOKUP($D210,$C$5:$AU$493,13,)/VLOOKUP($D210,$C$5:$AU$493,3,))*$E210)</f>
        <v>0</v>
      </c>
      <c r="P210" s="67">
        <f>IF(VLOOKUP($D210,$C$5:$AU$493,3,)=0,0,(VLOOKUP($D210,$C$5:$AU$493,14,)/VLOOKUP($D210,$C$5:$AU$493,3,))*$E210)</f>
        <v>0</v>
      </c>
      <c r="Q210" s="67">
        <f>IF(VLOOKUP($D210,$C$5:$AU$493,3,)=0,0,(VLOOKUP($D210,$C$5:$AU$493,15,)/VLOOKUP($D210,$C$5:$AU$493,3,))*$E210)</f>
        <v>0</v>
      </c>
      <c r="R210" s="67">
        <f>IF(VLOOKUP($D210,$C$5:$AU$493,3,)=0,0,(VLOOKUP($D210,$C$5:$AU$493,16,)/VLOOKUP($D210,$C$5:$AU$493,3,))*$E210)</f>
        <v>0</v>
      </c>
      <c r="S210" s="67">
        <f>IF(VLOOKUP($D210,$C$5:$AU$493,3,)=0,0,(VLOOKUP($D210,$C$5:$AU$493,17,)/VLOOKUP($D210,$C$5:$AU$493,3,))*$E210)</f>
        <v>0</v>
      </c>
      <c r="T210" s="67">
        <f>IF(VLOOKUP($D210,$C$5:$AU$493,3,)=0,0,(VLOOKUP($D210,$C$5:$AU$493,18,)/VLOOKUP($D210,$C$5:$AU$493,3,))*$E210)</f>
        <v>0</v>
      </c>
      <c r="U210" s="67">
        <f>IF(VLOOKUP($D210,$C$5:$AU$493,3,)=0,0,(VLOOKUP($D210,$C$5:$AU$493,19,)/VLOOKUP($D210,$C$5:$AU$493,3,))*$E210)</f>
        <v>0</v>
      </c>
      <c r="V210" s="67">
        <f>IF(VLOOKUP($D210,$C$5:$AU$493,3,)=0,0,(VLOOKUP($D210,$C$5:$AU$493,20,)/VLOOKUP($D210,$C$5:$AU$493,3,))*$E210)</f>
        <v>0</v>
      </c>
      <c r="W210" s="67">
        <f>IF(VLOOKUP($D210,$C$5:$AU$493,3,)=0,0,(VLOOKUP($D210,$C$5:$AU$493,21,)/VLOOKUP($D210,$C$5:$AU$493,3,))*$E210)</f>
        <v>0</v>
      </c>
      <c r="X210" s="67">
        <f>IF(VLOOKUP($D210,$C$5:$AU$493,3,)=0,0,(VLOOKUP($D210,$C$5:$AU$493,22,)/VLOOKUP($D210,$C$5:$AU$493,3,))*$E210)</f>
        <v>0</v>
      </c>
      <c r="Y210" s="67">
        <f>IF(VLOOKUP($D210,$C$5:$AU$493,3,)=0,0,(VLOOKUP($D210,$C$5:$AU$493,23,)/VLOOKUP($D210,$C$5:$AU$493,3,))*$E210)</f>
        <v>0</v>
      </c>
      <c r="Z210" s="67">
        <f>IF(VLOOKUP($D210,$C$5:$AU$493,3,)=0,0,(VLOOKUP($D210,$C$5:$AU$493,24,)/VLOOKUP($D210,$C$5:$AU$493,3,))*$E210)</f>
        <v>0</v>
      </c>
      <c r="AA210" s="67">
        <f>IF(VLOOKUP($D210,$C$5:$AU$493,3,)=0,0,(VLOOKUP($D210,$C$5:$AU$493,25,)/VLOOKUP($D210,$C$5:$AU$493,3,))*$E210)</f>
        <v>0</v>
      </c>
      <c r="AB210" s="67">
        <f>IF(VLOOKUP($D210,$C$5:$AU$493,3,)=0,0,(VLOOKUP($D210,$C$5:$AU$493,26,)/VLOOKUP($D210,$C$5:$AU$493,3,))*$E210)</f>
        <v>0</v>
      </c>
      <c r="AC210" s="67">
        <f>IF(VLOOKUP($D210,$C$5:$AU$493,3,)=0,0,(VLOOKUP($D210,$C$5:$AU$493,27,)/VLOOKUP($D210,$C$5:$AU$493,3,))*$E210)</f>
        <v>0</v>
      </c>
      <c r="AD210" s="67">
        <f>IF(VLOOKUP($D210,$C$5:$AU$493,3,)=0,0,(VLOOKUP($D210,$C$5:$AU$493,28,)/VLOOKUP($D210,$C$5:$AU$493,3,))*$E210)</f>
        <v>0</v>
      </c>
      <c r="AE210" s="67">
        <f>IF(VLOOKUP($D210,$C$5:$AU$493,3,)=0,0,(VLOOKUP($D210,$C$5:$AU$493,29,)/VLOOKUP($D210,$C$5:$AU$493,3,))*$E210)</f>
        <v>0</v>
      </c>
      <c r="AF210" s="67">
        <f>IF(VLOOKUP($D210,$C$5:$AU$493,3,)=0,0,(VLOOKUP($D210,$C$5:$AU$493,30,)/VLOOKUP($D210,$C$5:$AU$493,3,))*$E210)</f>
        <v>0</v>
      </c>
      <c r="AG210" s="90">
        <f>SUM(F210:AF210)</f>
        <v>2258977.7361243847</v>
      </c>
      <c r="AH210" s="28" t="str">
        <f>IF(ABS(E210-AG210)&lt;0.01,"ok","err")</f>
        <v>ok</v>
      </c>
    </row>
    <row r="211" spans="1:34" x14ac:dyDescent="0.25">
      <c r="A211" s="93" t="s">
        <v>219</v>
      </c>
      <c r="C211" s="14" t="s">
        <v>289</v>
      </c>
      <c r="D211" s="14" t="s">
        <v>221</v>
      </c>
      <c r="E211" s="50">
        <f>'Func &amp; Classif'!P312</f>
        <v>939808.48823617748</v>
      </c>
      <c r="F211" s="67">
        <f>IF(VLOOKUP($D211,$C$5:$AU$493,3,)=0,0,(VLOOKUP($D211,$C$5:$AU$493,4,)/VLOOKUP($D211,$C$5:$AU$493,3,))*$E211)</f>
        <v>689946.07308081549</v>
      </c>
      <c r="G211" s="67">
        <f>IF(VLOOKUP($D211,$C$5:$AU$493,3,)=0,0,(VLOOKUP($D211,$C$5:$AU$493,5,)/VLOOKUP($D211,$C$5:$AU$493,3,))*$E211)</f>
        <v>931.13123194608954</v>
      </c>
      <c r="H211" s="67">
        <f>IF(VLOOKUP($D211,$C$5:$AU$493,3,)=0,0,(VLOOKUP($D211,$C$5:$AU$493,6,)/VLOOKUP($D211,$C$5:$AU$493,3,))*$E211)</f>
        <v>43226.658953535356</v>
      </c>
      <c r="I211" s="67">
        <f>IF(VLOOKUP($D211,$C$5:$AU$493,3,)=0,0,(VLOOKUP($D211,$C$5:$AU$493,7,)/VLOOKUP($D211,$C$5:$AU$493,3,))*$E211)</f>
        <v>199838.49820862027</v>
      </c>
      <c r="J211" s="67">
        <f>IF(VLOOKUP($D211,$C$5:$AU$493,3,)=0,0,(VLOOKUP($D211,$C$5:$AU$493,8,)/VLOOKUP($D211,$C$5:$AU$493,3,))*$E211)</f>
        <v>3258.9593118113135</v>
      </c>
      <c r="K211" s="67">
        <f>IF(VLOOKUP($D211,$C$5:$AU$493,3,)=0,0,(VLOOKUP($D211,$C$5:$AU$493,9,)/VLOOKUP($D211,$C$5:$AU$493,3,))*$E211)</f>
        <v>744.90498555687157</v>
      </c>
      <c r="L211" s="67">
        <f>IF(VLOOKUP($D211,$C$5:$AU$493,3,)=0,0,(VLOOKUP($D211,$C$5:$AU$493,10,)/VLOOKUP($D211,$C$5:$AU$493,3,))*$E211)</f>
        <v>53.20749896834797</v>
      </c>
      <c r="M211" s="67">
        <f>IF(VLOOKUP($D211,$C$5:$AU$493,3,)=0,0,(VLOOKUP($D211,$C$5:$AU$493,11,)/VLOOKUP($D211,$C$5:$AU$493,3,))*$E211)</f>
        <v>1809.054964923831</v>
      </c>
      <c r="N211" s="67">
        <f>IF(VLOOKUP($D211,$C$5:$AU$493,3,)=0,0,(VLOOKUP($D211,$C$5:$AU$493,12,)/VLOOKUP($D211,$C$5:$AU$493,3,))*$E211)</f>
        <v>0</v>
      </c>
      <c r="O211" s="67">
        <f>IF(VLOOKUP($D211,$C$5:$AU$493,3,)=0,0,(VLOOKUP($D211,$C$5:$AU$493,13,)/VLOOKUP($D211,$C$5:$AU$493,3,))*$E211)</f>
        <v>0</v>
      </c>
      <c r="P211" s="67">
        <f>IF(VLOOKUP($D211,$C$5:$AU$493,3,)=0,0,(VLOOKUP($D211,$C$5:$AU$493,14,)/VLOOKUP($D211,$C$5:$AU$493,3,))*$E211)</f>
        <v>0</v>
      </c>
      <c r="Q211" s="67">
        <f>IF(VLOOKUP($D211,$C$5:$AU$493,3,)=0,0,(VLOOKUP($D211,$C$5:$AU$493,15,)/VLOOKUP($D211,$C$5:$AU$493,3,))*$E211)</f>
        <v>0</v>
      </c>
      <c r="R211" s="67">
        <f>IF(VLOOKUP($D211,$C$5:$AU$493,3,)=0,0,(VLOOKUP($D211,$C$5:$AU$493,16,)/VLOOKUP($D211,$C$5:$AU$493,3,))*$E211)</f>
        <v>0</v>
      </c>
      <c r="S211" s="67">
        <f>IF(VLOOKUP($D211,$C$5:$AU$493,3,)=0,0,(VLOOKUP($D211,$C$5:$AU$493,17,)/VLOOKUP($D211,$C$5:$AU$493,3,))*$E211)</f>
        <v>0</v>
      </c>
      <c r="T211" s="67">
        <f>IF(VLOOKUP($D211,$C$5:$AU$493,3,)=0,0,(VLOOKUP($D211,$C$5:$AU$493,18,)/VLOOKUP($D211,$C$5:$AU$493,3,))*$E211)</f>
        <v>0</v>
      </c>
      <c r="U211" s="67">
        <f>IF(VLOOKUP($D211,$C$5:$AU$493,3,)=0,0,(VLOOKUP($D211,$C$5:$AU$493,19,)/VLOOKUP($D211,$C$5:$AU$493,3,))*$E211)</f>
        <v>0</v>
      </c>
      <c r="V211" s="67">
        <f>IF(VLOOKUP($D211,$C$5:$AU$493,3,)=0,0,(VLOOKUP($D211,$C$5:$AU$493,20,)/VLOOKUP($D211,$C$5:$AU$493,3,))*$E211)</f>
        <v>0</v>
      </c>
      <c r="W211" s="67">
        <f>IF(VLOOKUP($D211,$C$5:$AU$493,3,)=0,0,(VLOOKUP($D211,$C$5:$AU$493,21,)/VLOOKUP($D211,$C$5:$AU$493,3,))*$E211)</f>
        <v>0</v>
      </c>
      <c r="X211" s="67">
        <f>IF(VLOOKUP($D211,$C$5:$AU$493,3,)=0,0,(VLOOKUP($D211,$C$5:$AU$493,22,)/VLOOKUP($D211,$C$5:$AU$493,3,))*$E211)</f>
        <v>0</v>
      </c>
      <c r="Y211" s="67">
        <f>IF(VLOOKUP($D211,$C$5:$AU$493,3,)=0,0,(VLOOKUP($D211,$C$5:$AU$493,23,)/VLOOKUP($D211,$C$5:$AU$493,3,))*$E211)</f>
        <v>0</v>
      </c>
      <c r="Z211" s="67">
        <f>IF(VLOOKUP($D211,$C$5:$AU$493,3,)=0,0,(VLOOKUP($D211,$C$5:$AU$493,24,)/VLOOKUP($D211,$C$5:$AU$493,3,))*$E211)</f>
        <v>0</v>
      </c>
      <c r="AA211" s="67">
        <f>IF(VLOOKUP($D211,$C$5:$AU$493,3,)=0,0,(VLOOKUP($D211,$C$5:$AU$493,25,)/VLOOKUP($D211,$C$5:$AU$493,3,))*$E211)</f>
        <v>0</v>
      </c>
      <c r="AB211" s="67">
        <f>IF(VLOOKUP($D211,$C$5:$AU$493,3,)=0,0,(VLOOKUP($D211,$C$5:$AU$493,26,)/VLOOKUP($D211,$C$5:$AU$493,3,))*$E211)</f>
        <v>0</v>
      </c>
      <c r="AC211" s="67">
        <f>IF(VLOOKUP($D211,$C$5:$AU$493,3,)=0,0,(VLOOKUP($D211,$C$5:$AU$493,27,)/VLOOKUP($D211,$C$5:$AU$493,3,))*$E211)</f>
        <v>0</v>
      </c>
      <c r="AD211" s="67">
        <f>IF(VLOOKUP($D211,$C$5:$AU$493,3,)=0,0,(VLOOKUP($D211,$C$5:$AU$493,28,)/VLOOKUP($D211,$C$5:$AU$493,3,))*$E211)</f>
        <v>0</v>
      </c>
      <c r="AE211" s="67">
        <f>IF(VLOOKUP($D211,$C$5:$AU$493,3,)=0,0,(VLOOKUP($D211,$C$5:$AU$493,29,)/VLOOKUP($D211,$C$5:$AU$493,3,))*$E211)</f>
        <v>0</v>
      </c>
      <c r="AF211" s="67">
        <f>IF(VLOOKUP($D211,$C$5:$AU$493,3,)=0,0,(VLOOKUP($D211,$C$5:$AU$493,30,)/VLOOKUP($D211,$C$5:$AU$493,3,))*$E211)</f>
        <v>0</v>
      </c>
      <c r="AG211" s="90">
        <f>SUM(F211:AF211)</f>
        <v>939808.4882361776</v>
      </c>
      <c r="AH211" s="28" t="str">
        <f>IF(ABS(E211-AG211)&lt;0.01,"ok","err")</f>
        <v>ok</v>
      </c>
    </row>
    <row r="212" spans="1:34" x14ac:dyDescent="0.25">
      <c r="A212" s="14" t="s">
        <v>222</v>
      </c>
      <c r="E212" s="67">
        <f t="shared" ref="E212:T212" si="58">E210+E211</f>
        <v>3198786.224360561</v>
      </c>
      <c r="F212" s="67">
        <f t="shared" si="58"/>
        <v>2293613.7132559041</v>
      </c>
      <c r="G212" s="67">
        <f t="shared" si="58"/>
        <v>2343.4366917277475</v>
      </c>
      <c r="H212" s="67">
        <f t="shared" si="58"/>
        <v>101316.99174067192</v>
      </c>
      <c r="I212" s="67">
        <f t="shared" si="58"/>
        <v>316625.3977636068</v>
      </c>
      <c r="J212" s="67">
        <f t="shared" si="58"/>
        <v>172125.08374703684</v>
      </c>
      <c r="K212" s="67">
        <f t="shared" si="58"/>
        <v>243617.46726143727</v>
      </c>
      <c r="L212" s="67">
        <f t="shared" si="58"/>
        <v>63733.738326842918</v>
      </c>
      <c r="M212" s="67">
        <f t="shared" si="58"/>
        <v>5410.3955733341481</v>
      </c>
      <c r="N212" s="67">
        <f t="shared" si="58"/>
        <v>0</v>
      </c>
      <c r="O212" s="67">
        <f t="shared" si="58"/>
        <v>0</v>
      </c>
      <c r="P212" s="67">
        <f t="shared" si="58"/>
        <v>0</v>
      </c>
      <c r="Q212" s="67">
        <f t="shared" si="58"/>
        <v>0</v>
      </c>
      <c r="R212" s="67">
        <f t="shared" si="58"/>
        <v>0</v>
      </c>
      <c r="S212" s="67">
        <f t="shared" si="58"/>
        <v>0</v>
      </c>
      <c r="T212" s="67">
        <f t="shared" si="58"/>
        <v>0</v>
      </c>
      <c r="U212" s="67">
        <f t="shared" ref="U212:AF212" si="59">U210+U211</f>
        <v>0</v>
      </c>
      <c r="V212" s="67">
        <f t="shared" si="59"/>
        <v>0</v>
      </c>
      <c r="W212" s="67">
        <f t="shared" si="59"/>
        <v>0</v>
      </c>
      <c r="X212" s="67">
        <f t="shared" si="59"/>
        <v>0</v>
      </c>
      <c r="Y212" s="67">
        <f t="shared" si="59"/>
        <v>0</v>
      </c>
      <c r="Z212" s="67">
        <f t="shared" si="59"/>
        <v>0</v>
      </c>
      <c r="AA212" s="67">
        <f t="shared" si="59"/>
        <v>0</v>
      </c>
      <c r="AB212" s="67">
        <f t="shared" si="59"/>
        <v>0</v>
      </c>
      <c r="AC212" s="67">
        <f t="shared" si="59"/>
        <v>0</v>
      </c>
      <c r="AD212" s="67">
        <f t="shared" si="59"/>
        <v>0</v>
      </c>
      <c r="AE212" s="67">
        <f t="shared" si="59"/>
        <v>0</v>
      </c>
      <c r="AF212" s="67">
        <f t="shared" si="59"/>
        <v>0</v>
      </c>
      <c r="AG212" s="90">
        <f>SUM(F212:AF212)</f>
        <v>3198786.2243605619</v>
      </c>
      <c r="AH212" s="28" t="str">
        <f>IF(ABS(E212-AG212)&lt;0.01,"ok","err")</f>
        <v>ok</v>
      </c>
    </row>
    <row r="213" spans="1:34" x14ac:dyDescent="0.25">
      <c r="E213" s="50"/>
    </row>
    <row r="214" spans="1:34" x14ac:dyDescent="0.25">
      <c r="A214" s="13" t="s">
        <v>3</v>
      </c>
      <c r="E214" s="50"/>
    </row>
    <row r="215" spans="1:34" x14ac:dyDescent="0.25">
      <c r="A215" s="93" t="s">
        <v>207</v>
      </c>
      <c r="C215" s="14" t="s">
        <v>290</v>
      </c>
      <c r="D215" s="14" t="s">
        <v>700</v>
      </c>
      <c r="E215" s="67">
        <f>'Func &amp; Classif'!R312</f>
        <v>0</v>
      </c>
      <c r="F215" s="67">
        <f>IF(VLOOKUP($D215,$C$5:$AU$493,3,)=0,0,(VLOOKUP($D215,$C$5:$AU$493,4,)/VLOOKUP($D215,$C$5:$AU$493,3,))*$E215)</f>
        <v>0</v>
      </c>
      <c r="G215" s="67">
        <f>IF(VLOOKUP($D215,$C$5:$AU$493,3,)=0,0,(VLOOKUP($D215,$C$5:$AU$493,5,)/VLOOKUP($D215,$C$5:$AU$493,3,))*$E215)</f>
        <v>0</v>
      </c>
      <c r="H215" s="67">
        <f>IF(VLOOKUP($D215,$C$5:$AU$493,3,)=0,0,(VLOOKUP($D215,$C$5:$AU$493,6,)/VLOOKUP($D215,$C$5:$AU$493,3,))*$E215)</f>
        <v>0</v>
      </c>
      <c r="I215" s="67">
        <f>IF(VLOOKUP($D215,$C$5:$AU$493,3,)=0,0,(VLOOKUP($D215,$C$5:$AU$493,7,)/VLOOKUP($D215,$C$5:$AU$493,3,))*$E215)</f>
        <v>0</v>
      </c>
      <c r="J215" s="67">
        <f>IF(VLOOKUP($D215,$C$5:$AU$493,3,)=0,0,(VLOOKUP($D215,$C$5:$AU$493,8,)/VLOOKUP($D215,$C$5:$AU$493,3,))*$E215)</f>
        <v>0</v>
      </c>
      <c r="K215" s="67">
        <f>IF(VLOOKUP($D215,$C$5:$AU$493,3,)=0,0,(VLOOKUP($D215,$C$5:$AU$493,9,)/VLOOKUP($D215,$C$5:$AU$493,3,))*$E215)</f>
        <v>0</v>
      </c>
      <c r="L215" s="67">
        <f>IF(VLOOKUP($D215,$C$5:$AU$493,3,)=0,0,(VLOOKUP($D215,$C$5:$AU$493,10,)/VLOOKUP($D215,$C$5:$AU$493,3,))*$E215)</f>
        <v>0</v>
      </c>
      <c r="M215" s="67">
        <f>IF(VLOOKUP($D215,$C$5:$AU$493,3,)=0,0,(VLOOKUP($D215,$C$5:$AU$493,11,)/VLOOKUP($D215,$C$5:$AU$493,3,))*$E215)</f>
        <v>0</v>
      </c>
      <c r="N215" s="67">
        <f>IF(VLOOKUP($D215,$C$5:$AU$493,3,)=0,0,(VLOOKUP($D215,$C$5:$AU$493,12,)/VLOOKUP($D215,$C$5:$AU$493,3,))*$E215)</f>
        <v>0</v>
      </c>
      <c r="O215" s="67">
        <f>IF(VLOOKUP($D215,$C$5:$AU$493,3,)=0,0,(VLOOKUP($D215,$C$5:$AU$493,13,)/VLOOKUP($D215,$C$5:$AU$493,3,))*$E215)</f>
        <v>0</v>
      </c>
      <c r="P215" s="67">
        <f>IF(VLOOKUP($D215,$C$5:$AU$493,3,)=0,0,(VLOOKUP($D215,$C$5:$AU$493,14,)/VLOOKUP($D215,$C$5:$AU$493,3,))*$E215)</f>
        <v>0</v>
      </c>
      <c r="Q215" s="67">
        <f>IF(VLOOKUP($D215,$C$5:$AU$493,3,)=0,0,(VLOOKUP($D215,$C$5:$AU$493,15,)/VLOOKUP($D215,$C$5:$AU$493,3,))*$E215)</f>
        <v>0</v>
      </c>
      <c r="R215" s="67">
        <f>IF(VLOOKUP($D215,$C$5:$AU$493,3,)=0,0,(VLOOKUP($D215,$C$5:$AU$493,16,)/VLOOKUP($D215,$C$5:$AU$493,3,))*$E215)</f>
        <v>0</v>
      </c>
      <c r="S215" s="67">
        <f>IF(VLOOKUP($D215,$C$5:$AU$493,3,)=0,0,(VLOOKUP($D215,$C$5:$AU$493,17,)/VLOOKUP($D215,$C$5:$AU$493,3,))*$E215)</f>
        <v>0</v>
      </c>
      <c r="T215" s="67">
        <f>IF(VLOOKUP($D215,$C$5:$AU$493,3,)=0,0,(VLOOKUP($D215,$C$5:$AU$493,18,)/VLOOKUP($D215,$C$5:$AU$493,3,))*$E215)</f>
        <v>0</v>
      </c>
      <c r="U215" s="67">
        <f>IF(VLOOKUP($D215,$C$5:$AU$493,3,)=0,0,(VLOOKUP($D215,$C$5:$AU$493,19,)/VLOOKUP($D215,$C$5:$AU$493,3,))*$E215)</f>
        <v>0</v>
      </c>
      <c r="V215" s="67">
        <f>IF(VLOOKUP($D215,$C$5:$AU$493,3,)=0,0,(VLOOKUP($D215,$C$5:$AU$493,20,)/VLOOKUP($D215,$C$5:$AU$493,3,))*$E215)</f>
        <v>0</v>
      </c>
      <c r="W215" s="67">
        <f>IF(VLOOKUP($D215,$C$5:$AU$493,3,)=0,0,(VLOOKUP($D215,$C$5:$AU$493,21,)/VLOOKUP($D215,$C$5:$AU$493,3,))*$E215)</f>
        <v>0</v>
      </c>
      <c r="X215" s="67">
        <f>IF(VLOOKUP($D215,$C$5:$AU$493,3,)=0,0,(VLOOKUP($D215,$C$5:$AU$493,22,)/VLOOKUP($D215,$C$5:$AU$493,3,))*$E215)</f>
        <v>0</v>
      </c>
      <c r="Y215" s="67">
        <f>IF(VLOOKUP($D215,$C$5:$AU$493,3,)=0,0,(VLOOKUP($D215,$C$5:$AU$493,23,)/VLOOKUP($D215,$C$5:$AU$493,3,))*$E215)</f>
        <v>0</v>
      </c>
      <c r="Z215" s="67">
        <f>IF(VLOOKUP($D215,$C$5:$AU$493,3,)=0,0,(VLOOKUP($D215,$C$5:$AU$493,24,)/VLOOKUP($D215,$C$5:$AU$493,3,))*$E215)</f>
        <v>0</v>
      </c>
      <c r="AA215" s="67">
        <f>IF(VLOOKUP($D215,$C$5:$AU$493,3,)=0,0,(VLOOKUP($D215,$C$5:$AU$493,25,)/VLOOKUP($D215,$C$5:$AU$493,3,))*$E215)</f>
        <v>0</v>
      </c>
      <c r="AB215" s="67">
        <f>IF(VLOOKUP($D215,$C$5:$AU$493,3,)=0,0,(VLOOKUP($D215,$C$5:$AU$493,26,)/VLOOKUP($D215,$C$5:$AU$493,3,))*$E215)</f>
        <v>0</v>
      </c>
      <c r="AC215" s="67">
        <f>IF(VLOOKUP($D215,$C$5:$AU$493,3,)=0,0,(VLOOKUP($D215,$C$5:$AU$493,27,)/VLOOKUP($D215,$C$5:$AU$493,3,))*$E215)</f>
        <v>0</v>
      </c>
      <c r="AD215" s="67">
        <f>IF(VLOOKUP($D215,$C$5:$AU$493,3,)=0,0,(VLOOKUP($D215,$C$5:$AU$493,28,)/VLOOKUP($D215,$C$5:$AU$493,3,))*$E215)</f>
        <v>0</v>
      </c>
      <c r="AE215" s="67">
        <f>IF(VLOOKUP($D215,$C$5:$AU$493,3,)=0,0,(VLOOKUP($D215,$C$5:$AU$493,29,)/VLOOKUP($D215,$C$5:$AU$493,3,))*$E215)</f>
        <v>0</v>
      </c>
      <c r="AF215" s="67">
        <f>IF(VLOOKUP($D215,$C$5:$AU$493,3,)=0,0,(VLOOKUP($D215,$C$5:$AU$493,30,)/VLOOKUP($D215,$C$5:$AU$493,3,))*$E215)</f>
        <v>0</v>
      </c>
      <c r="AG215" s="90">
        <f>SUM(F215:AF215)</f>
        <v>0</v>
      </c>
      <c r="AH215" s="28" t="str">
        <f>IF(ABS(E215-AG215)&lt;0.01,"ok","err")</f>
        <v>ok</v>
      </c>
    </row>
    <row r="216" spans="1:34" x14ac:dyDescent="0.25">
      <c r="A216" s="93" t="s">
        <v>219</v>
      </c>
      <c r="C216" s="14" t="s">
        <v>291</v>
      </c>
      <c r="D216" s="14" t="s">
        <v>700</v>
      </c>
      <c r="E216" s="50">
        <f>'Func &amp; Classif'!S312</f>
        <v>414238.67737959611</v>
      </c>
      <c r="F216" s="67">
        <f>IF(VLOOKUP($D216,$C$5:$AU$493,3,)=0,0,(VLOOKUP($D216,$C$5:$AU$493,4,)/VLOOKUP($D216,$C$5:$AU$493,3,))*$E216)</f>
        <v>293267.03077340929</v>
      </c>
      <c r="G216" s="67">
        <f>IF(VLOOKUP($D216,$C$5:$AU$493,3,)=0,0,(VLOOKUP($D216,$C$5:$AU$493,5,)/VLOOKUP($D216,$C$5:$AU$493,3,))*$E216)</f>
        <v>395.78468855381215</v>
      </c>
      <c r="H216" s="67">
        <f>IF(VLOOKUP($D216,$C$5:$AU$493,3,)=0,0,(VLOOKUP($D216,$C$5:$AU$493,6,)/VLOOKUP($D216,$C$5:$AU$493,3,))*$E216)</f>
        <v>18373.832993862452</v>
      </c>
      <c r="I216" s="67">
        <f>IF(VLOOKUP($D216,$C$5:$AU$493,3,)=0,0,(VLOOKUP($D216,$C$5:$AU$493,7,)/VLOOKUP($D216,$C$5:$AU$493,3,))*$E216)</f>
        <v>92325.784342222847</v>
      </c>
      <c r="J216" s="67">
        <f>IF(VLOOKUP($D216,$C$5:$AU$493,3,)=0,0,(VLOOKUP($D216,$C$5:$AU$493,8,)/VLOOKUP($D216,$C$5:$AU$493,3,))*$E216)</f>
        <v>9876.2445815476985</v>
      </c>
      <c r="K216" s="67">
        <f>IF(VLOOKUP($D216,$C$5:$AU$493,3,)=0,0,(VLOOKUP($D216,$C$5:$AU$493,9,)/VLOOKUP($D216,$C$5:$AU$493,3,))*$E216)</f>
        <v>0</v>
      </c>
      <c r="L216" s="67">
        <f>IF(VLOOKUP($D216,$C$5:$AU$493,3,)=0,0,(VLOOKUP($D216,$C$5:$AU$493,10,)/VLOOKUP($D216,$C$5:$AU$493,3,))*$E216)</f>
        <v>0</v>
      </c>
      <c r="M216" s="67">
        <f>IF(VLOOKUP($D216,$C$5:$AU$493,3,)=0,0,(VLOOKUP($D216,$C$5:$AU$493,11,)/VLOOKUP($D216,$C$5:$AU$493,3,))*$E216)</f>
        <v>0</v>
      </c>
      <c r="N216" s="67">
        <f>IF(VLOOKUP($D216,$C$5:$AU$493,3,)=0,0,(VLOOKUP($D216,$C$5:$AU$493,12,)/VLOOKUP($D216,$C$5:$AU$493,3,))*$E216)</f>
        <v>0</v>
      </c>
      <c r="O216" s="67">
        <f>IF(VLOOKUP($D216,$C$5:$AU$493,3,)=0,0,(VLOOKUP($D216,$C$5:$AU$493,13,)/VLOOKUP($D216,$C$5:$AU$493,3,))*$E216)</f>
        <v>0</v>
      </c>
      <c r="P216" s="67">
        <f>IF(VLOOKUP($D216,$C$5:$AU$493,3,)=0,0,(VLOOKUP($D216,$C$5:$AU$493,14,)/VLOOKUP($D216,$C$5:$AU$493,3,))*$E216)</f>
        <v>0</v>
      </c>
      <c r="Q216" s="67">
        <f>IF(VLOOKUP($D216,$C$5:$AU$493,3,)=0,0,(VLOOKUP($D216,$C$5:$AU$493,15,)/VLOOKUP($D216,$C$5:$AU$493,3,))*$E216)</f>
        <v>0</v>
      </c>
      <c r="R216" s="67">
        <f>IF(VLOOKUP($D216,$C$5:$AU$493,3,)=0,0,(VLOOKUP($D216,$C$5:$AU$493,16,)/VLOOKUP($D216,$C$5:$AU$493,3,))*$E216)</f>
        <v>0</v>
      </c>
      <c r="S216" s="67">
        <f>IF(VLOOKUP($D216,$C$5:$AU$493,3,)=0,0,(VLOOKUP($D216,$C$5:$AU$493,17,)/VLOOKUP($D216,$C$5:$AU$493,3,))*$E216)</f>
        <v>0</v>
      </c>
      <c r="T216" s="67">
        <f>IF(VLOOKUP($D216,$C$5:$AU$493,3,)=0,0,(VLOOKUP($D216,$C$5:$AU$493,18,)/VLOOKUP($D216,$C$5:$AU$493,3,))*$E216)</f>
        <v>0</v>
      </c>
      <c r="U216" s="67">
        <f>IF(VLOOKUP($D216,$C$5:$AU$493,3,)=0,0,(VLOOKUP($D216,$C$5:$AU$493,19,)/VLOOKUP($D216,$C$5:$AU$493,3,))*$E216)</f>
        <v>0</v>
      </c>
      <c r="V216" s="67">
        <f>IF(VLOOKUP($D216,$C$5:$AU$493,3,)=0,0,(VLOOKUP($D216,$C$5:$AU$493,20,)/VLOOKUP($D216,$C$5:$AU$493,3,))*$E216)</f>
        <v>0</v>
      </c>
      <c r="W216" s="67">
        <f>IF(VLOOKUP($D216,$C$5:$AU$493,3,)=0,0,(VLOOKUP($D216,$C$5:$AU$493,21,)/VLOOKUP($D216,$C$5:$AU$493,3,))*$E216)</f>
        <v>0</v>
      </c>
      <c r="X216" s="67">
        <f>IF(VLOOKUP($D216,$C$5:$AU$493,3,)=0,0,(VLOOKUP($D216,$C$5:$AU$493,22,)/VLOOKUP($D216,$C$5:$AU$493,3,))*$E216)</f>
        <v>0</v>
      </c>
      <c r="Y216" s="67">
        <f>IF(VLOOKUP($D216,$C$5:$AU$493,3,)=0,0,(VLOOKUP($D216,$C$5:$AU$493,23,)/VLOOKUP($D216,$C$5:$AU$493,3,))*$E216)</f>
        <v>0</v>
      </c>
      <c r="Z216" s="67">
        <f>IF(VLOOKUP($D216,$C$5:$AU$493,3,)=0,0,(VLOOKUP($D216,$C$5:$AU$493,24,)/VLOOKUP($D216,$C$5:$AU$493,3,))*$E216)</f>
        <v>0</v>
      </c>
      <c r="AA216" s="67">
        <f>IF(VLOOKUP($D216,$C$5:$AU$493,3,)=0,0,(VLOOKUP($D216,$C$5:$AU$493,25,)/VLOOKUP($D216,$C$5:$AU$493,3,))*$E216)</f>
        <v>0</v>
      </c>
      <c r="AB216" s="67">
        <f>IF(VLOOKUP($D216,$C$5:$AU$493,3,)=0,0,(VLOOKUP($D216,$C$5:$AU$493,26,)/VLOOKUP($D216,$C$5:$AU$493,3,))*$E216)</f>
        <v>0</v>
      </c>
      <c r="AC216" s="67">
        <f>IF(VLOOKUP($D216,$C$5:$AU$493,3,)=0,0,(VLOOKUP($D216,$C$5:$AU$493,27,)/VLOOKUP($D216,$C$5:$AU$493,3,))*$E216)</f>
        <v>0</v>
      </c>
      <c r="AD216" s="67">
        <f>IF(VLOOKUP($D216,$C$5:$AU$493,3,)=0,0,(VLOOKUP($D216,$C$5:$AU$493,28,)/VLOOKUP($D216,$C$5:$AU$493,3,))*$E216)</f>
        <v>0</v>
      </c>
      <c r="AE216" s="67">
        <f>IF(VLOOKUP($D216,$C$5:$AU$493,3,)=0,0,(VLOOKUP($D216,$C$5:$AU$493,29,)/VLOOKUP($D216,$C$5:$AU$493,3,))*$E216)</f>
        <v>0</v>
      </c>
      <c r="AF216" s="67">
        <f>IF(VLOOKUP($D216,$C$5:$AU$493,3,)=0,0,(VLOOKUP($D216,$C$5:$AU$493,30,)/VLOOKUP($D216,$C$5:$AU$493,3,))*$E216)</f>
        <v>0</v>
      </c>
      <c r="AG216" s="90">
        <f>SUM(F216:AF216)</f>
        <v>414238.67737959611</v>
      </c>
      <c r="AH216" s="28" t="str">
        <f>IF(ABS(E216-AG216)&lt;0.01,"ok","err")</f>
        <v>ok</v>
      </c>
    </row>
    <row r="217" spans="1:34" x14ac:dyDescent="0.25">
      <c r="A217" s="14" t="s">
        <v>226</v>
      </c>
      <c r="E217" s="67">
        <f t="shared" ref="E217:T217" si="60">E215+E216</f>
        <v>414238.67737959611</v>
      </c>
      <c r="F217" s="67">
        <f t="shared" si="60"/>
        <v>293267.03077340929</v>
      </c>
      <c r="G217" s="67">
        <f t="shared" si="60"/>
        <v>395.78468855381215</v>
      </c>
      <c r="H217" s="67">
        <f t="shared" si="60"/>
        <v>18373.832993862452</v>
      </c>
      <c r="I217" s="67">
        <f t="shared" si="60"/>
        <v>92325.784342222847</v>
      </c>
      <c r="J217" s="67">
        <f t="shared" si="60"/>
        <v>9876.2445815476985</v>
      </c>
      <c r="K217" s="67">
        <f t="shared" si="60"/>
        <v>0</v>
      </c>
      <c r="L217" s="67">
        <f t="shared" si="60"/>
        <v>0</v>
      </c>
      <c r="M217" s="67">
        <f t="shared" si="60"/>
        <v>0</v>
      </c>
      <c r="N217" s="67">
        <f t="shared" si="60"/>
        <v>0</v>
      </c>
      <c r="O217" s="67">
        <f t="shared" si="60"/>
        <v>0</v>
      </c>
      <c r="P217" s="67">
        <f t="shared" si="60"/>
        <v>0</v>
      </c>
      <c r="Q217" s="67">
        <f t="shared" si="60"/>
        <v>0</v>
      </c>
      <c r="R217" s="67">
        <f t="shared" si="60"/>
        <v>0</v>
      </c>
      <c r="S217" s="67">
        <f t="shared" si="60"/>
        <v>0</v>
      </c>
      <c r="T217" s="67">
        <f t="shared" si="60"/>
        <v>0</v>
      </c>
      <c r="U217" s="67">
        <f t="shared" ref="U217:AF217" si="61">U215+U216</f>
        <v>0</v>
      </c>
      <c r="V217" s="67">
        <f t="shared" si="61"/>
        <v>0</v>
      </c>
      <c r="W217" s="67">
        <f t="shared" si="61"/>
        <v>0</v>
      </c>
      <c r="X217" s="67">
        <f t="shared" si="61"/>
        <v>0</v>
      </c>
      <c r="Y217" s="67">
        <f t="shared" si="61"/>
        <v>0</v>
      </c>
      <c r="Z217" s="67">
        <f t="shared" si="61"/>
        <v>0</v>
      </c>
      <c r="AA217" s="67">
        <f t="shared" si="61"/>
        <v>0</v>
      </c>
      <c r="AB217" s="67">
        <f t="shared" si="61"/>
        <v>0</v>
      </c>
      <c r="AC217" s="67">
        <f t="shared" si="61"/>
        <v>0</v>
      </c>
      <c r="AD217" s="67">
        <f t="shared" si="61"/>
        <v>0</v>
      </c>
      <c r="AE217" s="67">
        <f t="shared" si="61"/>
        <v>0</v>
      </c>
      <c r="AF217" s="67">
        <f t="shared" si="61"/>
        <v>0</v>
      </c>
      <c r="AG217" s="90">
        <f>SUM(F217:AF217)</f>
        <v>414238.67737959611</v>
      </c>
      <c r="AH217" s="28" t="str">
        <f>IF(ABS(E217-AG217)&lt;0.01,"ok","err")</f>
        <v>ok</v>
      </c>
    </row>
    <row r="218" spans="1:34" x14ac:dyDescent="0.25">
      <c r="E218" s="50"/>
    </row>
    <row r="219" spans="1:34" x14ac:dyDescent="0.25">
      <c r="A219" s="13" t="s">
        <v>4</v>
      </c>
      <c r="E219" s="50"/>
    </row>
    <row r="220" spans="1:34" x14ac:dyDescent="0.25">
      <c r="A220" s="93" t="s">
        <v>219</v>
      </c>
      <c r="C220" s="14" t="s">
        <v>292</v>
      </c>
      <c r="D220" s="14" t="s">
        <v>228</v>
      </c>
      <c r="E220" s="67">
        <f>'Func &amp; Classif'!U312</f>
        <v>149291.67414134438</v>
      </c>
      <c r="F220" s="67">
        <f>IF(VLOOKUP($D220,$C$5:$AU$493,3,)=0,0,(VLOOKUP($D220,$C$5:$AU$493,4,)/VLOOKUP($D220,$C$5:$AU$493,3,))*$E220)</f>
        <v>109144.50481498087</v>
      </c>
      <c r="G220" s="67">
        <f>IF(VLOOKUP($D220,$C$5:$AU$493,3,)=0,0,(VLOOKUP($D220,$C$5:$AU$493,5,)/VLOOKUP($D220,$C$5:$AU$493,3,))*$E220)</f>
        <v>147.29826169561377</v>
      </c>
      <c r="H220" s="67">
        <f>IF(VLOOKUP($D220,$C$5:$AU$493,3,)=0,0,(VLOOKUP($D220,$C$5:$AU$493,6,)/VLOOKUP($D220,$C$5:$AU$493,3,))*$E220)</f>
        <v>6838.1464441454227</v>
      </c>
      <c r="I220" s="67">
        <f>IF(VLOOKUP($D220,$C$5:$AU$493,3,)=0,0,(VLOOKUP($D220,$C$5:$AU$493,7,)/VLOOKUP($D220,$C$5:$AU$493,3,))*$E220)</f>
        <v>31613.012641053872</v>
      </c>
      <c r="J220" s="67">
        <f>IF(VLOOKUP($D220,$C$5:$AU$493,3,)=0,0,(VLOOKUP($D220,$C$5:$AU$493,8,)/VLOOKUP($D220,$C$5:$AU$493,3,))*$E220)</f>
        <v>1548.7119794686346</v>
      </c>
      <c r="K220" s="67">
        <f>IF(VLOOKUP($D220,$C$5:$AU$493,3,)=0,0,(VLOOKUP($D220,$C$5:$AU$493,9,)/VLOOKUP($D220,$C$5:$AU$493,3,))*$E220)</f>
        <v>0</v>
      </c>
      <c r="L220" s="67">
        <f>IF(VLOOKUP($D220,$C$5:$AU$493,3,)=0,0,(VLOOKUP($D220,$C$5:$AU$493,10,)/VLOOKUP($D220,$C$5:$AU$493,3,))*$E220)</f>
        <v>0</v>
      </c>
      <c r="M220" s="67">
        <f>IF(VLOOKUP($D220,$C$5:$AU$493,3,)=0,0,(VLOOKUP($D220,$C$5:$AU$493,11,)/VLOOKUP($D220,$C$5:$AU$493,3,))*$E220)</f>
        <v>0</v>
      </c>
      <c r="N220" s="67">
        <f>IF(VLOOKUP($D220,$C$5:$AU$493,3,)=0,0,(VLOOKUP($D220,$C$5:$AU$493,12,)/VLOOKUP($D220,$C$5:$AU$493,3,))*$E220)</f>
        <v>0</v>
      </c>
      <c r="O220" s="67">
        <f>IF(VLOOKUP($D220,$C$5:$AU$493,3,)=0,0,(VLOOKUP($D220,$C$5:$AU$493,13,)/VLOOKUP($D220,$C$5:$AU$493,3,))*$E220)</f>
        <v>0</v>
      </c>
      <c r="P220" s="67">
        <f>IF(VLOOKUP($D220,$C$5:$AU$493,3,)=0,0,(VLOOKUP($D220,$C$5:$AU$493,14,)/VLOOKUP($D220,$C$5:$AU$493,3,))*$E220)</f>
        <v>0</v>
      </c>
      <c r="Q220" s="67">
        <f>IF(VLOOKUP($D220,$C$5:$AU$493,3,)=0,0,(VLOOKUP($D220,$C$5:$AU$493,15,)/VLOOKUP($D220,$C$5:$AU$493,3,))*$E220)</f>
        <v>0</v>
      </c>
      <c r="R220" s="67">
        <f>IF(VLOOKUP($D220,$C$5:$AU$493,3,)=0,0,(VLOOKUP($D220,$C$5:$AU$493,16,)/VLOOKUP($D220,$C$5:$AU$493,3,))*$E220)</f>
        <v>0</v>
      </c>
      <c r="S220" s="67">
        <f>IF(VLOOKUP($D220,$C$5:$AU$493,3,)=0,0,(VLOOKUP($D220,$C$5:$AU$493,17,)/VLOOKUP($D220,$C$5:$AU$493,3,))*$E220)</f>
        <v>0</v>
      </c>
      <c r="T220" s="67">
        <f>IF(VLOOKUP($D220,$C$5:$AU$493,3,)=0,0,(VLOOKUP($D220,$C$5:$AU$493,18,)/VLOOKUP($D220,$C$5:$AU$493,3,))*$E220)</f>
        <v>0</v>
      </c>
      <c r="U220" s="67">
        <f>IF(VLOOKUP($D220,$C$5:$AU$493,3,)=0,0,(VLOOKUP($D220,$C$5:$AU$493,19,)/VLOOKUP($D220,$C$5:$AU$493,3,))*$E220)</f>
        <v>0</v>
      </c>
      <c r="V220" s="67">
        <f>IF(VLOOKUP($D220,$C$5:$AU$493,3,)=0,0,(VLOOKUP($D220,$C$5:$AU$493,20,)/VLOOKUP($D220,$C$5:$AU$493,3,))*$E220)</f>
        <v>0</v>
      </c>
      <c r="W220" s="67">
        <f>IF(VLOOKUP($D220,$C$5:$AU$493,3,)=0,0,(VLOOKUP($D220,$C$5:$AU$493,21,)/VLOOKUP($D220,$C$5:$AU$493,3,))*$E220)</f>
        <v>0</v>
      </c>
      <c r="X220" s="67">
        <f>IF(VLOOKUP($D220,$C$5:$AU$493,3,)=0,0,(VLOOKUP($D220,$C$5:$AU$493,22,)/VLOOKUP($D220,$C$5:$AU$493,3,))*$E220)</f>
        <v>0</v>
      </c>
      <c r="Y220" s="67">
        <f>IF(VLOOKUP($D220,$C$5:$AU$493,3,)=0,0,(VLOOKUP($D220,$C$5:$AU$493,23,)/VLOOKUP($D220,$C$5:$AU$493,3,))*$E220)</f>
        <v>0</v>
      </c>
      <c r="Z220" s="67">
        <f>IF(VLOOKUP($D220,$C$5:$AU$493,3,)=0,0,(VLOOKUP($D220,$C$5:$AU$493,24,)/VLOOKUP($D220,$C$5:$AU$493,3,))*$E220)</f>
        <v>0</v>
      </c>
      <c r="AA220" s="67">
        <f>IF(VLOOKUP($D220,$C$5:$AU$493,3,)=0,0,(VLOOKUP($D220,$C$5:$AU$493,25,)/VLOOKUP($D220,$C$5:$AU$493,3,))*$E220)</f>
        <v>0</v>
      </c>
      <c r="AB220" s="67">
        <f>IF(VLOOKUP($D220,$C$5:$AU$493,3,)=0,0,(VLOOKUP($D220,$C$5:$AU$493,26,)/VLOOKUP($D220,$C$5:$AU$493,3,))*$E220)</f>
        <v>0</v>
      </c>
      <c r="AC220" s="67">
        <f>IF(VLOOKUP($D220,$C$5:$AU$493,3,)=0,0,(VLOOKUP($D220,$C$5:$AU$493,27,)/VLOOKUP($D220,$C$5:$AU$493,3,))*$E220)</f>
        <v>0</v>
      </c>
      <c r="AD220" s="67">
        <f>IF(VLOOKUP($D220,$C$5:$AU$493,3,)=0,0,(VLOOKUP($D220,$C$5:$AU$493,28,)/VLOOKUP($D220,$C$5:$AU$493,3,))*$E220)</f>
        <v>0</v>
      </c>
      <c r="AE220" s="67">
        <f>IF(VLOOKUP($D220,$C$5:$AU$493,3,)=0,0,(VLOOKUP($D220,$C$5:$AU$493,29,)/VLOOKUP($D220,$C$5:$AU$493,3,))*$E220)</f>
        <v>0</v>
      </c>
      <c r="AF220" s="67">
        <f>IF(VLOOKUP($D220,$C$5:$AU$493,3,)=0,0,(VLOOKUP($D220,$C$5:$AU$493,30,)/VLOOKUP($D220,$C$5:$AU$493,3,))*$E220)</f>
        <v>0</v>
      </c>
      <c r="AG220" s="90">
        <f>SUM(F220:AF220)</f>
        <v>149291.67414134444</v>
      </c>
      <c r="AH220" s="28" t="str">
        <f>IF(ABS(E220-AG220)&lt;0.01,"ok","err")</f>
        <v>ok</v>
      </c>
    </row>
    <row r="221" spans="1:34" x14ac:dyDescent="0.25">
      <c r="E221" s="50"/>
    </row>
    <row r="222" spans="1:34" x14ac:dyDescent="0.25">
      <c r="A222" s="13" t="s">
        <v>5</v>
      </c>
      <c r="E222" s="50"/>
    </row>
    <row r="223" spans="1:34" x14ac:dyDescent="0.25">
      <c r="A223" s="93" t="s">
        <v>219</v>
      </c>
      <c r="C223" s="14" t="s">
        <v>293</v>
      </c>
      <c r="D223" s="14" t="s">
        <v>230</v>
      </c>
      <c r="E223" s="67">
        <f>'Func &amp; Classif'!W312</f>
        <v>124069.96593379469</v>
      </c>
      <c r="F223" s="67">
        <f>IF(VLOOKUP($D223,$C$5:$AU$493,3,)=0,0,(VLOOKUP($D223,$C$5:$AU$493,4,)/VLOOKUP($D223,$C$5:$AU$493,3,))*$E223)</f>
        <v>0</v>
      </c>
      <c r="G223" s="67">
        <f>IF(VLOOKUP($D223,$C$5:$AU$493,3,)=0,0,(VLOOKUP($D223,$C$5:$AU$493,5,)/VLOOKUP($D223,$C$5:$AU$493,3,))*$E223)</f>
        <v>0</v>
      </c>
      <c r="H223" s="67">
        <f>IF(VLOOKUP($D223,$C$5:$AU$493,3,)=0,0,(VLOOKUP($D223,$C$5:$AU$493,6,)/VLOOKUP($D223,$C$5:$AU$493,3,))*$E223)</f>
        <v>0</v>
      </c>
      <c r="I223" s="67">
        <f>IF(VLOOKUP($D223,$C$5:$AU$493,3,)=0,0,(VLOOKUP($D223,$C$5:$AU$493,7,)/VLOOKUP($D223,$C$5:$AU$493,3,))*$E223)</f>
        <v>0</v>
      </c>
      <c r="J223" s="67">
        <f>IF(VLOOKUP($D223,$C$5:$AU$493,3,)=0,0,(VLOOKUP($D223,$C$5:$AU$493,8,)/VLOOKUP($D223,$C$5:$AU$493,3,))*$E223)</f>
        <v>0</v>
      </c>
      <c r="K223" s="67">
        <f>IF(VLOOKUP($D223,$C$5:$AU$493,3,)=0,0,(VLOOKUP($D223,$C$5:$AU$493,9,)/VLOOKUP($D223,$C$5:$AU$493,3,))*$E223)</f>
        <v>0</v>
      </c>
      <c r="L223" s="67">
        <f>IF(VLOOKUP($D223,$C$5:$AU$493,3,)=0,0,(VLOOKUP($D223,$C$5:$AU$493,10,)/VLOOKUP($D223,$C$5:$AU$493,3,))*$E223)</f>
        <v>0</v>
      </c>
      <c r="M223" s="67">
        <f>IF(VLOOKUP($D223,$C$5:$AU$493,3,)=0,0,(VLOOKUP($D223,$C$5:$AU$493,11,)/VLOOKUP($D223,$C$5:$AU$493,3,))*$E223)</f>
        <v>124069.96593379469</v>
      </c>
      <c r="N223" s="67">
        <f>IF(VLOOKUP($D223,$C$5:$AU$493,3,)=0,0,(VLOOKUP($D223,$C$5:$AU$493,12,)/VLOOKUP($D223,$C$5:$AU$493,3,))*$E223)</f>
        <v>0</v>
      </c>
      <c r="O223" s="67">
        <f>IF(VLOOKUP($D223,$C$5:$AU$493,3,)=0,0,(VLOOKUP($D223,$C$5:$AU$493,13,)/VLOOKUP($D223,$C$5:$AU$493,3,))*$E223)</f>
        <v>0</v>
      </c>
      <c r="P223" s="67">
        <f>IF(VLOOKUP($D223,$C$5:$AU$493,3,)=0,0,(VLOOKUP($D223,$C$5:$AU$493,14,)/VLOOKUP($D223,$C$5:$AU$493,3,))*$E223)</f>
        <v>0</v>
      </c>
      <c r="Q223" s="67">
        <f>IF(VLOOKUP($D223,$C$5:$AU$493,3,)=0,0,(VLOOKUP($D223,$C$5:$AU$493,15,)/VLOOKUP($D223,$C$5:$AU$493,3,))*$E223)</f>
        <v>0</v>
      </c>
      <c r="R223" s="67">
        <f>IF(VLOOKUP($D223,$C$5:$AU$493,3,)=0,0,(VLOOKUP($D223,$C$5:$AU$493,16,)/VLOOKUP($D223,$C$5:$AU$493,3,))*$E223)</f>
        <v>0</v>
      </c>
      <c r="S223" s="67">
        <f>IF(VLOOKUP($D223,$C$5:$AU$493,3,)=0,0,(VLOOKUP($D223,$C$5:$AU$493,17,)/VLOOKUP($D223,$C$5:$AU$493,3,))*$E223)</f>
        <v>0</v>
      </c>
      <c r="T223" s="67">
        <f>IF(VLOOKUP($D223,$C$5:$AU$493,3,)=0,0,(VLOOKUP($D223,$C$5:$AU$493,18,)/VLOOKUP($D223,$C$5:$AU$493,3,))*$E223)</f>
        <v>0</v>
      </c>
      <c r="U223" s="67">
        <f>IF(VLOOKUP($D223,$C$5:$AU$493,3,)=0,0,(VLOOKUP($D223,$C$5:$AU$493,19,)/VLOOKUP($D223,$C$5:$AU$493,3,))*$E223)</f>
        <v>0</v>
      </c>
      <c r="V223" s="67">
        <f>IF(VLOOKUP($D223,$C$5:$AU$493,3,)=0,0,(VLOOKUP($D223,$C$5:$AU$493,20,)/VLOOKUP($D223,$C$5:$AU$493,3,))*$E223)</f>
        <v>0</v>
      </c>
      <c r="W223" s="67">
        <f>IF(VLOOKUP($D223,$C$5:$AU$493,3,)=0,0,(VLOOKUP($D223,$C$5:$AU$493,21,)/VLOOKUP($D223,$C$5:$AU$493,3,))*$E223)</f>
        <v>0</v>
      </c>
      <c r="X223" s="67">
        <f>IF(VLOOKUP($D223,$C$5:$AU$493,3,)=0,0,(VLOOKUP($D223,$C$5:$AU$493,22,)/VLOOKUP($D223,$C$5:$AU$493,3,))*$E223)</f>
        <v>0</v>
      </c>
      <c r="Y223" s="67">
        <f>IF(VLOOKUP($D223,$C$5:$AU$493,3,)=0,0,(VLOOKUP($D223,$C$5:$AU$493,23,)/VLOOKUP($D223,$C$5:$AU$493,3,))*$E223)</f>
        <v>0</v>
      </c>
      <c r="Z223" s="67">
        <f>IF(VLOOKUP($D223,$C$5:$AU$493,3,)=0,0,(VLOOKUP($D223,$C$5:$AU$493,24,)/VLOOKUP($D223,$C$5:$AU$493,3,))*$E223)</f>
        <v>0</v>
      </c>
      <c r="AA223" s="67">
        <f>IF(VLOOKUP($D223,$C$5:$AU$493,3,)=0,0,(VLOOKUP($D223,$C$5:$AU$493,25,)/VLOOKUP($D223,$C$5:$AU$493,3,))*$E223)</f>
        <v>0</v>
      </c>
      <c r="AB223" s="67">
        <f>IF(VLOOKUP($D223,$C$5:$AU$493,3,)=0,0,(VLOOKUP($D223,$C$5:$AU$493,26,)/VLOOKUP($D223,$C$5:$AU$493,3,))*$E223)</f>
        <v>0</v>
      </c>
      <c r="AC223" s="67">
        <f>IF(VLOOKUP($D223,$C$5:$AU$493,3,)=0,0,(VLOOKUP($D223,$C$5:$AU$493,27,)/VLOOKUP($D223,$C$5:$AU$493,3,))*$E223)</f>
        <v>0</v>
      </c>
      <c r="AD223" s="67">
        <f>IF(VLOOKUP($D223,$C$5:$AU$493,3,)=0,0,(VLOOKUP($D223,$C$5:$AU$493,28,)/VLOOKUP($D223,$C$5:$AU$493,3,))*$E223)</f>
        <v>0</v>
      </c>
      <c r="AE223" s="67">
        <f>IF(VLOOKUP($D223,$C$5:$AU$493,3,)=0,0,(VLOOKUP($D223,$C$5:$AU$493,29,)/VLOOKUP($D223,$C$5:$AU$493,3,))*$E223)</f>
        <v>0</v>
      </c>
      <c r="AF223" s="67">
        <f>IF(VLOOKUP($D223,$C$5:$AU$493,3,)=0,0,(VLOOKUP($D223,$C$5:$AU$493,30,)/VLOOKUP($D223,$C$5:$AU$493,3,))*$E223)</f>
        <v>0</v>
      </c>
      <c r="AG223" s="90">
        <f>SUM(F223:AF223)</f>
        <v>124069.96593379469</v>
      </c>
      <c r="AH223" s="28" t="str">
        <f>IF(ABS(E223-AG223)&lt;0.01,"ok","err")</f>
        <v>ok</v>
      </c>
    </row>
    <row r="224" spans="1:34" x14ac:dyDescent="0.25">
      <c r="E224" s="50"/>
    </row>
    <row r="225" spans="1:34" x14ac:dyDescent="0.25">
      <c r="A225" s="13" t="s">
        <v>544</v>
      </c>
      <c r="E225" s="50"/>
    </row>
    <row r="226" spans="1:34" x14ac:dyDescent="0.25">
      <c r="A226" s="93" t="s">
        <v>219</v>
      </c>
      <c r="C226" s="14" t="s">
        <v>294</v>
      </c>
      <c r="D226" s="14" t="s">
        <v>232</v>
      </c>
      <c r="E226" s="67">
        <f>'Func &amp; Classif'!Y312</f>
        <v>0</v>
      </c>
      <c r="F226" s="67">
        <f>IF(VLOOKUP($D226,$C$5:$AU$493,3,)=0,0,(VLOOKUP($D226,$C$5:$AU$493,4,)/VLOOKUP($D226,$C$5:$AU$493,3,))*$E226)</f>
        <v>0</v>
      </c>
      <c r="G226" s="67">
        <f>IF(VLOOKUP($D226,$C$5:$AU$493,3,)=0,0,(VLOOKUP($D226,$C$5:$AU$493,5,)/VLOOKUP($D226,$C$5:$AU$493,3,))*$E226)</f>
        <v>0</v>
      </c>
      <c r="H226" s="67">
        <f>IF(VLOOKUP($D226,$C$5:$AU$493,3,)=0,0,(VLOOKUP($D226,$C$5:$AU$493,6,)/VLOOKUP($D226,$C$5:$AU$493,3,))*$E226)</f>
        <v>0</v>
      </c>
      <c r="I226" s="67">
        <f>IF(VLOOKUP($D226,$C$5:$AU$493,3,)=0,0,(VLOOKUP($D226,$C$5:$AU$493,7,)/VLOOKUP($D226,$C$5:$AU$493,3,))*$E226)</f>
        <v>0</v>
      </c>
      <c r="J226" s="67">
        <f>IF(VLOOKUP($D226,$C$5:$AU$493,3,)=0,0,(VLOOKUP($D226,$C$5:$AU$493,8,)/VLOOKUP($D226,$C$5:$AU$493,3,))*$E226)</f>
        <v>0</v>
      </c>
      <c r="K226" s="67">
        <f>IF(VLOOKUP($D226,$C$5:$AU$493,3,)=0,0,(VLOOKUP($D226,$C$5:$AU$493,9,)/VLOOKUP($D226,$C$5:$AU$493,3,))*$E226)</f>
        <v>0</v>
      </c>
      <c r="L226" s="67">
        <f>IF(VLOOKUP($D226,$C$5:$AU$493,3,)=0,0,(VLOOKUP($D226,$C$5:$AU$493,10,)/VLOOKUP($D226,$C$5:$AU$493,3,))*$E226)</f>
        <v>0</v>
      </c>
      <c r="M226" s="67">
        <f>IF(VLOOKUP($D226,$C$5:$AU$493,3,)=0,0,(VLOOKUP($D226,$C$5:$AU$493,11,)/VLOOKUP($D226,$C$5:$AU$493,3,))*$E226)</f>
        <v>0</v>
      </c>
      <c r="N226" s="67">
        <f>IF(VLOOKUP($D226,$C$5:$AU$493,3,)=0,0,(VLOOKUP($D226,$C$5:$AU$493,12,)/VLOOKUP($D226,$C$5:$AU$493,3,))*$E226)</f>
        <v>0</v>
      </c>
      <c r="O226" s="67">
        <f>IF(VLOOKUP($D226,$C$5:$AU$493,3,)=0,0,(VLOOKUP($D226,$C$5:$AU$493,13,)/VLOOKUP($D226,$C$5:$AU$493,3,))*$E226)</f>
        <v>0</v>
      </c>
      <c r="P226" s="67">
        <f>IF(VLOOKUP($D226,$C$5:$AU$493,3,)=0,0,(VLOOKUP($D226,$C$5:$AU$493,14,)/VLOOKUP($D226,$C$5:$AU$493,3,))*$E226)</f>
        <v>0</v>
      </c>
      <c r="Q226" s="67">
        <f>IF(VLOOKUP($D226,$C$5:$AU$493,3,)=0,0,(VLOOKUP($D226,$C$5:$AU$493,15,)/VLOOKUP($D226,$C$5:$AU$493,3,))*$E226)</f>
        <v>0</v>
      </c>
      <c r="R226" s="67">
        <f>IF(VLOOKUP($D226,$C$5:$AU$493,3,)=0,0,(VLOOKUP($D226,$C$5:$AU$493,16,)/VLOOKUP($D226,$C$5:$AU$493,3,))*$E226)</f>
        <v>0</v>
      </c>
      <c r="S226" s="67">
        <f>IF(VLOOKUP($D226,$C$5:$AU$493,3,)=0,0,(VLOOKUP($D226,$C$5:$AU$493,17,)/VLOOKUP($D226,$C$5:$AU$493,3,))*$E226)</f>
        <v>0</v>
      </c>
      <c r="T226" s="67">
        <f>IF(VLOOKUP($D226,$C$5:$AU$493,3,)=0,0,(VLOOKUP($D226,$C$5:$AU$493,18,)/VLOOKUP($D226,$C$5:$AU$493,3,))*$E226)</f>
        <v>0</v>
      </c>
      <c r="U226" s="67">
        <f>IF(VLOOKUP($D226,$C$5:$AU$493,3,)=0,0,(VLOOKUP($D226,$C$5:$AU$493,19,)/VLOOKUP($D226,$C$5:$AU$493,3,))*$E226)</f>
        <v>0</v>
      </c>
      <c r="V226" s="67">
        <f>IF(VLOOKUP($D226,$C$5:$AU$493,3,)=0,0,(VLOOKUP($D226,$C$5:$AU$493,20,)/VLOOKUP($D226,$C$5:$AU$493,3,))*$E226)</f>
        <v>0</v>
      </c>
      <c r="W226" s="67">
        <f>IF(VLOOKUP($D226,$C$5:$AU$493,3,)=0,0,(VLOOKUP($D226,$C$5:$AU$493,21,)/VLOOKUP($D226,$C$5:$AU$493,3,))*$E226)</f>
        <v>0</v>
      </c>
      <c r="X226" s="67">
        <f>IF(VLOOKUP($D226,$C$5:$AU$493,3,)=0,0,(VLOOKUP($D226,$C$5:$AU$493,22,)/VLOOKUP($D226,$C$5:$AU$493,3,))*$E226)</f>
        <v>0</v>
      </c>
      <c r="Y226" s="67">
        <f>IF(VLOOKUP($D226,$C$5:$AU$493,3,)=0,0,(VLOOKUP($D226,$C$5:$AU$493,23,)/VLOOKUP($D226,$C$5:$AU$493,3,))*$E226)</f>
        <v>0</v>
      </c>
      <c r="Z226" s="67">
        <f>IF(VLOOKUP($D226,$C$5:$AU$493,3,)=0,0,(VLOOKUP($D226,$C$5:$AU$493,24,)/VLOOKUP($D226,$C$5:$AU$493,3,))*$E226)</f>
        <v>0</v>
      </c>
      <c r="AA226" s="67">
        <f>IF(VLOOKUP($D226,$C$5:$AU$493,3,)=0,0,(VLOOKUP($D226,$C$5:$AU$493,25,)/VLOOKUP($D226,$C$5:$AU$493,3,))*$E226)</f>
        <v>0</v>
      </c>
      <c r="AB226" s="67">
        <f>IF(VLOOKUP($D226,$C$5:$AU$493,3,)=0,0,(VLOOKUP($D226,$C$5:$AU$493,26,)/VLOOKUP($D226,$C$5:$AU$493,3,))*$E226)</f>
        <v>0</v>
      </c>
      <c r="AC226" s="67">
        <f>IF(VLOOKUP($D226,$C$5:$AU$493,3,)=0,0,(VLOOKUP($D226,$C$5:$AU$493,27,)/VLOOKUP($D226,$C$5:$AU$493,3,))*$E226)</f>
        <v>0</v>
      </c>
      <c r="AD226" s="67">
        <f>IF(VLOOKUP($D226,$C$5:$AU$493,3,)=0,0,(VLOOKUP($D226,$C$5:$AU$493,28,)/VLOOKUP($D226,$C$5:$AU$493,3,))*$E226)</f>
        <v>0</v>
      </c>
      <c r="AE226" s="67">
        <f>IF(VLOOKUP($D226,$C$5:$AU$493,3,)=0,0,(VLOOKUP($D226,$C$5:$AU$493,29,)/VLOOKUP($D226,$C$5:$AU$493,3,))*$E226)</f>
        <v>0</v>
      </c>
      <c r="AF226" s="67">
        <f>IF(VLOOKUP($D226,$C$5:$AU$493,3,)=0,0,(VLOOKUP($D226,$C$5:$AU$493,30,)/VLOOKUP($D226,$C$5:$AU$493,3,))*$E226)</f>
        <v>0</v>
      </c>
      <c r="AG226" s="90">
        <f>SUM(F226:AF226)</f>
        <v>0</v>
      </c>
      <c r="AH226" s="28" t="str">
        <f>IF(ABS(E226-AG226)&lt;0.01,"ok","err")</f>
        <v>ok</v>
      </c>
    </row>
    <row r="227" spans="1:34" x14ac:dyDescent="0.25">
      <c r="E227" s="50"/>
    </row>
    <row r="228" spans="1:34" x14ac:dyDescent="0.25">
      <c r="A228" s="13" t="s">
        <v>469</v>
      </c>
      <c r="E228" s="50"/>
    </row>
    <row r="229" spans="1:34" x14ac:dyDescent="0.25">
      <c r="A229" s="93" t="s">
        <v>219</v>
      </c>
      <c r="C229" s="14" t="s">
        <v>291</v>
      </c>
      <c r="D229" s="14" t="s">
        <v>233</v>
      </c>
      <c r="E229" s="67">
        <f>'Func &amp; Classif'!AA312</f>
        <v>0</v>
      </c>
      <c r="F229" s="67">
        <f>IF(VLOOKUP($D229,$C$5:$AU$493,3,)=0,0,(VLOOKUP($D229,$C$5:$AU$493,4,)/VLOOKUP($D229,$C$5:$AU$493,3,))*$E229)</f>
        <v>0</v>
      </c>
      <c r="G229" s="67">
        <f>IF(VLOOKUP($D229,$C$5:$AU$493,3,)=0,0,(VLOOKUP($D229,$C$5:$AU$493,5,)/VLOOKUP($D229,$C$5:$AU$493,3,))*$E229)</f>
        <v>0</v>
      </c>
      <c r="H229" s="67">
        <f>IF(VLOOKUP($D229,$C$5:$AU$493,3,)=0,0,(VLOOKUP($D229,$C$5:$AU$493,6,)/VLOOKUP($D229,$C$5:$AU$493,3,))*$E229)</f>
        <v>0</v>
      </c>
      <c r="I229" s="67">
        <f>IF(VLOOKUP($D229,$C$5:$AU$493,3,)=0,0,(VLOOKUP($D229,$C$5:$AU$493,7,)/VLOOKUP($D229,$C$5:$AU$493,3,))*$E229)</f>
        <v>0</v>
      </c>
      <c r="J229" s="67">
        <f>IF(VLOOKUP($D229,$C$5:$AU$493,3,)=0,0,(VLOOKUP($D229,$C$5:$AU$493,8,)/VLOOKUP($D229,$C$5:$AU$493,3,))*$E229)</f>
        <v>0</v>
      </c>
      <c r="K229" s="67">
        <f>IF(VLOOKUP($D229,$C$5:$AU$493,3,)=0,0,(VLOOKUP($D229,$C$5:$AU$493,9,)/VLOOKUP($D229,$C$5:$AU$493,3,))*$E229)</f>
        <v>0</v>
      </c>
      <c r="L229" s="67">
        <f>IF(VLOOKUP($D229,$C$5:$AU$493,3,)=0,0,(VLOOKUP($D229,$C$5:$AU$493,10,)/VLOOKUP($D229,$C$5:$AU$493,3,))*$E229)</f>
        <v>0</v>
      </c>
      <c r="M229" s="67">
        <f>IF(VLOOKUP($D229,$C$5:$AU$493,3,)=0,0,(VLOOKUP($D229,$C$5:$AU$493,11,)/VLOOKUP($D229,$C$5:$AU$493,3,))*$E229)</f>
        <v>0</v>
      </c>
      <c r="N229" s="67">
        <f>IF(VLOOKUP($D229,$C$5:$AU$493,3,)=0,0,(VLOOKUP($D229,$C$5:$AU$493,12,)/VLOOKUP($D229,$C$5:$AU$493,3,))*$E229)</f>
        <v>0</v>
      </c>
      <c r="O229" s="67">
        <f>IF(VLOOKUP($D229,$C$5:$AU$493,3,)=0,0,(VLOOKUP($D229,$C$5:$AU$493,13,)/VLOOKUP($D229,$C$5:$AU$493,3,))*$E229)</f>
        <v>0</v>
      </c>
      <c r="P229" s="67">
        <f>IF(VLOOKUP($D229,$C$5:$AU$493,3,)=0,0,(VLOOKUP($D229,$C$5:$AU$493,14,)/VLOOKUP($D229,$C$5:$AU$493,3,))*$E229)</f>
        <v>0</v>
      </c>
      <c r="Q229" s="67">
        <f>IF(VLOOKUP($D229,$C$5:$AU$493,3,)=0,0,(VLOOKUP($D229,$C$5:$AU$493,15,)/VLOOKUP($D229,$C$5:$AU$493,3,))*$E229)</f>
        <v>0</v>
      </c>
      <c r="R229" s="67">
        <f>IF(VLOOKUP($D229,$C$5:$AU$493,3,)=0,0,(VLOOKUP($D229,$C$5:$AU$493,16,)/VLOOKUP($D229,$C$5:$AU$493,3,))*$E229)</f>
        <v>0</v>
      </c>
      <c r="S229" s="67">
        <f>IF(VLOOKUP($D229,$C$5:$AU$493,3,)=0,0,(VLOOKUP($D229,$C$5:$AU$493,17,)/VLOOKUP($D229,$C$5:$AU$493,3,))*$E229)</f>
        <v>0</v>
      </c>
      <c r="T229" s="67">
        <f>IF(VLOOKUP($D229,$C$5:$AU$493,3,)=0,0,(VLOOKUP($D229,$C$5:$AU$493,18,)/VLOOKUP($D229,$C$5:$AU$493,3,))*$E229)</f>
        <v>0</v>
      </c>
      <c r="U229" s="67">
        <f>IF(VLOOKUP($D229,$C$5:$AU$493,3,)=0,0,(VLOOKUP($D229,$C$5:$AU$493,19,)/VLOOKUP($D229,$C$5:$AU$493,3,))*$E229)</f>
        <v>0</v>
      </c>
      <c r="V229" s="67">
        <f>IF(VLOOKUP($D229,$C$5:$AU$493,3,)=0,0,(VLOOKUP($D229,$C$5:$AU$493,20,)/VLOOKUP($D229,$C$5:$AU$493,3,))*$E229)</f>
        <v>0</v>
      </c>
      <c r="W229" s="67">
        <f>IF(VLOOKUP($D229,$C$5:$AU$493,3,)=0,0,(VLOOKUP($D229,$C$5:$AU$493,21,)/VLOOKUP($D229,$C$5:$AU$493,3,))*$E229)</f>
        <v>0</v>
      </c>
      <c r="X229" s="67">
        <f>IF(VLOOKUP($D229,$C$5:$AU$493,3,)=0,0,(VLOOKUP($D229,$C$5:$AU$493,22,)/VLOOKUP($D229,$C$5:$AU$493,3,))*$E229)</f>
        <v>0</v>
      </c>
      <c r="Y229" s="67">
        <f>IF(VLOOKUP($D229,$C$5:$AU$493,3,)=0,0,(VLOOKUP($D229,$C$5:$AU$493,23,)/VLOOKUP($D229,$C$5:$AU$493,3,))*$E229)</f>
        <v>0</v>
      </c>
      <c r="Z229" s="67">
        <f>IF(VLOOKUP($D229,$C$5:$AU$493,3,)=0,0,(VLOOKUP($D229,$C$5:$AU$493,24,)/VLOOKUP($D229,$C$5:$AU$493,3,))*$E229)</f>
        <v>0</v>
      </c>
      <c r="AA229" s="67">
        <f>IF(VLOOKUP($D229,$C$5:$AU$493,3,)=0,0,(VLOOKUP($D229,$C$5:$AU$493,25,)/VLOOKUP($D229,$C$5:$AU$493,3,))*$E229)</f>
        <v>0</v>
      </c>
      <c r="AB229" s="67">
        <f>IF(VLOOKUP($D229,$C$5:$AU$493,3,)=0,0,(VLOOKUP($D229,$C$5:$AU$493,26,)/VLOOKUP($D229,$C$5:$AU$493,3,))*$E229)</f>
        <v>0</v>
      </c>
      <c r="AC229" s="67">
        <f>IF(VLOOKUP($D229,$C$5:$AU$493,3,)=0,0,(VLOOKUP($D229,$C$5:$AU$493,27,)/VLOOKUP($D229,$C$5:$AU$493,3,))*$E229)</f>
        <v>0</v>
      </c>
      <c r="AD229" s="67">
        <f>IF(VLOOKUP($D229,$C$5:$AU$493,3,)=0,0,(VLOOKUP($D229,$C$5:$AU$493,28,)/VLOOKUP($D229,$C$5:$AU$493,3,))*$E229)</f>
        <v>0</v>
      </c>
      <c r="AE229" s="67">
        <f>IF(VLOOKUP($D229,$C$5:$AU$493,3,)=0,0,(VLOOKUP($D229,$C$5:$AU$493,29,)/VLOOKUP($D229,$C$5:$AU$493,3,))*$E229)</f>
        <v>0</v>
      </c>
      <c r="AF229" s="67">
        <f>IF(VLOOKUP($D229,$C$5:$AU$493,3,)=0,0,(VLOOKUP($D229,$C$5:$AU$493,30,)/VLOOKUP($D229,$C$5:$AU$493,3,))*$E229)</f>
        <v>0</v>
      </c>
      <c r="AG229" s="90">
        <f>SUM(F229:AF229)</f>
        <v>0</v>
      </c>
      <c r="AH229" s="28" t="str">
        <f>IF(ABS(E229-AG229)&lt;0.01,"ok","err")</f>
        <v>ok</v>
      </c>
    </row>
    <row r="230" spans="1:34" x14ac:dyDescent="0.25">
      <c r="E230" s="50"/>
    </row>
    <row r="231" spans="1:34" x14ac:dyDescent="0.25">
      <c r="A231" s="14" t="s">
        <v>0</v>
      </c>
      <c r="C231" s="14" t="s">
        <v>295</v>
      </c>
      <c r="E231" s="67">
        <f>E201+E204+E207+E212+E217+E220+E223+E226+E229</f>
        <v>3919632.9999999995</v>
      </c>
      <c r="F231" s="67">
        <f t="shared" ref="F231:R231" si="62">F201+F204+F207+F212+F217+F220+F223+F226+F229</f>
        <v>2717272.9982151715</v>
      </c>
      <c r="G231" s="67">
        <f t="shared" si="62"/>
        <v>2886.5196419771733</v>
      </c>
      <c r="H231" s="67">
        <f t="shared" si="62"/>
        <v>128038.22833764087</v>
      </c>
      <c r="I231" s="67">
        <f t="shared" si="62"/>
        <v>443616.52825160121</v>
      </c>
      <c r="J231" s="67">
        <f t="shared" si="62"/>
        <v>186015.05492369895</v>
      </c>
      <c r="K231" s="67">
        <f t="shared" si="62"/>
        <v>247556.71149181787</v>
      </c>
      <c r="L231" s="67">
        <f t="shared" si="62"/>
        <v>64766.597540335846</v>
      </c>
      <c r="M231" s="67">
        <f t="shared" si="62"/>
        <v>129480.36150712884</v>
      </c>
      <c r="N231" s="67">
        <f t="shared" si="62"/>
        <v>0</v>
      </c>
      <c r="O231" s="67">
        <f t="shared" si="62"/>
        <v>0</v>
      </c>
      <c r="P231" s="67">
        <f t="shared" si="62"/>
        <v>0</v>
      </c>
      <c r="Q231" s="67">
        <f t="shared" si="62"/>
        <v>0</v>
      </c>
      <c r="R231" s="67">
        <f t="shared" si="62"/>
        <v>0</v>
      </c>
      <c r="S231" s="67">
        <f t="shared" ref="S231:AF231" si="63">S201+S207+S212+S217+S220+S223+S226+S229</f>
        <v>0</v>
      </c>
      <c r="T231" s="67">
        <f t="shared" si="63"/>
        <v>0</v>
      </c>
      <c r="U231" s="67">
        <f t="shared" si="63"/>
        <v>0</v>
      </c>
      <c r="V231" s="67">
        <f t="shared" si="63"/>
        <v>0</v>
      </c>
      <c r="W231" s="67">
        <f t="shared" si="63"/>
        <v>0</v>
      </c>
      <c r="X231" s="67">
        <f t="shared" si="63"/>
        <v>0</v>
      </c>
      <c r="Y231" s="67">
        <f t="shared" si="63"/>
        <v>0</v>
      </c>
      <c r="Z231" s="67">
        <f t="shared" si="63"/>
        <v>0</v>
      </c>
      <c r="AA231" s="67">
        <f t="shared" si="63"/>
        <v>0</v>
      </c>
      <c r="AB231" s="67">
        <f t="shared" si="63"/>
        <v>0</v>
      </c>
      <c r="AC231" s="67">
        <f t="shared" si="63"/>
        <v>0</v>
      </c>
      <c r="AD231" s="67">
        <f t="shared" si="63"/>
        <v>0</v>
      </c>
      <c r="AE231" s="67">
        <f t="shared" si="63"/>
        <v>0</v>
      </c>
      <c r="AF231" s="67">
        <f t="shared" si="63"/>
        <v>0</v>
      </c>
      <c r="AG231" s="90">
        <f>SUM(F231:AF231)</f>
        <v>3919632.9999093725</v>
      </c>
      <c r="AH231" s="28" t="str">
        <f>IF(ABS(E231-AG231)&lt;0.01,"ok","err")</f>
        <v>ok</v>
      </c>
    </row>
    <row r="232" spans="1:34" x14ac:dyDescent="0.25">
      <c r="E232" s="142">
        <f>E231/$E231</f>
        <v>1</v>
      </c>
      <c r="F232" s="142">
        <f>F231/$E231</f>
        <v>0.69324679076208717</v>
      </c>
      <c r="G232" s="142">
        <f t="shared" ref="G232" si="64">G231/$E231</f>
        <v>7.364259975301702E-4</v>
      </c>
      <c r="H232" s="142">
        <f t="shared" ref="H232" si="65">H231/$E231</f>
        <v>3.2665871610337217E-2</v>
      </c>
      <c r="I232" s="142">
        <f t="shared" ref="I232" si="66">I231/$E231</f>
        <v>0.11317807770564266</v>
      </c>
      <c r="J232" s="142">
        <f t="shared" ref="J232" si="67">J231/$E231</f>
        <v>4.745726319879922E-2</v>
      </c>
      <c r="K232" s="142">
        <f t="shared" ref="K232" si="68">K231/$E231</f>
        <v>6.3158135338644686E-2</v>
      </c>
      <c r="L232" s="142">
        <f t="shared" ref="L232" si="69">L231/$E231</f>
        <v>1.6523638192743009E-2</v>
      </c>
      <c r="M232" s="48">
        <f t="shared" ref="M232" si="70">M231/$E231</f>
        <v>3.3033797171094552E-2</v>
      </c>
    </row>
    <row r="234" spans="1:34" x14ac:dyDescent="0.25">
      <c r="A234" s="26" t="s">
        <v>187</v>
      </c>
    </row>
    <row r="236" spans="1:34" x14ac:dyDescent="0.25">
      <c r="A236" s="13" t="s">
        <v>890</v>
      </c>
    </row>
    <row r="237" spans="1:34" x14ac:dyDescent="0.25">
      <c r="A237" s="93" t="s">
        <v>207</v>
      </c>
      <c r="C237" s="14" t="s">
        <v>296</v>
      </c>
      <c r="D237" s="14" t="s">
        <v>656</v>
      </c>
      <c r="E237" s="67">
        <f>'Func &amp; Classif'!H314</f>
        <v>0</v>
      </c>
      <c r="F237" s="67">
        <f>IF(VLOOKUP($D237,$C$5:$AU$493,3,)=0,0,(VLOOKUP($D237,$C$5:$AU$493,4,)/VLOOKUP($D237,$C$5:$AU$493,3,))*$E237)</f>
        <v>0</v>
      </c>
      <c r="G237" s="67">
        <f>IF(VLOOKUP($D237,$C$5:$AU$493,3,)=0,0,(VLOOKUP($D237,$C$5:$AU$493,5,)/VLOOKUP($D237,$C$5:$AU$493,3,))*$E237)</f>
        <v>0</v>
      </c>
      <c r="H237" s="67">
        <f>IF(VLOOKUP($D237,$C$5:$AU$493,3,)=0,0,(VLOOKUP($D237,$C$5:$AU$493,6,)/VLOOKUP($D237,$C$5:$AU$493,3,))*$E237)</f>
        <v>0</v>
      </c>
      <c r="I237" s="67">
        <f>IF(VLOOKUP($D237,$C$5:$AU$493,3,)=0,0,(VLOOKUP($D237,$C$5:$AU$493,7,)/VLOOKUP($D237,$C$5:$AU$493,3,))*$E237)</f>
        <v>0</v>
      </c>
      <c r="J237" s="67">
        <f>IF(VLOOKUP($D237,$C$5:$AU$493,3,)=0,0,(VLOOKUP($D237,$C$5:$AU$493,8,)/VLOOKUP($D237,$C$5:$AU$493,3,))*$E237)</f>
        <v>0</v>
      </c>
      <c r="K237" s="67">
        <f>IF(VLOOKUP($D237,$C$5:$AU$493,3,)=0,0,(VLOOKUP($D237,$C$5:$AU$493,9,)/VLOOKUP($D237,$C$5:$AU$493,3,))*$E237)</f>
        <v>0</v>
      </c>
      <c r="L237" s="67">
        <f>IF(VLOOKUP($D237,$C$5:$AU$493,3,)=0,0,(VLOOKUP($D237,$C$5:$AU$493,10,)/VLOOKUP($D237,$C$5:$AU$493,3,))*$E237)</f>
        <v>0</v>
      </c>
      <c r="M237" s="67">
        <f>IF(VLOOKUP($D237,$C$5:$AU$493,3,)=0,0,(VLOOKUP($D237,$C$5:$AU$493,11,)/VLOOKUP($D237,$C$5:$AU$493,3,))*$E237)</f>
        <v>0</v>
      </c>
      <c r="N237" s="67">
        <f>IF(VLOOKUP($D237,$C$5:$AU$493,3,)=0,0,(VLOOKUP($D237,$C$5:$AU$493,12,)/VLOOKUP($D237,$C$5:$AU$493,3,))*$E237)</f>
        <v>0</v>
      </c>
      <c r="O237" s="67">
        <f>IF(VLOOKUP($D237,$C$5:$AU$493,3,)=0,0,(VLOOKUP($D237,$C$5:$AU$493,13,)/VLOOKUP($D237,$C$5:$AU$493,3,))*$E237)</f>
        <v>0</v>
      </c>
      <c r="P237" s="67">
        <f>IF(VLOOKUP($D237,$C$5:$AU$493,3,)=0,0,(VLOOKUP($D237,$C$5:$AU$493,14,)/VLOOKUP($D237,$C$5:$AU$493,3,))*$E237)</f>
        <v>0</v>
      </c>
      <c r="Q237" s="67">
        <f>IF(VLOOKUP($D237,$C$5:$AU$493,3,)=0,0,(VLOOKUP($D237,$C$5:$AU$493,15,)/VLOOKUP($D237,$C$5:$AU$493,3,))*$E237)</f>
        <v>0</v>
      </c>
      <c r="R237" s="67">
        <f>IF(VLOOKUP($D237,$C$5:$AU$493,3,)=0,0,(VLOOKUP($D237,$C$5:$AU$493,16,)/VLOOKUP($D237,$C$5:$AU$493,3,))*$E237)</f>
        <v>0</v>
      </c>
      <c r="S237" s="67">
        <f>IF(VLOOKUP($D237,$C$5:$AU$493,3,)=0,0,(VLOOKUP($D237,$C$5:$AU$493,17,)/VLOOKUP($D237,$C$5:$AU$493,3,))*$E237)</f>
        <v>0</v>
      </c>
      <c r="T237" s="67">
        <f>IF(VLOOKUP($D237,$C$5:$AU$493,3,)=0,0,(VLOOKUP($D237,$C$5:$AU$493,18,)/VLOOKUP($D237,$C$5:$AU$493,3,))*$E237)</f>
        <v>0</v>
      </c>
      <c r="U237" s="67">
        <f>IF(VLOOKUP($D237,$C$5:$AU$493,3,)=0,0,(VLOOKUP($D237,$C$5:$AU$493,19,)/VLOOKUP($D237,$C$5:$AU$493,3,))*$E237)</f>
        <v>0</v>
      </c>
      <c r="V237" s="67">
        <f>IF(VLOOKUP($D237,$C$5:$AU$493,3,)=0,0,(VLOOKUP($D237,$C$5:$AU$493,20,)/VLOOKUP($D237,$C$5:$AU$493,3,))*$E237)</f>
        <v>0</v>
      </c>
      <c r="W237" s="67">
        <f>IF(VLOOKUP($D237,$C$5:$AU$493,3,)=0,0,(VLOOKUP($D237,$C$5:$AU$493,21,)/VLOOKUP($D237,$C$5:$AU$493,3,))*$E237)</f>
        <v>0</v>
      </c>
      <c r="X237" s="67">
        <f>IF(VLOOKUP($D237,$C$5:$AU$493,3,)=0,0,(VLOOKUP($D237,$C$5:$AU$493,22,)/VLOOKUP($D237,$C$5:$AU$493,3,))*$E237)</f>
        <v>0</v>
      </c>
      <c r="Y237" s="67">
        <f>IF(VLOOKUP($D237,$C$5:$AU$493,3,)=0,0,(VLOOKUP($D237,$C$5:$AU$493,23,)/VLOOKUP($D237,$C$5:$AU$493,3,))*$E237)</f>
        <v>0</v>
      </c>
      <c r="Z237" s="67">
        <f>IF(VLOOKUP($D237,$C$5:$AU$493,3,)=0,0,(VLOOKUP($D237,$C$5:$AU$493,24,)/VLOOKUP($D237,$C$5:$AU$493,3,))*$E237)</f>
        <v>0</v>
      </c>
      <c r="AA237" s="67">
        <f>IF(VLOOKUP($D237,$C$5:$AU$493,3,)=0,0,(VLOOKUP($D237,$C$5:$AU$493,25,)/VLOOKUP($D237,$C$5:$AU$493,3,))*$E237)</f>
        <v>0</v>
      </c>
      <c r="AB237" s="67">
        <f>IF(VLOOKUP($D237,$C$5:$AU$493,3,)=0,0,(VLOOKUP($D237,$C$5:$AU$493,26,)/VLOOKUP($D237,$C$5:$AU$493,3,))*$E237)</f>
        <v>0</v>
      </c>
      <c r="AC237" s="67">
        <f>IF(VLOOKUP($D237,$C$5:$AU$493,3,)=0,0,(VLOOKUP($D237,$C$5:$AU$493,27,)/VLOOKUP($D237,$C$5:$AU$493,3,))*$E237)</f>
        <v>0</v>
      </c>
      <c r="AD237" s="67">
        <f>IF(VLOOKUP($D237,$C$5:$AU$493,3,)=0,0,(VLOOKUP($D237,$C$5:$AU$493,28,)/VLOOKUP($D237,$C$5:$AU$493,3,))*$E237)</f>
        <v>0</v>
      </c>
      <c r="AE237" s="67">
        <f>IF(VLOOKUP($D237,$C$5:$AU$493,3,)=0,0,(VLOOKUP($D237,$C$5:$AU$493,29,)/VLOOKUP($D237,$C$5:$AU$493,3,))*$E237)</f>
        <v>0</v>
      </c>
      <c r="AF237" s="67">
        <f>IF(VLOOKUP($D237,$C$5:$AU$493,3,)=0,0,(VLOOKUP($D237,$C$5:$AU$493,30,)/VLOOKUP($D237,$C$5:$AU$493,3,))*$E237)</f>
        <v>0</v>
      </c>
      <c r="AG237" s="90">
        <f>SUM(F237:AF237)</f>
        <v>0</v>
      </c>
      <c r="AH237" s="28" t="str">
        <f>IF(ABS(E237-AG237)&lt;0.01,"ok","err")</f>
        <v>ok</v>
      </c>
    </row>
    <row r="238" spans="1:34" x14ac:dyDescent="0.25">
      <c r="A238" s="93" t="s">
        <v>210</v>
      </c>
      <c r="C238" s="14" t="s">
        <v>297</v>
      </c>
      <c r="D238" s="14" t="s">
        <v>665</v>
      </c>
      <c r="E238" s="50">
        <f>'Func &amp; Classif'!I314</f>
        <v>0</v>
      </c>
      <c r="F238" s="67">
        <f>IF(VLOOKUP($D238,$C$5:$AU$493,3,)=0,0,(VLOOKUP($D238,$C$5:$AU$493,4,)/VLOOKUP($D238,$C$5:$AU$493,3,))*$E238)</f>
        <v>0</v>
      </c>
      <c r="G238" s="67">
        <f>IF(VLOOKUP($D238,$C$5:$AU$493,3,)=0,0,(VLOOKUP($D238,$C$5:$AU$493,5,)/VLOOKUP($D238,$C$5:$AU$493,3,))*$E238)</f>
        <v>0</v>
      </c>
      <c r="H238" s="67">
        <f>IF(VLOOKUP($D238,$C$5:$AU$493,3,)=0,0,(VLOOKUP($D238,$C$5:$AU$493,6,)/VLOOKUP($D238,$C$5:$AU$493,3,))*$E238)</f>
        <v>0</v>
      </c>
      <c r="I238" s="67">
        <f>IF(VLOOKUP($D238,$C$5:$AU$493,3,)=0,0,(VLOOKUP($D238,$C$5:$AU$493,7,)/VLOOKUP($D238,$C$5:$AU$493,3,))*$E238)</f>
        <v>0</v>
      </c>
      <c r="J238" s="67">
        <f>IF(VLOOKUP($D238,$C$5:$AU$493,3,)=0,0,(VLOOKUP($D238,$C$5:$AU$493,8,)/VLOOKUP($D238,$C$5:$AU$493,3,))*$E238)</f>
        <v>0</v>
      </c>
      <c r="K238" s="67">
        <f>IF(VLOOKUP($D238,$C$5:$AU$493,3,)=0,0,(VLOOKUP($D238,$C$5:$AU$493,9,)/VLOOKUP($D238,$C$5:$AU$493,3,))*$E238)</f>
        <v>0</v>
      </c>
      <c r="L238" s="67">
        <f>IF(VLOOKUP($D238,$C$5:$AU$493,3,)=0,0,(VLOOKUP($D238,$C$5:$AU$493,10,)/VLOOKUP($D238,$C$5:$AU$493,3,))*$E238)</f>
        <v>0</v>
      </c>
      <c r="M238" s="67">
        <f>IF(VLOOKUP($D238,$C$5:$AU$493,3,)=0,0,(VLOOKUP($D238,$C$5:$AU$493,11,)/VLOOKUP($D238,$C$5:$AU$493,3,))*$E238)</f>
        <v>0</v>
      </c>
      <c r="N238" s="67">
        <f>IF(VLOOKUP($D238,$C$5:$AU$493,3,)=0,0,(VLOOKUP($D238,$C$5:$AU$493,12,)/VLOOKUP($D238,$C$5:$AU$493,3,))*$E238)</f>
        <v>0</v>
      </c>
      <c r="O238" s="67">
        <f>IF(VLOOKUP($D238,$C$5:$AU$493,3,)=0,0,(VLOOKUP($D238,$C$5:$AU$493,13,)/VLOOKUP($D238,$C$5:$AU$493,3,))*$E238)</f>
        <v>0</v>
      </c>
      <c r="P238" s="67">
        <f>IF(VLOOKUP($D238,$C$5:$AU$493,3,)=0,0,(VLOOKUP($D238,$C$5:$AU$493,14,)/VLOOKUP($D238,$C$5:$AU$493,3,))*$E238)</f>
        <v>0</v>
      </c>
      <c r="Q238" s="67">
        <f>IF(VLOOKUP($D238,$C$5:$AU$493,3,)=0,0,(VLOOKUP($D238,$C$5:$AU$493,15,)/VLOOKUP($D238,$C$5:$AU$493,3,))*$E238)</f>
        <v>0</v>
      </c>
      <c r="R238" s="67">
        <f>IF(VLOOKUP($D238,$C$5:$AU$493,3,)=0,0,(VLOOKUP($D238,$C$5:$AU$493,16,)/VLOOKUP($D238,$C$5:$AU$493,3,))*$E238)</f>
        <v>0</v>
      </c>
      <c r="S238" s="67">
        <f>IF(VLOOKUP($D238,$C$5:$AU$493,3,)=0,0,(VLOOKUP($D238,$C$5:$AU$493,17,)/VLOOKUP($D238,$C$5:$AU$493,3,))*$E238)</f>
        <v>0</v>
      </c>
      <c r="T238" s="67">
        <f>IF(VLOOKUP($D238,$C$5:$AU$493,3,)=0,0,(VLOOKUP($D238,$C$5:$AU$493,18,)/VLOOKUP($D238,$C$5:$AU$493,3,))*$E238)</f>
        <v>0</v>
      </c>
      <c r="U238" s="67">
        <f>IF(VLOOKUP($D238,$C$5:$AU$493,3,)=0,0,(VLOOKUP($D238,$C$5:$AU$493,19,)/VLOOKUP($D238,$C$5:$AU$493,3,))*$E238)</f>
        <v>0</v>
      </c>
      <c r="V238" s="67">
        <f>IF(VLOOKUP($D238,$C$5:$AU$493,3,)=0,0,(VLOOKUP($D238,$C$5:$AU$493,20,)/VLOOKUP($D238,$C$5:$AU$493,3,))*$E238)</f>
        <v>0</v>
      </c>
      <c r="W238" s="67">
        <f>IF(VLOOKUP($D238,$C$5:$AU$493,3,)=0,0,(VLOOKUP($D238,$C$5:$AU$493,21,)/VLOOKUP($D238,$C$5:$AU$493,3,))*$E238)</f>
        <v>0</v>
      </c>
      <c r="X238" s="67">
        <f>IF(VLOOKUP($D238,$C$5:$AU$493,3,)=0,0,(VLOOKUP($D238,$C$5:$AU$493,22,)/VLOOKUP($D238,$C$5:$AU$493,3,))*$E238)</f>
        <v>0</v>
      </c>
      <c r="Y238" s="67">
        <f>IF(VLOOKUP($D238,$C$5:$AU$493,3,)=0,0,(VLOOKUP($D238,$C$5:$AU$493,23,)/VLOOKUP($D238,$C$5:$AU$493,3,))*$E238)</f>
        <v>0</v>
      </c>
      <c r="Z238" s="67">
        <f>IF(VLOOKUP($D238,$C$5:$AU$493,3,)=0,0,(VLOOKUP($D238,$C$5:$AU$493,24,)/VLOOKUP($D238,$C$5:$AU$493,3,))*$E238)</f>
        <v>0</v>
      </c>
      <c r="AA238" s="67">
        <f>IF(VLOOKUP($D238,$C$5:$AU$493,3,)=0,0,(VLOOKUP($D238,$C$5:$AU$493,25,)/VLOOKUP($D238,$C$5:$AU$493,3,))*$E238)</f>
        <v>0</v>
      </c>
      <c r="AB238" s="67">
        <f>IF(VLOOKUP($D238,$C$5:$AU$493,3,)=0,0,(VLOOKUP($D238,$C$5:$AU$493,26,)/VLOOKUP($D238,$C$5:$AU$493,3,))*$E238)</f>
        <v>0</v>
      </c>
      <c r="AC238" s="67">
        <f>IF(VLOOKUP($D238,$C$5:$AU$493,3,)=0,0,(VLOOKUP($D238,$C$5:$AU$493,27,)/VLOOKUP($D238,$C$5:$AU$493,3,))*$E238)</f>
        <v>0</v>
      </c>
      <c r="AD238" s="67">
        <f>IF(VLOOKUP($D238,$C$5:$AU$493,3,)=0,0,(VLOOKUP($D238,$C$5:$AU$493,28,)/VLOOKUP($D238,$C$5:$AU$493,3,))*$E238)</f>
        <v>0</v>
      </c>
      <c r="AE238" s="67">
        <f>IF(VLOOKUP($D238,$C$5:$AU$493,3,)=0,0,(VLOOKUP($D238,$C$5:$AU$493,29,)/VLOOKUP($D238,$C$5:$AU$493,3,))*$E238)</f>
        <v>0</v>
      </c>
      <c r="AF238" s="67">
        <f>IF(VLOOKUP($D238,$C$5:$AU$493,3,)=0,0,(VLOOKUP($D238,$C$5:$AU$493,30,)/VLOOKUP($D238,$C$5:$AU$493,3,))*$E238)</f>
        <v>0</v>
      </c>
      <c r="AG238" s="90">
        <f>SUM(F238:AF238)</f>
        <v>0</v>
      </c>
      <c r="AH238" s="28" t="str">
        <f>IF(ABS(E238-AG238)&lt;0.01,"ok","err")</f>
        <v>ok</v>
      </c>
    </row>
    <row r="239" spans="1:34" x14ac:dyDescent="0.25">
      <c r="A239" s="14" t="s">
        <v>213</v>
      </c>
      <c r="C239" s="14" t="s">
        <v>298</v>
      </c>
      <c r="E239" s="50">
        <f t="shared" ref="E239:T239" si="71">E237+E238</f>
        <v>0</v>
      </c>
      <c r="F239" s="67">
        <f t="shared" si="71"/>
        <v>0</v>
      </c>
      <c r="G239" s="67">
        <f t="shared" si="71"/>
        <v>0</v>
      </c>
      <c r="H239" s="67">
        <f t="shared" si="71"/>
        <v>0</v>
      </c>
      <c r="I239" s="67">
        <f t="shared" si="71"/>
        <v>0</v>
      </c>
      <c r="J239" s="67">
        <f t="shared" si="71"/>
        <v>0</v>
      </c>
      <c r="K239" s="67">
        <f t="shared" si="71"/>
        <v>0</v>
      </c>
      <c r="L239" s="67">
        <f t="shared" si="71"/>
        <v>0</v>
      </c>
      <c r="M239" s="67">
        <f t="shared" si="71"/>
        <v>0</v>
      </c>
      <c r="N239" s="67">
        <f t="shared" si="71"/>
        <v>0</v>
      </c>
      <c r="O239" s="67">
        <f t="shared" si="71"/>
        <v>0</v>
      </c>
      <c r="P239" s="67">
        <f t="shared" si="71"/>
        <v>0</v>
      </c>
      <c r="Q239" s="67">
        <f t="shared" si="71"/>
        <v>0</v>
      </c>
      <c r="R239" s="67">
        <f t="shared" si="71"/>
        <v>0</v>
      </c>
      <c r="S239" s="67">
        <f t="shared" si="71"/>
        <v>0</v>
      </c>
      <c r="T239" s="67">
        <f t="shared" si="71"/>
        <v>0</v>
      </c>
      <c r="U239" s="67">
        <f t="shared" ref="U239:AF239" si="72">U237+U238</f>
        <v>0</v>
      </c>
      <c r="V239" s="67">
        <f t="shared" si="72"/>
        <v>0</v>
      </c>
      <c r="W239" s="67">
        <f t="shared" si="72"/>
        <v>0</v>
      </c>
      <c r="X239" s="67">
        <f t="shared" si="72"/>
        <v>0</v>
      </c>
      <c r="Y239" s="67">
        <f t="shared" si="72"/>
        <v>0</v>
      </c>
      <c r="Z239" s="67">
        <f t="shared" si="72"/>
        <v>0</v>
      </c>
      <c r="AA239" s="67">
        <f t="shared" si="72"/>
        <v>0</v>
      </c>
      <c r="AB239" s="67">
        <f t="shared" si="72"/>
        <v>0</v>
      </c>
      <c r="AC239" s="67">
        <f t="shared" si="72"/>
        <v>0</v>
      </c>
      <c r="AD239" s="67">
        <f t="shared" si="72"/>
        <v>0</v>
      </c>
      <c r="AE239" s="67">
        <f t="shared" si="72"/>
        <v>0</v>
      </c>
      <c r="AF239" s="67">
        <f t="shared" si="72"/>
        <v>0</v>
      </c>
      <c r="AG239" s="90">
        <f>SUM(F239:AF239)</f>
        <v>0</v>
      </c>
      <c r="AH239" s="28" t="str">
        <f>IF(ABS(E239-AG239)&lt;0.01,"ok","err")</f>
        <v>ok</v>
      </c>
    </row>
    <row r="240" spans="1:34" x14ac:dyDescent="0.25">
      <c r="E240" s="50"/>
      <c r="F240" s="50"/>
    </row>
    <row r="241" spans="1:34" x14ac:dyDescent="0.25">
      <c r="A241" s="13" t="s">
        <v>348</v>
      </c>
      <c r="E241" s="50"/>
      <c r="F241" s="50"/>
    </row>
    <row r="242" spans="1:34" x14ac:dyDescent="0.25">
      <c r="A242" s="93" t="s">
        <v>207</v>
      </c>
      <c r="C242" s="14" t="s">
        <v>885</v>
      </c>
      <c r="D242" s="14" t="s">
        <v>624</v>
      </c>
      <c r="E242" s="67">
        <f>'Func &amp; Classif'!K314</f>
        <v>0</v>
      </c>
      <c r="F242" s="67">
        <f>IF(VLOOKUP($D242,$C$5:$AU$493,3,)=0,0,(VLOOKUP($D242,$C$5:$AU$493,4,)/VLOOKUP($D242,$C$5:$AU$493,3,))*$E242)</f>
        <v>0</v>
      </c>
      <c r="G242" s="67">
        <f>IF(VLOOKUP($D242,$C$5:$AU$493,3,)=0,0,(VLOOKUP($D242,$C$5:$AU$493,5,)/VLOOKUP($D242,$C$5:$AU$493,3,))*$E242)</f>
        <v>0</v>
      </c>
      <c r="H242" s="67">
        <f>IF(VLOOKUP($D242,$C$5:$AU$493,3,)=0,0,(VLOOKUP($D242,$C$5:$AU$493,6,)/VLOOKUP($D242,$C$5:$AU$493,3,))*$E242)</f>
        <v>0</v>
      </c>
      <c r="I242" s="67">
        <f>IF(VLOOKUP($D242,$C$5:$AU$493,3,)=0,0,(VLOOKUP($D242,$C$5:$AU$493,7,)/VLOOKUP($D242,$C$5:$AU$493,3,))*$E242)</f>
        <v>0</v>
      </c>
      <c r="J242" s="67">
        <f>IF(VLOOKUP($D242,$C$5:$AU$493,3,)=0,0,(VLOOKUP($D242,$C$5:$AU$493,8,)/VLOOKUP($D242,$C$5:$AU$493,3,))*$E242)</f>
        <v>0</v>
      </c>
      <c r="K242" s="67">
        <f>IF(VLOOKUP($D242,$C$5:$AU$493,3,)=0,0,(VLOOKUP($D242,$C$5:$AU$493,9,)/VLOOKUP($D242,$C$5:$AU$493,3,))*$E242)</f>
        <v>0</v>
      </c>
      <c r="L242" s="67">
        <f>IF(VLOOKUP($D242,$C$5:$AU$493,3,)=0,0,(VLOOKUP($D242,$C$5:$AU$493,10,)/VLOOKUP($D242,$C$5:$AU$493,3,))*$E242)</f>
        <v>0</v>
      </c>
      <c r="M242" s="67">
        <f>IF(VLOOKUP($D242,$C$5:$AU$493,3,)=0,0,(VLOOKUP($D242,$C$5:$AU$493,11,)/VLOOKUP($D242,$C$5:$AU$493,3,))*$E242)</f>
        <v>0</v>
      </c>
      <c r="N242" s="67">
        <f>IF(VLOOKUP($D242,$C$5:$AU$493,3,)=0,0,(VLOOKUP($D242,$C$5:$AU$493,12,)/VLOOKUP($D242,$C$5:$AU$493,3,))*$E242)</f>
        <v>0</v>
      </c>
      <c r="O242" s="67">
        <f>IF(VLOOKUP($D242,$C$5:$AU$493,3,)=0,0,(VLOOKUP($D242,$C$5:$AU$493,13,)/VLOOKUP($D242,$C$5:$AU$493,3,))*$E242)</f>
        <v>0</v>
      </c>
      <c r="P242" s="67">
        <f>IF(VLOOKUP($D242,$C$5:$AU$493,3,)=0,0,(VLOOKUP($D242,$C$5:$AU$493,14,)/VLOOKUP($D242,$C$5:$AU$493,3,))*$E242)</f>
        <v>0</v>
      </c>
      <c r="Q242" s="67">
        <f>IF(VLOOKUP($D242,$C$5:$AU$493,3,)=0,0,(VLOOKUP($D242,$C$5:$AU$493,15,)/VLOOKUP($D242,$C$5:$AU$493,3,))*$E242)</f>
        <v>0</v>
      </c>
      <c r="R242" s="67">
        <f>IF(VLOOKUP($D242,$C$5:$AU$493,3,)=0,0,(VLOOKUP($D242,$C$5:$AU$493,16,)/VLOOKUP($D242,$C$5:$AU$493,3,))*$E242)</f>
        <v>0</v>
      </c>
      <c r="S242" s="67">
        <f>IF(VLOOKUP($D242,$C$5:$AU$493,3,)=0,0,(VLOOKUP($D242,$C$5:$AU$493,17,)/VLOOKUP($D242,$C$5:$AU$493,3,))*$E242)</f>
        <v>0</v>
      </c>
      <c r="T242" s="67">
        <f>IF(VLOOKUP($D242,$C$5:$AU$493,3,)=0,0,(VLOOKUP($D242,$C$5:$AU$493,18,)/VLOOKUP($D242,$C$5:$AU$493,3,))*$E242)</f>
        <v>0</v>
      </c>
      <c r="U242" s="67">
        <f>IF(VLOOKUP($D242,$C$5:$AU$493,3,)=0,0,(VLOOKUP($D242,$C$5:$AU$493,19,)/VLOOKUP($D242,$C$5:$AU$493,3,))*$E242)</f>
        <v>0</v>
      </c>
      <c r="V242" s="67">
        <f>IF(VLOOKUP($D242,$C$5:$AU$493,3,)=0,0,(VLOOKUP($D242,$C$5:$AU$493,20,)/VLOOKUP($D242,$C$5:$AU$493,3,))*$E242)</f>
        <v>0</v>
      </c>
      <c r="W242" s="67">
        <f>IF(VLOOKUP($D242,$C$5:$AU$493,3,)=0,0,(VLOOKUP($D242,$C$5:$AU$493,21,)/VLOOKUP($D242,$C$5:$AU$493,3,))*$E242)</f>
        <v>0</v>
      </c>
      <c r="X242" s="67">
        <f>IF(VLOOKUP($D242,$C$5:$AU$493,3,)=0,0,(VLOOKUP($D242,$C$5:$AU$493,22,)/VLOOKUP($D242,$C$5:$AU$493,3,))*$E242)</f>
        <v>0</v>
      </c>
      <c r="Y242" s="67">
        <f>IF(VLOOKUP($D242,$C$5:$AU$493,3,)=0,0,(VLOOKUP($D242,$C$5:$AU$493,23,)/VLOOKUP($D242,$C$5:$AU$493,3,))*$E242)</f>
        <v>0</v>
      </c>
      <c r="Z242" s="67">
        <f>IF(VLOOKUP($D242,$C$5:$AU$493,3,)=0,0,(VLOOKUP($D242,$C$5:$AU$493,24,)/VLOOKUP($D242,$C$5:$AU$493,3,))*$E242)</f>
        <v>0</v>
      </c>
      <c r="AA242" s="67">
        <f>IF(VLOOKUP($D242,$C$5:$AU$493,3,)=0,0,(VLOOKUP($D242,$C$5:$AU$493,25,)/VLOOKUP($D242,$C$5:$AU$493,3,))*$E242)</f>
        <v>0</v>
      </c>
      <c r="AB242" s="67">
        <f>IF(VLOOKUP($D242,$C$5:$AU$493,3,)=0,0,(VLOOKUP($D242,$C$5:$AU$493,26,)/VLOOKUP($D242,$C$5:$AU$493,3,))*$E242)</f>
        <v>0</v>
      </c>
      <c r="AC242" s="67">
        <f>IF(VLOOKUP($D242,$C$5:$AU$493,3,)=0,0,(VLOOKUP($D242,$C$5:$AU$493,27,)/VLOOKUP($D242,$C$5:$AU$493,3,))*$E242)</f>
        <v>0</v>
      </c>
      <c r="AD242" s="67">
        <f>IF(VLOOKUP($D242,$C$5:$AU$493,3,)=0,0,(VLOOKUP($D242,$C$5:$AU$493,28,)/VLOOKUP($D242,$C$5:$AU$493,3,))*$E242)</f>
        <v>0</v>
      </c>
      <c r="AE242" s="67">
        <f>IF(VLOOKUP($D242,$C$5:$AU$493,3,)=0,0,(VLOOKUP($D242,$C$5:$AU$493,29,)/VLOOKUP($D242,$C$5:$AU$493,3,))*$E242)</f>
        <v>0</v>
      </c>
      <c r="AF242" s="67">
        <f>IF(VLOOKUP($D242,$C$5:$AU$493,3,)=0,0,(VLOOKUP($D242,$C$5:$AU$493,30,)/VLOOKUP($D242,$C$5:$AU$493,3,))*$E242)</f>
        <v>0</v>
      </c>
      <c r="AG242" s="90">
        <f>SUM(F242:AF242)</f>
        <v>0</v>
      </c>
      <c r="AH242" s="28" t="str">
        <f>IF(ABS(E242-AG242)&lt;0.01,"ok","err")</f>
        <v>ok</v>
      </c>
    </row>
    <row r="243" spans="1:34" x14ac:dyDescent="0.25">
      <c r="E243" s="50"/>
    </row>
    <row r="244" spans="1:34" x14ac:dyDescent="0.25">
      <c r="A244" s="13" t="s">
        <v>1</v>
      </c>
      <c r="E244" s="50"/>
      <c r="F244" s="50"/>
    </row>
    <row r="245" spans="1:34" x14ac:dyDescent="0.25">
      <c r="A245" s="93" t="s">
        <v>207</v>
      </c>
      <c r="C245" s="14" t="s">
        <v>299</v>
      </c>
      <c r="D245" s="14" t="s">
        <v>631</v>
      </c>
      <c r="E245" s="67">
        <f>'Func &amp; Classif'!M314</f>
        <v>0</v>
      </c>
      <c r="F245" s="67">
        <f>IF(VLOOKUP($D245,$C$5:$AU$493,3,)=0,0,(VLOOKUP($D245,$C$5:$AU$493,4,)/VLOOKUP($D245,$C$5:$AU$493,3,))*$E245)</f>
        <v>0</v>
      </c>
      <c r="G245" s="67">
        <f>IF(VLOOKUP($D245,$C$5:$AU$493,3,)=0,0,(VLOOKUP($D245,$C$5:$AU$493,5,)/VLOOKUP($D245,$C$5:$AU$493,3,))*$E245)</f>
        <v>0</v>
      </c>
      <c r="H245" s="67">
        <f>IF(VLOOKUP($D245,$C$5:$AU$493,3,)=0,0,(VLOOKUP($D245,$C$5:$AU$493,6,)/VLOOKUP($D245,$C$5:$AU$493,3,))*$E245)</f>
        <v>0</v>
      </c>
      <c r="I245" s="67">
        <f>IF(VLOOKUP($D245,$C$5:$AU$493,3,)=0,0,(VLOOKUP($D245,$C$5:$AU$493,7,)/VLOOKUP($D245,$C$5:$AU$493,3,))*$E245)</f>
        <v>0</v>
      </c>
      <c r="J245" s="67">
        <f>IF(VLOOKUP($D245,$C$5:$AU$493,3,)=0,0,(VLOOKUP($D245,$C$5:$AU$493,8,)/VLOOKUP($D245,$C$5:$AU$493,3,))*$E245)</f>
        <v>0</v>
      </c>
      <c r="K245" s="67">
        <f>IF(VLOOKUP($D245,$C$5:$AU$493,3,)=0,0,(VLOOKUP($D245,$C$5:$AU$493,9,)/VLOOKUP($D245,$C$5:$AU$493,3,))*$E245)</f>
        <v>0</v>
      </c>
      <c r="L245" s="67">
        <f>IF(VLOOKUP($D245,$C$5:$AU$493,3,)=0,0,(VLOOKUP($D245,$C$5:$AU$493,10,)/VLOOKUP($D245,$C$5:$AU$493,3,))*$E245)</f>
        <v>0</v>
      </c>
      <c r="M245" s="67">
        <f>IF(VLOOKUP($D245,$C$5:$AU$493,3,)=0,0,(VLOOKUP($D245,$C$5:$AU$493,11,)/VLOOKUP($D245,$C$5:$AU$493,3,))*$E245)</f>
        <v>0</v>
      </c>
      <c r="N245" s="67">
        <f>IF(VLOOKUP($D245,$C$5:$AU$493,3,)=0,0,(VLOOKUP($D245,$C$5:$AU$493,12,)/VLOOKUP($D245,$C$5:$AU$493,3,))*$E245)</f>
        <v>0</v>
      </c>
      <c r="O245" s="67">
        <f>IF(VLOOKUP($D245,$C$5:$AU$493,3,)=0,0,(VLOOKUP($D245,$C$5:$AU$493,13,)/VLOOKUP($D245,$C$5:$AU$493,3,))*$E245)</f>
        <v>0</v>
      </c>
      <c r="P245" s="67">
        <f>IF(VLOOKUP($D245,$C$5:$AU$493,3,)=0,0,(VLOOKUP($D245,$C$5:$AU$493,14,)/VLOOKUP($D245,$C$5:$AU$493,3,))*$E245)</f>
        <v>0</v>
      </c>
      <c r="Q245" s="67">
        <f>IF(VLOOKUP($D245,$C$5:$AU$493,3,)=0,0,(VLOOKUP($D245,$C$5:$AU$493,15,)/VLOOKUP($D245,$C$5:$AU$493,3,))*$E245)</f>
        <v>0</v>
      </c>
      <c r="R245" s="67">
        <f>IF(VLOOKUP($D245,$C$5:$AU$493,3,)=0,0,(VLOOKUP($D245,$C$5:$AU$493,16,)/VLOOKUP($D245,$C$5:$AU$493,3,))*$E245)</f>
        <v>0</v>
      </c>
      <c r="S245" s="67">
        <f>IF(VLOOKUP($D245,$C$5:$AU$493,3,)=0,0,(VLOOKUP($D245,$C$5:$AU$493,17,)/VLOOKUP($D245,$C$5:$AU$493,3,))*$E245)</f>
        <v>0</v>
      </c>
      <c r="T245" s="67">
        <f>IF(VLOOKUP($D245,$C$5:$AU$493,3,)=0,0,(VLOOKUP($D245,$C$5:$AU$493,18,)/VLOOKUP($D245,$C$5:$AU$493,3,))*$E245)</f>
        <v>0</v>
      </c>
      <c r="U245" s="67">
        <f>IF(VLOOKUP($D245,$C$5:$AU$493,3,)=0,0,(VLOOKUP($D245,$C$5:$AU$493,19,)/VLOOKUP($D245,$C$5:$AU$493,3,))*$E245)</f>
        <v>0</v>
      </c>
      <c r="V245" s="67">
        <f>IF(VLOOKUP($D245,$C$5:$AU$493,3,)=0,0,(VLOOKUP($D245,$C$5:$AU$493,20,)/VLOOKUP($D245,$C$5:$AU$493,3,))*$E245)</f>
        <v>0</v>
      </c>
      <c r="W245" s="67">
        <f>IF(VLOOKUP($D245,$C$5:$AU$493,3,)=0,0,(VLOOKUP($D245,$C$5:$AU$493,21,)/VLOOKUP($D245,$C$5:$AU$493,3,))*$E245)</f>
        <v>0</v>
      </c>
      <c r="X245" s="67">
        <f>IF(VLOOKUP($D245,$C$5:$AU$493,3,)=0,0,(VLOOKUP($D245,$C$5:$AU$493,22,)/VLOOKUP($D245,$C$5:$AU$493,3,))*$E245)</f>
        <v>0</v>
      </c>
      <c r="Y245" s="67">
        <f>IF(VLOOKUP($D245,$C$5:$AU$493,3,)=0,0,(VLOOKUP($D245,$C$5:$AU$493,23,)/VLOOKUP($D245,$C$5:$AU$493,3,))*$E245)</f>
        <v>0</v>
      </c>
      <c r="Z245" s="67">
        <f>IF(VLOOKUP($D245,$C$5:$AU$493,3,)=0,0,(VLOOKUP($D245,$C$5:$AU$493,24,)/VLOOKUP($D245,$C$5:$AU$493,3,))*$E245)</f>
        <v>0</v>
      </c>
      <c r="AA245" s="67">
        <f>IF(VLOOKUP($D245,$C$5:$AU$493,3,)=0,0,(VLOOKUP($D245,$C$5:$AU$493,25,)/VLOOKUP($D245,$C$5:$AU$493,3,))*$E245)</f>
        <v>0</v>
      </c>
      <c r="AB245" s="67">
        <f>IF(VLOOKUP($D245,$C$5:$AU$493,3,)=0,0,(VLOOKUP($D245,$C$5:$AU$493,26,)/VLOOKUP($D245,$C$5:$AU$493,3,))*$E245)</f>
        <v>0</v>
      </c>
      <c r="AC245" s="67">
        <f>IF(VLOOKUP($D245,$C$5:$AU$493,3,)=0,0,(VLOOKUP($D245,$C$5:$AU$493,27,)/VLOOKUP($D245,$C$5:$AU$493,3,))*$E245)</f>
        <v>0</v>
      </c>
      <c r="AD245" s="67">
        <f>IF(VLOOKUP($D245,$C$5:$AU$493,3,)=0,0,(VLOOKUP($D245,$C$5:$AU$493,28,)/VLOOKUP($D245,$C$5:$AU$493,3,))*$E245)</f>
        <v>0</v>
      </c>
      <c r="AE245" s="67">
        <f>IF(VLOOKUP($D245,$C$5:$AU$493,3,)=0,0,(VLOOKUP($D245,$C$5:$AU$493,29,)/VLOOKUP($D245,$C$5:$AU$493,3,))*$E245)</f>
        <v>0</v>
      </c>
      <c r="AF245" s="67">
        <f>IF(VLOOKUP($D245,$C$5:$AU$493,3,)=0,0,(VLOOKUP($D245,$C$5:$AU$493,30,)/VLOOKUP($D245,$C$5:$AU$493,3,))*$E245)</f>
        <v>0</v>
      </c>
      <c r="AG245" s="90">
        <f>SUM(F245:AF245)</f>
        <v>0</v>
      </c>
      <c r="AH245" s="28" t="str">
        <f>IF(ABS(E245-AG245)&lt;0.01,"ok","err")</f>
        <v>ok</v>
      </c>
    </row>
    <row r="246" spans="1:34" x14ac:dyDescent="0.25">
      <c r="E246" s="50"/>
    </row>
    <row r="247" spans="1:34" x14ac:dyDescent="0.25">
      <c r="A247" s="13" t="s">
        <v>2</v>
      </c>
      <c r="E247" s="50"/>
    </row>
    <row r="248" spans="1:34" x14ac:dyDescent="0.25">
      <c r="A248" s="93" t="s">
        <v>207</v>
      </c>
      <c r="C248" s="14" t="s">
        <v>300</v>
      </c>
      <c r="D248" s="14" t="s">
        <v>628</v>
      </c>
      <c r="E248" s="67">
        <f>'Func &amp; Classif'!O314</f>
        <v>0</v>
      </c>
      <c r="F248" s="67">
        <f>IF(VLOOKUP($D248,$C$5:$AU$493,3,)=0,0,(VLOOKUP($D248,$C$5:$AU$493,4,)/VLOOKUP($D248,$C$5:$AU$493,3,))*$E248)</f>
        <v>0</v>
      </c>
      <c r="G248" s="67">
        <f>IF(VLOOKUP($D248,$C$5:$AU$493,3,)=0,0,(VLOOKUP($D248,$C$5:$AU$493,5,)/VLOOKUP($D248,$C$5:$AU$493,3,))*$E248)</f>
        <v>0</v>
      </c>
      <c r="H248" s="67">
        <f>IF(VLOOKUP($D248,$C$5:$AU$493,3,)=0,0,(VLOOKUP($D248,$C$5:$AU$493,6,)/VLOOKUP($D248,$C$5:$AU$493,3,))*$E248)</f>
        <v>0</v>
      </c>
      <c r="I248" s="67">
        <f>IF(VLOOKUP($D248,$C$5:$AU$493,3,)=0,0,(VLOOKUP($D248,$C$5:$AU$493,7,)/VLOOKUP($D248,$C$5:$AU$493,3,))*$E248)</f>
        <v>0</v>
      </c>
      <c r="J248" s="67">
        <f>IF(VLOOKUP($D248,$C$5:$AU$493,3,)=0,0,(VLOOKUP($D248,$C$5:$AU$493,8,)/VLOOKUP($D248,$C$5:$AU$493,3,))*$E248)</f>
        <v>0</v>
      </c>
      <c r="K248" s="67">
        <f>IF(VLOOKUP($D248,$C$5:$AU$493,3,)=0,0,(VLOOKUP($D248,$C$5:$AU$493,9,)/VLOOKUP($D248,$C$5:$AU$493,3,))*$E248)</f>
        <v>0</v>
      </c>
      <c r="L248" s="67">
        <f>IF(VLOOKUP($D248,$C$5:$AU$493,3,)=0,0,(VLOOKUP($D248,$C$5:$AU$493,10,)/VLOOKUP($D248,$C$5:$AU$493,3,))*$E248)</f>
        <v>0</v>
      </c>
      <c r="M248" s="67">
        <f>IF(VLOOKUP($D248,$C$5:$AU$493,3,)=0,0,(VLOOKUP($D248,$C$5:$AU$493,11,)/VLOOKUP($D248,$C$5:$AU$493,3,))*$E248)</f>
        <v>0</v>
      </c>
      <c r="N248" s="67">
        <f>IF(VLOOKUP($D248,$C$5:$AU$493,3,)=0,0,(VLOOKUP($D248,$C$5:$AU$493,12,)/VLOOKUP($D248,$C$5:$AU$493,3,))*$E248)</f>
        <v>0</v>
      </c>
      <c r="O248" s="67">
        <f>IF(VLOOKUP($D248,$C$5:$AU$493,3,)=0,0,(VLOOKUP($D248,$C$5:$AU$493,13,)/VLOOKUP($D248,$C$5:$AU$493,3,))*$E248)</f>
        <v>0</v>
      </c>
      <c r="P248" s="67">
        <f>IF(VLOOKUP($D248,$C$5:$AU$493,3,)=0,0,(VLOOKUP($D248,$C$5:$AU$493,14,)/VLOOKUP($D248,$C$5:$AU$493,3,))*$E248)</f>
        <v>0</v>
      </c>
      <c r="Q248" s="67">
        <f>IF(VLOOKUP($D248,$C$5:$AU$493,3,)=0,0,(VLOOKUP($D248,$C$5:$AU$493,15,)/VLOOKUP($D248,$C$5:$AU$493,3,))*$E248)</f>
        <v>0</v>
      </c>
      <c r="R248" s="67">
        <f>IF(VLOOKUP($D248,$C$5:$AU$493,3,)=0,0,(VLOOKUP($D248,$C$5:$AU$493,16,)/VLOOKUP($D248,$C$5:$AU$493,3,))*$E248)</f>
        <v>0</v>
      </c>
      <c r="S248" s="67">
        <f>IF(VLOOKUP($D248,$C$5:$AU$493,3,)=0,0,(VLOOKUP($D248,$C$5:$AU$493,17,)/VLOOKUP($D248,$C$5:$AU$493,3,))*$E248)</f>
        <v>0</v>
      </c>
      <c r="T248" s="67">
        <f>IF(VLOOKUP($D248,$C$5:$AU$493,3,)=0,0,(VLOOKUP($D248,$C$5:$AU$493,18,)/VLOOKUP($D248,$C$5:$AU$493,3,))*$E248)</f>
        <v>0</v>
      </c>
      <c r="U248" s="67">
        <f>IF(VLOOKUP($D248,$C$5:$AU$493,3,)=0,0,(VLOOKUP($D248,$C$5:$AU$493,19,)/VLOOKUP($D248,$C$5:$AU$493,3,))*$E248)</f>
        <v>0</v>
      </c>
      <c r="V248" s="67">
        <f>IF(VLOOKUP($D248,$C$5:$AU$493,3,)=0,0,(VLOOKUP($D248,$C$5:$AU$493,20,)/VLOOKUP($D248,$C$5:$AU$493,3,))*$E248)</f>
        <v>0</v>
      </c>
      <c r="W248" s="67">
        <f>IF(VLOOKUP($D248,$C$5:$AU$493,3,)=0,0,(VLOOKUP($D248,$C$5:$AU$493,21,)/VLOOKUP($D248,$C$5:$AU$493,3,))*$E248)</f>
        <v>0</v>
      </c>
      <c r="X248" s="67">
        <f>IF(VLOOKUP($D248,$C$5:$AU$493,3,)=0,0,(VLOOKUP($D248,$C$5:$AU$493,22,)/VLOOKUP($D248,$C$5:$AU$493,3,))*$E248)</f>
        <v>0</v>
      </c>
      <c r="Y248" s="67">
        <f>IF(VLOOKUP($D248,$C$5:$AU$493,3,)=0,0,(VLOOKUP($D248,$C$5:$AU$493,23,)/VLOOKUP($D248,$C$5:$AU$493,3,))*$E248)</f>
        <v>0</v>
      </c>
      <c r="Z248" s="67">
        <f>IF(VLOOKUP($D248,$C$5:$AU$493,3,)=0,0,(VLOOKUP($D248,$C$5:$AU$493,24,)/VLOOKUP($D248,$C$5:$AU$493,3,))*$E248)</f>
        <v>0</v>
      </c>
      <c r="AA248" s="67">
        <f>IF(VLOOKUP($D248,$C$5:$AU$493,3,)=0,0,(VLOOKUP($D248,$C$5:$AU$493,25,)/VLOOKUP($D248,$C$5:$AU$493,3,))*$E248)</f>
        <v>0</v>
      </c>
      <c r="AB248" s="67">
        <f>IF(VLOOKUP($D248,$C$5:$AU$493,3,)=0,0,(VLOOKUP($D248,$C$5:$AU$493,26,)/VLOOKUP($D248,$C$5:$AU$493,3,))*$E248)</f>
        <v>0</v>
      </c>
      <c r="AC248" s="67">
        <f>IF(VLOOKUP($D248,$C$5:$AU$493,3,)=0,0,(VLOOKUP($D248,$C$5:$AU$493,27,)/VLOOKUP($D248,$C$5:$AU$493,3,))*$E248)</f>
        <v>0</v>
      </c>
      <c r="AD248" s="67">
        <f>IF(VLOOKUP($D248,$C$5:$AU$493,3,)=0,0,(VLOOKUP($D248,$C$5:$AU$493,28,)/VLOOKUP($D248,$C$5:$AU$493,3,))*$E248)</f>
        <v>0</v>
      </c>
      <c r="AE248" s="67">
        <f>IF(VLOOKUP($D248,$C$5:$AU$493,3,)=0,0,(VLOOKUP($D248,$C$5:$AU$493,29,)/VLOOKUP($D248,$C$5:$AU$493,3,))*$E248)</f>
        <v>0</v>
      </c>
      <c r="AF248" s="67">
        <f>IF(VLOOKUP($D248,$C$5:$AU$493,3,)=0,0,(VLOOKUP($D248,$C$5:$AU$493,30,)/VLOOKUP($D248,$C$5:$AU$493,3,))*$E248)</f>
        <v>0</v>
      </c>
      <c r="AG248" s="90">
        <f>SUM(F248:AF248)</f>
        <v>0</v>
      </c>
      <c r="AH248" s="28" t="str">
        <f>IF(ABS(E248-AG248)&lt;0.01,"ok","err")</f>
        <v>ok</v>
      </c>
    </row>
    <row r="249" spans="1:34" x14ac:dyDescent="0.25">
      <c r="A249" s="93" t="s">
        <v>219</v>
      </c>
      <c r="C249" s="14" t="s">
        <v>301</v>
      </c>
      <c r="D249" s="14" t="s">
        <v>221</v>
      </c>
      <c r="E249" s="50">
        <f>'Func &amp; Classif'!P314</f>
        <v>0</v>
      </c>
      <c r="F249" s="67">
        <f>IF(VLOOKUP($D249,$C$5:$AU$493,3,)=0,0,(VLOOKUP($D249,$C$5:$AU$493,4,)/VLOOKUP($D249,$C$5:$AU$493,3,))*$E249)</f>
        <v>0</v>
      </c>
      <c r="G249" s="67">
        <f>IF(VLOOKUP($D249,$C$5:$AU$493,3,)=0,0,(VLOOKUP($D249,$C$5:$AU$493,5,)/VLOOKUP($D249,$C$5:$AU$493,3,))*$E249)</f>
        <v>0</v>
      </c>
      <c r="H249" s="67">
        <f>IF(VLOOKUP($D249,$C$5:$AU$493,3,)=0,0,(VLOOKUP($D249,$C$5:$AU$493,6,)/VLOOKUP($D249,$C$5:$AU$493,3,))*$E249)</f>
        <v>0</v>
      </c>
      <c r="I249" s="67">
        <f>IF(VLOOKUP($D249,$C$5:$AU$493,3,)=0,0,(VLOOKUP($D249,$C$5:$AU$493,7,)/VLOOKUP($D249,$C$5:$AU$493,3,))*$E249)</f>
        <v>0</v>
      </c>
      <c r="J249" s="67">
        <f>IF(VLOOKUP($D249,$C$5:$AU$493,3,)=0,0,(VLOOKUP($D249,$C$5:$AU$493,8,)/VLOOKUP($D249,$C$5:$AU$493,3,))*$E249)</f>
        <v>0</v>
      </c>
      <c r="K249" s="67">
        <f>IF(VLOOKUP($D249,$C$5:$AU$493,3,)=0,0,(VLOOKUP($D249,$C$5:$AU$493,9,)/VLOOKUP($D249,$C$5:$AU$493,3,))*$E249)</f>
        <v>0</v>
      </c>
      <c r="L249" s="67">
        <f>IF(VLOOKUP($D249,$C$5:$AU$493,3,)=0,0,(VLOOKUP($D249,$C$5:$AU$493,10,)/VLOOKUP($D249,$C$5:$AU$493,3,))*$E249)</f>
        <v>0</v>
      </c>
      <c r="M249" s="67">
        <f>IF(VLOOKUP($D249,$C$5:$AU$493,3,)=0,0,(VLOOKUP($D249,$C$5:$AU$493,11,)/VLOOKUP($D249,$C$5:$AU$493,3,))*$E249)</f>
        <v>0</v>
      </c>
      <c r="N249" s="67">
        <f>IF(VLOOKUP($D249,$C$5:$AU$493,3,)=0,0,(VLOOKUP($D249,$C$5:$AU$493,12,)/VLOOKUP($D249,$C$5:$AU$493,3,))*$E249)</f>
        <v>0</v>
      </c>
      <c r="O249" s="67">
        <f>IF(VLOOKUP($D249,$C$5:$AU$493,3,)=0,0,(VLOOKUP($D249,$C$5:$AU$493,13,)/VLOOKUP($D249,$C$5:$AU$493,3,))*$E249)</f>
        <v>0</v>
      </c>
      <c r="P249" s="67">
        <f>IF(VLOOKUP($D249,$C$5:$AU$493,3,)=0,0,(VLOOKUP($D249,$C$5:$AU$493,14,)/VLOOKUP($D249,$C$5:$AU$493,3,))*$E249)</f>
        <v>0</v>
      </c>
      <c r="Q249" s="67">
        <f>IF(VLOOKUP($D249,$C$5:$AU$493,3,)=0,0,(VLOOKUP($D249,$C$5:$AU$493,15,)/VLOOKUP($D249,$C$5:$AU$493,3,))*$E249)</f>
        <v>0</v>
      </c>
      <c r="R249" s="67">
        <f>IF(VLOOKUP($D249,$C$5:$AU$493,3,)=0,0,(VLOOKUP($D249,$C$5:$AU$493,16,)/VLOOKUP($D249,$C$5:$AU$493,3,))*$E249)</f>
        <v>0</v>
      </c>
      <c r="S249" s="67">
        <f>IF(VLOOKUP($D249,$C$5:$AU$493,3,)=0,0,(VLOOKUP($D249,$C$5:$AU$493,17,)/VLOOKUP($D249,$C$5:$AU$493,3,))*$E249)</f>
        <v>0</v>
      </c>
      <c r="T249" s="67">
        <f>IF(VLOOKUP($D249,$C$5:$AU$493,3,)=0,0,(VLOOKUP($D249,$C$5:$AU$493,18,)/VLOOKUP($D249,$C$5:$AU$493,3,))*$E249)</f>
        <v>0</v>
      </c>
      <c r="U249" s="67">
        <f>IF(VLOOKUP($D249,$C$5:$AU$493,3,)=0,0,(VLOOKUP($D249,$C$5:$AU$493,19,)/VLOOKUP($D249,$C$5:$AU$493,3,))*$E249)</f>
        <v>0</v>
      </c>
      <c r="V249" s="67">
        <f>IF(VLOOKUP($D249,$C$5:$AU$493,3,)=0,0,(VLOOKUP($D249,$C$5:$AU$493,20,)/VLOOKUP($D249,$C$5:$AU$493,3,))*$E249)</f>
        <v>0</v>
      </c>
      <c r="W249" s="67">
        <f>IF(VLOOKUP($D249,$C$5:$AU$493,3,)=0,0,(VLOOKUP($D249,$C$5:$AU$493,21,)/VLOOKUP($D249,$C$5:$AU$493,3,))*$E249)</f>
        <v>0</v>
      </c>
      <c r="X249" s="67">
        <f>IF(VLOOKUP($D249,$C$5:$AU$493,3,)=0,0,(VLOOKUP($D249,$C$5:$AU$493,22,)/VLOOKUP($D249,$C$5:$AU$493,3,))*$E249)</f>
        <v>0</v>
      </c>
      <c r="Y249" s="67">
        <f>IF(VLOOKUP($D249,$C$5:$AU$493,3,)=0,0,(VLOOKUP($D249,$C$5:$AU$493,23,)/VLOOKUP($D249,$C$5:$AU$493,3,))*$E249)</f>
        <v>0</v>
      </c>
      <c r="Z249" s="67">
        <f>IF(VLOOKUP($D249,$C$5:$AU$493,3,)=0,0,(VLOOKUP($D249,$C$5:$AU$493,24,)/VLOOKUP($D249,$C$5:$AU$493,3,))*$E249)</f>
        <v>0</v>
      </c>
      <c r="AA249" s="67">
        <f>IF(VLOOKUP($D249,$C$5:$AU$493,3,)=0,0,(VLOOKUP($D249,$C$5:$AU$493,25,)/VLOOKUP($D249,$C$5:$AU$493,3,))*$E249)</f>
        <v>0</v>
      </c>
      <c r="AB249" s="67">
        <f>IF(VLOOKUP($D249,$C$5:$AU$493,3,)=0,0,(VLOOKUP($D249,$C$5:$AU$493,26,)/VLOOKUP($D249,$C$5:$AU$493,3,))*$E249)</f>
        <v>0</v>
      </c>
      <c r="AC249" s="67">
        <f>IF(VLOOKUP($D249,$C$5:$AU$493,3,)=0,0,(VLOOKUP($D249,$C$5:$AU$493,27,)/VLOOKUP($D249,$C$5:$AU$493,3,))*$E249)</f>
        <v>0</v>
      </c>
      <c r="AD249" s="67">
        <f>IF(VLOOKUP($D249,$C$5:$AU$493,3,)=0,0,(VLOOKUP($D249,$C$5:$AU$493,28,)/VLOOKUP($D249,$C$5:$AU$493,3,))*$E249)</f>
        <v>0</v>
      </c>
      <c r="AE249" s="67">
        <f>IF(VLOOKUP($D249,$C$5:$AU$493,3,)=0,0,(VLOOKUP($D249,$C$5:$AU$493,29,)/VLOOKUP($D249,$C$5:$AU$493,3,))*$E249)</f>
        <v>0</v>
      </c>
      <c r="AF249" s="67">
        <f>IF(VLOOKUP($D249,$C$5:$AU$493,3,)=0,0,(VLOOKUP($D249,$C$5:$AU$493,30,)/VLOOKUP($D249,$C$5:$AU$493,3,))*$E249)</f>
        <v>0</v>
      </c>
      <c r="AG249" s="90">
        <f>SUM(F249:AF249)</f>
        <v>0</v>
      </c>
      <c r="AH249" s="28" t="str">
        <f>IF(ABS(E249-AG249)&lt;0.01,"ok","err")</f>
        <v>ok</v>
      </c>
    </row>
    <row r="250" spans="1:34" x14ac:dyDescent="0.25">
      <c r="A250" s="14" t="s">
        <v>222</v>
      </c>
      <c r="E250" s="67">
        <f t="shared" ref="E250:T250" si="73">E248+E249</f>
        <v>0</v>
      </c>
      <c r="F250" s="67">
        <f t="shared" si="73"/>
        <v>0</v>
      </c>
      <c r="G250" s="67">
        <f t="shared" si="73"/>
        <v>0</v>
      </c>
      <c r="H250" s="67">
        <f t="shared" si="73"/>
        <v>0</v>
      </c>
      <c r="I250" s="67">
        <f t="shared" si="73"/>
        <v>0</v>
      </c>
      <c r="J250" s="67">
        <f t="shared" si="73"/>
        <v>0</v>
      </c>
      <c r="K250" s="67">
        <f t="shared" si="73"/>
        <v>0</v>
      </c>
      <c r="L250" s="67">
        <f t="shared" si="73"/>
        <v>0</v>
      </c>
      <c r="M250" s="67">
        <f t="shared" si="73"/>
        <v>0</v>
      </c>
      <c r="N250" s="67">
        <f t="shared" si="73"/>
        <v>0</v>
      </c>
      <c r="O250" s="67">
        <f t="shared" si="73"/>
        <v>0</v>
      </c>
      <c r="P250" s="67">
        <f t="shared" si="73"/>
        <v>0</v>
      </c>
      <c r="Q250" s="67">
        <f t="shared" si="73"/>
        <v>0</v>
      </c>
      <c r="R250" s="67">
        <f t="shared" si="73"/>
        <v>0</v>
      </c>
      <c r="S250" s="67">
        <f t="shared" si="73"/>
        <v>0</v>
      </c>
      <c r="T250" s="67">
        <f t="shared" si="73"/>
        <v>0</v>
      </c>
      <c r="U250" s="67">
        <f t="shared" ref="U250:AF250" si="74">U248+U249</f>
        <v>0</v>
      </c>
      <c r="V250" s="67">
        <f t="shared" si="74"/>
        <v>0</v>
      </c>
      <c r="W250" s="67">
        <f t="shared" si="74"/>
        <v>0</v>
      </c>
      <c r="X250" s="67">
        <f t="shared" si="74"/>
        <v>0</v>
      </c>
      <c r="Y250" s="67">
        <f t="shared" si="74"/>
        <v>0</v>
      </c>
      <c r="Z250" s="67">
        <f t="shared" si="74"/>
        <v>0</v>
      </c>
      <c r="AA250" s="67">
        <f t="shared" si="74"/>
        <v>0</v>
      </c>
      <c r="AB250" s="67">
        <f t="shared" si="74"/>
        <v>0</v>
      </c>
      <c r="AC250" s="67">
        <f t="shared" si="74"/>
        <v>0</v>
      </c>
      <c r="AD250" s="67">
        <f t="shared" si="74"/>
        <v>0</v>
      </c>
      <c r="AE250" s="67">
        <f t="shared" si="74"/>
        <v>0</v>
      </c>
      <c r="AF250" s="67">
        <f t="shared" si="74"/>
        <v>0</v>
      </c>
      <c r="AG250" s="90">
        <f>SUM(F250:AF250)</f>
        <v>0</v>
      </c>
      <c r="AH250" s="28" t="str">
        <f>IF(ABS(E250-AG250)&lt;0.01,"ok","err")</f>
        <v>ok</v>
      </c>
    </row>
    <row r="251" spans="1:34" x14ac:dyDescent="0.25">
      <c r="E251" s="50"/>
    </row>
    <row r="252" spans="1:34" x14ac:dyDescent="0.25">
      <c r="A252" s="13" t="s">
        <v>3</v>
      </c>
      <c r="E252" s="50"/>
    </row>
    <row r="253" spans="1:34" x14ac:dyDescent="0.25">
      <c r="A253" s="93" t="s">
        <v>207</v>
      </c>
      <c r="C253" s="14" t="s">
        <v>302</v>
      </c>
      <c r="D253" s="14" t="s">
        <v>700</v>
      </c>
      <c r="E253" s="67">
        <f>'Func &amp; Classif'!R314</f>
        <v>0</v>
      </c>
      <c r="F253" s="67">
        <f>IF(VLOOKUP($D253,$C$5:$AU$493,3,)=0,0,(VLOOKUP($D253,$C$5:$AU$493,4,)/VLOOKUP($D253,$C$5:$AU$493,3,))*$E253)</f>
        <v>0</v>
      </c>
      <c r="G253" s="67">
        <f>IF(VLOOKUP($D253,$C$5:$AU$493,3,)=0,0,(VLOOKUP($D253,$C$5:$AU$493,5,)/VLOOKUP($D253,$C$5:$AU$493,3,))*$E253)</f>
        <v>0</v>
      </c>
      <c r="H253" s="67">
        <f>IF(VLOOKUP($D253,$C$5:$AU$493,3,)=0,0,(VLOOKUP($D253,$C$5:$AU$493,6,)/VLOOKUP($D253,$C$5:$AU$493,3,))*$E253)</f>
        <v>0</v>
      </c>
      <c r="I253" s="67">
        <f>IF(VLOOKUP($D253,$C$5:$AU$493,3,)=0,0,(VLOOKUP($D253,$C$5:$AU$493,7,)/VLOOKUP($D253,$C$5:$AU$493,3,))*$E253)</f>
        <v>0</v>
      </c>
      <c r="J253" s="67">
        <f>IF(VLOOKUP($D253,$C$5:$AU$493,3,)=0,0,(VLOOKUP($D253,$C$5:$AU$493,8,)/VLOOKUP($D253,$C$5:$AU$493,3,))*$E253)</f>
        <v>0</v>
      </c>
      <c r="K253" s="67">
        <f>IF(VLOOKUP($D253,$C$5:$AU$493,3,)=0,0,(VLOOKUP($D253,$C$5:$AU$493,9,)/VLOOKUP($D253,$C$5:$AU$493,3,))*$E253)</f>
        <v>0</v>
      </c>
      <c r="L253" s="67">
        <f>IF(VLOOKUP($D253,$C$5:$AU$493,3,)=0,0,(VLOOKUP($D253,$C$5:$AU$493,10,)/VLOOKUP($D253,$C$5:$AU$493,3,))*$E253)</f>
        <v>0</v>
      </c>
      <c r="M253" s="67">
        <f>IF(VLOOKUP($D253,$C$5:$AU$493,3,)=0,0,(VLOOKUP($D253,$C$5:$AU$493,11,)/VLOOKUP($D253,$C$5:$AU$493,3,))*$E253)</f>
        <v>0</v>
      </c>
      <c r="N253" s="67">
        <f>IF(VLOOKUP($D253,$C$5:$AU$493,3,)=0,0,(VLOOKUP($D253,$C$5:$AU$493,12,)/VLOOKUP($D253,$C$5:$AU$493,3,))*$E253)</f>
        <v>0</v>
      </c>
      <c r="O253" s="67">
        <f>IF(VLOOKUP($D253,$C$5:$AU$493,3,)=0,0,(VLOOKUP($D253,$C$5:$AU$493,13,)/VLOOKUP($D253,$C$5:$AU$493,3,))*$E253)</f>
        <v>0</v>
      </c>
      <c r="P253" s="67">
        <f>IF(VLOOKUP($D253,$C$5:$AU$493,3,)=0,0,(VLOOKUP($D253,$C$5:$AU$493,14,)/VLOOKUP($D253,$C$5:$AU$493,3,))*$E253)</f>
        <v>0</v>
      </c>
      <c r="Q253" s="67">
        <f>IF(VLOOKUP($D253,$C$5:$AU$493,3,)=0,0,(VLOOKUP($D253,$C$5:$AU$493,15,)/VLOOKUP($D253,$C$5:$AU$493,3,))*$E253)</f>
        <v>0</v>
      </c>
      <c r="R253" s="67">
        <f>IF(VLOOKUP($D253,$C$5:$AU$493,3,)=0,0,(VLOOKUP($D253,$C$5:$AU$493,16,)/VLOOKUP($D253,$C$5:$AU$493,3,))*$E253)</f>
        <v>0</v>
      </c>
      <c r="S253" s="67">
        <f>IF(VLOOKUP($D253,$C$5:$AU$493,3,)=0,0,(VLOOKUP($D253,$C$5:$AU$493,17,)/VLOOKUP($D253,$C$5:$AU$493,3,))*$E253)</f>
        <v>0</v>
      </c>
      <c r="T253" s="67">
        <f>IF(VLOOKUP($D253,$C$5:$AU$493,3,)=0,0,(VLOOKUP($D253,$C$5:$AU$493,18,)/VLOOKUP($D253,$C$5:$AU$493,3,))*$E253)</f>
        <v>0</v>
      </c>
      <c r="U253" s="67">
        <f>IF(VLOOKUP($D253,$C$5:$AU$493,3,)=0,0,(VLOOKUP($D253,$C$5:$AU$493,19,)/VLOOKUP($D253,$C$5:$AU$493,3,))*$E253)</f>
        <v>0</v>
      </c>
      <c r="V253" s="67">
        <f>IF(VLOOKUP($D253,$C$5:$AU$493,3,)=0,0,(VLOOKUP($D253,$C$5:$AU$493,20,)/VLOOKUP($D253,$C$5:$AU$493,3,))*$E253)</f>
        <v>0</v>
      </c>
      <c r="W253" s="67">
        <f>IF(VLOOKUP($D253,$C$5:$AU$493,3,)=0,0,(VLOOKUP($D253,$C$5:$AU$493,21,)/VLOOKUP($D253,$C$5:$AU$493,3,))*$E253)</f>
        <v>0</v>
      </c>
      <c r="X253" s="67">
        <f>IF(VLOOKUP($D253,$C$5:$AU$493,3,)=0,0,(VLOOKUP($D253,$C$5:$AU$493,22,)/VLOOKUP($D253,$C$5:$AU$493,3,))*$E253)</f>
        <v>0</v>
      </c>
      <c r="Y253" s="67">
        <f>IF(VLOOKUP($D253,$C$5:$AU$493,3,)=0,0,(VLOOKUP($D253,$C$5:$AU$493,23,)/VLOOKUP($D253,$C$5:$AU$493,3,))*$E253)</f>
        <v>0</v>
      </c>
      <c r="Z253" s="67">
        <f>IF(VLOOKUP($D253,$C$5:$AU$493,3,)=0,0,(VLOOKUP($D253,$C$5:$AU$493,24,)/VLOOKUP($D253,$C$5:$AU$493,3,))*$E253)</f>
        <v>0</v>
      </c>
      <c r="AA253" s="67">
        <f>IF(VLOOKUP($D253,$C$5:$AU$493,3,)=0,0,(VLOOKUP($D253,$C$5:$AU$493,25,)/VLOOKUP($D253,$C$5:$AU$493,3,))*$E253)</f>
        <v>0</v>
      </c>
      <c r="AB253" s="67">
        <f>IF(VLOOKUP($D253,$C$5:$AU$493,3,)=0,0,(VLOOKUP($D253,$C$5:$AU$493,26,)/VLOOKUP($D253,$C$5:$AU$493,3,))*$E253)</f>
        <v>0</v>
      </c>
      <c r="AC253" s="67">
        <f>IF(VLOOKUP($D253,$C$5:$AU$493,3,)=0,0,(VLOOKUP($D253,$C$5:$AU$493,27,)/VLOOKUP($D253,$C$5:$AU$493,3,))*$E253)</f>
        <v>0</v>
      </c>
      <c r="AD253" s="67">
        <f>IF(VLOOKUP($D253,$C$5:$AU$493,3,)=0,0,(VLOOKUP($D253,$C$5:$AU$493,28,)/VLOOKUP($D253,$C$5:$AU$493,3,))*$E253)</f>
        <v>0</v>
      </c>
      <c r="AE253" s="67">
        <f>IF(VLOOKUP($D253,$C$5:$AU$493,3,)=0,0,(VLOOKUP($D253,$C$5:$AU$493,29,)/VLOOKUP($D253,$C$5:$AU$493,3,))*$E253)</f>
        <v>0</v>
      </c>
      <c r="AF253" s="67">
        <f>IF(VLOOKUP($D253,$C$5:$AU$493,3,)=0,0,(VLOOKUP($D253,$C$5:$AU$493,30,)/VLOOKUP($D253,$C$5:$AU$493,3,))*$E253)</f>
        <v>0</v>
      </c>
      <c r="AG253" s="90">
        <f>SUM(F253:AF253)</f>
        <v>0</v>
      </c>
      <c r="AH253" s="28" t="str">
        <f>IF(ABS(E253-AG253)&lt;0.01,"ok","err")</f>
        <v>ok</v>
      </c>
    </row>
    <row r="254" spans="1:34" x14ac:dyDescent="0.25">
      <c r="A254" s="93" t="s">
        <v>219</v>
      </c>
      <c r="C254" s="14" t="s">
        <v>303</v>
      </c>
      <c r="D254" s="14" t="s">
        <v>700</v>
      </c>
      <c r="E254" s="50">
        <f>'Func &amp; Classif'!S314</f>
        <v>0</v>
      </c>
      <c r="F254" s="67">
        <f>IF(VLOOKUP($D254,$C$5:$AU$493,3,)=0,0,(VLOOKUP($D254,$C$5:$AU$493,4,)/VLOOKUP($D254,$C$5:$AU$493,3,))*$E254)</f>
        <v>0</v>
      </c>
      <c r="G254" s="67">
        <f>IF(VLOOKUP($D254,$C$5:$AU$493,3,)=0,0,(VLOOKUP($D254,$C$5:$AU$493,5,)/VLOOKUP($D254,$C$5:$AU$493,3,))*$E254)</f>
        <v>0</v>
      </c>
      <c r="H254" s="67">
        <f>IF(VLOOKUP($D254,$C$5:$AU$493,3,)=0,0,(VLOOKUP($D254,$C$5:$AU$493,6,)/VLOOKUP($D254,$C$5:$AU$493,3,))*$E254)</f>
        <v>0</v>
      </c>
      <c r="I254" s="67">
        <f>IF(VLOOKUP($D254,$C$5:$AU$493,3,)=0,0,(VLOOKUP($D254,$C$5:$AU$493,7,)/VLOOKUP($D254,$C$5:$AU$493,3,))*$E254)</f>
        <v>0</v>
      </c>
      <c r="J254" s="67">
        <f>IF(VLOOKUP($D254,$C$5:$AU$493,3,)=0,0,(VLOOKUP($D254,$C$5:$AU$493,8,)/VLOOKUP($D254,$C$5:$AU$493,3,))*$E254)</f>
        <v>0</v>
      </c>
      <c r="K254" s="67">
        <f>IF(VLOOKUP($D254,$C$5:$AU$493,3,)=0,0,(VLOOKUP($D254,$C$5:$AU$493,9,)/VLOOKUP($D254,$C$5:$AU$493,3,))*$E254)</f>
        <v>0</v>
      </c>
      <c r="L254" s="67">
        <f>IF(VLOOKUP($D254,$C$5:$AU$493,3,)=0,0,(VLOOKUP($D254,$C$5:$AU$493,10,)/VLOOKUP($D254,$C$5:$AU$493,3,))*$E254)</f>
        <v>0</v>
      </c>
      <c r="M254" s="67">
        <f>IF(VLOOKUP($D254,$C$5:$AU$493,3,)=0,0,(VLOOKUP($D254,$C$5:$AU$493,11,)/VLOOKUP($D254,$C$5:$AU$493,3,))*$E254)</f>
        <v>0</v>
      </c>
      <c r="N254" s="67">
        <f>IF(VLOOKUP($D254,$C$5:$AU$493,3,)=0,0,(VLOOKUP($D254,$C$5:$AU$493,12,)/VLOOKUP($D254,$C$5:$AU$493,3,))*$E254)</f>
        <v>0</v>
      </c>
      <c r="O254" s="67">
        <f>IF(VLOOKUP($D254,$C$5:$AU$493,3,)=0,0,(VLOOKUP($D254,$C$5:$AU$493,13,)/VLOOKUP($D254,$C$5:$AU$493,3,))*$E254)</f>
        <v>0</v>
      </c>
      <c r="P254" s="67">
        <f>IF(VLOOKUP($D254,$C$5:$AU$493,3,)=0,0,(VLOOKUP($D254,$C$5:$AU$493,14,)/VLOOKUP($D254,$C$5:$AU$493,3,))*$E254)</f>
        <v>0</v>
      </c>
      <c r="Q254" s="67">
        <f>IF(VLOOKUP($D254,$C$5:$AU$493,3,)=0,0,(VLOOKUP($D254,$C$5:$AU$493,15,)/VLOOKUP($D254,$C$5:$AU$493,3,))*$E254)</f>
        <v>0</v>
      </c>
      <c r="R254" s="67">
        <f>IF(VLOOKUP($D254,$C$5:$AU$493,3,)=0,0,(VLOOKUP($D254,$C$5:$AU$493,16,)/VLOOKUP($D254,$C$5:$AU$493,3,))*$E254)</f>
        <v>0</v>
      </c>
      <c r="S254" s="67">
        <f>IF(VLOOKUP($D254,$C$5:$AU$493,3,)=0,0,(VLOOKUP($D254,$C$5:$AU$493,17,)/VLOOKUP($D254,$C$5:$AU$493,3,))*$E254)</f>
        <v>0</v>
      </c>
      <c r="T254" s="67">
        <f>IF(VLOOKUP($D254,$C$5:$AU$493,3,)=0,0,(VLOOKUP($D254,$C$5:$AU$493,18,)/VLOOKUP($D254,$C$5:$AU$493,3,))*$E254)</f>
        <v>0</v>
      </c>
      <c r="U254" s="67">
        <f>IF(VLOOKUP($D254,$C$5:$AU$493,3,)=0,0,(VLOOKUP($D254,$C$5:$AU$493,19,)/VLOOKUP($D254,$C$5:$AU$493,3,))*$E254)</f>
        <v>0</v>
      </c>
      <c r="V254" s="67">
        <f>IF(VLOOKUP($D254,$C$5:$AU$493,3,)=0,0,(VLOOKUP($D254,$C$5:$AU$493,20,)/VLOOKUP($D254,$C$5:$AU$493,3,))*$E254)</f>
        <v>0</v>
      </c>
      <c r="W254" s="67">
        <f>IF(VLOOKUP($D254,$C$5:$AU$493,3,)=0,0,(VLOOKUP($D254,$C$5:$AU$493,21,)/VLOOKUP($D254,$C$5:$AU$493,3,))*$E254)</f>
        <v>0</v>
      </c>
      <c r="X254" s="67">
        <f>IF(VLOOKUP($D254,$C$5:$AU$493,3,)=0,0,(VLOOKUP($D254,$C$5:$AU$493,22,)/VLOOKUP($D254,$C$5:$AU$493,3,))*$E254)</f>
        <v>0</v>
      </c>
      <c r="Y254" s="67">
        <f>IF(VLOOKUP($D254,$C$5:$AU$493,3,)=0,0,(VLOOKUP($D254,$C$5:$AU$493,23,)/VLOOKUP($D254,$C$5:$AU$493,3,))*$E254)</f>
        <v>0</v>
      </c>
      <c r="Z254" s="67">
        <f>IF(VLOOKUP($D254,$C$5:$AU$493,3,)=0,0,(VLOOKUP($D254,$C$5:$AU$493,24,)/VLOOKUP($D254,$C$5:$AU$493,3,))*$E254)</f>
        <v>0</v>
      </c>
      <c r="AA254" s="67">
        <f>IF(VLOOKUP($D254,$C$5:$AU$493,3,)=0,0,(VLOOKUP($D254,$C$5:$AU$493,25,)/VLOOKUP($D254,$C$5:$AU$493,3,))*$E254)</f>
        <v>0</v>
      </c>
      <c r="AB254" s="67">
        <f>IF(VLOOKUP($D254,$C$5:$AU$493,3,)=0,0,(VLOOKUP($D254,$C$5:$AU$493,26,)/VLOOKUP($D254,$C$5:$AU$493,3,))*$E254)</f>
        <v>0</v>
      </c>
      <c r="AC254" s="67">
        <f>IF(VLOOKUP($D254,$C$5:$AU$493,3,)=0,0,(VLOOKUP($D254,$C$5:$AU$493,27,)/VLOOKUP($D254,$C$5:$AU$493,3,))*$E254)</f>
        <v>0</v>
      </c>
      <c r="AD254" s="67">
        <f>IF(VLOOKUP($D254,$C$5:$AU$493,3,)=0,0,(VLOOKUP($D254,$C$5:$AU$493,28,)/VLOOKUP($D254,$C$5:$AU$493,3,))*$E254)</f>
        <v>0</v>
      </c>
      <c r="AE254" s="67">
        <f>IF(VLOOKUP($D254,$C$5:$AU$493,3,)=0,0,(VLOOKUP($D254,$C$5:$AU$493,29,)/VLOOKUP($D254,$C$5:$AU$493,3,))*$E254)</f>
        <v>0</v>
      </c>
      <c r="AF254" s="67">
        <f>IF(VLOOKUP($D254,$C$5:$AU$493,3,)=0,0,(VLOOKUP($D254,$C$5:$AU$493,30,)/VLOOKUP($D254,$C$5:$AU$493,3,))*$E254)</f>
        <v>0</v>
      </c>
      <c r="AG254" s="90">
        <f>SUM(F254:AF254)</f>
        <v>0</v>
      </c>
      <c r="AH254" s="28" t="str">
        <f>IF(ABS(E254-AG254)&lt;0.01,"ok","err")</f>
        <v>ok</v>
      </c>
    </row>
    <row r="255" spans="1:34" x14ac:dyDescent="0.25">
      <c r="A255" s="14" t="s">
        <v>226</v>
      </c>
      <c r="E255" s="67">
        <f t="shared" ref="E255:T255" si="75">E253+E254</f>
        <v>0</v>
      </c>
      <c r="F255" s="67">
        <f t="shared" si="75"/>
        <v>0</v>
      </c>
      <c r="G255" s="67">
        <f t="shared" si="75"/>
        <v>0</v>
      </c>
      <c r="H255" s="67">
        <f t="shared" si="75"/>
        <v>0</v>
      </c>
      <c r="I255" s="67">
        <f t="shared" si="75"/>
        <v>0</v>
      </c>
      <c r="J255" s="67">
        <f t="shared" si="75"/>
        <v>0</v>
      </c>
      <c r="K255" s="67">
        <f t="shared" si="75"/>
        <v>0</v>
      </c>
      <c r="L255" s="67">
        <f t="shared" si="75"/>
        <v>0</v>
      </c>
      <c r="M255" s="67">
        <f t="shared" si="75"/>
        <v>0</v>
      </c>
      <c r="N255" s="67">
        <f t="shared" si="75"/>
        <v>0</v>
      </c>
      <c r="O255" s="67">
        <f t="shared" si="75"/>
        <v>0</v>
      </c>
      <c r="P255" s="67">
        <f t="shared" si="75"/>
        <v>0</v>
      </c>
      <c r="Q255" s="67">
        <f t="shared" si="75"/>
        <v>0</v>
      </c>
      <c r="R255" s="67">
        <f t="shared" si="75"/>
        <v>0</v>
      </c>
      <c r="S255" s="67">
        <f t="shared" si="75"/>
        <v>0</v>
      </c>
      <c r="T255" s="67">
        <f t="shared" si="75"/>
        <v>0</v>
      </c>
      <c r="U255" s="67">
        <f t="shared" ref="U255:AF255" si="76">U253+U254</f>
        <v>0</v>
      </c>
      <c r="V255" s="67">
        <f t="shared" si="76"/>
        <v>0</v>
      </c>
      <c r="W255" s="67">
        <f t="shared" si="76"/>
        <v>0</v>
      </c>
      <c r="X255" s="67">
        <f t="shared" si="76"/>
        <v>0</v>
      </c>
      <c r="Y255" s="67">
        <f t="shared" si="76"/>
        <v>0</v>
      </c>
      <c r="Z255" s="67">
        <f t="shared" si="76"/>
        <v>0</v>
      </c>
      <c r="AA255" s="67">
        <f t="shared" si="76"/>
        <v>0</v>
      </c>
      <c r="AB255" s="67">
        <f t="shared" si="76"/>
        <v>0</v>
      </c>
      <c r="AC255" s="67">
        <f t="shared" si="76"/>
        <v>0</v>
      </c>
      <c r="AD255" s="67">
        <f t="shared" si="76"/>
        <v>0</v>
      </c>
      <c r="AE255" s="67">
        <f t="shared" si="76"/>
        <v>0</v>
      </c>
      <c r="AF255" s="67">
        <f t="shared" si="76"/>
        <v>0</v>
      </c>
      <c r="AG255" s="90">
        <f>SUM(F255:AF255)</f>
        <v>0</v>
      </c>
      <c r="AH255" s="28" t="str">
        <f>IF(ABS(E255-AG255)&lt;0.01,"ok","err")</f>
        <v>ok</v>
      </c>
    </row>
    <row r="256" spans="1:34" x14ac:dyDescent="0.25">
      <c r="E256" s="50"/>
    </row>
    <row r="257" spans="1:34" x14ac:dyDescent="0.25">
      <c r="A257" s="13" t="s">
        <v>4</v>
      </c>
      <c r="E257" s="50"/>
    </row>
    <row r="258" spans="1:34" x14ac:dyDescent="0.25">
      <c r="A258" s="93" t="s">
        <v>219</v>
      </c>
      <c r="C258" s="14" t="s">
        <v>304</v>
      </c>
      <c r="D258" s="14" t="s">
        <v>228</v>
      </c>
      <c r="E258" s="67">
        <f>'Func &amp; Classif'!U314</f>
        <v>0</v>
      </c>
      <c r="F258" s="67">
        <f>IF(VLOOKUP($D258,$C$5:$AU$493,3,)=0,0,(VLOOKUP($D258,$C$5:$AU$493,4,)/VLOOKUP($D258,$C$5:$AU$493,3,))*$E258)</f>
        <v>0</v>
      </c>
      <c r="G258" s="67">
        <f>IF(VLOOKUP($D258,$C$5:$AU$493,3,)=0,0,(VLOOKUP($D258,$C$5:$AU$493,5,)/VLOOKUP($D258,$C$5:$AU$493,3,))*$E258)</f>
        <v>0</v>
      </c>
      <c r="H258" s="67">
        <f>IF(VLOOKUP($D258,$C$5:$AU$493,3,)=0,0,(VLOOKUP($D258,$C$5:$AU$493,6,)/VLOOKUP($D258,$C$5:$AU$493,3,))*$E258)</f>
        <v>0</v>
      </c>
      <c r="I258" s="67">
        <f>IF(VLOOKUP($D258,$C$5:$AU$493,3,)=0,0,(VLOOKUP($D258,$C$5:$AU$493,7,)/VLOOKUP($D258,$C$5:$AU$493,3,))*$E258)</f>
        <v>0</v>
      </c>
      <c r="J258" s="67">
        <f>IF(VLOOKUP($D258,$C$5:$AU$493,3,)=0,0,(VLOOKUP($D258,$C$5:$AU$493,8,)/VLOOKUP($D258,$C$5:$AU$493,3,))*$E258)</f>
        <v>0</v>
      </c>
      <c r="K258" s="67">
        <f>IF(VLOOKUP($D258,$C$5:$AU$493,3,)=0,0,(VLOOKUP($D258,$C$5:$AU$493,9,)/VLOOKUP($D258,$C$5:$AU$493,3,))*$E258)</f>
        <v>0</v>
      </c>
      <c r="L258" s="67">
        <f>IF(VLOOKUP($D258,$C$5:$AU$493,3,)=0,0,(VLOOKUP($D258,$C$5:$AU$493,10,)/VLOOKUP($D258,$C$5:$AU$493,3,))*$E258)</f>
        <v>0</v>
      </c>
      <c r="M258" s="67">
        <f>IF(VLOOKUP($D258,$C$5:$AU$493,3,)=0,0,(VLOOKUP($D258,$C$5:$AU$493,11,)/VLOOKUP($D258,$C$5:$AU$493,3,))*$E258)</f>
        <v>0</v>
      </c>
      <c r="N258" s="67">
        <f>IF(VLOOKUP($D258,$C$5:$AU$493,3,)=0,0,(VLOOKUP($D258,$C$5:$AU$493,12,)/VLOOKUP($D258,$C$5:$AU$493,3,))*$E258)</f>
        <v>0</v>
      </c>
      <c r="O258" s="67">
        <f>IF(VLOOKUP($D258,$C$5:$AU$493,3,)=0,0,(VLOOKUP($D258,$C$5:$AU$493,13,)/VLOOKUP($D258,$C$5:$AU$493,3,))*$E258)</f>
        <v>0</v>
      </c>
      <c r="P258" s="67">
        <f>IF(VLOOKUP($D258,$C$5:$AU$493,3,)=0,0,(VLOOKUP($D258,$C$5:$AU$493,14,)/VLOOKUP($D258,$C$5:$AU$493,3,))*$E258)</f>
        <v>0</v>
      </c>
      <c r="Q258" s="67">
        <f>IF(VLOOKUP($D258,$C$5:$AU$493,3,)=0,0,(VLOOKUP($D258,$C$5:$AU$493,15,)/VLOOKUP($D258,$C$5:$AU$493,3,))*$E258)</f>
        <v>0</v>
      </c>
      <c r="R258" s="67">
        <f>IF(VLOOKUP($D258,$C$5:$AU$493,3,)=0,0,(VLOOKUP($D258,$C$5:$AU$493,16,)/VLOOKUP($D258,$C$5:$AU$493,3,))*$E258)</f>
        <v>0</v>
      </c>
      <c r="S258" s="67">
        <f>IF(VLOOKUP($D258,$C$5:$AU$493,3,)=0,0,(VLOOKUP($D258,$C$5:$AU$493,17,)/VLOOKUP($D258,$C$5:$AU$493,3,))*$E258)</f>
        <v>0</v>
      </c>
      <c r="T258" s="67">
        <f>IF(VLOOKUP($D258,$C$5:$AU$493,3,)=0,0,(VLOOKUP($D258,$C$5:$AU$493,18,)/VLOOKUP($D258,$C$5:$AU$493,3,))*$E258)</f>
        <v>0</v>
      </c>
      <c r="U258" s="67">
        <f>IF(VLOOKUP($D258,$C$5:$AU$493,3,)=0,0,(VLOOKUP($D258,$C$5:$AU$493,19,)/VLOOKUP($D258,$C$5:$AU$493,3,))*$E258)</f>
        <v>0</v>
      </c>
      <c r="V258" s="67">
        <f>IF(VLOOKUP($D258,$C$5:$AU$493,3,)=0,0,(VLOOKUP($D258,$C$5:$AU$493,20,)/VLOOKUP($D258,$C$5:$AU$493,3,))*$E258)</f>
        <v>0</v>
      </c>
      <c r="W258" s="67">
        <f>IF(VLOOKUP($D258,$C$5:$AU$493,3,)=0,0,(VLOOKUP($D258,$C$5:$AU$493,21,)/VLOOKUP($D258,$C$5:$AU$493,3,))*$E258)</f>
        <v>0</v>
      </c>
      <c r="X258" s="67">
        <f>IF(VLOOKUP($D258,$C$5:$AU$493,3,)=0,0,(VLOOKUP($D258,$C$5:$AU$493,22,)/VLOOKUP($D258,$C$5:$AU$493,3,))*$E258)</f>
        <v>0</v>
      </c>
      <c r="Y258" s="67">
        <f>IF(VLOOKUP($D258,$C$5:$AU$493,3,)=0,0,(VLOOKUP($D258,$C$5:$AU$493,23,)/VLOOKUP($D258,$C$5:$AU$493,3,))*$E258)</f>
        <v>0</v>
      </c>
      <c r="Z258" s="67">
        <f>IF(VLOOKUP($D258,$C$5:$AU$493,3,)=0,0,(VLOOKUP($D258,$C$5:$AU$493,24,)/VLOOKUP($D258,$C$5:$AU$493,3,))*$E258)</f>
        <v>0</v>
      </c>
      <c r="AA258" s="67">
        <f>IF(VLOOKUP($D258,$C$5:$AU$493,3,)=0,0,(VLOOKUP($D258,$C$5:$AU$493,25,)/VLOOKUP($D258,$C$5:$AU$493,3,))*$E258)</f>
        <v>0</v>
      </c>
      <c r="AB258" s="67">
        <f>IF(VLOOKUP($D258,$C$5:$AU$493,3,)=0,0,(VLOOKUP($D258,$C$5:$AU$493,26,)/VLOOKUP($D258,$C$5:$AU$493,3,))*$E258)</f>
        <v>0</v>
      </c>
      <c r="AC258" s="67">
        <f>IF(VLOOKUP($D258,$C$5:$AU$493,3,)=0,0,(VLOOKUP($D258,$C$5:$AU$493,27,)/VLOOKUP($D258,$C$5:$AU$493,3,))*$E258)</f>
        <v>0</v>
      </c>
      <c r="AD258" s="67">
        <f>IF(VLOOKUP($D258,$C$5:$AU$493,3,)=0,0,(VLOOKUP($D258,$C$5:$AU$493,28,)/VLOOKUP($D258,$C$5:$AU$493,3,))*$E258)</f>
        <v>0</v>
      </c>
      <c r="AE258" s="67">
        <f>IF(VLOOKUP($D258,$C$5:$AU$493,3,)=0,0,(VLOOKUP($D258,$C$5:$AU$493,29,)/VLOOKUP($D258,$C$5:$AU$493,3,))*$E258)</f>
        <v>0</v>
      </c>
      <c r="AF258" s="67">
        <f>IF(VLOOKUP($D258,$C$5:$AU$493,3,)=0,0,(VLOOKUP($D258,$C$5:$AU$493,30,)/VLOOKUP($D258,$C$5:$AU$493,3,))*$E258)</f>
        <v>0</v>
      </c>
      <c r="AG258" s="90">
        <f>SUM(F258:AF258)</f>
        <v>0</v>
      </c>
      <c r="AH258" s="28" t="str">
        <f>IF(ABS(E258-AG258)&lt;0.01,"ok","err")</f>
        <v>ok</v>
      </c>
    </row>
    <row r="259" spans="1:34" x14ac:dyDescent="0.25">
      <c r="E259" s="50"/>
    </row>
    <row r="260" spans="1:34" x14ac:dyDescent="0.25">
      <c r="A260" s="13" t="s">
        <v>5</v>
      </c>
      <c r="E260" s="50"/>
    </row>
    <row r="261" spans="1:34" x14ac:dyDescent="0.25">
      <c r="A261" s="93" t="s">
        <v>219</v>
      </c>
      <c r="C261" s="14" t="s">
        <v>305</v>
      </c>
      <c r="D261" s="14" t="s">
        <v>230</v>
      </c>
      <c r="E261" s="67">
        <f>'Func &amp; Classif'!W314</f>
        <v>0</v>
      </c>
      <c r="F261" s="67">
        <f>IF(VLOOKUP($D261,$C$5:$AU$493,3,)=0,0,(VLOOKUP($D261,$C$5:$AU$493,4,)/VLOOKUP($D261,$C$5:$AU$493,3,))*$E261)</f>
        <v>0</v>
      </c>
      <c r="G261" s="67">
        <f>IF(VLOOKUP($D261,$C$5:$AU$493,3,)=0,0,(VLOOKUP($D261,$C$5:$AU$493,5,)/VLOOKUP($D261,$C$5:$AU$493,3,))*$E261)</f>
        <v>0</v>
      </c>
      <c r="H261" s="67">
        <f>IF(VLOOKUP($D261,$C$5:$AU$493,3,)=0,0,(VLOOKUP($D261,$C$5:$AU$493,6,)/VLOOKUP($D261,$C$5:$AU$493,3,))*$E261)</f>
        <v>0</v>
      </c>
      <c r="I261" s="67">
        <f>IF(VLOOKUP($D261,$C$5:$AU$493,3,)=0,0,(VLOOKUP($D261,$C$5:$AU$493,7,)/VLOOKUP($D261,$C$5:$AU$493,3,))*$E261)</f>
        <v>0</v>
      </c>
      <c r="J261" s="67">
        <f>IF(VLOOKUP($D261,$C$5:$AU$493,3,)=0,0,(VLOOKUP($D261,$C$5:$AU$493,8,)/VLOOKUP($D261,$C$5:$AU$493,3,))*$E261)</f>
        <v>0</v>
      </c>
      <c r="K261" s="67">
        <f>IF(VLOOKUP($D261,$C$5:$AU$493,3,)=0,0,(VLOOKUP($D261,$C$5:$AU$493,9,)/VLOOKUP($D261,$C$5:$AU$493,3,))*$E261)</f>
        <v>0</v>
      </c>
      <c r="L261" s="67">
        <f>IF(VLOOKUP($D261,$C$5:$AU$493,3,)=0,0,(VLOOKUP($D261,$C$5:$AU$493,10,)/VLOOKUP($D261,$C$5:$AU$493,3,))*$E261)</f>
        <v>0</v>
      </c>
      <c r="M261" s="67">
        <f>IF(VLOOKUP($D261,$C$5:$AU$493,3,)=0,0,(VLOOKUP($D261,$C$5:$AU$493,11,)/VLOOKUP($D261,$C$5:$AU$493,3,))*$E261)</f>
        <v>0</v>
      </c>
      <c r="N261" s="67">
        <f>IF(VLOOKUP($D261,$C$5:$AU$493,3,)=0,0,(VLOOKUP($D261,$C$5:$AU$493,12,)/VLOOKUP($D261,$C$5:$AU$493,3,))*$E261)</f>
        <v>0</v>
      </c>
      <c r="O261" s="67">
        <f>IF(VLOOKUP($D261,$C$5:$AU$493,3,)=0,0,(VLOOKUP($D261,$C$5:$AU$493,13,)/VLOOKUP($D261,$C$5:$AU$493,3,))*$E261)</f>
        <v>0</v>
      </c>
      <c r="P261" s="67">
        <f>IF(VLOOKUP($D261,$C$5:$AU$493,3,)=0,0,(VLOOKUP($D261,$C$5:$AU$493,14,)/VLOOKUP($D261,$C$5:$AU$493,3,))*$E261)</f>
        <v>0</v>
      </c>
      <c r="Q261" s="67">
        <f>IF(VLOOKUP($D261,$C$5:$AU$493,3,)=0,0,(VLOOKUP($D261,$C$5:$AU$493,15,)/VLOOKUP($D261,$C$5:$AU$493,3,))*$E261)</f>
        <v>0</v>
      </c>
      <c r="R261" s="67">
        <f>IF(VLOOKUP($D261,$C$5:$AU$493,3,)=0,0,(VLOOKUP($D261,$C$5:$AU$493,16,)/VLOOKUP($D261,$C$5:$AU$493,3,))*$E261)</f>
        <v>0</v>
      </c>
      <c r="S261" s="67">
        <f>IF(VLOOKUP($D261,$C$5:$AU$493,3,)=0,0,(VLOOKUP($D261,$C$5:$AU$493,17,)/VLOOKUP($D261,$C$5:$AU$493,3,))*$E261)</f>
        <v>0</v>
      </c>
      <c r="T261" s="67">
        <f>IF(VLOOKUP($D261,$C$5:$AU$493,3,)=0,0,(VLOOKUP($D261,$C$5:$AU$493,18,)/VLOOKUP($D261,$C$5:$AU$493,3,))*$E261)</f>
        <v>0</v>
      </c>
      <c r="U261" s="67">
        <f>IF(VLOOKUP($D261,$C$5:$AU$493,3,)=0,0,(VLOOKUP($D261,$C$5:$AU$493,19,)/VLOOKUP($D261,$C$5:$AU$493,3,))*$E261)</f>
        <v>0</v>
      </c>
      <c r="V261" s="67">
        <f>IF(VLOOKUP($D261,$C$5:$AU$493,3,)=0,0,(VLOOKUP($D261,$C$5:$AU$493,20,)/VLOOKUP($D261,$C$5:$AU$493,3,))*$E261)</f>
        <v>0</v>
      </c>
      <c r="W261" s="67">
        <f>IF(VLOOKUP($D261,$C$5:$AU$493,3,)=0,0,(VLOOKUP($D261,$C$5:$AU$493,21,)/VLOOKUP($D261,$C$5:$AU$493,3,))*$E261)</f>
        <v>0</v>
      </c>
      <c r="X261" s="67">
        <f>IF(VLOOKUP($D261,$C$5:$AU$493,3,)=0,0,(VLOOKUP($D261,$C$5:$AU$493,22,)/VLOOKUP($D261,$C$5:$AU$493,3,))*$E261)</f>
        <v>0</v>
      </c>
      <c r="Y261" s="67">
        <f>IF(VLOOKUP($D261,$C$5:$AU$493,3,)=0,0,(VLOOKUP($D261,$C$5:$AU$493,23,)/VLOOKUP($D261,$C$5:$AU$493,3,))*$E261)</f>
        <v>0</v>
      </c>
      <c r="Z261" s="67">
        <f>IF(VLOOKUP($D261,$C$5:$AU$493,3,)=0,0,(VLOOKUP($D261,$C$5:$AU$493,24,)/VLOOKUP($D261,$C$5:$AU$493,3,))*$E261)</f>
        <v>0</v>
      </c>
      <c r="AA261" s="67">
        <f>IF(VLOOKUP($D261,$C$5:$AU$493,3,)=0,0,(VLOOKUP($D261,$C$5:$AU$493,25,)/VLOOKUP($D261,$C$5:$AU$493,3,))*$E261)</f>
        <v>0</v>
      </c>
      <c r="AB261" s="67">
        <f>IF(VLOOKUP($D261,$C$5:$AU$493,3,)=0,0,(VLOOKUP($D261,$C$5:$AU$493,26,)/VLOOKUP($D261,$C$5:$AU$493,3,))*$E261)</f>
        <v>0</v>
      </c>
      <c r="AC261" s="67">
        <f>IF(VLOOKUP($D261,$C$5:$AU$493,3,)=0,0,(VLOOKUP($D261,$C$5:$AU$493,27,)/VLOOKUP($D261,$C$5:$AU$493,3,))*$E261)</f>
        <v>0</v>
      </c>
      <c r="AD261" s="67">
        <f>IF(VLOOKUP($D261,$C$5:$AU$493,3,)=0,0,(VLOOKUP($D261,$C$5:$AU$493,28,)/VLOOKUP($D261,$C$5:$AU$493,3,))*$E261)</f>
        <v>0</v>
      </c>
      <c r="AE261" s="67">
        <f>IF(VLOOKUP($D261,$C$5:$AU$493,3,)=0,0,(VLOOKUP($D261,$C$5:$AU$493,29,)/VLOOKUP($D261,$C$5:$AU$493,3,))*$E261)</f>
        <v>0</v>
      </c>
      <c r="AF261" s="67">
        <f>IF(VLOOKUP($D261,$C$5:$AU$493,3,)=0,0,(VLOOKUP($D261,$C$5:$AU$493,30,)/VLOOKUP($D261,$C$5:$AU$493,3,))*$E261)</f>
        <v>0</v>
      </c>
      <c r="AG261" s="90">
        <f>SUM(F261:AF261)</f>
        <v>0</v>
      </c>
      <c r="AH261" s="28" t="str">
        <f>IF(ABS(E261-AG261)&lt;0.01,"ok","err")</f>
        <v>ok</v>
      </c>
    </row>
    <row r="262" spans="1:34" x14ac:dyDescent="0.25">
      <c r="E262" s="50"/>
    </row>
    <row r="263" spans="1:34" x14ac:dyDescent="0.25">
      <c r="A263" s="13" t="s">
        <v>544</v>
      </c>
      <c r="E263" s="50"/>
    </row>
    <row r="264" spans="1:34" x14ac:dyDescent="0.25">
      <c r="A264" s="93" t="s">
        <v>219</v>
      </c>
      <c r="C264" s="14" t="s">
        <v>306</v>
      </c>
      <c r="D264" s="14" t="s">
        <v>232</v>
      </c>
      <c r="E264" s="67">
        <f>'Func &amp; Classif'!Y314</f>
        <v>0</v>
      </c>
      <c r="F264" s="67">
        <f>IF(VLOOKUP($D264,$C$5:$AU$493,3,)=0,0,(VLOOKUP($D264,$C$5:$AU$493,4,)/VLOOKUP($D264,$C$5:$AU$493,3,))*$E264)</f>
        <v>0</v>
      </c>
      <c r="G264" s="67">
        <f>IF(VLOOKUP($D264,$C$5:$AU$493,3,)=0,0,(VLOOKUP($D264,$C$5:$AU$493,5,)/VLOOKUP($D264,$C$5:$AU$493,3,))*$E264)</f>
        <v>0</v>
      </c>
      <c r="H264" s="67">
        <f>IF(VLOOKUP($D264,$C$5:$AU$493,3,)=0,0,(VLOOKUP($D264,$C$5:$AU$493,6,)/VLOOKUP($D264,$C$5:$AU$493,3,))*$E264)</f>
        <v>0</v>
      </c>
      <c r="I264" s="67">
        <f>IF(VLOOKUP($D264,$C$5:$AU$493,3,)=0,0,(VLOOKUP($D264,$C$5:$AU$493,7,)/VLOOKUP($D264,$C$5:$AU$493,3,))*$E264)</f>
        <v>0</v>
      </c>
      <c r="J264" s="67">
        <f>IF(VLOOKUP($D264,$C$5:$AU$493,3,)=0,0,(VLOOKUP($D264,$C$5:$AU$493,8,)/VLOOKUP($D264,$C$5:$AU$493,3,))*$E264)</f>
        <v>0</v>
      </c>
      <c r="K264" s="67">
        <f>IF(VLOOKUP($D264,$C$5:$AU$493,3,)=0,0,(VLOOKUP($D264,$C$5:$AU$493,9,)/VLOOKUP($D264,$C$5:$AU$493,3,))*$E264)</f>
        <v>0</v>
      </c>
      <c r="L264" s="67">
        <f>IF(VLOOKUP($D264,$C$5:$AU$493,3,)=0,0,(VLOOKUP($D264,$C$5:$AU$493,10,)/VLOOKUP($D264,$C$5:$AU$493,3,))*$E264)</f>
        <v>0</v>
      </c>
      <c r="M264" s="67">
        <f>IF(VLOOKUP($D264,$C$5:$AU$493,3,)=0,0,(VLOOKUP($D264,$C$5:$AU$493,11,)/VLOOKUP($D264,$C$5:$AU$493,3,))*$E264)</f>
        <v>0</v>
      </c>
      <c r="N264" s="67">
        <f>IF(VLOOKUP($D264,$C$5:$AU$493,3,)=0,0,(VLOOKUP($D264,$C$5:$AU$493,12,)/VLOOKUP($D264,$C$5:$AU$493,3,))*$E264)</f>
        <v>0</v>
      </c>
      <c r="O264" s="67">
        <f>IF(VLOOKUP($D264,$C$5:$AU$493,3,)=0,0,(VLOOKUP($D264,$C$5:$AU$493,13,)/VLOOKUP($D264,$C$5:$AU$493,3,))*$E264)</f>
        <v>0</v>
      </c>
      <c r="P264" s="67">
        <f>IF(VLOOKUP($D264,$C$5:$AU$493,3,)=0,0,(VLOOKUP($D264,$C$5:$AU$493,14,)/VLOOKUP($D264,$C$5:$AU$493,3,))*$E264)</f>
        <v>0</v>
      </c>
      <c r="Q264" s="67">
        <f>IF(VLOOKUP($D264,$C$5:$AU$493,3,)=0,0,(VLOOKUP($D264,$C$5:$AU$493,15,)/VLOOKUP($D264,$C$5:$AU$493,3,))*$E264)</f>
        <v>0</v>
      </c>
      <c r="R264" s="67">
        <f>IF(VLOOKUP($D264,$C$5:$AU$493,3,)=0,0,(VLOOKUP($D264,$C$5:$AU$493,16,)/VLOOKUP($D264,$C$5:$AU$493,3,))*$E264)</f>
        <v>0</v>
      </c>
      <c r="S264" s="67">
        <f>IF(VLOOKUP($D264,$C$5:$AU$493,3,)=0,0,(VLOOKUP($D264,$C$5:$AU$493,17,)/VLOOKUP($D264,$C$5:$AU$493,3,))*$E264)</f>
        <v>0</v>
      </c>
      <c r="T264" s="67">
        <f>IF(VLOOKUP($D264,$C$5:$AU$493,3,)=0,0,(VLOOKUP($D264,$C$5:$AU$493,18,)/VLOOKUP($D264,$C$5:$AU$493,3,))*$E264)</f>
        <v>0</v>
      </c>
      <c r="U264" s="67">
        <f>IF(VLOOKUP($D264,$C$5:$AU$493,3,)=0,0,(VLOOKUP($D264,$C$5:$AU$493,19,)/VLOOKUP($D264,$C$5:$AU$493,3,))*$E264)</f>
        <v>0</v>
      </c>
      <c r="V264" s="67">
        <f>IF(VLOOKUP($D264,$C$5:$AU$493,3,)=0,0,(VLOOKUP($D264,$C$5:$AU$493,20,)/VLOOKUP($D264,$C$5:$AU$493,3,))*$E264)</f>
        <v>0</v>
      </c>
      <c r="W264" s="67">
        <f>IF(VLOOKUP($D264,$C$5:$AU$493,3,)=0,0,(VLOOKUP($D264,$C$5:$AU$493,21,)/VLOOKUP($D264,$C$5:$AU$493,3,))*$E264)</f>
        <v>0</v>
      </c>
      <c r="X264" s="67">
        <f>IF(VLOOKUP($D264,$C$5:$AU$493,3,)=0,0,(VLOOKUP($D264,$C$5:$AU$493,22,)/VLOOKUP($D264,$C$5:$AU$493,3,))*$E264)</f>
        <v>0</v>
      </c>
      <c r="Y264" s="67">
        <f>IF(VLOOKUP($D264,$C$5:$AU$493,3,)=0,0,(VLOOKUP($D264,$C$5:$AU$493,23,)/VLOOKUP($D264,$C$5:$AU$493,3,))*$E264)</f>
        <v>0</v>
      </c>
      <c r="Z264" s="67">
        <f>IF(VLOOKUP($D264,$C$5:$AU$493,3,)=0,0,(VLOOKUP($D264,$C$5:$AU$493,24,)/VLOOKUP($D264,$C$5:$AU$493,3,))*$E264)</f>
        <v>0</v>
      </c>
      <c r="AA264" s="67">
        <f>IF(VLOOKUP($D264,$C$5:$AU$493,3,)=0,0,(VLOOKUP($D264,$C$5:$AU$493,25,)/VLOOKUP($D264,$C$5:$AU$493,3,))*$E264)</f>
        <v>0</v>
      </c>
      <c r="AB264" s="67">
        <f>IF(VLOOKUP($D264,$C$5:$AU$493,3,)=0,0,(VLOOKUP($D264,$C$5:$AU$493,26,)/VLOOKUP($D264,$C$5:$AU$493,3,))*$E264)</f>
        <v>0</v>
      </c>
      <c r="AC264" s="67">
        <f>IF(VLOOKUP($D264,$C$5:$AU$493,3,)=0,0,(VLOOKUP($D264,$C$5:$AU$493,27,)/VLOOKUP($D264,$C$5:$AU$493,3,))*$E264)</f>
        <v>0</v>
      </c>
      <c r="AD264" s="67">
        <f>IF(VLOOKUP($D264,$C$5:$AU$493,3,)=0,0,(VLOOKUP($D264,$C$5:$AU$493,28,)/VLOOKUP($D264,$C$5:$AU$493,3,))*$E264)</f>
        <v>0</v>
      </c>
      <c r="AE264" s="67">
        <f>IF(VLOOKUP($D264,$C$5:$AU$493,3,)=0,0,(VLOOKUP($D264,$C$5:$AU$493,29,)/VLOOKUP($D264,$C$5:$AU$493,3,))*$E264)</f>
        <v>0</v>
      </c>
      <c r="AF264" s="67">
        <f>IF(VLOOKUP($D264,$C$5:$AU$493,3,)=0,0,(VLOOKUP($D264,$C$5:$AU$493,30,)/VLOOKUP($D264,$C$5:$AU$493,3,))*$E264)</f>
        <v>0</v>
      </c>
      <c r="AG264" s="90">
        <f>SUM(F264:AF264)</f>
        <v>0</v>
      </c>
      <c r="AH264" s="28" t="str">
        <f>IF(ABS(E264-AG264)&lt;0.01,"ok","err")</f>
        <v>ok</v>
      </c>
    </row>
    <row r="265" spans="1:34" x14ac:dyDescent="0.25">
      <c r="E265" s="50"/>
    </row>
    <row r="266" spans="1:34" x14ac:dyDescent="0.25">
      <c r="A266" s="13" t="s">
        <v>469</v>
      </c>
      <c r="E266" s="50"/>
    </row>
    <row r="267" spans="1:34" x14ac:dyDescent="0.25">
      <c r="A267" s="93" t="s">
        <v>219</v>
      </c>
      <c r="C267" s="14" t="s">
        <v>303</v>
      </c>
      <c r="D267" s="14" t="s">
        <v>233</v>
      </c>
      <c r="E267" s="67">
        <f>'Func &amp; Classif'!AA314</f>
        <v>0</v>
      </c>
      <c r="F267" s="67">
        <f>IF(VLOOKUP($D267,$C$5:$AU$493,3,)=0,0,(VLOOKUP($D267,$C$5:$AU$493,4,)/VLOOKUP($D267,$C$5:$AU$493,3,))*$E267)</f>
        <v>0</v>
      </c>
      <c r="G267" s="67">
        <f>IF(VLOOKUP($D267,$C$5:$AU$493,3,)=0,0,(VLOOKUP($D267,$C$5:$AU$493,5,)/VLOOKUP($D267,$C$5:$AU$493,3,))*$E267)</f>
        <v>0</v>
      </c>
      <c r="H267" s="67">
        <f>IF(VLOOKUP($D267,$C$5:$AU$493,3,)=0,0,(VLOOKUP($D267,$C$5:$AU$493,6,)/VLOOKUP($D267,$C$5:$AU$493,3,))*$E267)</f>
        <v>0</v>
      </c>
      <c r="I267" s="67">
        <f>IF(VLOOKUP($D267,$C$5:$AU$493,3,)=0,0,(VLOOKUP($D267,$C$5:$AU$493,7,)/VLOOKUP($D267,$C$5:$AU$493,3,))*$E267)</f>
        <v>0</v>
      </c>
      <c r="J267" s="67">
        <f>IF(VLOOKUP($D267,$C$5:$AU$493,3,)=0,0,(VLOOKUP($D267,$C$5:$AU$493,8,)/VLOOKUP($D267,$C$5:$AU$493,3,))*$E267)</f>
        <v>0</v>
      </c>
      <c r="K267" s="67">
        <f>IF(VLOOKUP($D267,$C$5:$AU$493,3,)=0,0,(VLOOKUP($D267,$C$5:$AU$493,9,)/VLOOKUP($D267,$C$5:$AU$493,3,))*$E267)</f>
        <v>0</v>
      </c>
      <c r="L267" s="67">
        <f>IF(VLOOKUP($D267,$C$5:$AU$493,3,)=0,0,(VLOOKUP($D267,$C$5:$AU$493,10,)/VLOOKUP($D267,$C$5:$AU$493,3,))*$E267)</f>
        <v>0</v>
      </c>
      <c r="M267" s="67">
        <f>IF(VLOOKUP($D267,$C$5:$AU$493,3,)=0,0,(VLOOKUP($D267,$C$5:$AU$493,11,)/VLOOKUP($D267,$C$5:$AU$493,3,))*$E267)</f>
        <v>0</v>
      </c>
      <c r="N267" s="67">
        <f>IF(VLOOKUP($D267,$C$5:$AU$493,3,)=0,0,(VLOOKUP($D267,$C$5:$AU$493,12,)/VLOOKUP($D267,$C$5:$AU$493,3,))*$E267)</f>
        <v>0</v>
      </c>
      <c r="O267" s="67">
        <f>IF(VLOOKUP($D267,$C$5:$AU$493,3,)=0,0,(VLOOKUP($D267,$C$5:$AU$493,13,)/VLOOKUP($D267,$C$5:$AU$493,3,))*$E267)</f>
        <v>0</v>
      </c>
      <c r="P267" s="67">
        <f>IF(VLOOKUP($D267,$C$5:$AU$493,3,)=0,0,(VLOOKUP($D267,$C$5:$AU$493,14,)/VLOOKUP($D267,$C$5:$AU$493,3,))*$E267)</f>
        <v>0</v>
      </c>
      <c r="Q267" s="67">
        <f>IF(VLOOKUP($D267,$C$5:$AU$493,3,)=0,0,(VLOOKUP($D267,$C$5:$AU$493,15,)/VLOOKUP($D267,$C$5:$AU$493,3,))*$E267)</f>
        <v>0</v>
      </c>
      <c r="R267" s="67">
        <f>IF(VLOOKUP($D267,$C$5:$AU$493,3,)=0,0,(VLOOKUP($D267,$C$5:$AU$493,16,)/VLOOKUP($D267,$C$5:$AU$493,3,))*$E267)</f>
        <v>0</v>
      </c>
      <c r="S267" s="67">
        <f>IF(VLOOKUP($D267,$C$5:$AU$493,3,)=0,0,(VLOOKUP($D267,$C$5:$AU$493,17,)/VLOOKUP($D267,$C$5:$AU$493,3,))*$E267)</f>
        <v>0</v>
      </c>
      <c r="T267" s="67">
        <f>IF(VLOOKUP($D267,$C$5:$AU$493,3,)=0,0,(VLOOKUP($D267,$C$5:$AU$493,18,)/VLOOKUP($D267,$C$5:$AU$493,3,))*$E267)</f>
        <v>0</v>
      </c>
      <c r="U267" s="67">
        <f>IF(VLOOKUP($D267,$C$5:$AU$493,3,)=0,0,(VLOOKUP($D267,$C$5:$AU$493,19,)/VLOOKUP($D267,$C$5:$AU$493,3,))*$E267)</f>
        <v>0</v>
      </c>
      <c r="V267" s="67">
        <f>IF(VLOOKUP($D267,$C$5:$AU$493,3,)=0,0,(VLOOKUP($D267,$C$5:$AU$493,20,)/VLOOKUP($D267,$C$5:$AU$493,3,))*$E267)</f>
        <v>0</v>
      </c>
      <c r="W267" s="67">
        <f>IF(VLOOKUP($D267,$C$5:$AU$493,3,)=0,0,(VLOOKUP($D267,$C$5:$AU$493,21,)/VLOOKUP($D267,$C$5:$AU$493,3,))*$E267)</f>
        <v>0</v>
      </c>
      <c r="X267" s="67">
        <f>IF(VLOOKUP($D267,$C$5:$AU$493,3,)=0,0,(VLOOKUP($D267,$C$5:$AU$493,22,)/VLOOKUP($D267,$C$5:$AU$493,3,))*$E267)</f>
        <v>0</v>
      </c>
      <c r="Y267" s="67">
        <f>IF(VLOOKUP($D267,$C$5:$AU$493,3,)=0,0,(VLOOKUP($D267,$C$5:$AU$493,23,)/VLOOKUP($D267,$C$5:$AU$493,3,))*$E267)</f>
        <v>0</v>
      </c>
      <c r="Z267" s="67">
        <f>IF(VLOOKUP($D267,$C$5:$AU$493,3,)=0,0,(VLOOKUP($D267,$C$5:$AU$493,24,)/VLOOKUP($D267,$C$5:$AU$493,3,))*$E267)</f>
        <v>0</v>
      </c>
      <c r="AA267" s="67">
        <f>IF(VLOOKUP($D267,$C$5:$AU$493,3,)=0,0,(VLOOKUP($D267,$C$5:$AU$493,25,)/VLOOKUP($D267,$C$5:$AU$493,3,))*$E267)</f>
        <v>0</v>
      </c>
      <c r="AB267" s="67">
        <f>IF(VLOOKUP($D267,$C$5:$AU$493,3,)=0,0,(VLOOKUP($D267,$C$5:$AU$493,26,)/VLOOKUP($D267,$C$5:$AU$493,3,))*$E267)</f>
        <v>0</v>
      </c>
      <c r="AC267" s="67">
        <f>IF(VLOOKUP($D267,$C$5:$AU$493,3,)=0,0,(VLOOKUP($D267,$C$5:$AU$493,27,)/VLOOKUP($D267,$C$5:$AU$493,3,))*$E267)</f>
        <v>0</v>
      </c>
      <c r="AD267" s="67">
        <f>IF(VLOOKUP($D267,$C$5:$AU$493,3,)=0,0,(VLOOKUP($D267,$C$5:$AU$493,28,)/VLOOKUP($D267,$C$5:$AU$493,3,))*$E267)</f>
        <v>0</v>
      </c>
      <c r="AE267" s="67">
        <f>IF(VLOOKUP($D267,$C$5:$AU$493,3,)=0,0,(VLOOKUP($D267,$C$5:$AU$493,29,)/VLOOKUP($D267,$C$5:$AU$493,3,))*$E267)</f>
        <v>0</v>
      </c>
      <c r="AF267" s="67">
        <f>IF(VLOOKUP($D267,$C$5:$AU$493,3,)=0,0,(VLOOKUP($D267,$C$5:$AU$493,30,)/VLOOKUP($D267,$C$5:$AU$493,3,))*$E267)</f>
        <v>0</v>
      </c>
      <c r="AG267" s="90">
        <f>SUM(F267:AF267)</f>
        <v>0</v>
      </c>
      <c r="AH267" s="28" t="str">
        <f>IF(ABS(E267-AG267)&lt;0.01,"ok","err")</f>
        <v>ok</v>
      </c>
    </row>
    <row r="268" spans="1:34" x14ac:dyDescent="0.25">
      <c r="E268" s="50"/>
    </row>
    <row r="269" spans="1:34" x14ac:dyDescent="0.25">
      <c r="A269" s="14" t="s">
        <v>0</v>
      </c>
      <c r="C269" s="14" t="s">
        <v>307</v>
      </c>
      <c r="E269" s="67">
        <f>E239+E242+E245+E250+E255+E258+E261+E264+E267</f>
        <v>0</v>
      </c>
      <c r="F269" s="67">
        <f t="shared" ref="F269:R269" si="77">F239+F242+F245+F250+F255+F258+F261+F264+F267</f>
        <v>0</v>
      </c>
      <c r="G269" s="67">
        <f t="shared" si="77"/>
        <v>0</v>
      </c>
      <c r="H269" s="67">
        <f t="shared" si="77"/>
        <v>0</v>
      </c>
      <c r="I269" s="67">
        <f t="shared" si="77"/>
        <v>0</v>
      </c>
      <c r="J269" s="67">
        <f t="shared" si="77"/>
        <v>0</v>
      </c>
      <c r="K269" s="67">
        <f t="shared" si="77"/>
        <v>0</v>
      </c>
      <c r="L269" s="67">
        <f t="shared" si="77"/>
        <v>0</v>
      </c>
      <c r="M269" s="67">
        <f t="shared" si="77"/>
        <v>0</v>
      </c>
      <c r="N269" s="67">
        <f t="shared" si="77"/>
        <v>0</v>
      </c>
      <c r="O269" s="67">
        <f t="shared" si="77"/>
        <v>0</v>
      </c>
      <c r="P269" s="67">
        <f t="shared" si="77"/>
        <v>0</v>
      </c>
      <c r="Q269" s="67">
        <f t="shared" si="77"/>
        <v>0</v>
      </c>
      <c r="R269" s="67">
        <f t="shared" si="77"/>
        <v>0</v>
      </c>
      <c r="S269" s="67">
        <f t="shared" ref="S269:AF269" si="78">S239+S245+S250+S255+S258+S261+S264+S267</f>
        <v>0</v>
      </c>
      <c r="T269" s="67">
        <f t="shared" si="78"/>
        <v>0</v>
      </c>
      <c r="U269" s="67">
        <f t="shared" si="78"/>
        <v>0</v>
      </c>
      <c r="V269" s="67">
        <f t="shared" si="78"/>
        <v>0</v>
      </c>
      <c r="W269" s="67">
        <f t="shared" si="78"/>
        <v>0</v>
      </c>
      <c r="X269" s="67">
        <f t="shared" si="78"/>
        <v>0</v>
      </c>
      <c r="Y269" s="67">
        <f t="shared" si="78"/>
        <v>0</v>
      </c>
      <c r="Z269" s="67">
        <f t="shared" si="78"/>
        <v>0</v>
      </c>
      <c r="AA269" s="67">
        <f t="shared" si="78"/>
        <v>0</v>
      </c>
      <c r="AB269" s="67">
        <f t="shared" si="78"/>
        <v>0</v>
      </c>
      <c r="AC269" s="67">
        <f t="shared" si="78"/>
        <v>0</v>
      </c>
      <c r="AD269" s="67">
        <f t="shared" si="78"/>
        <v>0</v>
      </c>
      <c r="AE269" s="67">
        <f t="shared" si="78"/>
        <v>0</v>
      </c>
      <c r="AF269" s="67">
        <f t="shared" si="78"/>
        <v>0</v>
      </c>
      <c r="AG269" s="90">
        <f>SUM(F269:AF269)</f>
        <v>0</v>
      </c>
      <c r="AH269" s="28" t="str">
        <f>IF(ABS(E269-AG269)&lt;0.01,"ok","err")</f>
        <v>ok</v>
      </c>
    </row>
    <row r="272" spans="1:34" x14ac:dyDescent="0.25">
      <c r="A272" s="26" t="s">
        <v>308</v>
      </c>
    </row>
    <row r="274" spans="1:34" x14ac:dyDescent="0.25">
      <c r="A274" s="13" t="s">
        <v>890</v>
      </c>
    </row>
    <row r="275" spans="1:34" x14ac:dyDescent="0.25">
      <c r="A275" s="93" t="s">
        <v>207</v>
      </c>
      <c r="C275" s="14" t="s">
        <v>309</v>
      </c>
      <c r="D275" s="14" t="s">
        <v>656</v>
      </c>
      <c r="E275" s="67">
        <f>'Func &amp; Classif'!H316</f>
        <v>0</v>
      </c>
      <c r="F275" s="67">
        <f>IF(VLOOKUP($D275,$C$5:$AU$493,3,)=0,0,(VLOOKUP($D275,$C$5:$AU$493,4,)/VLOOKUP($D275,$C$5:$AU$493,3,))*$E275)</f>
        <v>0</v>
      </c>
      <c r="G275" s="67">
        <f>IF(VLOOKUP($D275,$C$5:$AU$493,3,)=0,0,(VLOOKUP($D275,$C$5:$AU$493,5,)/VLOOKUP($D275,$C$5:$AU$493,3,))*$E275)</f>
        <v>0</v>
      </c>
      <c r="H275" s="67">
        <f>IF(VLOOKUP($D275,$C$5:$AU$493,3,)=0,0,(VLOOKUP($D275,$C$5:$AU$493,6,)/VLOOKUP($D275,$C$5:$AU$493,3,))*$E275)</f>
        <v>0</v>
      </c>
      <c r="I275" s="67">
        <f>IF(VLOOKUP($D275,$C$5:$AU$493,3,)=0,0,(VLOOKUP($D275,$C$5:$AU$493,7,)/VLOOKUP($D275,$C$5:$AU$493,3,))*$E275)</f>
        <v>0</v>
      </c>
      <c r="J275" s="67">
        <f>IF(VLOOKUP($D275,$C$5:$AU$493,3,)=0,0,(VLOOKUP($D275,$C$5:$AU$493,8,)/VLOOKUP($D275,$C$5:$AU$493,3,))*$E275)</f>
        <v>0</v>
      </c>
      <c r="K275" s="67">
        <f>IF(VLOOKUP($D275,$C$5:$AU$493,3,)=0,0,(VLOOKUP($D275,$C$5:$AU$493,9,)/VLOOKUP($D275,$C$5:$AU$493,3,))*$E275)</f>
        <v>0</v>
      </c>
      <c r="L275" s="67">
        <f>IF(VLOOKUP($D275,$C$5:$AU$493,3,)=0,0,(VLOOKUP($D275,$C$5:$AU$493,10,)/VLOOKUP($D275,$C$5:$AU$493,3,))*$E275)</f>
        <v>0</v>
      </c>
      <c r="M275" s="67">
        <f>IF(VLOOKUP($D275,$C$5:$AU$493,3,)=0,0,(VLOOKUP($D275,$C$5:$AU$493,11,)/VLOOKUP($D275,$C$5:$AU$493,3,))*$E275)</f>
        <v>0</v>
      </c>
      <c r="N275" s="67">
        <f>IF(VLOOKUP($D275,$C$5:$AU$493,3,)=0,0,(VLOOKUP($D275,$C$5:$AU$493,12,)/VLOOKUP($D275,$C$5:$AU$493,3,))*$E275)</f>
        <v>0</v>
      </c>
      <c r="O275" s="67">
        <f>IF(VLOOKUP($D275,$C$5:$AU$493,3,)=0,0,(VLOOKUP($D275,$C$5:$AU$493,13,)/VLOOKUP($D275,$C$5:$AU$493,3,))*$E275)</f>
        <v>0</v>
      </c>
      <c r="P275" s="67">
        <f>IF(VLOOKUP($D275,$C$5:$AU$493,3,)=0,0,(VLOOKUP($D275,$C$5:$AU$493,14,)/VLOOKUP($D275,$C$5:$AU$493,3,))*$E275)</f>
        <v>0</v>
      </c>
      <c r="Q275" s="67">
        <f>IF(VLOOKUP($D275,$C$5:$AU$493,3,)=0,0,(VLOOKUP($D275,$C$5:$AU$493,15,)/VLOOKUP($D275,$C$5:$AU$493,3,))*$E275)</f>
        <v>0</v>
      </c>
      <c r="R275" s="67">
        <f>IF(VLOOKUP($D275,$C$5:$AU$493,3,)=0,0,(VLOOKUP($D275,$C$5:$AU$493,16,)/VLOOKUP($D275,$C$5:$AU$493,3,))*$E275)</f>
        <v>0</v>
      </c>
      <c r="S275" s="67">
        <f>IF(VLOOKUP($D275,$C$5:$AU$493,3,)=0,0,(VLOOKUP($D275,$C$5:$AU$493,17,)/VLOOKUP($D275,$C$5:$AU$493,3,))*$E275)</f>
        <v>0</v>
      </c>
      <c r="T275" s="67">
        <f>IF(VLOOKUP($D275,$C$5:$AU$493,3,)=0,0,(VLOOKUP($D275,$C$5:$AU$493,18,)/VLOOKUP($D275,$C$5:$AU$493,3,))*$E275)</f>
        <v>0</v>
      </c>
      <c r="U275" s="67">
        <f>IF(VLOOKUP($D275,$C$5:$AU$493,3,)=0,0,(VLOOKUP($D275,$C$5:$AU$493,19,)/VLOOKUP($D275,$C$5:$AU$493,3,))*$E275)</f>
        <v>0</v>
      </c>
      <c r="V275" s="67">
        <f>IF(VLOOKUP($D275,$C$5:$AU$493,3,)=0,0,(VLOOKUP($D275,$C$5:$AU$493,20,)/VLOOKUP($D275,$C$5:$AU$493,3,))*$E275)</f>
        <v>0</v>
      </c>
      <c r="W275" s="67">
        <f>IF(VLOOKUP($D275,$C$5:$AU$493,3,)=0,0,(VLOOKUP($D275,$C$5:$AU$493,21,)/VLOOKUP($D275,$C$5:$AU$493,3,))*$E275)</f>
        <v>0</v>
      </c>
      <c r="X275" s="67">
        <f>IF(VLOOKUP($D275,$C$5:$AU$493,3,)=0,0,(VLOOKUP($D275,$C$5:$AU$493,22,)/VLOOKUP($D275,$C$5:$AU$493,3,))*$E275)</f>
        <v>0</v>
      </c>
      <c r="Y275" s="67">
        <f>IF(VLOOKUP($D275,$C$5:$AU$493,3,)=0,0,(VLOOKUP($D275,$C$5:$AU$493,23,)/VLOOKUP($D275,$C$5:$AU$493,3,))*$E275)</f>
        <v>0</v>
      </c>
      <c r="Z275" s="67">
        <f>IF(VLOOKUP($D275,$C$5:$AU$493,3,)=0,0,(VLOOKUP($D275,$C$5:$AU$493,24,)/VLOOKUP($D275,$C$5:$AU$493,3,))*$E275)</f>
        <v>0</v>
      </c>
      <c r="AA275" s="67">
        <f>IF(VLOOKUP($D275,$C$5:$AU$493,3,)=0,0,(VLOOKUP($D275,$C$5:$AU$493,25,)/VLOOKUP($D275,$C$5:$AU$493,3,))*$E275)</f>
        <v>0</v>
      </c>
      <c r="AB275" s="67">
        <f>IF(VLOOKUP($D275,$C$5:$AU$493,3,)=0,0,(VLOOKUP($D275,$C$5:$AU$493,26,)/VLOOKUP($D275,$C$5:$AU$493,3,))*$E275)</f>
        <v>0</v>
      </c>
      <c r="AC275" s="67">
        <f>IF(VLOOKUP($D275,$C$5:$AU$493,3,)=0,0,(VLOOKUP($D275,$C$5:$AU$493,27,)/VLOOKUP($D275,$C$5:$AU$493,3,))*$E275)</f>
        <v>0</v>
      </c>
      <c r="AD275" s="67">
        <f>IF(VLOOKUP($D275,$C$5:$AU$493,3,)=0,0,(VLOOKUP($D275,$C$5:$AU$493,28,)/VLOOKUP($D275,$C$5:$AU$493,3,))*$E275)</f>
        <v>0</v>
      </c>
      <c r="AE275" s="67">
        <f>IF(VLOOKUP($D275,$C$5:$AU$493,3,)=0,0,(VLOOKUP($D275,$C$5:$AU$493,29,)/VLOOKUP($D275,$C$5:$AU$493,3,))*$E275)</f>
        <v>0</v>
      </c>
      <c r="AF275" s="67">
        <f>IF(VLOOKUP($D275,$C$5:$AU$493,3,)=0,0,(VLOOKUP($D275,$C$5:$AU$493,30,)/VLOOKUP($D275,$C$5:$AU$493,3,))*$E275)</f>
        <v>0</v>
      </c>
      <c r="AG275" s="90">
        <f>SUM(F275:AF275)</f>
        <v>0</v>
      </c>
      <c r="AH275" s="28" t="str">
        <f>IF(ABS(E275-AG275)&lt;0.01,"ok","err")</f>
        <v>ok</v>
      </c>
    </row>
    <row r="276" spans="1:34" x14ac:dyDescent="0.25">
      <c r="A276" s="93" t="s">
        <v>210</v>
      </c>
      <c r="C276" s="14" t="s">
        <v>310</v>
      </c>
      <c r="D276" s="14" t="s">
        <v>665</v>
      </c>
      <c r="E276" s="50">
        <f>'Func &amp; Classif'!I316</f>
        <v>0</v>
      </c>
      <c r="F276" s="67">
        <f>IF(VLOOKUP($D276,$C$5:$AU$493,3,)=0,0,(VLOOKUP($D276,$C$5:$AU$493,4,)/VLOOKUP($D276,$C$5:$AU$493,3,))*$E276)</f>
        <v>0</v>
      </c>
      <c r="G276" s="67">
        <f>IF(VLOOKUP($D276,$C$5:$AU$493,3,)=0,0,(VLOOKUP($D276,$C$5:$AU$493,5,)/VLOOKUP($D276,$C$5:$AU$493,3,))*$E276)</f>
        <v>0</v>
      </c>
      <c r="H276" s="67">
        <f>IF(VLOOKUP($D276,$C$5:$AU$493,3,)=0,0,(VLOOKUP($D276,$C$5:$AU$493,6,)/VLOOKUP($D276,$C$5:$AU$493,3,))*$E276)</f>
        <v>0</v>
      </c>
      <c r="I276" s="67">
        <f>IF(VLOOKUP($D276,$C$5:$AU$493,3,)=0,0,(VLOOKUP($D276,$C$5:$AU$493,7,)/VLOOKUP($D276,$C$5:$AU$493,3,))*$E276)</f>
        <v>0</v>
      </c>
      <c r="J276" s="67">
        <f>IF(VLOOKUP($D276,$C$5:$AU$493,3,)=0,0,(VLOOKUP($D276,$C$5:$AU$493,8,)/VLOOKUP($D276,$C$5:$AU$493,3,))*$E276)</f>
        <v>0</v>
      </c>
      <c r="K276" s="67">
        <f>IF(VLOOKUP($D276,$C$5:$AU$493,3,)=0,0,(VLOOKUP($D276,$C$5:$AU$493,9,)/VLOOKUP($D276,$C$5:$AU$493,3,))*$E276)</f>
        <v>0</v>
      </c>
      <c r="L276" s="67">
        <f>IF(VLOOKUP($D276,$C$5:$AU$493,3,)=0,0,(VLOOKUP($D276,$C$5:$AU$493,10,)/VLOOKUP($D276,$C$5:$AU$493,3,))*$E276)</f>
        <v>0</v>
      </c>
      <c r="M276" s="67">
        <f>IF(VLOOKUP($D276,$C$5:$AU$493,3,)=0,0,(VLOOKUP($D276,$C$5:$AU$493,11,)/VLOOKUP($D276,$C$5:$AU$493,3,))*$E276)</f>
        <v>0</v>
      </c>
      <c r="N276" s="67">
        <f>IF(VLOOKUP($D276,$C$5:$AU$493,3,)=0,0,(VLOOKUP($D276,$C$5:$AU$493,12,)/VLOOKUP($D276,$C$5:$AU$493,3,))*$E276)</f>
        <v>0</v>
      </c>
      <c r="O276" s="67">
        <f>IF(VLOOKUP($D276,$C$5:$AU$493,3,)=0,0,(VLOOKUP($D276,$C$5:$AU$493,13,)/VLOOKUP($D276,$C$5:$AU$493,3,))*$E276)</f>
        <v>0</v>
      </c>
      <c r="P276" s="67">
        <f>IF(VLOOKUP($D276,$C$5:$AU$493,3,)=0,0,(VLOOKUP($D276,$C$5:$AU$493,14,)/VLOOKUP($D276,$C$5:$AU$493,3,))*$E276)</f>
        <v>0</v>
      </c>
      <c r="Q276" s="67">
        <f>IF(VLOOKUP($D276,$C$5:$AU$493,3,)=0,0,(VLOOKUP($D276,$C$5:$AU$493,15,)/VLOOKUP($D276,$C$5:$AU$493,3,))*$E276)</f>
        <v>0</v>
      </c>
      <c r="R276" s="67">
        <f>IF(VLOOKUP($D276,$C$5:$AU$493,3,)=0,0,(VLOOKUP($D276,$C$5:$AU$493,16,)/VLOOKUP($D276,$C$5:$AU$493,3,))*$E276)</f>
        <v>0</v>
      </c>
      <c r="S276" s="67">
        <f>IF(VLOOKUP($D276,$C$5:$AU$493,3,)=0,0,(VLOOKUP($D276,$C$5:$AU$493,17,)/VLOOKUP($D276,$C$5:$AU$493,3,))*$E276)</f>
        <v>0</v>
      </c>
      <c r="T276" s="67">
        <f>IF(VLOOKUP($D276,$C$5:$AU$493,3,)=0,0,(VLOOKUP($D276,$C$5:$AU$493,18,)/VLOOKUP($D276,$C$5:$AU$493,3,))*$E276)</f>
        <v>0</v>
      </c>
      <c r="U276" s="67">
        <f>IF(VLOOKUP($D276,$C$5:$AU$493,3,)=0,0,(VLOOKUP($D276,$C$5:$AU$493,19,)/VLOOKUP($D276,$C$5:$AU$493,3,))*$E276)</f>
        <v>0</v>
      </c>
      <c r="V276" s="67">
        <f>IF(VLOOKUP($D276,$C$5:$AU$493,3,)=0,0,(VLOOKUP($D276,$C$5:$AU$493,20,)/VLOOKUP($D276,$C$5:$AU$493,3,))*$E276)</f>
        <v>0</v>
      </c>
      <c r="W276" s="67">
        <f>IF(VLOOKUP($D276,$C$5:$AU$493,3,)=0,0,(VLOOKUP($D276,$C$5:$AU$493,21,)/VLOOKUP($D276,$C$5:$AU$493,3,))*$E276)</f>
        <v>0</v>
      </c>
      <c r="X276" s="67">
        <f>IF(VLOOKUP($D276,$C$5:$AU$493,3,)=0,0,(VLOOKUP($D276,$C$5:$AU$493,22,)/VLOOKUP($D276,$C$5:$AU$493,3,))*$E276)</f>
        <v>0</v>
      </c>
      <c r="Y276" s="67">
        <f>IF(VLOOKUP($D276,$C$5:$AU$493,3,)=0,0,(VLOOKUP($D276,$C$5:$AU$493,23,)/VLOOKUP($D276,$C$5:$AU$493,3,))*$E276)</f>
        <v>0</v>
      </c>
      <c r="Z276" s="67">
        <f>IF(VLOOKUP($D276,$C$5:$AU$493,3,)=0,0,(VLOOKUP($D276,$C$5:$AU$493,24,)/VLOOKUP($D276,$C$5:$AU$493,3,))*$E276)</f>
        <v>0</v>
      </c>
      <c r="AA276" s="67">
        <f>IF(VLOOKUP($D276,$C$5:$AU$493,3,)=0,0,(VLOOKUP($D276,$C$5:$AU$493,25,)/VLOOKUP($D276,$C$5:$AU$493,3,))*$E276)</f>
        <v>0</v>
      </c>
      <c r="AB276" s="67">
        <f>IF(VLOOKUP($D276,$C$5:$AU$493,3,)=0,0,(VLOOKUP($D276,$C$5:$AU$493,26,)/VLOOKUP($D276,$C$5:$AU$493,3,))*$E276)</f>
        <v>0</v>
      </c>
      <c r="AC276" s="67">
        <f>IF(VLOOKUP($D276,$C$5:$AU$493,3,)=0,0,(VLOOKUP($D276,$C$5:$AU$493,27,)/VLOOKUP($D276,$C$5:$AU$493,3,))*$E276)</f>
        <v>0</v>
      </c>
      <c r="AD276" s="67">
        <f>IF(VLOOKUP($D276,$C$5:$AU$493,3,)=0,0,(VLOOKUP($D276,$C$5:$AU$493,28,)/VLOOKUP($D276,$C$5:$AU$493,3,))*$E276)</f>
        <v>0</v>
      </c>
      <c r="AE276" s="67">
        <f>IF(VLOOKUP($D276,$C$5:$AU$493,3,)=0,0,(VLOOKUP($D276,$C$5:$AU$493,29,)/VLOOKUP($D276,$C$5:$AU$493,3,))*$E276)</f>
        <v>0</v>
      </c>
      <c r="AF276" s="67">
        <f>IF(VLOOKUP($D276,$C$5:$AU$493,3,)=0,0,(VLOOKUP($D276,$C$5:$AU$493,30,)/VLOOKUP($D276,$C$5:$AU$493,3,))*$E276)</f>
        <v>0</v>
      </c>
      <c r="AG276" s="90">
        <f>SUM(F276:AF276)</f>
        <v>0</v>
      </c>
      <c r="AH276" s="28" t="str">
        <f>IF(ABS(E276-AG276)&lt;0.01,"ok","err")</f>
        <v>ok</v>
      </c>
    </row>
    <row r="277" spans="1:34" x14ac:dyDescent="0.25">
      <c r="A277" s="14" t="s">
        <v>213</v>
      </c>
      <c r="C277" s="14" t="s">
        <v>311</v>
      </c>
      <c r="E277" s="50">
        <f t="shared" ref="E277:T277" si="79">E275+E276</f>
        <v>0</v>
      </c>
      <c r="F277" s="67">
        <f t="shared" si="79"/>
        <v>0</v>
      </c>
      <c r="G277" s="67">
        <f t="shared" si="79"/>
        <v>0</v>
      </c>
      <c r="H277" s="67">
        <f t="shared" si="79"/>
        <v>0</v>
      </c>
      <c r="I277" s="67">
        <f t="shared" si="79"/>
        <v>0</v>
      </c>
      <c r="J277" s="67">
        <f t="shared" si="79"/>
        <v>0</v>
      </c>
      <c r="K277" s="67">
        <f t="shared" si="79"/>
        <v>0</v>
      </c>
      <c r="L277" s="67">
        <f t="shared" si="79"/>
        <v>0</v>
      </c>
      <c r="M277" s="67">
        <f t="shared" si="79"/>
        <v>0</v>
      </c>
      <c r="N277" s="67">
        <f t="shared" si="79"/>
        <v>0</v>
      </c>
      <c r="O277" s="67">
        <f t="shared" si="79"/>
        <v>0</v>
      </c>
      <c r="P277" s="67">
        <f t="shared" si="79"/>
        <v>0</v>
      </c>
      <c r="Q277" s="67">
        <f t="shared" si="79"/>
        <v>0</v>
      </c>
      <c r="R277" s="67">
        <f t="shared" si="79"/>
        <v>0</v>
      </c>
      <c r="S277" s="67">
        <f t="shared" si="79"/>
        <v>0</v>
      </c>
      <c r="T277" s="67">
        <f t="shared" si="79"/>
        <v>0</v>
      </c>
      <c r="U277" s="67">
        <f t="shared" ref="U277:AF277" si="80">U275+U276</f>
        <v>0</v>
      </c>
      <c r="V277" s="67">
        <f t="shared" si="80"/>
        <v>0</v>
      </c>
      <c r="W277" s="67">
        <f t="shared" si="80"/>
        <v>0</v>
      </c>
      <c r="X277" s="67">
        <f t="shared" si="80"/>
        <v>0</v>
      </c>
      <c r="Y277" s="67">
        <f t="shared" si="80"/>
        <v>0</v>
      </c>
      <c r="Z277" s="67">
        <f t="shared" si="80"/>
        <v>0</v>
      </c>
      <c r="AA277" s="67">
        <f t="shared" si="80"/>
        <v>0</v>
      </c>
      <c r="AB277" s="67">
        <f t="shared" si="80"/>
        <v>0</v>
      </c>
      <c r="AC277" s="67">
        <f t="shared" si="80"/>
        <v>0</v>
      </c>
      <c r="AD277" s="67">
        <f t="shared" si="80"/>
        <v>0</v>
      </c>
      <c r="AE277" s="67">
        <f t="shared" si="80"/>
        <v>0</v>
      </c>
      <c r="AF277" s="67">
        <f t="shared" si="80"/>
        <v>0</v>
      </c>
      <c r="AG277" s="90">
        <f>SUM(F277:AF277)</f>
        <v>0</v>
      </c>
      <c r="AH277" s="28" t="str">
        <f>IF(ABS(E277-AG277)&lt;0.01,"ok","err")</f>
        <v>ok</v>
      </c>
    </row>
    <row r="278" spans="1:34" x14ac:dyDescent="0.25">
      <c r="E278" s="50"/>
      <c r="F278" s="50"/>
    </row>
    <row r="279" spans="1:34" x14ac:dyDescent="0.25">
      <c r="A279" s="13" t="s">
        <v>348</v>
      </c>
      <c r="E279" s="50"/>
      <c r="F279" s="50"/>
    </row>
    <row r="280" spans="1:34" x14ac:dyDescent="0.25">
      <c r="A280" s="93" t="s">
        <v>207</v>
      </c>
      <c r="C280" s="14" t="s">
        <v>886</v>
      </c>
      <c r="D280" s="14" t="s">
        <v>624</v>
      </c>
      <c r="E280" s="67">
        <f>'Func &amp; Classif'!K316</f>
        <v>0</v>
      </c>
      <c r="F280" s="67">
        <f>IF(VLOOKUP($D280,$C$5:$AU$493,3,)=0,0,(VLOOKUP($D280,$C$5:$AU$493,4,)/VLOOKUP($D280,$C$5:$AU$493,3,))*$E280)</f>
        <v>0</v>
      </c>
      <c r="G280" s="67">
        <f>IF(VLOOKUP($D280,$C$5:$AU$493,3,)=0,0,(VLOOKUP($D280,$C$5:$AU$493,5,)/VLOOKUP($D280,$C$5:$AU$493,3,))*$E280)</f>
        <v>0</v>
      </c>
      <c r="H280" s="67">
        <f>IF(VLOOKUP($D280,$C$5:$AU$493,3,)=0,0,(VLOOKUP($D280,$C$5:$AU$493,6,)/VLOOKUP($D280,$C$5:$AU$493,3,))*$E280)</f>
        <v>0</v>
      </c>
      <c r="I280" s="67">
        <f>IF(VLOOKUP($D280,$C$5:$AU$493,3,)=0,0,(VLOOKUP($D280,$C$5:$AU$493,7,)/VLOOKUP($D280,$C$5:$AU$493,3,))*$E280)</f>
        <v>0</v>
      </c>
      <c r="J280" s="67">
        <f>IF(VLOOKUP($D280,$C$5:$AU$493,3,)=0,0,(VLOOKUP($D280,$C$5:$AU$493,8,)/VLOOKUP($D280,$C$5:$AU$493,3,))*$E280)</f>
        <v>0</v>
      </c>
      <c r="K280" s="67">
        <f>IF(VLOOKUP($D280,$C$5:$AU$493,3,)=0,0,(VLOOKUP($D280,$C$5:$AU$493,9,)/VLOOKUP($D280,$C$5:$AU$493,3,))*$E280)</f>
        <v>0</v>
      </c>
      <c r="L280" s="67">
        <f>IF(VLOOKUP($D280,$C$5:$AU$493,3,)=0,0,(VLOOKUP($D280,$C$5:$AU$493,10,)/VLOOKUP($D280,$C$5:$AU$493,3,))*$E280)</f>
        <v>0</v>
      </c>
      <c r="M280" s="67">
        <f>IF(VLOOKUP($D280,$C$5:$AU$493,3,)=0,0,(VLOOKUP($D280,$C$5:$AU$493,11,)/VLOOKUP($D280,$C$5:$AU$493,3,))*$E280)</f>
        <v>0</v>
      </c>
      <c r="N280" s="67">
        <f>IF(VLOOKUP($D280,$C$5:$AU$493,3,)=0,0,(VLOOKUP($D280,$C$5:$AU$493,12,)/VLOOKUP($D280,$C$5:$AU$493,3,))*$E280)</f>
        <v>0</v>
      </c>
      <c r="O280" s="67">
        <f>IF(VLOOKUP($D280,$C$5:$AU$493,3,)=0,0,(VLOOKUP($D280,$C$5:$AU$493,13,)/VLOOKUP($D280,$C$5:$AU$493,3,))*$E280)</f>
        <v>0</v>
      </c>
      <c r="P280" s="67">
        <f>IF(VLOOKUP($D280,$C$5:$AU$493,3,)=0,0,(VLOOKUP($D280,$C$5:$AU$493,14,)/VLOOKUP($D280,$C$5:$AU$493,3,))*$E280)</f>
        <v>0</v>
      </c>
      <c r="Q280" s="67">
        <f>IF(VLOOKUP($D280,$C$5:$AU$493,3,)=0,0,(VLOOKUP($D280,$C$5:$AU$493,15,)/VLOOKUP($D280,$C$5:$AU$493,3,))*$E280)</f>
        <v>0</v>
      </c>
      <c r="R280" s="67">
        <f>IF(VLOOKUP($D280,$C$5:$AU$493,3,)=0,0,(VLOOKUP($D280,$C$5:$AU$493,16,)/VLOOKUP($D280,$C$5:$AU$493,3,))*$E280)</f>
        <v>0</v>
      </c>
      <c r="S280" s="67">
        <f>IF(VLOOKUP($D280,$C$5:$AU$493,3,)=0,0,(VLOOKUP($D280,$C$5:$AU$493,17,)/VLOOKUP($D280,$C$5:$AU$493,3,))*$E280)</f>
        <v>0</v>
      </c>
      <c r="T280" s="67">
        <f>IF(VLOOKUP($D280,$C$5:$AU$493,3,)=0,0,(VLOOKUP($D280,$C$5:$AU$493,18,)/VLOOKUP($D280,$C$5:$AU$493,3,))*$E280)</f>
        <v>0</v>
      </c>
      <c r="U280" s="67">
        <f>IF(VLOOKUP($D280,$C$5:$AU$493,3,)=0,0,(VLOOKUP($D280,$C$5:$AU$493,19,)/VLOOKUP($D280,$C$5:$AU$493,3,))*$E280)</f>
        <v>0</v>
      </c>
      <c r="V280" s="67">
        <f>IF(VLOOKUP($D280,$C$5:$AU$493,3,)=0,0,(VLOOKUP($D280,$C$5:$AU$493,20,)/VLOOKUP($D280,$C$5:$AU$493,3,))*$E280)</f>
        <v>0</v>
      </c>
      <c r="W280" s="67">
        <f>IF(VLOOKUP($D280,$C$5:$AU$493,3,)=0,0,(VLOOKUP($D280,$C$5:$AU$493,21,)/VLOOKUP($D280,$C$5:$AU$493,3,))*$E280)</f>
        <v>0</v>
      </c>
      <c r="X280" s="67">
        <f>IF(VLOOKUP($D280,$C$5:$AU$493,3,)=0,0,(VLOOKUP($D280,$C$5:$AU$493,22,)/VLOOKUP($D280,$C$5:$AU$493,3,))*$E280)</f>
        <v>0</v>
      </c>
      <c r="Y280" s="67">
        <f>IF(VLOOKUP($D280,$C$5:$AU$493,3,)=0,0,(VLOOKUP($D280,$C$5:$AU$493,23,)/VLOOKUP($D280,$C$5:$AU$493,3,))*$E280)</f>
        <v>0</v>
      </c>
      <c r="Z280" s="67">
        <f>IF(VLOOKUP($D280,$C$5:$AU$493,3,)=0,0,(VLOOKUP($D280,$C$5:$AU$493,24,)/VLOOKUP($D280,$C$5:$AU$493,3,))*$E280)</f>
        <v>0</v>
      </c>
      <c r="AA280" s="67">
        <f>IF(VLOOKUP($D280,$C$5:$AU$493,3,)=0,0,(VLOOKUP($D280,$C$5:$AU$493,25,)/VLOOKUP($D280,$C$5:$AU$493,3,))*$E280)</f>
        <v>0</v>
      </c>
      <c r="AB280" s="67">
        <f>IF(VLOOKUP($D280,$C$5:$AU$493,3,)=0,0,(VLOOKUP($D280,$C$5:$AU$493,26,)/VLOOKUP($D280,$C$5:$AU$493,3,))*$E280)</f>
        <v>0</v>
      </c>
      <c r="AC280" s="67">
        <f>IF(VLOOKUP($D280,$C$5:$AU$493,3,)=0,0,(VLOOKUP($D280,$C$5:$AU$493,27,)/VLOOKUP($D280,$C$5:$AU$493,3,))*$E280)</f>
        <v>0</v>
      </c>
      <c r="AD280" s="67">
        <f>IF(VLOOKUP($D280,$C$5:$AU$493,3,)=0,0,(VLOOKUP($D280,$C$5:$AU$493,28,)/VLOOKUP($D280,$C$5:$AU$493,3,))*$E280)</f>
        <v>0</v>
      </c>
      <c r="AE280" s="67">
        <f>IF(VLOOKUP($D280,$C$5:$AU$493,3,)=0,0,(VLOOKUP($D280,$C$5:$AU$493,29,)/VLOOKUP($D280,$C$5:$AU$493,3,))*$E280)</f>
        <v>0</v>
      </c>
      <c r="AF280" s="67">
        <f>IF(VLOOKUP($D280,$C$5:$AU$493,3,)=0,0,(VLOOKUP($D280,$C$5:$AU$493,30,)/VLOOKUP($D280,$C$5:$AU$493,3,))*$E280)</f>
        <v>0</v>
      </c>
      <c r="AG280" s="90">
        <f>SUM(F280:AF280)</f>
        <v>0</v>
      </c>
      <c r="AH280" s="28" t="str">
        <f>IF(ABS(E280-AG280)&lt;0.01,"ok","err")</f>
        <v>ok</v>
      </c>
    </row>
    <row r="281" spans="1:34" x14ac:dyDescent="0.25">
      <c r="E281" s="50"/>
    </row>
    <row r="282" spans="1:34" x14ac:dyDescent="0.25">
      <c r="A282" s="13" t="s">
        <v>1</v>
      </c>
      <c r="E282" s="50"/>
      <c r="F282" s="50"/>
    </row>
    <row r="283" spans="1:34" x14ac:dyDescent="0.25">
      <c r="A283" s="93" t="s">
        <v>207</v>
      </c>
      <c r="C283" s="14" t="s">
        <v>312</v>
      </c>
      <c r="D283" s="14" t="s">
        <v>631</v>
      </c>
      <c r="E283" s="67">
        <f>'Func &amp; Classif'!M316</f>
        <v>380.54643035629647</v>
      </c>
      <c r="F283" s="67">
        <f>IF(VLOOKUP($D283,$C$5:$AU$493,3,)=0,0,(VLOOKUP($D283,$C$5:$AU$493,4,)/VLOOKUP($D283,$C$5:$AU$493,3,))*$E283)</f>
        <v>243.20651334561114</v>
      </c>
      <c r="G283" s="67">
        <f>IF(VLOOKUP($D283,$C$5:$AU$493,3,)=0,0,(VLOOKUP($D283,$C$5:$AU$493,5,)/VLOOKUP($D283,$C$5:$AU$493,3,))*$E283)</f>
        <v>0</v>
      </c>
      <c r="H283" s="67">
        <f>IF(VLOOKUP($D283,$C$5:$AU$493,3,)=0,0,(VLOOKUP($D283,$C$5:$AU$493,6,)/VLOOKUP($D283,$C$5:$AU$493,3,))*$E283)</f>
        <v>17.275296548628063</v>
      </c>
      <c r="I283" s="67">
        <f>IF(VLOOKUP($D283,$C$5:$AU$493,3,)=0,0,(VLOOKUP($D283,$C$5:$AU$493,7,)/VLOOKUP($D283,$C$5:$AU$493,3,))*$E283)</f>
        <v>34.937695107975046</v>
      </c>
      <c r="J283" s="67">
        <f>IF(VLOOKUP($D283,$C$5:$AU$493,3,)=0,0,(VLOOKUP($D283,$C$5:$AU$493,8,)/VLOOKUP($D283,$C$5:$AU$493,3,))*$E283)</f>
        <v>28.215111142024281</v>
      </c>
      <c r="K283" s="67">
        <f>IF(VLOOKUP($D283,$C$5:$AU$493,3,)=0,0,(VLOOKUP($D283,$C$5:$AU$493,9,)/VLOOKUP($D283,$C$5:$AU$493,3,))*$E283)</f>
        <v>45.089474549281924</v>
      </c>
      <c r="L283" s="67">
        <f>IF(VLOOKUP($D283,$C$5:$AU$493,3,)=0,0,(VLOOKUP($D283,$C$5:$AU$493,10,)/VLOOKUP($D283,$C$5:$AU$493,3,))*$E283)</f>
        <v>11.822338625417316</v>
      </c>
      <c r="M283" s="67">
        <f>IF(VLOOKUP($D283,$C$5:$AU$493,3,)=0,0,(VLOOKUP($D283,$C$5:$AU$493,11,)/VLOOKUP($D283,$C$5:$AU$493,3,))*$E283)</f>
        <v>0</v>
      </c>
      <c r="N283" s="67">
        <f>IF(VLOOKUP($D283,$C$5:$AU$493,3,)=0,0,(VLOOKUP($D283,$C$5:$AU$493,12,)/VLOOKUP($D283,$C$5:$AU$493,3,))*$E283)</f>
        <v>0</v>
      </c>
      <c r="O283" s="67">
        <f>IF(VLOOKUP($D283,$C$5:$AU$493,3,)=0,0,(VLOOKUP($D283,$C$5:$AU$493,13,)/VLOOKUP($D283,$C$5:$AU$493,3,))*$E283)</f>
        <v>0</v>
      </c>
      <c r="P283" s="67">
        <f>IF(VLOOKUP($D283,$C$5:$AU$493,3,)=0,0,(VLOOKUP($D283,$C$5:$AU$493,14,)/VLOOKUP($D283,$C$5:$AU$493,3,))*$E283)</f>
        <v>0</v>
      </c>
      <c r="Q283" s="67">
        <f>IF(VLOOKUP($D283,$C$5:$AU$493,3,)=0,0,(VLOOKUP($D283,$C$5:$AU$493,15,)/VLOOKUP($D283,$C$5:$AU$493,3,))*$E283)</f>
        <v>0</v>
      </c>
      <c r="R283" s="67">
        <f>IF(VLOOKUP($D283,$C$5:$AU$493,3,)=0,0,(VLOOKUP($D283,$C$5:$AU$493,16,)/VLOOKUP($D283,$C$5:$AU$493,3,))*$E283)</f>
        <v>0</v>
      </c>
      <c r="S283" s="67">
        <f>IF(VLOOKUP($D283,$C$5:$AU$493,3,)=0,0,(VLOOKUP($D283,$C$5:$AU$493,17,)/VLOOKUP($D283,$C$5:$AU$493,3,))*$E283)</f>
        <v>0</v>
      </c>
      <c r="T283" s="67">
        <f>IF(VLOOKUP($D283,$C$5:$AU$493,3,)=0,0,(VLOOKUP($D283,$C$5:$AU$493,18,)/VLOOKUP($D283,$C$5:$AU$493,3,))*$E283)</f>
        <v>0</v>
      </c>
      <c r="U283" s="67">
        <f>IF(VLOOKUP($D283,$C$5:$AU$493,3,)=0,0,(VLOOKUP($D283,$C$5:$AU$493,19,)/VLOOKUP($D283,$C$5:$AU$493,3,))*$E283)</f>
        <v>0</v>
      </c>
      <c r="V283" s="67">
        <f>IF(VLOOKUP($D283,$C$5:$AU$493,3,)=0,0,(VLOOKUP($D283,$C$5:$AU$493,20,)/VLOOKUP($D283,$C$5:$AU$493,3,))*$E283)</f>
        <v>0</v>
      </c>
      <c r="W283" s="67">
        <f>IF(VLOOKUP($D283,$C$5:$AU$493,3,)=0,0,(VLOOKUP($D283,$C$5:$AU$493,21,)/VLOOKUP($D283,$C$5:$AU$493,3,))*$E283)</f>
        <v>0</v>
      </c>
      <c r="X283" s="67">
        <f>IF(VLOOKUP($D283,$C$5:$AU$493,3,)=0,0,(VLOOKUP($D283,$C$5:$AU$493,22,)/VLOOKUP($D283,$C$5:$AU$493,3,))*$E283)</f>
        <v>0</v>
      </c>
      <c r="Y283" s="67">
        <f>IF(VLOOKUP($D283,$C$5:$AU$493,3,)=0,0,(VLOOKUP($D283,$C$5:$AU$493,23,)/VLOOKUP($D283,$C$5:$AU$493,3,))*$E283)</f>
        <v>0</v>
      </c>
      <c r="Z283" s="67">
        <f>IF(VLOOKUP($D283,$C$5:$AU$493,3,)=0,0,(VLOOKUP($D283,$C$5:$AU$493,24,)/VLOOKUP($D283,$C$5:$AU$493,3,))*$E283)</f>
        <v>0</v>
      </c>
      <c r="AA283" s="67">
        <f>IF(VLOOKUP($D283,$C$5:$AU$493,3,)=0,0,(VLOOKUP($D283,$C$5:$AU$493,25,)/VLOOKUP($D283,$C$5:$AU$493,3,))*$E283)</f>
        <v>0</v>
      </c>
      <c r="AB283" s="67">
        <f>IF(VLOOKUP($D283,$C$5:$AU$493,3,)=0,0,(VLOOKUP($D283,$C$5:$AU$493,26,)/VLOOKUP($D283,$C$5:$AU$493,3,))*$E283)</f>
        <v>0</v>
      </c>
      <c r="AC283" s="67">
        <f>IF(VLOOKUP($D283,$C$5:$AU$493,3,)=0,0,(VLOOKUP($D283,$C$5:$AU$493,27,)/VLOOKUP($D283,$C$5:$AU$493,3,))*$E283)</f>
        <v>0</v>
      </c>
      <c r="AD283" s="67">
        <f>IF(VLOOKUP($D283,$C$5:$AU$493,3,)=0,0,(VLOOKUP($D283,$C$5:$AU$493,28,)/VLOOKUP($D283,$C$5:$AU$493,3,))*$E283)</f>
        <v>0</v>
      </c>
      <c r="AE283" s="67">
        <f>IF(VLOOKUP($D283,$C$5:$AU$493,3,)=0,0,(VLOOKUP($D283,$C$5:$AU$493,29,)/VLOOKUP($D283,$C$5:$AU$493,3,))*$E283)</f>
        <v>0</v>
      </c>
      <c r="AF283" s="67">
        <f>IF(VLOOKUP($D283,$C$5:$AU$493,3,)=0,0,(VLOOKUP($D283,$C$5:$AU$493,30,)/VLOOKUP($D283,$C$5:$AU$493,3,))*$E283)</f>
        <v>0</v>
      </c>
      <c r="AG283" s="90">
        <f>SUM(F283:AF283)</f>
        <v>380.54642931893778</v>
      </c>
      <c r="AH283" s="28" t="str">
        <f>IF(ABS(E283-AG283)&lt;0.01,"ok","err")</f>
        <v>ok</v>
      </c>
    </row>
    <row r="284" spans="1:34" x14ac:dyDescent="0.25">
      <c r="E284" s="50"/>
    </row>
    <row r="285" spans="1:34" x14ac:dyDescent="0.25">
      <c r="A285" s="13" t="s">
        <v>2</v>
      </c>
      <c r="E285" s="50"/>
    </row>
    <row r="286" spans="1:34" x14ac:dyDescent="0.25">
      <c r="A286" s="93" t="s">
        <v>207</v>
      </c>
      <c r="C286" s="14" t="s">
        <v>313</v>
      </c>
      <c r="D286" s="14" t="s">
        <v>628</v>
      </c>
      <c r="E286" s="67">
        <f>'Func &amp; Classif'!O316</f>
        <v>25856.766725665504</v>
      </c>
      <c r="F286" s="67">
        <f>IF(VLOOKUP($D286,$C$5:$AU$493,3,)=0,0,(VLOOKUP($D286,$C$5:$AU$493,4,)/VLOOKUP($D286,$C$5:$AU$493,3,))*$E286)</f>
        <v>18355.940129204788</v>
      </c>
      <c r="G286" s="67">
        <f>IF(VLOOKUP($D286,$C$5:$AU$493,3,)=0,0,(VLOOKUP($D286,$C$5:$AU$493,5,)/VLOOKUP($D286,$C$5:$AU$493,3,))*$E286)</f>
        <v>16.165565616246237</v>
      </c>
      <c r="H286" s="67">
        <f>IF(VLOOKUP($D286,$C$5:$AU$493,3,)=0,0,(VLOOKUP($D286,$C$5:$AU$493,6,)/VLOOKUP($D286,$C$5:$AU$493,3,))*$E286)</f>
        <v>664.91500109701121</v>
      </c>
      <c r="I286" s="67">
        <f>IF(VLOOKUP($D286,$C$5:$AU$493,3,)=0,0,(VLOOKUP($D286,$C$5:$AU$493,7,)/VLOOKUP($D286,$C$5:$AU$493,3,))*$E286)</f>
        <v>1336.7690925488355</v>
      </c>
      <c r="J286" s="67">
        <f>IF(VLOOKUP($D286,$C$5:$AU$493,3,)=0,0,(VLOOKUP($D286,$C$5:$AU$493,8,)/VLOOKUP($D286,$C$5:$AU$493,3,))*$E286)</f>
        <v>1932.8796019388528</v>
      </c>
      <c r="K286" s="67">
        <f>IF(VLOOKUP($D286,$C$5:$AU$493,3,)=0,0,(VLOOKUP($D286,$C$5:$AU$493,9,)/VLOOKUP($D286,$C$5:$AU$493,3,))*$E286)</f>
        <v>2779.9739175854911</v>
      </c>
      <c r="L286" s="67">
        <f>IF(VLOOKUP($D286,$C$5:$AU$493,3,)=0,0,(VLOOKUP($D286,$C$5:$AU$493,10,)/VLOOKUP($D286,$C$5:$AU$493,3,))*$E286)</f>
        <v>728.9016639038889</v>
      </c>
      <c r="M286" s="67">
        <f>IF(VLOOKUP($D286,$C$5:$AU$493,3,)=0,0,(VLOOKUP($D286,$C$5:$AU$493,11,)/VLOOKUP($D286,$C$5:$AU$493,3,))*$E286)</f>
        <v>41.221753770398621</v>
      </c>
      <c r="N286" s="67">
        <f>IF(VLOOKUP($D286,$C$5:$AU$493,3,)=0,0,(VLOOKUP($D286,$C$5:$AU$493,12,)/VLOOKUP($D286,$C$5:$AU$493,3,))*$E286)</f>
        <v>0</v>
      </c>
      <c r="O286" s="67">
        <f>IF(VLOOKUP($D286,$C$5:$AU$493,3,)=0,0,(VLOOKUP($D286,$C$5:$AU$493,13,)/VLOOKUP($D286,$C$5:$AU$493,3,))*$E286)</f>
        <v>0</v>
      </c>
      <c r="P286" s="67">
        <f>IF(VLOOKUP($D286,$C$5:$AU$493,3,)=0,0,(VLOOKUP($D286,$C$5:$AU$493,14,)/VLOOKUP($D286,$C$5:$AU$493,3,))*$E286)</f>
        <v>0</v>
      </c>
      <c r="Q286" s="67">
        <f>IF(VLOOKUP($D286,$C$5:$AU$493,3,)=0,0,(VLOOKUP($D286,$C$5:$AU$493,15,)/VLOOKUP($D286,$C$5:$AU$493,3,))*$E286)</f>
        <v>0</v>
      </c>
      <c r="R286" s="67">
        <f>IF(VLOOKUP($D286,$C$5:$AU$493,3,)=0,0,(VLOOKUP($D286,$C$5:$AU$493,16,)/VLOOKUP($D286,$C$5:$AU$493,3,))*$E286)</f>
        <v>0</v>
      </c>
      <c r="S286" s="67">
        <f>IF(VLOOKUP($D286,$C$5:$AU$493,3,)=0,0,(VLOOKUP($D286,$C$5:$AU$493,17,)/VLOOKUP($D286,$C$5:$AU$493,3,))*$E286)</f>
        <v>0</v>
      </c>
      <c r="T286" s="67">
        <f>IF(VLOOKUP($D286,$C$5:$AU$493,3,)=0,0,(VLOOKUP($D286,$C$5:$AU$493,18,)/VLOOKUP($D286,$C$5:$AU$493,3,))*$E286)</f>
        <v>0</v>
      </c>
      <c r="U286" s="67">
        <f>IF(VLOOKUP($D286,$C$5:$AU$493,3,)=0,0,(VLOOKUP($D286,$C$5:$AU$493,19,)/VLOOKUP($D286,$C$5:$AU$493,3,))*$E286)</f>
        <v>0</v>
      </c>
      <c r="V286" s="67">
        <f>IF(VLOOKUP($D286,$C$5:$AU$493,3,)=0,0,(VLOOKUP($D286,$C$5:$AU$493,20,)/VLOOKUP($D286,$C$5:$AU$493,3,))*$E286)</f>
        <v>0</v>
      </c>
      <c r="W286" s="67">
        <f>IF(VLOOKUP($D286,$C$5:$AU$493,3,)=0,0,(VLOOKUP($D286,$C$5:$AU$493,21,)/VLOOKUP($D286,$C$5:$AU$493,3,))*$E286)</f>
        <v>0</v>
      </c>
      <c r="X286" s="67">
        <f>IF(VLOOKUP($D286,$C$5:$AU$493,3,)=0,0,(VLOOKUP($D286,$C$5:$AU$493,22,)/VLOOKUP($D286,$C$5:$AU$493,3,))*$E286)</f>
        <v>0</v>
      </c>
      <c r="Y286" s="67">
        <f>IF(VLOOKUP($D286,$C$5:$AU$493,3,)=0,0,(VLOOKUP($D286,$C$5:$AU$493,23,)/VLOOKUP($D286,$C$5:$AU$493,3,))*$E286)</f>
        <v>0</v>
      </c>
      <c r="Z286" s="67">
        <f>IF(VLOOKUP($D286,$C$5:$AU$493,3,)=0,0,(VLOOKUP($D286,$C$5:$AU$493,24,)/VLOOKUP($D286,$C$5:$AU$493,3,))*$E286)</f>
        <v>0</v>
      </c>
      <c r="AA286" s="67">
        <f>IF(VLOOKUP($D286,$C$5:$AU$493,3,)=0,0,(VLOOKUP($D286,$C$5:$AU$493,25,)/VLOOKUP($D286,$C$5:$AU$493,3,))*$E286)</f>
        <v>0</v>
      </c>
      <c r="AB286" s="67">
        <f>IF(VLOOKUP($D286,$C$5:$AU$493,3,)=0,0,(VLOOKUP($D286,$C$5:$AU$493,26,)/VLOOKUP($D286,$C$5:$AU$493,3,))*$E286)</f>
        <v>0</v>
      </c>
      <c r="AC286" s="67">
        <f>IF(VLOOKUP($D286,$C$5:$AU$493,3,)=0,0,(VLOOKUP($D286,$C$5:$AU$493,27,)/VLOOKUP($D286,$C$5:$AU$493,3,))*$E286)</f>
        <v>0</v>
      </c>
      <c r="AD286" s="67">
        <f>IF(VLOOKUP($D286,$C$5:$AU$493,3,)=0,0,(VLOOKUP($D286,$C$5:$AU$493,28,)/VLOOKUP($D286,$C$5:$AU$493,3,))*$E286)</f>
        <v>0</v>
      </c>
      <c r="AE286" s="67">
        <f>IF(VLOOKUP($D286,$C$5:$AU$493,3,)=0,0,(VLOOKUP($D286,$C$5:$AU$493,29,)/VLOOKUP($D286,$C$5:$AU$493,3,))*$E286)</f>
        <v>0</v>
      </c>
      <c r="AF286" s="67">
        <f>IF(VLOOKUP($D286,$C$5:$AU$493,3,)=0,0,(VLOOKUP($D286,$C$5:$AU$493,30,)/VLOOKUP($D286,$C$5:$AU$493,3,))*$E286)</f>
        <v>0</v>
      </c>
      <c r="AG286" s="90">
        <f>SUM(F286:AF286)</f>
        <v>25856.766725665515</v>
      </c>
      <c r="AH286" s="28" t="str">
        <f>IF(ABS(E286-AG286)&lt;0.01,"ok","err")</f>
        <v>ok</v>
      </c>
    </row>
    <row r="287" spans="1:34" x14ac:dyDescent="0.25">
      <c r="A287" s="93" t="s">
        <v>219</v>
      </c>
      <c r="C287" s="14" t="s">
        <v>314</v>
      </c>
      <c r="D287" s="14" t="s">
        <v>221</v>
      </c>
      <c r="E287" s="50">
        <f>'Func &amp; Classif'!P316</f>
        <v>10757.259117043894</v>
      </c>
      <c r="F287" s="67">
        <f>IF(VLOOKUP($D287,$C$5:$AU$493,3,)=0,0,(VLOOKUP($D287,$C$5:$AU$493,4,)/VLOOKUP($D287,$C$5:$AU$493,3,))*$E287)</f>
        <v>7897.2777728860819</v>
      </c>
      <c r="G287" s="67">
        <f>IF(VLOOKUP($D287,$C$5:$AU$493,3,)=0,0,(VLOOKUP($D287,$C$5:$AU$493,5,)/VLOOKUP($D287,$C$5:$AU$493,3,))*$E287)</f>
        <v>10.657937291899858</v>
      </c>
      <c r="H287" s="67">
        <f>IF(VLOOKUP($D287,$C$5:$AU$493,3,)=0,0,(VLOOKUP($D287,$C$5:$AU$493,6,)/VLOOKUP($D287,$C$5:$AU$493,3,))*$E287)</f>
        <v>494.78205075586521</v>
      </c>
      <c r="I287" s="67">
        <f>IF(VLOOKUP($D287,$C$5:$AU$493,3,)=0,0,(VLOOKUP($D287,$C$5:$AU$493,7,)/VLOOKUP($D287,$C$5:$AU$493,3,))*$E287)</f>
        <v>2287.3963511710785</v>
      </c>
      <c r="J287" s="67">
        <f>IF(VLOOKUP($D287,$C$5:$AU$493,3,)=0,0,(VLOOKUP($D287,$C$5:$AU$493,8,)/VLOOKUP($D287,$C$5:$AU$493,3,))*$E287)</f>
        <v>37.302780521649495</v>
      </c>
      <c r="K287" s="67">
        <f>IF(VLOOKUP($D287,$C$5:$AU$493,3,)=0,0,(VLOOKUP($D287,$C$5:$AU$493,9,)/VLOOKUP($D287,$C$5:$AU$493,3,))*$E287)</f>
        <v>8.5263498335198857</v>
      </c>
      <c r="L287" s="67">
        <f>IF(VLOOKUP($D287,$C$5:$AU$493,3,)=0,0,(VLOOKUP($D287,$C$5:$AU$493,10,)/VLOOKUP($D287,$C$5:$AU$493,3,))*$E287)</f>
        <v>0.6090249881085632</v>
      </c>
      <c r="M287" s="67">
        <f>IF(VLOOKUP($D287,$C$5:$AU$493,3,)=0,0,(VLOOKUP($D287,$C$5:$AU$493,11,)/VLOOKUP($D287,$C$5:$AU$493,3,))*$E287)</f>
        <v>20.70684959569115</v>
      </c>
      <c r="N287" s="67">
        <f>IF(VLOOKUP($D287,$C$5:$AU$493,3,)=0,0,(VLOOKUP($D287,$C$5:$AU$493,12,)/VLOOKUP($D287,$C$5:$AU$493,3,))*$E287)</f>
        <v>0</v>
      </c>
      <c r="O287" s="67">
        <f>IF(VLOOKUP($D287,$C$5:$AU$493,3,)=0,0,(VLOOKUP($D287,$C$5:$AU$493,13,)/VLOOKUP($D287,$C$5:$AU$493,3,))*$E287)</f>
        <v>0</v>
      </c>
      <c r="P287" s="67">
        <f>IF(VLOOKUP($D287,$C$5:$AU$493,3,)=0,0,(VLOOKUP($D287,$C$5:$AU$493,14,)/VLOOKUP($D287,$C$5:$AU$493,3,))*$E287)</f>
        <v>0</v>
      </c>
      <c r="Q287" s="67">
        <f>IF(VLOOKUP($D287,$C$5:$AU$493,3,)=0,0,(VLOOKUP($D287,$C$5:$AU$493,15,)/VLOOKUP($D287,$C$5:$AU$493,3,))*$E287)</f>
        <v>0</v>
      </c>
      <c r="R287" s="67">
        <f>IF(VLOOKUP($D287,$C$5:$AU$493,3,)=0,0,(VLOOKUP($D287,$C$5:$AU$493,16,)/VLOOKUP($D287,$C$5:$AU$493,3,))*$E287)</f>
        <v>0</v>
      </c>
      <c r="S287" s="67">
        <f>IF(VLOOKUP($D287,$C$5:$AU$493,3,)=0,0,(VLOOKUP($D287,$C$5:$AU$493,17,)/VLOOKUP($D287,$C$5:$AU$493,3,))*$E287)</f>
        <v>0</v>
      </c>
      <c r="T287" s="67">
        <f>IF(VLOOKUP($D287,$C$5:$AU$493,3,)=0,0,(VLOOKUP($D287,$C$5:$AU$493,18,)/VLOOKUP($D287,$C$5:$AU$493,3,))*$E287)</f>
        <v>0</v>
      </c>
      <c r="U287" s="67">
        <f>IF(VLOOKUP($D287,$C$5:$AU$493,3,)=0,0,(VLOOKUP($D287,$C$5:$AU$493,19,)/VLOOKUP($D287,$C$5:$AU$493,3,))*$E287)</f>
        <v>0</v>
      </c>
      <c r="V287" s="67">
        <f>IF(VLOOKUP($D287,$C$5:$AU$493,3,)=0,0,(VLOOKUP($D287,$C$5:$AU$493,20,)/VLOOKUP($D287,$C$5:$AU$493,3,))*$E287)</f>
        <v>0</v>
      </c>
      <c r="W287" s="67">
        <f>IF(VLOOKUP($D287,$C$5:$AU$493,3,)=0,0,(VLOOKUP($D287,$C$5:$AU$493,21,)/VLOOKUP($D287,$C$5:$AU$493,3,))*$E287)</f>
        <v>0</v>
      </c>
      <c r="X287" s="67">
        <f>IF(VLOOKUP($D287,$C$5:$AU$493,3,)=0,0,(VLOOKUP($D287,$C$5:$AU$493,22,)/VLOOKUP($D287,$C$5:$AU$493,3,))*$E287)</f>
        <v>0</v>
      </c>
      <c r="Y287" s="67">
        <f>IF(VLOOKUP($D287,$C$5:$AU$493,3,)=0,0,(VLOOKUP($D287,$C$5:$AU$493,23,)/VLOOKUP($D287,$C$5:$AU$493,3,))*$E287)</f>
        <v>0</v>
      </c>
      <c r="Z287" s="67">
        <f>IF(VLOOKUP($D287,$C$5:$AU$493,3,)=0,0,(VLOOKUP($D287,$C$5:$AU$493,24,)/VLOOKUP($D287,$C$5:$AU$493,3,))*$E287)</f>
        <v>0</v>
      </c>
      <c r="AA287" s="67">
        <f>IF(VLOOKUP($D287,$C$5:$AU$493,3,)=0,0,(VLOOKUP($D287,$C$5:$AU$493,25,)/VLOOKUP($D287,$C$5:$AU$493,3,))*$E287)</f>
        <v>0</v>
      </c>
      <c r="AB287" s="67">
        <f>IF(VLOOKUP($D287,$C$5:$AU$493,3,)=0,0,(VLOOKUP($D287,$C$5:$AU$493,26,)/VLOOKUP($D287,$C$5:$AU$493,3,))*$E287)</f>
        <v>0</v>
      </c>
      <c r="AC287" s="67">
        <f>IF(VLOOKUP($D287,$C$5:$AU$493,3,)=0,0,(VLOOKUP($D287,$C$5:$AU$493,27,)/VLOOKUP($D287,$C$5:$AU$493,3,))*$E287)</f>
        <v>0</v>
      </c>
      <c r="AD287" s="67">
        <f>IF(VLOOKUP($D287,$C$5:$AU$493,3,)=0,0,(VLOOKUP($D287,$C$5:$AU$493,28,)/VLOOKUP($D287,$C$5:$AU$493,3,))*$E287)</f>
        <v>0</v>
      </c>
      <c r="AE287" s="67">
        <f>IF(VLOOKUP($D287,$C$5:$AU$493,3,)=0,0,(VLOOKUP($D287,$C$5:$AU$493,29,)/VLOOKUP($D287,$C$5:$AU$493,3,))*$E287)</f>
        <v>0</v>
      </c>
      <c r="AF287" s="67">
        <f>IF(VLOOKUP($D287,$C$5:$AU$493,3,)=0,0,(VLOOKUP($D287,$C$5:$AU$493,30,)/VLOOKUP($D287,$C$5:$AU$493,3,))*$E287)</f>
        <v>0</v>
      </c>
      <c r="AG287" s="90">
        <f>SUM(F287:AF287)</f>
        <v>10757.259117043897</v>
      </c>
      <c r="AH287" s="28" t="str">
        <f>IF(ABS(E287-AG287)&lt;0.01,"ok","err")</f>
        <v>ok</v>
      </c>
    </row>
    <row r="288" spans="1:34" x14ac:dyDescent="0.25">
      <c r="A288" s="14" t="s">
        <v>222</v>
      </c>
      <c r="E288" s="67">
        <f t="shared" ref="E288:T288" si="81">E286+E287</f>
        <v>36614.025842709394</v>
      </c>
      <c r="F288" s="67">
        <f t="shared" si="81"/>
        <v>26253.21790209087</v>
      </c>
      <c r="G288" s="67">
        <f t="shared" si="81"/>
        <v>26.823502908146097</v>
      </c>
      <c r="H288" s="67">
        <f t="shared" si="81"/>
        <v>1159.6970518528765</v>
      </c>
      <c r="I288" s="67">
        <f t="shared" si="81"/>
        <v>3624.165443719914</v>
      </c>
      <c r="J288" s="67">
        <f t="shared" si="81"/>
        <v>1970.1823824605024</v>
      </c>
      <c r="K288" s="67">
        <f t="shared" si="81"/>
        <v>2788.5002674190109</v>
      </c>
      <c r="L288" s="67">
        <f t="shared" si="81"/>
        <v>729.51068889199746</v>
      </c>
      <c r="M288" s="67">
        <f t="shared" si="81"/>
        <v>61.928603366089774</v>
      </c>
      <c r="N288" s="67">
        <f t="shared" si="81"/>
        <v>0</v>
      </c>
      <c r="O288" s="67">
        <f t="shared" si="81"/>
        <v>0</v>
      </c>
      <c r="P288" s="67">
        <f t="shared" si="81"/>
        <v>0</v>
      </c>
      <c r="Q288" s="67">
        <f t="shared" si="81"/>
        <v>0</v>
      </c>
      <c r="R288" s="67">
        <f t="shared" si="81"/>
        <v>0</v>
      </c>
      <c r="S288" s="67">
        <f t="shared" si="81"/>
        <v>0</v>
      </c>
      <c r="T288" s="67">
        <f t="shared" si="81"/>
        <v>0</v>
      </c>
      <c r="U288" s="67">
        <f t="shared" ref="U288:AF288" si="82">U286+U287</f>
        <v>0</v>
      </c>
      <c r="V288" s="67">
        <f t="shared" si="82"/>
        <v>0</v>
      </c>
      <c r="W288" s="67">
        <f t="shared" si="82"/>
        <v>0</v>
      </c>
      <c r="X288" s="67">
        <f t="shared" si="82"/>
        <v>0</v>
      </c>
      <c r="Y288" s="67">
        <f t="shared" si="82"/>
        <v>0</v>
      </c>
      <c r="Z288" s="67">
        <f t="shared" si="82"/>
        <v>0</v>
      </c>
      <c r="AA288" s="67">
        <f t="shared" si="82"/>
        <v>0</v>
      </c>
      <c r="AB288" s="67">
        <f t="shared" si="82"/>
        <v>0</v>
      </c>
      <c r="AC288" s="67">
        <f t="shared" si="82"/>
        <v>0</v>
      </c>
      <c r="AD288" s="67">
        <f t="shared" si="82"/>
        <v>0</v>
      </c>
      <c r="AE288" s="67">
        <f t="shared" si="82"/>
        <v>0</v>
      </c>
      <c r="AF288" s="67">
        <f t="shared" si="82"/>
        <v>0</v>
      </c>
      <c r="AG288" s="90">
        <f>SUM(F288:AF288)</f>
        <v>36614.025842709409</v>
      </c>
      <c r="AH288" s="28" t="str">
        <f>IF(ABS(E288-AG288)&lt;0.01,"ok","err")</f>
        <v>ok</v>
      </c>
    </row>
    <row r="289" spans="1:34" x14ac:dyDescent="0.25">
      <c r="E289" s="50"/>
    </row>
    <row r="290" spans="1:34" x14ac:dyDescent="0.25">
      <c r="A290" s="13" t="s">
        <v>3</v>
      </c>
      <c r="E290" s="50"/>
    </row>
    <row r="291" spans="1:34" x14ac:dyDescent="0.25">
      <c r="A291" s="93" t="s">
        <v>207</v>
      </c>
      <c r="C291" s="14" t="s">
        <v>315</v>
      </c>
      <c r="D291" s="14" t="s">
        <v>700</v>
      </c>
      <c r="E291" s="67">
        <f>'Func &amp; Classif'!R316</f>
        <v>0</v>
      </c>
      <c r="F291" s="67">
        <f>IF(VLOOKUP($D291,$C$5:$AU$493,3,)=0,0,(VLOOKUP($D291,$C$5:$AU$493,4,)/VLOOKUP($D291,$C$5:$AU$493,3,))*$E291)</f>
        <v>0</v>
      </c>
      <c r="G291" s="67">
        <f>IF(VLOOKUP($D291,$C$5:$AU$493,3,)=0,0,(VLOOKUP($D291,$C$5:$AU$493,5,)/VLOOKUP($D291,$C$5:$AU$493,3,))*$E291)</f>
        <v>0</v>
      </c>
      <c r="H291" s="67">
        <f>IF(VLOOKUP($D291,$C$5:$AU$493,3,)=0,0,(VLOOKUP($D291,$C$5:$AU$493,6,)/VLOOKUP($D291,$C$5:$AU$493,3,))*$E291)</f>
        <v>0</v>
      </c>
      <c r="I291" s="67">
        <f>IF(VLOOKUP($D291,$C$5:$AU$493,3,)=0,0,(VLOOKUP($D291,$C$5:$AU$493,7,)/VLOOKUP($D291,$C$5:$AU$493,3,))*$E291)</f>
        <v>0</v>
      </c>
      <c r="J291" s="67">
        <f>IF(VLOOKUP($D291,$C$5:$AU$493,3,)=0,0,(VLOOKUP($D291,$C$5:$AU$493,8,)/VLOOKUP($D291,$C$5:$AU$493,3,))*$E291)</f>
        <v>0</v>
      </c>
      <c r="K291" s="67">
        <f>IF(VLOOKUP($D291,$C$5:$AU$493,3,)=0,0,(VLOOKUP($D291,$C$5:$AU$493,9,)/VLOOKUP($D291,$C$5:$AU$493,3,))*$E291)</f>
        <v>0</v>
      </c>
      <c r="L291" s="67">
        <f>IF(VLOOKUP($D291,$C$5:$AU$493,3,)=0,0,(VLOOKUP($D291,$C$5:$AU$493,10,)/VLOOKUP($D291,$C$5:$AU$493,3,))*$E291)</f>
        <v>0</v>
      </c>
      <c r="M291" s="67">
        <f>IF(VLOOKUP($D291,$C$5:$AU$493,3,)=0,0,(VLOOKUP($D291,$C$5:$AU$493,11,)/VLOOKUP($D291,$C$5:$AU$493,3,))*$E291)</f>
        <v>0</v>
      </c>
      <c r="N291" s="67">
        <f>IF(VLOOKUP($D291,$C$5:$AU$493,3,)=0,0,(VLOOKUP($D291,$C$5:$AU$493,12,)/VLOOKUP($D291,$C$5:$AU$493,3,))*$E291)</f>
        <v>0</v>
      </c>
      <c r="O291" s="67">
        <f>IF(VLOOKUP($D291,$C$5:$AU$493,3,)=0,0,(VLOOKUP($D291,$C$5:$AU$493,13,)/VLOOKUP($D291,$C$5:$AU$493,3,))*$E291)</f>
        <v>0</v>
      </c>
      <c r="P291" s="67">
        <f>IF(VLOOKUP($D291,$C$5:$AU$493,3,)=0,0,(VLOOKUP($D291,$C$5:$AU$493,14,)/VLOOKUP($D291,$C$5:$AU$493,3,))*$E291)</f>
        <v>0</v>
      </c>
      <c r="Q291" s="67">
        <f>IF(VLOOKUP($D291,$C$5:$AU$493,3,)=0,0,(VLOOKUP($D291,$C$5:$AU$493,15,)/VLOOKUP($D291,$C$5:$AU$493,3,))*$E291)</f>
        <v>0</v>
      </c>
      <c r="R291" s="67">
        <f>IF(VLOOKUP($D291,$C$5:$AU$493,3,)=0,0,(VLOOKUP($D291,$C$5:$AU$493,16,)/VLOOKUP($D291,$C$5:$AU$493,3,))*$E291)</f>
        <v>0</v>
      </c>
      <c r="S291" s="67">
        <f>IF(VLOOKUP($D291,$C$5:$AU$493,3,)=0,0,(VLOOKUP($D291,$C$5:$AU$493,17,)/VLOOKUP($D291,$C$5:$AU$493,3,))*$E291)</f>
        <v>0</v>
      </c>
      <c r="T291" s="67">
        <f>IF(VLOOKUP($D291,$C$5:$AU$493,3,)=0,0,(VLOOKUP($D291,$C$5:$AU$493,18,)/VLOOKUP($D291,$C$5:$AU$493,3,))*$E291)</f>
        <v>0</v>
      </c>
      <c r="U291" s="67">
        <f>IF(VLOOKUP($D291,$C$5:$AU$493,3,)=0,0,(VLOOKUP($D291,$C$5:$AU$493,19,)/VLOOKUP($D291,$C$5:$AU$493,3,))*$E291)</f>
        <v>0</v>
      </c>
      <c r="V291" s="67">
        <f>IF(VLOOKUP($D291,$C$5:$AU$493,3,)=0,0,(VLOOKUP($D291,$C$5:$AU$493,20,)/VLOOKUP($D291,$C$5:$AU$493,3,))*$E291)</f>
        <v>0</v>
      </c>
      <c r="W291" s="67">
        <f>IF(VLOOKUP($D291,$C$5:$AU$493,3,)=0,0,(VLOOKUP($D291,$C$5:$AU$493,21,)/VLOOKUP($D291,$C$5:$AU$493,3,))*$E291)</f>
        <v>0</v>
      </c>
      <c r="X291" s="67">
        <f>IF(VLOOKUP($D291,$C$5:$AU$493,3,)=0,0,(VLOOKUP($D291,$C$5:$AU$493,22,)/VLOOKUP($D291,$C$5:$AU$493,3,))*$E291)</f>
        <v>0</v>
      </c>
      <c r="Y291" s="67">
        <f>IF(VLOOKUP($D291,$C$5:$AU$493,3,)=0,0,(VLOOKUP($D291,$C$5:$AU$493,23,)/VLOOKUP($D291,$C$5:$AU$493,3,))*$E291)</f>
        <v>0</v>
      </c>
      <c r="Z291" s="67">
        <f>IF(VLOOKUP($D291,$C$5:$AU$493,3,)=0,0,(VLOOKUP($D291,$C$5:$AU$493,24,)/VLOOKUP($D291,$C$5:$AU$493,3,))*$E291)</f>
        <v>0</v>
      </c>
      <c r="AA291" s="67">
        <f>IF(VLOOKUP($D291,$C$5:$AU$493,3,)=0,0,(VLOOKUP($D291,$C$5:$AU$493,25,)/VLOOKUP($D291,$C$5:$AU$493,3,))*$E291)</f>
        <v>0</v>
      </c>
      <c r="AB291" s="67">
        <f>IF(VLOOKUP($D291,$C$5:$AU$493,3,)=0,0,(VLOOKUP($D291,$C$5:$AU$493,26,)/VLOOKUP($D291,$C$5:$AU$493,3,))*$E291)</f>
        <v>0</v>
      </c>
      <c r="AC291" s="67">
        <f>IF(VLOOKUP($D291,$C$5:$AU$493,3,)=0,0,(VLOOKUP($D291,$C$5:$AU$493,27,)/VLOOKUP($D291,$C$5:$AU$493,3,))*$E291)</f>
        <v>0</v>
      </c>
      <c r="AD291" s="67">
        <f>IF(VLOOKUP($D291,$C$5:$AU$493,3,)=0,0,(VLOOKUP($D291,$C$5:$AU$493,28,)/VLOOKUP($D291,$C$5:$AU$493,3,))*$E291)</f>
        <v>0</v>
      </c>
      <c r="AE291" s="67">
        <f>IF(VLOOKUP($D291,$C$5:$AU$493,3,)=0,0,(VLOOKUP($D291,$C$5:$AU$493,29,)/VLOOKUP($D291,$C$5:$AU$493,3,))*$E291)</f>
        <v>0</v>
      </c>
      <c r="AF291" s="67">
        <f>IF(VLOOKUP($D291,$C$5:$AU$493,3,)=0,0,(VLOOKUP($D291,$C$5:$AU$493,30,)/VLOOKUP($D291,$C$5:$AU$493,3,))*$E291)</f>
        <v>0</v>
      </c>
      <c r="AG291" s="90">
        <f>SUM(F291:AF291)</f>
        <v>0</v>
      </c>
      <c r="AH291" s="28" t="str">
        <f>IF(ABS(E291-AG291)&lt;0.01,"ok","err")</f>
        <v>ok</v>
      </c>
    </row>
    <row r="292" spans="1:34" x14ac:dyDescent="0.25">
      <c r="A292" s="93" t="s">
        <v>219</v>
      </c>
      <c r="C292" s="14" t="s">
        <v>316</v>
      </c>
      <c r="D292" s="14" t="s">
        <v>700</v>
      </c>
      <c r="E292" s="50">
        <f>'Func &amp; Classif'!S316</f>
        <v>4741.4689744258148</v>
      </c>
      <c r="F292" s="67">
        <f>IF(VLOOKUP($D292,$C$5:$AU$493,3,)=0,0,(VLOOKUP($D292,$C$5:$AU$493,4,)/VLOOKUP($D292,$C$5:$AU$493,3,))*$E292)</f>
        <v>3356.8003268798402</v>
      </c>
      <c r="G292" s="67">
        <f>IF(VLOOKUP($D292,$C$5:$AU$493,3,)=0,0,(VLOOKUP($D292,$C$5:$AU$493,5,)/VLOOKUP($D292,$C$5:$AU$493,3,))*$E292)</f>
        <v>4.5302404719948992</v>
      </c>
      <c r="H292" s="67">
        <f>IF(VLOOKUP($D292,$C$5:$AU$493,3,)=0,0,(VLOOKUP($D292,$C$5:$AU$493,6,)/VLOOKUP($D292,$C$5:$AU$493,3,))*$E292)</f>
        <v>210.31102076894416</v>
      </c>
      <c r="I292" s="67">
        <f>IF(VLOOKUP($D292,$C$5:$AU$493,3,)=0,0,(VLOOKUP($D292,$C$5:$AU$493,7,)/VLOOKUP($D292,$C$5:$AU$493,3,))*$E292)</f>
        <v>1056.781671782493</v>
      </c>
      <c r="J292" s="67">
        <f>IF(VLOOKUP($D292,$C$5:$AU$493,3,)=0,0,(VLOOKUP($D292,$C$5:$AU$493,8,)/VLOOKUP($D292,$C$5:$AU$493,3,))*$E292)</f>
        <v>113.04571452254267</v>
      </c>
      <c r="K292" s="67">
        <f>IF(VLOOKUP($D292,$C$5:$AU$493,3,)=0,0,(VLOOKUP($D292,$C$5:$AU$493,9,)/VLOOKUP($D292,$C$5:$AU$493,3,))*$E292)</f>
        <v>0</v>
      </c>
      <c r="L292" s="67">
        <f>IF(VLOOKUP($D292,$C$5:$AU$493,3,)=0,0,(VLOOKUP($D292,$C$5:$AU$493,10,)/VLOOKUP($D292,$C$5:$AU$493,3,))*$E292)</f>
        <v>0</v>
      </c>
      <c r="M292" s="67">
        <f>IF(VLOOKUP($D292,$C$5:$AU$493,3,)=0,0,(VLOOKUP($D292,$C$5:$AU$493,11,)/VLOOKUP($D292,$C$5:$AU$493,3,))*$E292)</f>
        <v>0</v>
      </c>
      <c r="N292" s="67">
        <f>IF(VLOOKUP($D292,$C$5:$AU$493,3,)=0,0,(VLOOKUP($D292,$C$5:$AU$493,12,)/VLOOKUP($D292,$C$5:$AU$493,3,))*$E292)</f>
        <v>0</v>
      </c>
      <c r="O292" s="67">
        <f>IF(VLOOKUP($D292,$C$5:$AU$493,3,)=0,0,(VLOOKUP($D292,$C$5:$AU$493,13,)/VLOOKUP($D292,$C$5:$AU$493,3,))*$E292)</f>
        <v>0</v>
      </c>
      <c r="P292" s="67">
        <f>IF(VLOOKUP($D292,$C$5:$AU$493,3,)=0,0,(VLOOKUP($D292,$C$5:$AU$493,14,)/VLOOKUP($D292,$C$5:$AU$493,3,))*$E292)</f>
        <v>0</v>
      </c>
      <c r="Q292" s="67">
        <f>IF(VLOOKUP($D292,$C$5:$AU$493,3,)=0,0,(VLOOKUP($D292,$C$5:$AU$493,15,)/VLOOKUP($D292,$C$5:$AU$493,3,))*$E292)</f>
        <v>0</v>
      </c>
      <c r="R292" s="67">
        <f>IF(VLOOKUP($D292,$C$5:$AU$493,3,)=0,0,(VLOOKUP($D292,$C$5:$AU$493,16,)/VLOOKUP($D292,$C$5:$AU$493,3,))*$E292)</f>
        <v>0</v>
      </c>
      <c r="S292" s="67">
        <f>IF(VLOOKUP($D292,$C$5:$AU$493,3,)=0,0,(VLOOKUP($D292,$C$5:$AU$493,17,)/VLOOKUP($D292,$C$5:$AU$493,3,))*$E292)</f>
        <v>0</v>
      </c>
      <c r="T292" s="67">
        <f>IF(VLOOKUP($D292,$C$5:$AU$493,3,)=0,0,(VLOOKUP($D292,$C$5:$AU$493,18,)/VLOOKUP($D292,$C$5:$AU$493,3,))*$E292)</f>
        <v>0</v>
      </c>
      <c r="U292" s="67">
        <f>IF(VLOOKUP($D292,$C$5:$AU$493,3,)=0,0,(VLOOKUP($D292,$C$5:$AU$493,19,)/VLOOKUP($D292,$C$5:$AU$493,3,))*$E292)</f>
        <v>0</v>
      </c>
      <c r="V292" s="67">
        <f>IF(VLOOKUP($D292,$C$5:$AU$493,3,)=0,0,(VLOOKUP($D292,$C$5:$AU$493,20,)/VLOOKUP($D292,$C$5:$AU$493,3,))*$E292)</f>
        <v>0</v>
      </c>
      <c r="W292" s="67">
        <f>IF(VLOOKUP($D292,$C$5:$AU$493,3,)=0,0,(VLOOKUP($D292,$C$5:$AU$493,21,)/VLOOKUP($D292,$C$5:$AU$493,3,))*$E292)</f>
        <v>0</v>
      </c>
      <c r="X292" s="67">
        <f>IF(VLOOKUP($D292,$C$5:$AU$493,3,)=0,0,(VLOOKUP($D292,$C$5:$AU$493,22,)/VLOOKUP($D292,$C$5:$AU$493,3,))*$E292)</f>
        <v>0</v>
      </c>
      <c r="Y292" s="67">
        <f>IF(VLOOKUP($D292,$C$5:$AU$493,3,)=0,0,(VLOOKUP($D292,$C$5:$AU$493,23,)/VLOOKUP($D292,$C$5:$AU$493,3,))*$E292)</f>
        <v>0</v>
      </c>
      <c r="Z292" s="67">
        <f>IF(VLOOKUP($D292,$C$5:$AU$493,3,)=0,0,(VLOOKUP($D292,$C$5:$AU$493,24,)/VLOOKUP($D292,$C$5:$AU$493,3,))*$E292)</f>
        <v>0</v>
      </c>
      <c r="AA292" s="67">
        <f>IF(VLOOKUP($D292,$C$5:$AU$493,3,)=0,0,(VLOOKUP($D292,$C$5:$AU$493,25,)/VLOOKUP($D292,$C$5:$AU$493,3,))*$E292)</f>
        <v>0</v>
      </c>
      <c r="AB292" s="67">
        <f>IF(VLOOKUP($D292,$C$5:$AU$493,3,)=0,0,(VLOOKUP($D292,$C$5:$AU$493,26,)/VLOOKUP($D292,$C$5:$AU$493,3,))*$E292)</f>
        <v>0</v>
      </c>
      <c r="AC292" s="67">
        <f>IF(VLOOKUP($D292,$C$5:$AU$493,3,)=0,0,(VLOOKUP($D292,$C$5:$AU$493,27,)/VLOOKUP($D292,$C$5:$AU$493,3,))*$E292)</f>
        <v>0</v>
      </c>
      <c r="AD292" s="67">
        <f>IF(VLOOKUP($D292,$C$5:$AU$493,3,)=0,0,(VLOOKUP($D292,$C$5:$AU$493,28,)/VLOOKUP($D292,$C$5:$AU$493,3,))*$E292)</f>
        <v>0</v>
      </c>
      <c r="AE292" s="67">
        <f>IF(VLOOKUP($D292,$C$5:$AU$493,3,)=0,0,(VLOOKUP($D292,$C$5:$AU$493,29,)/VLOOKUP($D292,$C$5:$AU$493,3,))*$E292)</f>
        <v>0</v>
      </c>
      <c r="AF292" s="67">
        <f>IF(VLOOKUP($D292,$C$5:$AU$493,3,)=0,0,(VLOOKUP($D292,$C$5:$AU$493,30,)/VLOOKUP($D292,$C$5:$AU$493,3,))*$E292)</f>
        <v>0</v>
      </c>
      <c r="AG292" s="90">
        <f>SUM(F292:AF292)</f>
        <v>4741.4689744258158</v>
      </c>
      <c r="AH292" s="28" t="str">
        <f>IF(ABS(E292-AG292)&lt;0.01,"ok","err")</f>
        <v>ok</v>
      </c>
    </row>
    <row r="293" spans="1:34" x14ac:dyDescent="0.25">
      <c r="A293" s="14" t="s">
        <v>226</v>
      </c>
      <c r="E293" s="67">
        <f t="shared" ref="E293:T293" si="83">E291+E292</f>
        <v>4741.4689744258148</v>
      </c>
      <c r="F293" s="67">
        <f t="shared" si="83"/>
        <v>3356.8003268798402</v>
      </c>
      <c r="G293" s="67">
        <f t="shared" si="83"/>
        <v>4.5302404719948992</v>
      </c>
      <c r="H293" s="67">
        <f t="shared" si="83"/>
        <v>210.31102076894416</v>
      </c>
      <c r="I293" s="67">
        <f t="shared" si="83"/>
        <v>1056.781671782493</v>
      </c>
      <c r="J293" s="67">
        <f t="shared" si="83"/>
        <v>113.04571452254267</v>
      </c>
      <c r="K293" s="67">
        <f t="shared" si="83"/>
        <v>0</v>
      </c>
      <c r="L293" s="67">
        <f t="shared" si="83"/>
        <v>0</v>
      </c>
      <c r="M293" s="67">
        <f t="shared" si="83"/>
        <v>0</v>
      </c>
      <c r="N293" s="67">
        <f t="shared" si="83"/>
        <v>0</v>
      </c>
      <c r="O293" s="67">
        <f t="shared" si="83"/>
        <v>0</v>
      </c>
      <c r="P293" s="67">
        <f t="shared" si="83"/>
        <v>0</v>
      </c>
      <c r="Q293" s="67">
        <f t="shared" si="83"/>
        <v>0</v>
      </c>
      <c r="R293" s="67">
        <f t="shared" si="83"/>
        <v>0</v>
      </c>
      <c r="S293" s="67">
        <f t="shared" si="83"/>
        <v>0</v>
      </c>
      <c r="T293" s="67">
        <f t="shared" si="83"/>
        <v>0</v>
      </c>
      <c r="U293" s="67">
        <f t="shared" ref="U293:AF293" si="84">U291+U292</f>
        <v>0</v>
      </c>
      <c r="V293" s="67">
        <f t="shared" si="84"/>
        <v>0</v>
      </c>
      <c r="W293" s="67">
        <f t="shared" si="84"/>
        <v>0</v>
      </c>
      <c r="X293" s="67">
        <f t="shared" si="84"/>
        <v>0</v>
      </c>
      <c r="Y293" s="67">
        <f t="shared" si="84"/>
        <v>0</v>
      </c>
      <c r="Z293" s="67">
        <f t="shared" si="84"/>
        <v>0</v>
      </c>
      <c r="AA293" s="67">
        <f t="shared" si="84"/>
        <v>0</v>
      </c>
      <c r="AB293" s="67">
        <f t="shared" si="84"/>
        <v>0</v>
      </c>
      <c r="AC293" s="67">
        <f t="shared" si="84"/>
        <v>0</v>
      </c>
      <c r="AD293" s="67">
        <f t="shared" si="84"/>
        <v>0</v>
      </c>
      <c r="AE293" s="67">
        <f t="shared" si="84"/>
        <v>0</v>
      </c>
      <c r="AF293" s="67">
        <f t="shared" si="84"/>
        <v>0</v>
      </c>
      <c r="AG293" s="90">
        <f>SUM(F293:AF293)</f>
        <v>4741.4689744258158</v>
      </c>
      <c r="AH293" s="28" t="str">
        <f>IF(ABS(E293-AG293)&lt;0.01,"ok","err")</f>
        <v>ok</v>
      </c>
    </row>
    <row r="294" spans="1:34" x14ac:dyDescent="0.25">
      <c r="E294" s="50"/>
    </row>
    <row r="295" spans="1:34" x14ac:dyDescent="0.25">
      <c r="A295" s="13" t="s">
        <v>4</v>
      </c>
      <c r="E295" s="50"/>
    </row>
    <row r="296" spans="1:34" x14ac:dyDescent="0.25">
      <c r="A296" s="93" t="s">
        <v>219</v>
      </c>
      <c r="C296" s="14" t="s">
        <v>317</v>
      </c>
      <c r="D296" s="14" t="s">
        <v>228</v>
      </c>
      <c r="E296" s="67">
        <f>'Func &amp; Classif'!U316</f>
        <v>1708.8260457934239</v>
      </c>
      <c r="F296" s="67">
        <f>IF(VLOOKUP($D296,$C$5:$AU$493,3,)=0,0,(VLOOKUP($D296,$C$5:$AU$493,4,)/VLOOKUP($D296,$C$5:$AU$493,3,))*$E296)</f>
        <v>1249.2925252247128</v>
      </c>
      <c r="G296" s="67">
        <f>IF(VLOOKUP($D296,$C$5:$AU$493,3,)=0,0,(VLOOKUP($D296,$C$5:$AU$493,5,)/VLOOKUP($D296,$C$5:$AU$493,3,))*$E296)</f>
        <v>1.6860089990500926</v>
      </c>
      <c r="H296" s="67">
        <f>IF(VLOOKUP($D296,$C$5:$AU$493,3,)=0,0,(VLOOKUP($D296,$C$5:$AU$493,6,)/VLOOKUP($D296,$C$5:$AU$493,3,))*$E296)</f>
        <v>78.270960627330254</v>
      </c>
      <c r="I296" s="67">
        <f>IF(VLOOKUP($D296,$C$5:$AU$493,3,)=0,0,(VLOOKUP($D296,$C$5:$AU$493,7,)/VLOOKUP($D296,$C$5:$AU$493,3,))*$E296)</f>
        <v>361.84964565327465</v>
      </c>
      <c r="J296" s="67">
        <f>IF(VLOOKUP($D296,$C$5:$AU$493,3,)=0,0,(VLOOKUP($D296,$C$5:$AU$493,8,)/VLOOKUP($D296,$C$5:$AU$493,3,))*$E296)</f>
        <v>17.726905289056475</v>
      </c>
      <c r="K296" s="67">
        <f>IF(VLOOKUP($D296,$C$5:$AU$493,3,)=0,0,(VLOOKUP($D296,$C$5:$AU$493,9,)/VLOOKUP($D296,$C$5:$AU$493,3,))*$E296)</f>
        <v>0</v>
      </c>
      <c r="L296" s="67">
        <f>IF(VLOOKUP($D296,$C$5:$AU$493,3,)=0,0,(VLOOKUP($D296,$C$5:$AU$493,10,)/VLOOKUP($D296,$C$5:$AU$493,3,))*$E296)</f>
        <v>0</v>
      </c>
      <c r="M296" s="67">
        <f>IF(VLOOKUP($D296,$C$5:$AU$493,3,)=0,0,(VLOOKUP($D296,$C$5:$AU$493,11,)/VLOOKUP($D296,$C$5:$AU$493,3,))*$E296)</f>
        <v>0</v>
      </c>
      <c r="N296" s="67">
        <f>IF(VLOOKUP($D296,$C$5:$AU$493,3,)=0,0,(VLOOKUP($D296,$C$5:$AU$493,12,)/VLOOKUP($D296,$C$5:$AU$493,3,))*$E296)</f>
        <v>0</v>
      </c>
      <c r="O296" s="67">
        <f>IF(VLOOKUP($D296,$C$5:$AU$493,3,)=0,0,(VLOOKUP($D296,$C$5:$AU$493,13,)/VLOOKUP($D296,$C$5:$AU$493,3,))*$E296)</f>
        <v>0</v>
      </c>
      <c r="P296" s="67">
        <f>IF(VLOOKUP($D296,$C$5:$AU$493,3,)=0,0,(VLOOKUP($D296,$C$5:$AU$493,14,)/VLOOKUP($D296,$C$5:$AU$493,3,))*$E296)</f>
        <v>0</v>
      </c>
      <c r="Q296" s="67">
        <f>IF(VLOOKUP($D296,$C$5:$AU$493,3,)=0,0,(VLOOKUP($D296,$C$5:$AU$493,15,)/VLOOKUP($D296,$C$5:$AU$493,3,))*$E296)</f>
        <v>0</v>
      </c>
      <c r="R296" s="67">
        <f>IF(VLOOKUP($D296,$C$5:$AU$493,3,)=0,0,(VLOOKUP($D296,$C$5:$AU$493,16,)/VLOOKUP($D296,$C$5:$AU$493,3,))*$E296)</f>
        <v>0</v>
      </c>
      <c r="S296" s="67">
        <f>IF(VLOOKUP($D296,$C$5:$AU$493,3,)=0,0,(VLOOKUP($D296,$C$5:$AU$493,17,)/VLOOKUP($D296,$C$5:$AU$493,3,))*$E296)</f>
        <v>0</v>
      </c>
      <c r="T296" s="67">
        <f>IF(VLOOKUP($D296,$C$5:$AU$493,3,)=0,0,(VLOOKUP($D296,$C$5:$AU$493,18,)/VLOOKUP($D296,$C$5:$AU$493,3,))*$E296)</f>
        <v>0</v>
      </c>
      <c r="U296" s="67">
        <f>IF(VLOOKUP($D296,$C$5:$AU$493,3,)=0,0,(VLOOKUP($D296,$C$5:$AU$493,19,)/VLOOKUP($D296,$C$5:$AU$493,3,))*$E296)</f>
        <v>0</v>
      </c>
      <c r="V296" s="67">
        <f>IF(VLOOKUP($D296,$C$5:$AU$493,3,)=0,0,(VLOOKUP($D296,$C$5:$AU$493,20,)/VLOOKUP($D296,$C$5:$AU$493,3,))*$E296)</f>
        <v>0</v>
      </c>
      <c r="W296" s="67">
        <f>IF(VLOOKUP($D296,$C$5:$AU$493,3,)=0,0,(VLOOKUP($D296,$C$5:$AU$493,21,)/VLOOKUP($D296,$C$5:$AU$493,3,))*$E296)</f>
        <v>0</v>
      </c>
      <c r="X296" s="67">
        <f>IF(VLOOKUP($D296,$C$5:$AU$493,3,)=0,0,(VLOOKUP($D296,$C$5:$AU$493,22,)/VLOOKUP($D296,$C$5:$AU$493,3,))*$E296)</f>
        <v>0</v>
      </c>
      <c r="Y296" s="67">
        <f>IF(VLOOKUP($D296,$C$5:$AU$493,3,)=0,0,(VLOOKUP($D296,$C$5:$AU$493,23,)/VLOOKUP($D296,$C$5:$AU$493,3,))*$E296)</f>
        <v>0</v>
      </c>
      <c r="Z296" s="67">
        <f>IF(VLOOKUP($D296,$C$5:$AU$493,3,)=0,0,(VLOOKUP($D296,$C$5:$AU$493,24,)/VLOOKUP($D296,$C$5:$AU$493,3,))*$E296)</f>
        <v>0</v>
      </c>
      <c r="AA296" s="67">
        <f>IF(VLOOKUP($D296,$C$5:$AU$493,3,)=0,0,(VLOOKUP($D296,$C$5:$AU$493,25,)/VLOOKUP($D296,$C$5:$AU$493,3,))*$E296)</f>
        <v>0</v>
      </c>
      <c r="AB296" s="67">
        <f>IF(VLOOKUP($D296,$C$5:$AU$493,3,)=0,0,(VLOOKUP($D296,$C$5:$AU$493,26,)/VLOOKUP($D296,$C$5:$AU$493,3,))*$E296)</f>
        <v>0</v>
      </c>
      <c r="AC296" s="67">
        <f>IF(VLOOKUP($D296,$C$5:$AU$493,3,)=0,0,(VLOOKUP($D296,$C$5:$AU$493,27,)/VLOOKUP($D296,$C$5:$AU$493,3,))*$E296)</f>
        <v>0</v>
      </c>
      <c r="AD296" s="67">
        <f>IF(VLOOKUP($D296,$C$5:$AU$493,3,)=0,0,(VLOOKUP($D296,$C$5:$AU$493,28,)/VLOOKUP($D296,$C$5:$AU$493,3,))*$E296)</f>
        <v>0</v>
      </c>
      <c r="AE296" s="67">
        <f>IF(VLOOKUP($D296,$C$5:$AU$493,3,)=0,0,(VLOOKUP($D296,$C$5:$AU$493,29,)/VLOOKUP($D296,$C$5:$AU$493,3,))*$E296)</f>
        <v>0</v>
      </c>
      <c r="AF296" s="67">
        <f>IF(VLOOKUP($D296,$C$5:$AU$493,3,)=0,0,(VLOOKUP($D296,$C$5:$AU$493,30,)/VLOOKUP($D296,$C$5:$AU$493,3,))*$E296)</f>
        <v>0</v>
      </c>
      <c r="AG296" s="90">
        <f>SUM(F296:AF296)</f>
        <v>1708.8260457934241</v>
      </c>
      <c r="AH296" s="28" t="str">
        <f>IF(ABS(E296-AG296)&lt;0.01,"ok","err")</f>
        <v>ok</v>
      </c>
    </row>
    <row r="297" spans="1:34" x14ac:dyDescent="0.25">
      <c r="E297" s="50"/>
    </row>
    <row r="298" spans="1:34" x14ac:dyDescent="0.25">
      <c r="A298" s="13" t="s">
        <v>5</v>
      </c>
      <c r="E298" s="50"/>
    </row>
    <row r="299" spans="1:34" x14ac:dyDescent="0.25">
      <c r="A299" s="93" t="s">
        <v>219</v>
      </c>
      <c r="C299" s="14" t="s">
        <v>318</v>
      </c>
      <c r="D299" s="14" t="s">
        <v>230</v>
      </c>
      <c r="E299" s="67">
        <f>'Func &amp; Classif'!W316</f>
        <v>1420.1327067150671</v>
      </c>
      <c r="F299" s="67">
        <f>IF(VLOOKUP($D299,$C$5:$AU$493,3,)=0,0,(VLOOKUP($D299,$C$5:$AU$493,4,)/VLOOKUP($D299,$C$5:$AU$493,3,))*$E299)</f>
        <v>0</v>
      </c>
      <c r="G299" s="67">
        <f>IF(VLOOKUP($D299,$C$5:$AU$493,3,)=0,0,(VLOOKUP($D299,$C$5:$AU$493,5,)/VLOOKUP($D299,$C$5:$AU$493,3,))*$E299)</f>
        <v>0</v>
      </c>
      <c r="H299" s="67">
        <f>IF(VLOOKUP($D299,$C$5:$AU$493,3,)=0,0,(VLOOKUP($D299,$C$5:$AU$493,6,)/VLOOKUP($D299,$C$5:$AU$493,3,))*$E299)</f>
        <v>0</v>
      </c>
      <c r="I299" s="67">
        <f>IF(VLOOKUP($D299,$C$5:$AU$493,3,)=0,0,(VLOOKUP($D299,$C$5:$AU$493,7,)/VLOOKUP($D299,$C$5:$AU$493,3,))*$E299)</f>
        <v>0</v>
      </c>
      <c r="J299" s="67">
        <f>IF(VLOOKUP($D299,$C$5:$AU$493,3,)=0,0,(VLOOKUP($D299,$C$5:$AU$493,8,)/VLOOKUP($D299,$C$5:$AU$493,3,))*$E299)</f>
        <v>0</v>
      </c>
      <c r="K299" s="67">
        <f>IF(VLOOKUP($D299,$C$5:$AU$493,3,)=0,0,(VLOOKUP($D299,$C$5:$AU$493,9,)/VLOOKUP($D299,$C$5:$AU$493,3,))*$E299)</f>
        <v>0</v>
      </c>
      <c r="L299" s="67">
        <f>IF(VLOOKUP($D299,$C$5:$AU$493,3,)=0,0,(VLOOKUP($D299,$C$5:$AU$493,10,)/VLOOKUP($D299,$C$5:$AU$493,3,))*$E299)</f>
        <v>0</v>
      </c>
      <c r="M299" s="67">
        <f>IF(VLOOKUP($D299,$C$5:$AU$493,3,)=0,0,(VLOOKUP($D299,$C$5:$AU$493,11,)/VLOOKUP($D299,$C$5:$AU$493,3,))*$E299)</f>
        <v>1420.1327067150671</v>
      </c>
      <c r="N299" s="67">
        <f>IF(VLOOKUP($D299,$C$5:$AU$493,3,)=0,0,(VLOOKUP($D299,$C$5:$AU$493,12,)/VLOOKUP($D299,$C$5:$AU$493,3,))*$E299)</f>
        <v>0</v>
      </c>
      <c r="O299" s="67">
        <f>IF(VLOOKUP($D299,$C$5:$AU$493,3,)=0,0,(VLOOKUP($D299,$C$5:$AU$493,13,)/VLOOKUP($D299,$C$5:$AU$493,3,))*$E299)</f>
        <v>0</v>
      </c>
      <c r="P299" s="67">
        <f>IF(VLOOKUP($D299,$C$5:$AU$493,3,)=0,0,(VLOOKUP($D299,$C$5:$AU$493,14,)/VLOOKUP($D299,$C$5:$AU$493,3,))*$E299)</f>
        <v>0</v>
      </c>
      <c r="Q299" s="67">
        <f>IF(VLOOKUP($D299,$C$5:$AU$493,3,)=0,0,(VLOOKUP($D299,$C$5:$AU$493,15,)/VLOOKUP($D299,$C$5:$AU$493,3,))*$E299)</f>
        <v>0</v>
      </c>
      <c r="R299" s="67">
        <f>IF(VLOOKUP($D299,$C$5:$AU$493,3,)=0,0,(VLOOKUP($D299,$C$5:$AU$493,16,)/VLOOKUP($D299,$C$5:$AU$493,3,))*$E299)</f>
        <v>0</v>
      </c>
      <c r="S299" s="67">
        <f>IF(VLOOKUP($D299,$C$5:$AU$493,3,)=0,0,(VLOOKUP($D299,$C$5:$AU$493,17,)/VLOOKUP($D299,$C$5:$AU$493,3,))*$E299)</f>
        <v>0</v>
      </c>
      <c r="T299" s="67">
        <f>IF(VLOOKUP($D299,$C$5:$AU$493,3,)=0,0,(VLOOKUP($D299,$C$5:$AU$493,18,)/VLOOKUP($D299,$C$5:$AU$493,3,))*$E299)</f>
        <v>0</v>
      </c>
      <c r="U299" s="67">
        <f>IF(VLOOKUP($D299,$C$5:$AU$493,3,)=0,0,(VLOOKUP($D299,$C$5:$AU$493,19,)/VLOOKUP($D299,$C$5:$AU$493,3,))*$E299)</f>
        <v>0</v>
      </c>
      <c r="V299" s="67">
        <f>IF(VLOOKUP($D299,$C$5:$AU$493,3,)=0,0,(VLOOKUP($D299,$C$5:$AU$493,20,)/VLOOKUP($D299,$C$5:$AU$493,3,))*$E299)</f>
        <v>0</v>
      </c>
      <c r="W299" s="67">
        <f>IF(VLOOKUP($D299,$C$5:$AU$493,3,)=0,0,(VLOOKUP($D299,$C$5:$AU$493,21,)/VLOOKUP($D299,$C$5:$AU$493,3,))*$E299)</f>
        <v>0</v>
      </c>
      <c r="X299" s="67">
        <f>IF(VLOOKUP($D299,$C$5:$AU$493,3,)=0,0,(VLOOKUP($D299,$C$5:$AU$493,22,)/VLOOKUP($D299,$C$5:$AU$493,3,))*$E299)</f>
        <v>0</v>
      </c>
      <c r="Y299" s="67">
        <f>IF(VLOOKUP($D299,$C$5:$AU$493,3,)=0,0,(VLOOKUP($D299,$C$5:$AU$493,23,)/VLOOKUP($D299,$C$5:$AU$493,3,))*$E299)</f>
        <v>0</v>
      </c>
      <c r="Z299" s="67">
        <f>IF(VLOOKUP($D299,$C$5:$AU$493,3,)=0,0,(VLOOKUP($D299,$C$5:$AU$493,24,)/VLOOKUP($D299,$C$5:$AU$493,3,))*$E299)</f>
        <v>0</v>
      </c>
      <c r="AA299" s="67">
        <f>IF(VLOOKUP($D299,$C$5:$AU$493,3,)=0,0,(VLOOKUP($D299,$C$5:$AU$493,25,)/VLOOKUP($D299,$C$5:$AU$493,3,))*$E299)</f>
        <v>0</v>
      </c>
      <c r="AB299" s="67">
        <f>IF(VLOOKUP($D299,$C$5:$AU$493,3,)=0,0,(VLOOKUP($D299,$C$5:$AU$493,26,)/VLOOKUP($D299,$C$5:$AU$493,3,))*$E299)</f>
        <v>0</v>
      </c>
      <c r="AC299" s="67">
        <f>IF(VLOOKUP($D299,$C$5:$AU$493,3,)=0,0,(VLOOKUP($D299,$C$5:$AU$493,27,)/VLOOKUP($D299,$C$5:$AU$493,3,))*$E299)</f>
        <v>0</v>
      </c>
      <c r="AD299" s="67">
        <f>IF(VLOOKUP($D299,$C$5:$AU$493,3,)=0,0,(VLOOKUP($D299,$C$5:$AU$493,28,)/VLOOKUP($D299,$C$5:$AU$493,3,))*$E299)</f>
        <v>0</v>
      </c>
      <c r="AE299" s="67">
        <f>IF(VLOOKUP($D299,$C$5:$AU$493,3,)=0,0,(VLOOKUP($D299,$C$5:$AU$493,29,)/VLOOKUP($D299,$C$5:$AU$493,3,))*$E299)</f>
        <v>0</v>
      </c>
      <c r="AF299" s="67">
        <f>IF(VLOOKUP($D299,$C$5:$AU$493,3,)=0,0,(VLOOKUP($D299,$C$5:$AU$493,30,)/VLOOKUP($D299,$C$5:$AU$493,3,))*$E299)</f>
        <v>0</v>
      </c>
      <c r="AG299" s="90">
        <f>SUM(F299:AF299)</f>
        <v>1420.1327067150671</v>
      </c>
      <c r="AH299" s="28" t="str">
        <f>IF(ABS(E299-AG299)&lt;0.01,"ok","err")</f>
        <v>ok</v>
      </c>
    </row>
    <row r="300" spans="1:34" x14ac:dyDescent="0.25">
      <c r="E300" s="50"/>
    </row>
    <row r="301" spans="1:34" x14ac:dyDescent="0.25">
      <c r="A301" s="13" t="s">
        <v>544</v>
      </c>
      <c r="E301" s="50"/>
    </row>
    <row r="302" spans="1:34" x14ac:dyDescent="0.25">
      <c r="A302" s="93" t="s">
        <v>219</v>
      </c>
      <c r="C302" s="14" t="s">
        <v>319</v>
      </c>
      <c r="D302" s="14" t="s">
        <v>232</v>
      </c>
      <c r="E302" s="67">
        <f>'Func &amp; Classif'!Y316</f>
        <v>0</v>
      </c>
      <c r="F302" s="67">
        <f>IF(VLOOKUP($D302,$C$5:$AU$493,3,)=0,0,(VLOOKUP($D302,$C$5:$AU$493,4,)/VLOOKUP($D302,$C$5:$AU$493,3,))*$E302)</f>
        <v>0</v>
      </c>
      <c r="G302" s="67">
        <f>IF(VLOOKUP($D302,$C$5:$AU$493,3,)=0,0,(VLOOKUP($D302,$C$5:$AU$493,5,)/VLOOKUP($D302,$C$5:$AU$493,3,))*$E302)</f>
        <v>0</v>
      </c>
      <c r="H302" s="67">
        <f>IF(VLOOKUP($D302,$C$5:$AU$493,3,)=0,0,(VLOOKUP($D302,$C$5:$AU$493,6,)/VLOOKUP($D302,$C$5:$AU$493,3,))*$E302)</f>
        <v>0</v>
      </c>
      <c r="I302" s="67">
        <f>IF(VLOOKUP($D302,$C$5:$AU$493,3,)=0,0,(VLOOKUP($D302,$C$5:$AU$493,7,)/VLOOKUP($D302,$C$5:$AU$493,3,))*$E302)</f>
        <v>0</v>
      </c>
      <c r="J302" s="67">
        <f>IF(VLOOKUP($D302,$C$5:$AU$493,3,)=0,0,(VLOOKUP($D302,$C$5:$AU$493,8,)/VLOOKUP($D302,$C$5:$AU$493,3,))*$E302)</f>
        <v>0</v>
      </c>
      <c r="K302" s="67">
        <f>IF(VLOOKUP($D302,$C$5:$AU$493,3,)=0,0,(VLOOKUP($D302,$C$5:$AU$493,9,)/VLOOKUP($D302,$C$5:$AU$493,3,))*$E302)</f>
        <v>0</v>
      </c>
      <c r="L302" s="67">
        <f>IF(VLOOKUP($D302,$C$5:$AU$493,3,)=0,0,(VLOOKUP($D302,$C$5:$AU$493,10,)/VLOOKUP($D302,$C$5:$AU$493,3,))*$E302)</f>
        <v>0</v>
      </c>
      <c r="M302" s="67">
        <f>IF(VLOOKUP($D302,$C$5:$AU$493,3,)=0,0,(VLOOKUP($D302,$C$5:$AU$493,11,)/VLOOKUP($D302,$C$5:$AU$493,3,))*$E302)</f>
        <v>0</v>
      </c>
      <c r="N302" s="67">
        <f>IF(VLOOKUP($D302,$C$5:$AU$493,3,)=0,0,(VLOOKUP($D302,$C$5:$AU$493,12,)/VLOOKUP($D302,$C$5:$AU$493,3,))*$E302)</f>
        <v>0</v>
      </c>
      <c r="O302" s="67">
        <f>IF(VLOOKUP($D302,$C$5:$AU$493,3,)=0,0,(VLOOKUP($D302,$C$5:$AU$493,13,)/VLOOKUP($D302,$C$5:$AU$493,3,))*$E302)</f>
        <v>0</v>
      </c>
      <c r="P302" s="67">
        <f>IF(VLOOKUP($D302,$C$5:$AU$493,3,)=0,0,(VLOOKUP($D302,$C$5:$AU$493,14,)/VLOOKUP($D302,$C$5:$AU$493,3,))*$E302)</f>
        <v>0</v>
      </c>
      <c r="Q302" s="67">
        <f>IF(VLOOKUP($D302,$C$5:$AU$493,3,)=0,0,(VLOOKUP($D302,$C$5:$AU$493,15,)/VLOOKUP($D302,$C$5:$AU$493,3,))*$E302)</f>
        <v>0</v>
      </c>
      <c r="R302" s="67">
        <f>IF(VLOOKUP($D302,$C$5:$AU$493,3,)=0,0,(VLOOKUP($D302,$C$5:$AU$493,16,)/VLOOKUP($D302,$C$5:$AU$493,3,))*$E302)</f>
        <v>0</v>
      </c>
      <c r="S302" s="67">
        <f>IF(VLOOKUP($D302,$C$5:$AU$493,3,)=0,0,(VLOOKUP($D302,$C$5:$AU$493,17,)/VLOOKUP($D302,$C$5:$AU$493,3,))*$E302)</f>
        <v>0</v>
      </c>
      <c r="T302" s="67">
        <f>IF(VLOOKUP($D302,$C$5:$AU$493,3,)=0,0,(VLOOKUP($D302,$C$5:$AU$493,18,)/VLOOKUP($D302,$C$5:$AU$493,3,))*$E302)</f>
        <v>0</v>
      </c>
      <c r="U302" s="67">
        <f>IF(VLOOKUP($D302,$C$5:$AU$493,3,)=0,0,(VLOOKUP($D302,$C$5:$AU$493,19,)/VLOOKUP($D302,$C$5:$AU$493,3,))*$E302)</f>
        <v>0</v>
      </c>
      <c r="V302" s="67">
        <f>IF(VLOOKUP($D302,$C$5:$AU$493,3,)=0,0,(VLOOKUP($D302,$C$5:$AU$493,20,)/VLOOKUP($D302,$C$5:$AU$493,3,))*$E302)</f>
        <v>0</v>
      </c>
      <c r="W302" s="67">
        <f>IF(VLOOKUP($D302,$C$5:$AU$493,3,)=0,0,(VLOOKUP($D302,$C$5:$AU$493,21,)/VLOOKUP($D302,$C$5:$AU$493,3,))*$E302)</f>
        <v>0</v>
      </c>
      <c r="X302" s="67">
        <f>IF(VLOOKUP($D302,$C$5:$AU$493,3,)=0,0,(VLOOKUP($D302,$C$5:$AU$493,22,)/VLOOKUP($D302,$C$5:$AU$493,3,))*$E302)</f>
        <v>0</v>
      </c>
      <c r="Y302" s="67">
        <f>IF(VLOOKUP($D302,$C$5:$AU$493,3,)=0,0,(VLOOKUP($D302,$C$5:$AU$493,23,)/VLOOKUP($D302,$C$5:$AU$493,3,))*$E302)</f>
        <v>0</v>
      </c>
      <c r="Z302" s="67">
        <f>IF(VLOOKUP($D302,$C$5:$AU$493,3,)=0,0,(VLOOKUP($D302,$C$5:$AU$493,24,)/VLOOKUP($D302,$C$5:$AU$493,3,))*$E302)</f>
        <v>0</v>
      </c>
      <c r="AA302" s="67">
        <f>IF(VLOOKUP($D302,$C$5:$AU$493,3,)=0,0,(VLOOKUP($D302,$C$5:$AU$493,25,)/VLOOKUP($D302,$C$5:$AU$493,3,))*$E302)</f>
        <v>0</v>
      </c>
      <c r="AB302" s="67">
        <f>IF(VLOOKUP($D302,$C$5:$AU$493,3,)=0,0,(VLOOKUP($D302,$C$5:$AU$493,26,)/VLOOKUP($D302,$C$5:$AU$493,3,))*$E302)</f>
        <v>0</v>
      </c>
      <c r="AC302" s="67">
        <f>IF(VLOOKUP($D302,$C$5:$AU$493,3,)=0,0,(VLOOKUP($D302,$C$5:$AU$493,27,)/VLOOKUP($D302,$C$5:$AU$493,3,))*$E302)</f>
        <v>0</v>
      </c>
      <c r="AD302" s="67">
        <f>IF(VLOOKUP($D302,$C$5:$AU$493,3,)=0,0,(VLOOKUP($D302,$C$5:$AU$493,28,)/VLOOKUP($D302,$C$5:$AU$493,3,))*$E302)</f>
        <v>0</v>
      </c>
      <c r="AE302" s="67">
        <f>IF(VLOOKUP($D302,$C$5:$AU$493,3,)=0,0,(VLOOKUP($D302,$C$5:$AU$493,29,)/VLOOKUP($D302,$C$5:$AU$493,3,))*$E302)</f>
        <v>0</v>
      </c>
      <c r="AF302" s="67">
        <f>IF(VLOOKUP($D302,$C$5:$AU$493,3,)=0,0,(VLOOKUP($D302,$C$5:$AU$493,30,)/VLOOKUP($D302,$C$5:$AU$493,3,))*$E302)</f>
        <v>0</v>
      </c>
      <c r="AG302" s="90">
        <f>SUM(F302:AF302)</f>
        <v>0</v>
      </c>
      <c r="AH302" s="28" t="str">
        <f>IF(ABS(E302-AG302)&lt;0.01,"ok","err")</f>
        <v>ok</v>
      </c>
    </row>
    <row r="303" spans="1:34" x14ac:dyDescent="0.25">
      <c r="E303" s="50"/>
    </row>
    <row r="304" spans="1:34" x14ac:dyDescent="0.25">
      <c r="A304" s="13" t="s">
        <v>469</v>
      </c>
      <c r="E304" s="50"/>
    </row>
    <row r="305" spans="1:41" x14ac:dyDescent="0.25">
      <c r="A305" s="93" t="s">
        <v>219</v>
      </c>
      <c r="C305" s="14" t="s">
        <v>316</v>
      </c>
      <c r="D305" s="14" t="s">
        <v>233</v>
      </c>
      <c r="E305" s="67">
        <f>'Func &amp; Classif'!AA316</f>
        <v>0</v>
      </c>
      <c r="F305" s="67">
        <f>IF(VLOOKUP($D305,$C$5:$AU$493,3,)=0,0,(VLOOKUP($D305,$C$5:$AU$493,4,)/VLOOKUP($D305,$C$5:$AU$493,3,))*$E305)</f>
        <v>0</v>
      </c>
      <c r="G305" s="67">
        <f>IF(VLOOKUP($D305,$C$5:$AU$493,3,)=0,0,(VLOOKUP($D305,$C$5:$AU$493,5,)/VLOOKUP($D305,$C$5:$AU$493,3,))*$E305)</f>
        <v>0</v>
      </c>
      <c r="H305" s="67">
        <f>IF(VLOOKUP($D305,$C$5:$AU$493,3,)=0,0,(VLOOKUP($D305,$C$5:$AU$493,6,)/VLOOKUP($D305,$C$5:$AU$493,3,))*$E305)</f>
        <v>0</v>
      </c>
      <c r="I305" s="67">
        <f>IF(VLOOKUP($D305,$C$5:$AU$493,3,)=0,0,(VLOOKUP($D305,$C$5:$AU$493,7,)/VLOOKUP($D305,$C$5:$AU$493,3,))*$E305)</f>
        <v>0</v>
      </c>
      <c r="J305" s="67">
        <f>IF(VLOOKUP($D305,$C$5:$AU$493,3,)=0,0,(VLOOKUP($D305,$C$5:$AU$493,8,)/VLOOKUP($D305,$C$5:$AU$493,3,))*$E305)</f>
        <v>0</v>
      </c>
      <c r="K305" s="67">
        <f>IF(VLOOKUP($D305,$C$5:$AU$493,3,)=0,0,(VLOOKUP($D305,$C$5:$AU$493,9,)/VLOOKUP($D305,$C$5:$AU$493,3,))*$E305)</f>
        <v>0</v>
      </c>
      <c r="L305" s="67">
        <f>IF(VLOOKUP($D305,$C$5:$AU$493,3,)=0,0,(VLOOKUP($D305,$C$5:$AU$493,10,)/VLOOKUP($D305,$C$5:$AU$493,3,))*$E305)</f>
        <v>0</v>
      </c>
      <c r="M305" s="67">
        <f>IF(VLOOKUP($D305,$C$5:$AU$493,3,)=0,0,(VLOOKUP($D305,$C$5:$AU$493,11,)/VLOOKUP($D305,$C$5:$AU$493,3,))*$E305)</f>
        <v>0</v>
      </c>
      <c r="N305" s="67">
        <f>IF(VLOOKUP($D305,$C$5:$AU$493,3,)=0,0,(VLOOKUP($D305,$C$5:$AU$493,12,)/VLOOKUP($D305,$C$5:$AU$493,3,))*$E305)</f>
        <v>0</v>
      </c>
      <c r="O305" s="67">
        <f>IF(VLOOKUP($D305,$C$5:$AU$493,3,)=0,0,(VLOOKUP($D305,$C$5:$AU$493,13,)/VLOOKUP($D305,$C$5:$AU$493,3,))*$E305)</f>
        <v>0</v>
      </c>
      <c r="P305" s="67">
        <f>IF(VLOOKUP($D305,$C$5:$AU$493,3,)=0,0,(VLOOKUP($D305,$C$5:$AU$493,14,)/VLOOKUP($D305,$C$5:$AU$493,3,))*$E305)</f>
        <v>0</v>
      </c>
      <c r="Q305" s="67">
        <f>IF(VLOOKUP($D305,$C$5:$AU$493,3,)=0,0,(VLOOKUP($D305,$C$5:$AU$493,15,)/VLOOKUP($D305,$C$5:$AU$493,3,))*$E305)</f>
        <v>0</v>
      </c>
      <c r="R305" s="67">
        <f>IF(VLOOKUP($D305,$C$5:$AU$493,3,)=0,0,(VLOOKUP($D305,$C$5:$AU$493,16,)/VLOOKUP($D305,$C$5:$AU$493,3,))*$E305)</f>
        <v>0</v>
      </c>
      <c r="S305" s="67">
        <f>IF(VLOOKUP($D305,$C$5:$AU$493,3,)=0,0,(VLOOKUP($D305,$C$5:$AU$493,17,)/VLOOKUP($D305,$C$5:$AU$493,3,))*$E305)</f>
        <v>0</v>
      </c>
      <c r="T305" s="67">
        <f>IF(VLOOKUP($D305,$C$5:$AU$493,3,)=0,0,(VLOOKUP($D305,$C$5:$AU$493,18,)/VLOOKUP($D305,$C$5:$AU$493,3,))*$E305)</f>
        <v>0</v>
      </c>
      <c r="U305" s="67">
        <f>IF(VLOOKUP($D305,$C$5:$AU$493,3,)=0,0,(VLOOKUP($D305,$C$5:$AU$493,19,)/VLOOKUP($D305,$C$5:$AU$493,3,))*$E305)</f>
        <v>0</v>
      </c>
      <c r="V305" s="67">
        <f>IF(VLOOKUP($D305,$C$5:$AU$493,3,)=0,0,(VLOOKUP($D305,$C$5:$AU$493,20,)/VLOOKUP($D305,$C$5:$AU$493,3,))*$E305)</f>
        <v>0</v>
      </c>
      <c r="W305" s="67">
        <f>IF(VLOOKUP($D305,$C$5:$AU$493,3,)=0,0,(VLOOKUP($D305,$C$5:$AU$493,21,)/VLOOKUP($D305,$C$5:$AU$493,3,))*$E305)</f>
        <v>0</v>
      </c>
      <c r="X305" s="67">
        <f>IF(VLOOKUP($D305,$C$5:$AU$493,3,)=0,0,(VLOOKUP($D305,$C$5:$AU$493,22,)/VLOOKUP($D305,$C$5:$AU$493,3,))*$E305)</f>
        <v>0</v>
      </c>
      <c r="Y305" s="67">
        <f>IF(VLOOKUP($D305,$C$5:$AU$493,3,)=0,0,(VLOOKUP($D305,$C$5:$AU$493,23,)/VLOOKUP($D305,$C$5:$AU$493,3,))*$E305)</f>
        <v>0</v>
      </c>
      <c r="Z305" s="67">
        <f>IF(VLOOKUP($D305,$C$5:$AU$493,3,)=0,0,(VLOOKUP($D305,$C$5:$AU$493,24,)/VLOOKUP($D305,$C$5:$AU$493,3,))*$E305)</f>
        <v>0</v>
      </c>
      <c r="AA305" s="67">
        <f>IF(VLOOKUP($D305,$C$5:$AU$493,3,)=0,0,(VLOOKUP($D305,$C$5:$AU$493,25,)/VLOOKUP($D305,$C$5:$AU$493,3,))*$E305)</f>
        <v>0</v>
      </c>
      <c r="AB305" s="67">
        <f>IF(VLOOKUP($D305,$C$5:$AU$493,3,)=0,0,(VLOOKUP($D305,$C$5:$AU$493,26,)/VLOOKUP($D305,$C$5:$AU$493,3,))*$E305)</f>
        <v>0</v>
      </c>
      <c r="AC305" s="67">
        <f>IF(VLOOKUP($D305,$C$5:$AU$493,3,)=0,0,(VLOOKUP($D305,$C$5:$AU$493,27,)/VLOOKUP($D305,$C$5:$AU$493,3,))*$E305)</f>
        <v>0</v>
      </c>
      <c r="AD305" s="67">
        <f>IF(VLOOKUP($D305,$C$5:$AU$493,3,)=0,0,(VLOOKUP($D305,$C$5:$AU$493,28,)/VLOOKUP($D305,$C$5:$AU$493,3,))*$E305)</f>
        <v>0</v>
      </c>
      <c r="AE305" s="67">
        <f>IF(VLOOKUP($D305,$C$5:$AU$493,3,)=0,0,(VLOOKUP($D305,$C$5:$AU$493,29,)/VLOOKUP($D305,$C$5:$AU$493,3,))*$E305)</f>
        <v>0</v>
      </c>
      <c r="AF305" s="67">
        <f>IF(VLOOKUP($D305,$C$5:$AU$493,3,)=0,0,(VLOOKUP($D305,$C$5:$AU$493,30,)/VLOOKUP($D305,$C$5:$AU$493,3,))*$E305)</f>
        <v>0</v>
      </c>
      <c r="AG305" s="90">
        <f>SUM(F305:AF305)</f>
        <v>0</v>
      </c>
      <c r="AH305" s="28" t="str">
        <f>IF(ABS(E305-AG305)&lt;0.01,"ok","err")</f>
        <v>ok</v>
      </c>
    </row>
    <row r="306" spans="1:41" x14ac:dyDescent="0.25">
      <c r="E306" s="50"/>
    </row>
    <row r="307" spans="1:41" x14ac:dyDescent="0.25">
      <c r="A307" s="14" t="s">
        <v>0</v>
      </c>
      <c r="C307" s="14" t="s">
        <v>320</v>
      </c>
      <c r="E307" s="67">
        <f>E277+E280+E283+E288+E293+E296+E299+E302+E305</f>
        <v>44865</v>
      </c>
      <c r="F307" s="67">
        <f t="shared" ref="F307:R307" si="85">F277+F280+F283+F288+F293+F296+F299+F302+F305</f>
        <v>31102.517267541032</v>
      </c>
      <c r="G307" s="67">
        <f t="shared" si="85"/>
        <v>33.039752379191093</v>
      </c>
      <c r="H307" s="67">
        <f t="shared" si="85"/>
        <v>1465.554329797779</v>
      </c>
      <c r="I307" s="67">
        <f t="shared" si="85"/>
        <v>5077.7344562636563</v>
      </c>
      <c r="J307" s="67">
        <f t="shared" si="85"/>
        <v>2129.1701134141258</v>
      </c>
      <c r="K307" s="67">
        <f t="shared" si="85"/>
        <v>2833.5897419682929</v>
      </c>
      <c r="L307" s="67">
        <f t="shared" si="85"/>
        <v>741.33302751741473</v>
      </c>
      <c r="M307" s="67">
        <f t="shared" si="85"/>
        <v>1482.061310081157</v>
      </c>
      <c r="N307" s="67">
        <f t="shared" si="85"/>
        <v>0</v>
      </c>
      <c r="O307" s="67">
        <f t="shared" si="85"/>
        <v>0</v>
      </c>
      <c r="P307" s="67">
        <f t="shared" si="85"/>
        <v>0</v>
      </c>
      <c r="Q307" s="67">
        <f t="shared" si="85"/>
        <v>0</v>
      </c>
      <c r="R307" s="67">
        <f t="shared" si="85"/>
        <v>0</v>
      </c>
      <c r="S307" s="67">
        <f t="shared" ref="S307:AF307" si="86">S277+S283+S288+S293+S296+S299+S302+S305</f>
        <v>0</v>
      </c>
      <c r="T307" s="67">
        <f t="shared" si="86"/>
        <v>0</v>
      </c>
      <c r="U307" s="67">
        <f t="shared" si="86"/>
        <v>0</v>
      </c>
      <c r="V307" s="67">
        <f t="shared" si="86"/>
        <v>0</v>
      </c>
      <c r="W307" s="67">
        <f t="shared" si="86"/>
        <v>0</v>
      </c>
      <c r="X307" s="67">
        <f t="shared" si="86"/>
        <v>0</v>
      </c>
      <c r="Y307" s="67">
        <f t="shared" si="86"/>
        <v>0</v>
      </c>
      <c r="Z307" s="67">
        <f t="shared" si="86"/>
        <v>0</v>
      </c>
      <c r="AA307" s="67">
        <f t="shared" si="86"/>
        <v>0</v>
      </c>
      <c r="AB307" s="67">
        <f t="shared" si="86"/>
        <v>0</v>
      </c>
      <c r="AC307" s="67">
        <f t="shared" si="86"/>
        <v>0</v>
      </c>
      <c r="AD307" s="67">
        <f t="shared" si="86"/>
        <v>0</v>
      </c>
      <c r="AE307" s="67">
        <f t="shared" si="86"/>
        <v>0</v>
      </c>
      <c r="AF307" s="67">
        <f t="shared" si="86"/>
        <v>0</v>
      </c>
      <c r="AG307" s="90">
        <f>SUM(F307:AF307)</f>
        <v>44864.999998962652</v>
      </c>
      <c r="AH307" s="28" t="str">
        <f>IF(ABS(E307-AG307)&lt;0.01,"ok","err")</f>
        <v>ok</v>
      </c>
    </row>
    <row r="308" spans="1:41" x14ac:dyDescent="0.25">
      <c r="E308" s="142">
        <f>E307/$E307</f>
        <v>1</v>
      </c>
      <c r="F308" s="142">
        <f>F307/$E307</f>
        <v>0.69324679076208695</v>
      </c>
      <c r="G308" s="142">
        <f t="shared" ref="G308" si="87">G307/$E307</f>
        <v>7.3642599753017031E-4</v>
      </c>
      <c r="H308" s="142">
        <f t="shared" ref="H308" si="88">H307/$E307</f>
        <v>3.266587161033721E-2</v>
      </c>
      <c r="I308" s="142">
        <f t="shared" ref="I308" si="89">I307/$E307</f>
        <v>0.11317807770564263</v>
      </c>
      <c r="J308" s="142">
        <f t="shared" ref="J308" si="90">J307/$E307</f>
        <v>4.7457263198799192E-2</v>
      </c>
      <c r="K308" s="142">
        <f t="shared" ref="K308" si="91">K307/$E307</f>
        <v>6.3158135338644658E-2</v>
      </c>
      <c r="L308" s="142">
        <f t="shared" ref="L308" si="92">L307/$E307</f>
        <v>1.6523638192743002E-2</v>
      </c>
      <c r="M308" s="48">
        <f t="shared" ref="M308" si="93">M307/$E307</f>
        <v>3.3033797171094552E-2</v>
      </c>
    </row>
    <row r="309" spans="1:41" x14ac:dyDescent="0.25">
      <c r="E309" s="67"/>
      <c r="F309" s="67"/>
      <c r="G309" s="67"/>
      <c r="H309" s="67"/>
      <c r="I309" s="67"/>
      <c r="J309" s="67"/>
      <c r="K309" s="67"/>
      <c r="L309" s="67"/>
      <c r="M309" s="67"/>
      <c r="N309" s="67"/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  <c r="Z309" s="67"/>
      <c r="AA309" s="67"/>
      <c r="AB309" s="67"/>
      <c r="AC309" s="67"/>
      <c r="AD309" s="67"/>
      <c r="AE309" s="67"/>
      <c r="AF309" s="67"/>
      <c r="AG309" s="90"/>
      <c r="AH309" s="28"/>
    </row>
    <row r="310" spans="1:41" x14ac:dyDescent="0.25">
      <c r="A310" s="26" t="s">
        <v>581</v>
      </c>
    </row>
    <row r="311" spans="1:41" x14ac:dyDescent="0.25">
      <c r="E311" s="90"/>
    </row>
    <row r="312" spans="1:41" x14ac:dyDescent="0.25">
      <c r="A312" s="13" t="s">
        <v>321</v>
      </c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AJ312" s="32"/>
      <c r="AK312" s="191"/>
      <c r="AL312" s="32"/>
      <c r="AM312" s="32"/>
      <c r="AN312" s="32"/>
      <c r="AO312" s="32"/>
    </row>
    <row r="313" spans="1:41" x14ac:dyDescent="0.25">
      <c r="A313" s="14" t="s">
        <v>762</v>
      </c>
      <c r="C313" s="14" t="s">
        <v>322</v>
      </c>
      <c r="D313" s="14" t="s">
        <v>560</v>
      </c>
      <c r="E313" s="67">
        <v>54540957</v>
      </c>
      <c r="F313" s="67">
        <f>IF(VLOOKUP($D313,$C$5:$AU$493,3,)=0,0,(VLOOKUP($D313,$C$5:$AU$493,4,)/VLOOKUP($D313,$C$5:$AU$493,3,))*$E313)</f>
        <v>27418413.5771298</v>
      </c>
      <c r="G313" s="67">
        <f>IF(VLOOKUP($D313,$C$5:$AU$493,3,)=0,0,(VLOOKUP($D313,$C$5:$AU$493,5,)/VLOOKUP($D313,$C$5:$AU$493,3,))*$E313)</f>
        <v>15222.544458893321</v>
      </c>
      <c r="H313" s="67">
        <f>IF(VLOOKUP($D313,$C$5:$AU$493,3,)=0,0,(VLOOKUP($D313,$C$5:$AU$493,6,)/VLOOKUP($D313,$C$5:$AU$493,3,))*$E313)</f>
        <v>1930445.141259809</v>
      </c>
      <c r="I313" s="67">
        <f>IF(VLOOKUP($D313,$C$5:$AU$493,3,)=0,0,(VLOOKUP($D313,$C$5:$AU$493,7,)/VLOOKUP($D313,$C$5:$AU$493,3,))*$E313)</f>
        <v>5394291.1165974932</v>
      </c>
      <c r="J313" s="67">
        <f>IF(VLOOKUP($D313,$C$5:$AU$493,3,)=0,0,(VLOOKUP($D313,$C$5:$AU$493,8,)/VLOOKUP($D313,$C$5:$AU$493,3,))*$E313)</f>
        <v>6271292.381955998</v>
      </c>
      <c r="K313" s="67">
        <f>IF(VLOOKUP($D313,$C$5:$AU$493,3,)=0,0,(VLOOKUP($D313,$C$5:$AU$493,9,)/VLOOKUP($D313,$C$5:$AU$493,3,))*$E313)</f>
        <v>10166465.297791356</v>
      </c>
      <c r="L313" s="67">
        <f>IF(VLOOKUP($D313,$C$5:$AU$493,3,)=0,0,(VLOOKUP($D313,$C$5:$AU$493,10,)/VLOOKUP($D313,$C$5:$AU$493,3,))*$E313)</f>
        <v>2712493.4842710462</v>
      </c>
      <c r="M313" s="67">
        <f>IF(VLOOKUP($D313,$C$5:$AU$493,3,)=0,0,(VLOOKUP($D313,$C$5:$AU$493,11,)/VLOOKUP($D313,$C$5:$AU$493,3,))*$E313)</f>
        <v>632333.45653560036</v>
      </c>
      <c r="N313" s="67">
        <f>IF(VLOOKUP($D313,$C$5:$AU$493,3,)=0,0,(VLOOKUP($D313,$C$5:$AU$493,12,)/VLOOKUP($D313,$C$5:$AU$493,3,))*$E313)</f>
        <v>0</v>
      </c>
      <c r="O313" s="67">
        <f>IF(VLOOKUP($D313,$C$5:$AU$493,3,)=0,0,(VLOOKUP($D313,$C$5:$AU$493,13,)/VLOOKUP($D313,$C$5:$AU$493,3,))*$E313)</f>
        <v>0</v>
      </c>
      <c r="P313" s="67">
        <f>IF(VLOOKUP($D313,$C$5:$AU$493,3,)=0,0,(VLOOKUP($D313,$C$5:$AU$493,14,)/VLOOKUP($D313,$C$5:$AU$493,3,))*$E313)</f>
        <v>0</v>
      </c>
      <c r="Q313" s="67">
        <f>IF(VLOOKUP($D313,$C$5:$AU$493,3,)=0,0,(VLOOKUP($D313,$C$5:$AU$493,15,)/VLOOKUP($D313,$C$5:$AU$493,3,))*$E313)</f>
        <v>0</v>
      </c>
      <c r="R313" s="67">
        <f>IF(VLOOKUP($D313,$C$5:$AU$493,3,)=0,0,(VLOOKUP($D313,$C$5:$AU$493,16,)/VLOOKUP($D313,$C$5:$AU$493,3,))*$E313)</f>
        <v>0</v>
      </c>
      <c r="S313" s="67">
        <f>IF(VLOOKUP($D313,$C$5:$AU$493,3,)=0,0,(VLOOKUP($D313,$C$5:$AU$493,17,)/VLOOKUP($D313,$C$5:$AU$493,3,))*$E313)</f>
        <v>0</v>
      </c>
      <c r="T313" s="67">
        <f>IF(VLOOKUP($D313,$C$5:$AU$493,3,)=0,0,(VLOOKUP($D313,$C$5:$AU$493,18,)/VLOOKUP($D313,$C$5:$AU$493,3,))*$E313)</f>
        <v>0</v>
      </c>
      <c r="U313" s="67">
        <f>IF(VLOOKUP($D313,$C$5:$AU$493,3,)=0,0,(VLOOKUP($D313,$C$5:$AU$493,19,)/VLOOKUP($D313,$C$5:$AU$493,3,))*$E313)</f>
        <v>0</v>
      </c>
      <c r="V313" s="67">
        <f>IF(VLOOKUP($D313,$C$5:$AU$493,3,)=0,0,(VLOOKUP($D313,$C$5:$AU$493,20,)/VLOOKUP($D313,$C$5:$AU$493,3,))*$E313)</f>
        <v>0</v>
      </c>
      <c r="W313" s="67">
        <f>IF(VLOOKUP($D313,$C$5:$AU$493,3,)=0,0,(VLOOKUP($D313,$C$5:$AU$493,21,)/VLOOKUP($D313,$C$5:$AU$493,3,))*$E313)</f>
        <v>0</v>
      </c>
      <c r="X313" s="67">
        <f>IF(VLOOKUP($D313,$C$5:$AU$493,3,)=0,0,(VLOOKUP($D313,$C$5:$AU$493,22,)/VLOOKUP($D313,$C$5:$AU$493,3,))*$E313)</f>
        <v>0</v>
      </c>
      <c r="Y313" s="67">
        <f>IF(VLOOKUP($D313,$C$5:$AU$493,3,)=0,0,(VLOOKUP($D313,$C$5:$AU$493,23,)/VLOOKUP($D313,$C$5:$AU$493,3,))*$E313)</f>
        <v>0</v>
      </c>
      <c r="Z313" s="67">
        <f>IF(VLOOKUP($D313,$C$5:$AU$493,3,)=0,0,(VLOOKUP($D313,$C$5:$AU$493,24,)/VLOOKUP($D313,$C$5:$AU$493,3,))*$E313)</f>
        <v>0</v>
      </c>
      <c r="AA313" s="67">
        <f>IF(VLOOKUP($D313,$C$5:$AU$493,3,)=0,0,(VLOOKUP($D313,$C$5:$AU$493,25,)/VLOOKUP($D313,$C$5:$AU$493,3,))*$E313)</f>
        <v>0</v>
      </c>
      <c r="AB313" s="67">
        <f>IF(VLOOKUP($D313,$C$5:$AU$493,3,)=0,0,(VLOOKUP($D313,$C$5:$AU$493,26,)/VLOOKUP($D313,$C$5:$AU$493,3,))*$E313)</f>
        <v>0</v>
      </c>
      <c r="AC313" s="67">
        <f>IF(VLOOKUP($D313,$C$5:$AU$493,3,)=0,0,(VLOOKUP($D313,$C$5:$AU$493,27,)/VLOOKUP($D313,$C$5:$AU$493,3,))*$E313)</f>
        <v>0</v>
      </c>
      <c r="AD313" s="67">
        <f>IF(VLOOKUP($D313,$C$5:$AU$493,3,)=0,0,(VLOOKUP($D313,$C$5:$AU$493,28,)/VLOOKUP($D313,$C$5:$AU$493,3,))*$E313)</f>
        <v>0</v>
      </c>
      <c r="AE313" s="67">
        <f>IF(VLOOKUP($D313,$C$5:$AU$493,3,)=0,0,(VLOOKUP($D313,$C$5:$AU$493,29,)/VLOOKUP($D313,$C$5:$AU$493,3,))*$E313)</f>
        <v>0</v>
      </c>
      <c r="AF313" s="67">
        <f>IF(VLOOKUP($D313,$C$5:$AU$493,3,)=0,0,(VLOOKUP($D313,$C$5:$AU$493,30,)/VLOOKUP($D313,$C$5:$AU$493,3,))*$E313)</f>
        <v>0</v>
      </c>
      <c r="AG313" s="90">
        <f t="shared" ref="AG313:AG314" si="94">SUM(F313:AF313)</f>
        <v>54540956.999999993</v>
      </c>
      <c r="AH313" s="28" t="str">
        <f t="shared" ref="AH313:AH314" si="95">IF(ABS(E313-AG313)&lt;0.01,"ok","err")</f>
        <v>ok</v>
      </c>
      <c r="AJ313" s="192"/>
      <c r="AK313" s="192"/>
      <c r="AL313" s="192"/>
      <c r="AM313" s="192"/>
      <c r="AN313" s="192"/>
      <c r="AO313" s="192"/>
    </row>
    <row r="314" spans="1:41" x14ac:dyDescent="0.25">
      <c r="A314" s="14" t="s">
        <v>763</v>
      </c>
      <c r="D314" s="14" t="s">
        <v>940</v>
      </c>
      <c r="E314" s="67">
        <v>929931</v>
      </c>
      <c r="F314" s="67">
        <f>IF(VLOOKUP($D314,$C$5:$AU$493,3,)=0,0,(VLOOKUP($D314,$C$5:$AU$493,4,)/VLOOKUP($D314,$C$5:$AU$493,3,))*$E314)</f>
        <v>733556.57963062217</v>
      </c>
      <c r="G314" s="67">
        <f>IF(VLOOKUP($D314,$C$5:$AU$493,3,)=0,0,(VLOOKUP($D314,$C$5:$AU$493,5,)/VLOOKUP($D314,$C$5:$AU$493,3,))*$E314)</f>
        <v>407.26636554403456</v>
      </c>
      <c r="H314" s="67">
        <f>IF(VLOOKUP($D314,$C$5:$AU$493,3,)=0,0,(VLOOKUP($D314,$C$5:$AU$493,6,)/VLOOKUP($D314,$C$5:$AU$493,3,))*$E314)</f>
        <v>51647.435071454536</v>
      </c>
      <c r="I314" s="67">
        <f>IF(VLOOKUP($D314,$C$5:$AU$493,3,)=0,0,(VLOOKUP($D314,$C$5:$AU$493,7,)/VLOOKUP($D314,$C$5:$AU$493,3,))*$E314)</f>
        <v>144319.71893237936</v>
      </c>
      <c r="J314" s="67">
        <f>IF(VLOOKUP($D314,$C$5:$AU$493,3,)=0,0,(VLOOKUP($D314,$C$5:$AU$493,8,)/VLOOKUP($D314,$C$5:$AU$493,3,))*$E314)</f>
        <v>0</v>
      </c>
      <c r="K314" s="67">
        <f>IF(VLOOKUP($D314,$C$5:$AU$493,3,)=0,0,(VLOOKUP($D314,$C$5:$AU$493,9,)/VLOOKUP($D314,$C$5:$AU$493,3,))*$E314)</f>
        <v>0</v>
      </c>
      <c r="L314" s="67">
        <f>IF(VLOOKUP($D314,$C$5:$AU$493,3,)=0,0,(VLOOKUP($D314,$C$5:$AU$493,10,)/VLOOKUP($D314,$C$5:$AU$493,3,))*$E314)</f>
        <v>0</v>
      </c>
      <c r="M314" s="67">
        <f>IF(VLOOKUP($D314,$C$5:$AU$493,3,)=0,0,(VLOOKUP($D314,$C$5:$AU$493,11,)/VLOOKUP($D314,$C$5:$AU$493,3,))*$E314)</f>
        <v>0</v>
      </c>
      <c r="N314" s="67">
        <f>IF(VLOOKUP($D314,$C$5:$AU$493,3,)=0,0,(VLOOKUP($D314,$C$5:$AU$493,12,)/VLOOKUP($D314,$C$5:$AU$493,3,))*$E314)</f>
        <v>0</v>
      </c>
      <c r="O314" s="67">
        <f>IF(VLOOKUP($D314,$C$5:$AU$493,3,)=0,0,(VLOOKUP($D314,$C$5:$AU$493,13,)/VLOOKUP($D314,$C$5:$AU$493,3,))*$E314)</f>
        <v>0</v>
      </c>
      <c r="P314" s="67">
        <f>IF(VLOOKUP($D314,$C$5:$AU$493,3,)=0,0,(VLOOKUP($D314,$C$5:$AU$493,14,)/VLOOKUP($D314,$C$5:$AU$493,3,))*$E314)</f>
        <v>0</v>
      </c>
      <c r="Q314" s="67">
        <f>IF(VLOOKUP($D314,$C$5:$AU$493,3,)=0,0,(VLOOKUP($D314,$C$5:$AU$493,15,)/VLOOKUP($D314,$C$5:$AU$493,3,))*$E314)</f>
        <v>0</v>
      </c>
      <c r="R314" s="67">
        <f>IF(VLOOKUP($D314,$C$5:$AU$493,3,)=0,0,(VLOOKUP($D314,$C$5:$AU$493,16,)/VLOOKUP($D314,$C$5:$AU$493,3,))*$E314)</f>
        <v>0</v>
      </c>
      <c r="S314" s="67">
        <f>IF(VLOOKUP($D314,$C$5:$AU$493,3,)=0,0,(VLOOKUP($D314,$C$5:$AU$493,17,)/VLOOKUP($D314,$C$5:$AU$493,3,))*$E314)</f>
        <v>0</v>
      </c>
      <c r="T314" s="67">
        <f>IF(VLOOKUP($D314,$C$5:$AU$493,3,)=0,0,(VLOOKUP($D314,$C$5:$AU$493,18,)/VLOOKUP($D314,$C$5:$AU$493,3,))*$E314)</f>
        <v>0</v>
      </c>
      <c r="U314" s="67">
        <f>IF(VLOOKUP($D314,$C$5:$AU$493,3,)=0,0,(VLOOKUP($D314,$C$5:$AU$493,19,)/VLOOKUP($D314,$C$5:$AU$493,3,))*$E314)</f>
        <v>0</v>
      </c>
      <c r="V314" s="67"/>
      <c r="W314" s="67"/>
      <c r="X314" s="67"/>
      <c r="Y314" s="67"/>
      <c r="Z314" s="67"/>
      <c r="AA314" s="67"/>
      <c r="AB314" s="67"/>
      <c r="AC314" s="67"/>
      <c r="AD314" s="67"/>
      <c r="AE314" s="67"/>
      <c r="AF314" s="67"/>
      <c r="AG314" s="90">
        <f t="shared" si="94"/>
        <v>929931.00000000012</v>
      </c>
      <c r="AH314" s="28" t="str">
        <f t="shared" si="95"/>
        <v>ok</v>
      </c>
      <c r="AJ314" s="192"/>
      <c r="AK314" s="192"/>
      <c r="AL314" s="192"/>
      <c r="AM314" s="192"/>
      <c r="AN314" s="192"/>
      <c r="AO314" s="192"/>
    </row>
    <row r="315" spans="1:41" x14ac:dyDescent="0.25">
      <c r="AG315" s="90"/>
    </row>
    <row r="316" spans="1:41" x14ac:dyDescent="0.25">
      <c r="A316" s="14" t="s">
        <v>323</v>
      </c>
      <c r="C316" s="14" t="s">
        <v>324</v>
      </c>
      <c r="E316" s="90">
        <f t="shared" ref="E316:AF316" si="96">SUM(E313:E315)</f>
        <v>55470888</v>
      </c>
      <c r="F316" s="90">
        <f t="shared" si="96"/>
        <v>28151970.156760421</v>
      </c>
      <c r="G316" s="90">
        <f t="shared" si="96"/>
        <v>15629.810824437354</v>
      </c>
      <c r="H316" s="90">
        <f t="shared" si="96"/>
        <v>1982092.5763312636</v>
      </c>
      <c r="I316" s="90">
        <f t="shared" si="96"/>
        <v>5538610.8355298722</v>
      </c>
      <c r="J316" s="90">
        <f t="shared" si="96"/>
        <v>6271292.381955998</v>
      </c>
      <c r="K316" s="90">
        <f t="shared" si="96"/>
        <v>10166465.297791356</v>
      </c>
      <c r="L316" s="90">
        <f t="shared" si="96"/>
        <v>2712493.4842710462</v>
      </c>
      <c r="M316" s="90">
        <f t="shared" si="96"/>
        <v>632333.45653560036</v>
      </c>
      <c r="N316" s="90">
        <f t="shared" si="96"/>
        <v>0</v>
      </c>
      <c r="O316" s="90">
        <f t="shared" si="96"/>
        <v>0</v>
      </c>
      <c r="P316" s="90">
        <f t="shared" si="96"/>
        <v>0</v>
      </c>
      <c r="Q316" s="90">
        <f t="shared" si="96"/>
        <v>0</v>
      </c>
      <c r="R316" s="90">
        <f t="shared" si="96"/>
        <v>0</v>
      </c>
      <c r="S316" s="90">
        <f t="shared" si="96"/>
        <v>0</v>
      </c>
      <c r="T316" s="90">
        <f t="shared" si="96"/>
        <v>0</v>
      </c>
      <c r="U316" s="90">
        <f t="shared" si="96"/>
        <v>0</v>
      </c>
      <c r="V316" s="90">
        <f t="shared" si="96"/>
        <v>0</v>
      </c>
      <c r="W316" s="90">
        <f t="shared" si="96"/>
        <v>0</v>
      </c>
      <c r="X316" s="90">
        <f t="shared" si="96"/>
        <v>0</v>
      </c>
      <c r="Y316" s="90">
        <f t="shared" si="96"/>
        <v>0</v>
      </c>
      <c r="Z316" s="90">
        <f t="shared" si="96"/>
        <v>0</v>
      </c>
      <c r="AA316" s="90">
        <f t="shared" si="96"/>
        <v>0</v>
      </c>
      <c r="AB316" s="90">
        <f t="shared" si="96"/>
        <v>0</v>
      </c>
      <c r="AC316" s="90">
        <f t="shared" si="96"/>
        <v>0</v>
      </c>
      <c r="AD316" s="90">
        <f t="shared" si="96"/>
        <v>0</v>
      </c>
      <c r="AE316" s="90">
        <f t="shared" si="96"/>
        <v>0</v>
      </c>
      <c r="AF316" s="90">
        <f t="shared" si="96"/>
        <v>0</v>
      </c>
      <c r="AG316" s="90">
        <f>SUM(F316:AF316)</f>
        <v>55470888</v>
      </c>
      <c r="AH316" s="28" t="str">
        <f>IF(ABS(E316-AG316)&lt;0.01,"ok","err")</f>
        <v>ok</v>
      </c>
    </row>
    <row r="318" spans="1:41" x14ac:dyDescent="0.25">
      <c r="A318" s="13" t="s">
        <v>325</v>
      </c>
      <c r="AJ318" s="32"/>
      <c r="AK318" s="191"/>
      <c r="AL318" s="32"/>
      <c r="AM318" s="32"/>
      <c r="AN318" s="32"/>
      <c r="AO318" s="32"/>
    </row>
    <row r="319" spans="1:41" x14ac:dyDescent="0.25">
      <c r="A319" s="93" t="s">
        <v>326</v>
      </c>
      <c r="E319" s="90">
        <f t="shared" ref="E319:AF319" si="97">E155</f>
        <v>48926296.18</v>
      </c>
      <c r="F319" s="90">
        <f t="shared" si="97"/>
        <v>25949799.724782027</v>
      </c>
      <c r="G319" s="90">
        <f t="shared" si="97"/>
        <v>19786.262075926206</v>
      </c>
      <c r="H319" s="90">
        <f t="shared" si="97"/>
        <v>1724600.9116463983</v>
      </c>
      <c r="I319" s="90">
        <f t="shared" si="97"/>
        <v>4329120.5966987349</v>
      </c>
      <c r="J319" s="90">
        <f t="shared" si="97"/>
        <v>5568843.4187871367</v>
      </c>
      <c r="K319" s="90">
        <f t="shared" si="97"/>
        <v>8666908.7189576011</v>
      </c>
      <c r="L319" s="90">
        <f t="shared" si="97"/>
        <v>2483738.4801898082</v>
      </c>
      <c r="M319" s="90">
        <f t="shared" si="97"/>
        <v>183498.06683551881</v>
      </c>
      <c r="N319" s="90">
        <f t="shared" si="97"/>
        <v>0</v>
      </c>
      <c r="O319" s="90">
        <f t="shared" si="97"/>
        <v>0</v>
      </c>
      <c r="P319" s="90">
        <f t="shared" si="97"/>
        <v>0</v>
      </c>
      <c r="Q319" s="90">
        <f t="shared" si="97"/>
        <v>0</v>
      </c>
      <c r="R319" s="90">
        <f t="shared" si="97"/>
        <v>0</v>
      </c>
      <c r="S319" s="90">
        <f t="shared" si="97"/>
        <v>0</v>
      </c>
      <c r="T319" s="90">
        <f t="shared" si="97"/>
        <v>0</v>
      </c>
      <c r="U319" s="90">
        <f t="shared" si="97"/>
        <v>0</v>
      </c>
      <c r="V319" s="90">
        <f t="shared" si="97"/>
        <v>0</v>
      </c>
      <c r="W319" s="90">
        <f t="shared" si="97"/>
        <v>0</v>
      </c>
      <c r="X319" s="90">
        <f t="shared" si="97"/>
        <v>0</v>
      </c>
      <c r="Y319" s="90">
        <f t="shared" si="97"/>
        <v>0</v>
      </c>
      <c r="Z319" s="90">
        <f t="shared" si="97"/>
        <v>0</v>
      </c>
      <c r="AA319" s="90">
        <f t="shared" si="97"/>
        <v>0</v>
      </c>
      <c r="AB319" s="90">
        <f t="shared" si="97"/>
        <v>0</v>
      </c>
      <c r="AC319" s="90">
        <f t="shared" si="97"/>
        <v>0</v>
      </c>
      <c r="AD319" s="90">
        <f t="shared" si="97"/>
        <v>0</v>
      </c>
      <c r="AE319" s="90">
        <f t="shared" si="97"/>
        <v>0</v>
      </c>
      <c r="AF319" s="90">
        <f t="shared" si="97"/>
        <v>0</v>
      </c>
      <c r="AG319" s="90">
        <f>SUM(F319:AF319)</f>
        <v>48926296.179973155</v>
      </c>
      <c r="AH319" s="28" t="str">
        <f>IF(ABS(E319-AG319)&lt;0.01,"ok","err")</f>
        <v>ok</v>
      </c>
      <c r="AI319" s="68">
        <f>M319/AG319</f>
        <v>3.7504998571837424E-3</v>
      </c>
      <c r="AJ319" s="192"/>
      <c r="AK319" s="192"/>
      <c r="AL319" s="192"/>
      <c r="AM319" s="192"/>
      <c r="AN319" s="192"/>
      <c r="AO319" s="192"/>
    </row>
    <row r="320" spans="1:41" x14ac:dyDescent="0.25">
      <c r="A320" s="93" t="s">
        <v>327</v>
      </c>
      <c r="E320" s="50">
        <f t="shared" ref="E320:AF320" si="98">E231</f>
        <v>3919632.9999999995</v>
      </c>
      <c r="F320" s="50">
        <f t="shared" si="98"/>
        <v>2717272.9982151715</v>
      </c>
      <c r="G320" s="50">
        <f t="shared" si="98"/>
        <v>2886.5196419771733</v>
      </c>
      <c r="H320" s="50">
        <f t="shared" si="98"/>
        <v>128038.22833764087</v>
      </c>
      <c r="I320" s="50">
        <f t="shared" si="98"/>
        <v>443616.52825160121</v>
      </c>
      <c r="J320" s="50">
        <f t="shared" si="98"/>
        <v>186015.05492369895</v>
      </c>
      <c r="K320" s="50">
        <f t="shared" si="98"/>
        <v>247556.71149181787</v>
      </c>
      <c r="L320" s="50">
        <f t="shared" si="98"/>
        <v>64766.597540335846</v>
      </c>
      <c r="M320" s="50">
        <f t="shared" si="98"/>
        <v>129480.36150712884</v>
      </c>
      <c r="N320" s="50">
        <f t="shared" si="98"/>
        <v>0</v>
      </c>
      <c r="O320" s="50">
        <f t="shared" si="98"/>
        <v>0</v>
      </c>
      <c r="P320" s="50">
        <f t="shared" si="98"/>
        <v>0</v>
      </c>
      <c r="Q320" s="50">
        <f t="shared" si="98"/>
        <v>0</v>
      </c>
      <c r="R320" s="50">
        <f t="shared" si="98"/>
        <v>0</v>
      </c>
      <c r="S320" s="50">
        <f t="shared" si="98"/>
        <v>0</v>
      </c>
      <c r="T320" s="50">
        <f t="shared" si="98"/>
        <v>0</v>
      </c>
      <c r="U320" s="50">
        <f t="shared" si="98"/>
        <v>0</v>
      </c>
      <c r="V320" s="50">
        <f t="shared" si="98"/>
        <v>0</v>
      </c>
      <c r="W320" s="50">
        <f t="shared" si="98"/>
        <v>0</v>
      </c>
      <c r="X320" s="50">
        <f t="shared" si="98"/>
        <v>0</v>
      </c>
      <c r="Y320" s="50">
        <f t="shared" si="98"/>
        <v>0</v>
      </c>
      <c r="Z320" s="50">
        <f t="shared" si="98"/>
        <v>0</v>
      </c>
      <c r="AA320" s="50">
        <f t="shared" si="98"/>
        <v>0</v>
      </c>
      <c r="AB320" s="50">
        <f t="shared" si="98"/>
        <v>0</v>
      </c>
      <c r="AC320" s="50">
        <f t="shared" si="98"/>
        <v>0</v>
      </c>
      <c r="AD320" s="50">
        <f t="shared" si="98"/>
        <v>0</v>
      </c>
      <c r="AE320" s="50">
        <f t="shared" si="98"/>
        <v>0</v>
      </c>
      <c r="AF320" s="50">
        <f t="shared" si="98"/>
        <v>0</v>
      </c>
      <c r="AG320" s="90">
        <f>SUM(F320:AF320)</f>
        <v>3919632.9999093725</v>
      </c>
      <c r="AH320" s="28" t="str">
        <f>IF(ABS(E320-AG320)&lt;0.01,"ok","err")</f>
        <v>ok</v>
      </c>
      <c r="AI320" s="68">
        <f t="shared" ref="AI320:AI328" si="99">M320/AG320</f>
        <v>3.3033797171858337E-2</v>
      </c>
      <c r="AJ320" s="192"/>
      <c r="AK320" s="192"/>
      <c r="AL320" s="192"/>
      <c r="AM320" s="192"/>
      <c r="AN320" s="192"/>
      <c r="AO320" s="192"/>
    </row>
    <row r="321" spans="1:41" x14ac:dyDescent="0.25">
      <c r="A321" s="93" t="s">
        <v>328</v>
      </c>
      <c r="D321" s="14" t="s">
        <v>246</v>
      </c>
      <c r="E321" s="50">
        <f t="shared" ref="E321:AF321" si="100">E269</f>
        <v>0</v>
      </c>
      <c r="F321" s="50">
        <f t="shared" si="100"/>
        <v>0</v>
      </c>
      <c r="G321" s="50">
        <f t="shared" si="100"/>
        <v>0</v>
      </c>
      <c r="H321" s="50">
        <f t="shared" si="100"/>
        <v>0</v>
      </c>
      <c r="I321" s="50">
        <f t="shared" si="100"/>
        <v>0</v>
      </c>
      <c r="J321" s="50">
        <f t="shared" si="100"/>
        <v>0</v>
      </c>
      <c r="K321" s="50">
        <f t="shared" si="100"/>
        <v>0</v>
      </c>
      <c r="L321" s="50">
        <f t="shared" si="100"/>
        <v>0</v>
      </c>
      <c r="M321" s="50">
        <f t="shared" si="100"/>
        <v>0</v>
      </c>
      <c r="N321" s="50">
        <f t="shared" si="100"/>
        <v>0</v>
      </c>
      <c r="O321" s="50">
        <f t="shared" si="100"/>
        <v>0</v>
      </c>
      <c r="P321" s="50">
        <f t="shared" si="100"/>
        <v>0</v>
      </c>
      <c r="Q321" s="50">
        <f t="shared" si="100"/>
        <v>0</v>
      </c>
      <c r="R321" s="50">
        <f t="shared" si="100"/>
        <v>0</v>
      </c>
      <c r="S321" s="50">
        <f t="shared" si="100"/>
        <v>0</v>
      </c>
      <c r="T321" s="50">
        <f t="shared" si="100"/>
        <v>0</v>
      </c>
      <c r="U321" s="50">
        <f t="shared" si="100"/>
        <v>0</v>
      </c>
      <c r="V321" s="50">
        <f t="shared" si="100"/>
        <v>0</v>
      </c>
      <c r="W321" s="50">
        <f t="shared" si="100"/>
        <v>0</v>
      </c>
      <c r="X321" s="50">
        <f t="shared" si="100"/>
        <v>0</v>
      </c>
      <c r="Y321" s="50">
        <f t="shared" si="100"/>
        <v>0</v>
      </c>
      <c r="Z321" s="50">
        <f t="shared" si="100"/>
        <v>0</v>
      </c>
      <c r="AA321" s="50">
        <f t="shared" si="100"/>
        <v>0</v>
      </c>
      <c r="AB321" s="50">
        <f t="shared" si="100"/>
        <v>0</v>
      </c>
      <c r="AC321" s="50">
        <f t="shared" si="100"/>
        <v>0</v>
      </c>
      <c r="AD321" s="50">
        <f t="shared" si="100"/>
        <v>0</v>
      </c>
      <c r="AE321" s="50">
        <f t="shared" si="100"/>
        <v>0</v>
      </c>
      <c r="AF321" s="50">
        <f t="shared" si="100"/>
        <v>0</v>
      </c>
      <c r="AG321" s="90">
        <f>SUM(F321:AF321)</f>
        <v>0</v>
      </c>
      <c r="AH321" s="28" t="str">
        <f>IF(ABS(E321-AG321)&lt;0.01,"ok","err")</f>
        <v>ok</v>
      </c>
      <c r="AI321" s="68"/>
      <c r="AJ321" s="192"/>
      <c r="AK321" s="192"/>
      <c r="AL321" s="192"/>
      <c r="AM321" s="192"/>
      <c r="AN321" s="192"/>
      <c r="AO321" s="192"/>
    </row>
    <row r="322" spans="1:41" x14ac:dyDescent="0.25">
      <c r="A322" s="93" t="s">
        <v>329</v>
      </c>
      <c r="E322" s="50">
        <f t="shared" ref="E322:AF322" si="101">E307</f>
        <v>44865</v>
      </c>
      <c r="F322" s="50">
        <f t="shared" si="101"/>
        <v>31102.517267541032</v>
      </c>
      <c r="G322" s="50">
        <f t="shared" si="101"/>
        <v>33.039752379191093</v>
      </c>
      <c r="H322" s="50">
        <f t="shared" si="101"/>
        <v>1465.554329797779</v>
      </c>
      <c r="I322" s="50">
        <f t="shared" si="101"/>
        <v>5077.7344562636563</v>
      </c>
      <c r="J322" s="50">
        <f t="shared" si="101"/>
        <v>2129.1701134141258</v>
      </c>
      <c r="K322" s="50">
        <f t="shared" si="101"/>
        <v>2833.5897419682929</v>
      </c>
      <c r="L322" s="50">
        <f t="shared" si="101"/>
        <v>741.33302751741473</v>
      </c>
      <c r="M322" s="50">
        <f t="shared" si="101"/>
        <v>1482.061310081157</v>
      </c>
      <c r="N322" s="50">
        <f t="shared" si="101"/>
        <v>0</v>
      </c>
      <c r="O322" s="50">
        <f t="shared" si="101"/>
        <v>0</v>
      </c>
      <c r="P322" s="50">
        <f t="shared" si="101"/>
        <v>0</v>
      </c>
      <c r="Q322" s="50">
        <f t="shared" si="101"/>
        <v>0</v>
      </c>
      <c r="R322" s="50">
        <f t="shared" si="101"/>
        <v>0</v>
      </c>
      <c r="S322" s="50">
        <f t="shared" si="101"/>
        <v>0</v>
      </c>
      <c r="T322" s="50">
        <f t="shared" si="101"/>
        <v>0</v>
      </c>
      <c r="U322" s="50">
        <f t="shared" si="101"/>
        <v>0</v>
      </c>
      <c r="V322" s="50">
        <f t="shared" si="101"/>
        <v>0</v>
      </c>
      <c r="W322" s="50">
        <f t="shared" si="101"/>
        <v>0</v>
      </c>
      <c r="X322" s="50">
        <f t="shared" si="101"/>
        <v>0</v>
      </c>
      <c r="Y322" s="50">
        <f t="shared" si="101"/>
        <v>0</v>
      </c>
      <c r="Z322" s="50">
        <f t="shared" si="101"/>
        <v>0</v>
      </c>
      <c r="AA322" s="50">
        <f t="shared" si="101"/>
        <v>0</v>
      </c>
      <c r="AB322" s="50">
        <f t="shared" si="101"/>
        <v>0</v>
      </c>
      <c r="AC322" s="50">
        <f t="shared" si="101"/>
        <v>0</v>
      </c>
      <c r="AD322" s="50">
        <f t="shared" si="101"/>
        <v>0</v>
      </c>
      <c r="AE322" s="50">
        <f t="shared" si="101"/>
        <v>0</v>
      </c>
      <c r="AF322" s="50">
        <f t="shared" si="101"/>
        <v>0</v>
      </c>
      <c r="AG322" s="90">
        <f>SUM(F322:AF322)</f>
        <v>44864.999998962652</v>
      </c>
      <c r="AH322" s="28" t="str">
        <f>IF(ABS(E322-AG322)&lt;0.01,"ok","err")</f>
        <v>ok</v>
      </c>
      <c r="AI322" s="68">
        <f t="shared" si="99"/>
        <v>3.3033797171858344E-2</v>
      </c>
      <c r="AJ322" s="192"/>
      <c r="AK322" s="192"/>
      <c r="AL322" s="192"/>
      <c r="AM322" s="192"/>
      <c r="AN322" s="192"/>
      <c r="AO322" s="192"/>
    </row>
    <row r="323" spans="1:41" x14ac:dyDescent="0.25">
      <c r="A323" s="93"/>
      <c r="AG323" s="90"/>
      <c r="AH323" s="28"/>
      <c r="AI323" s="68"/>
      <c r="AJ323" s="192"/>
      <c r="AK323" s="192"/>
      <c r="AL323" s="192"/>
      <c r="AM323" s="192"/>
      <c r="AN323" s="192"/>
      <c r="AO323" s="192"/>
    </row>
    <row r="324" spans="1:41" x14ac:dyDescent="0.25">
      <c r="A324" s="14" t="s">
        <v>330</v>
      </c>
      <c r="C324" s="14" t="s">
        <v>196</v>
      </c>
      <c r="E324" s="90">
        <f t="shared" ref="E324:T324" si="102">SUM(E319:E323)</f>
        <v>52890794.18</v>
      </c>
      <c r="F324" s="90">
        <f t="shared" si="102"/>
        <v>28698175.24026474</v>
      </c>
      <c r="G324" s="90">
        <f t="shared" si="102"/>
        <v>22705.821470282572</v>
      </c>
      <c r="H324" s="90">
        <f t="shared" si="102"/>
        <v>1854104.694313837</v>
      </c>
      <c r="I324" s="90">
        <f t="shared" si="102"/>
        <v>4777814.8594065998</v>
      </c>
      <c r="J324" s="90">
        <f t="shared" si="102"/>
        <v>5756987.6438242504</v>
      </c>
      <c r="K324" s="90">
        <f t="shared" si="102"/>
        <v>8917299.0201913863</v>
      </c>
      <c r="L324" s="90">
        <f t="shared" si="102"/>
        <v>2549246.4107576613</v>
      </c>
      <c r="M324" s="90">
        <f t="shared" si="102"/>
        <v>314460.48965272878</v>
      </c>
      <c r="N324" s="90">
        <f t="shared" si="102"/>
        <v>0</v>
      </c>
      <c r="O324" s="90">
        <f t="shared" si="102"/>
        <v>0</v>
      </c>
      <c r="P324" s="90">
        <f t="shared" si="102"/>
        <v>0</v>
      </c>
      <c r="Q324" s="90">
        <f t="shared" si="102"/>
        <v>0</v>
      </c>
      <c r="R324" s="90">
        <f t="shared" si="102"/>
        <v>0</v>
      </c>
      <c r="S324" s="90">
        <f t="shared" si="102"/>
        <v>0</v>
      </c>
      <c r="T324" s="90">
        <f t="shared" si="102"/>
        <v>0</v>
      </c>
      <c r="U324" s="90">
        <f t="shared" ref="U324:AF324" si="103">SUM(U319:U323)</f>
        <v>0</v>
      </c>
      <c r="V324" s="90">
        <f t="shared" si="103"/>
        <v>0</v>
      </c>
      <c r="W324" s="90">
        <f t="shared" si="103"/>
        <v>0</v>
      </c>
      <c r="X324" s="90">
        <f t="shared" si="103"/>
        <v>0</v>
      </c>
      <c r="Y324" s="90">
        <f t="shared" si="103"/>
        <v>0</v>
      </c>
      <c r="Z324" s="90">
        <f t="shared" si="103"/>
        <v>0</v>
      </c>
      <c r="AA324" s="90">
        <f t="shared" si="103"/>
        <v>0</v>
      </c>
      <c r="AB324" s="90">
        <f t="shared" si="103"/>
        <v>0</v>
      </c>
      <c r="AC324" s="90">
        <f t="shared" si="103"/>
        <v>0</v>
      </c>
      <c r="AD324" s="90">
        <f t="shared" si="103"/>
        <v>0</v>
      </c>
      <c r="AE324" s="90">
        <f t="shared" si="103"/>
        <v>0</v>
      </c>
      <c r="AF324" s="90">
        <f t="shared" si="103"/>
        <v>0</v>
      </c>
      <c r="AG324" s="90">
        <f>SUM(F324:AF324)</f>
        <v>52890794.179881483</v>
      </c>
      <c r="AH324" s="28" t="str">
        <f>IF(ABS(E324-AG324)&lt;0.01,"ok","err")</f>
        <v>ok</v>
      </c>
      <c r="AI324" s="68">
        <f t="shared" si="99"/>
        <v>5.9454673450969426E-3</v>
      </c>
      <c r="AJ324" s="192"/>
      <c r="AK324" s="192"/>
      <c r="AL324" s="192"/>
      <c r="AM324" s="192"/>
      <c r="AN324" s="192"/>
      <c r="AO324" s="192"/>
    </row>
    <row r="325" spans="1:41" x14ac:dyDescent="0.25">
      <c r="A325" s="93"/>
      <c r="AI325" s="68"/>
    </row>
    <row r="326" spans="1:41" x14ac:dyDescent="0.25">
      <c r="A326" s="14" t="s">
        <v>331</v>
      </c>
      <c r="C326" s="14" t="s">
        <v>181</v>
      </c>
      <c r="E326" s="90">
        <f>E316-E324</f>
        <v>2580093.8200000003</v>
      </c>
      <c r="F326" s="90">
        <f t="shared" ref="F326:R326" si="104">F316-F324</f>
        <v>-546205.08350431919</v>
      </c>
      <c r="G326" s="90">
        <f t="shared" si="104"/>
        <v>-7076.0106458452174</v>
      </c>
      <c r="H326" s="90">
        <f t="shared" si="104"/>
        <v>127987.88201742666</v>
      </c>
      <c r="I326" s="90">
        <f t="shared" si="104"/>
        <v>760795.97612327244</v>
      </c>
      <c r="J326" s="90">
        <f t="shared" si="104"/>
        <v>514304.73813174758</v>
      </c>
      <c r="K326" s="90">
        <f t="shared" si="104"/>
        <v>1249166.2775999699</v>
      </c>
      <c r="L326" s="90">
        <f t="shared" si="104"/>
        <v>163247.07351338491</v>
      </c>
      <c r="M326" s="90">
        <f t="shared" si="104"/>
        <v>317872.96688287158</v>
      </c>
      <c r="N326" s="90">
        <f t="shared" si="104"/>
        <v>0</v>
      </c>
      <c r="O326" s="90">
        <f t="shared" si="104"/>
        <v>0</v>
      </c>
      <c r="P326" s="90">
        <f t="shared" si="104"/>
        <v>0</v>
      </c>
      <c r="Q326" s="90">
        <f>Q316-Q324</f>
        <v>0</v>
      </c>
      <c r="R326" s="90">
        <f t="shared" si="104"/>
        <v>0</v>
      </c>
      <c r="S326" s="90">
        <f>S316-S324</f>
        <v>0</v>
      </c>
      <c r="T326" s="90">
        <f>T316-T324</f>
        <v>0</v>
      </c>
      <c r="U326" s="90">
        <f t="shared" ref="U326:AF326" si="105">U316-U324</f>
        <v>0</v>
      </c>
      <c r="V326" s="90">
        <f t="shared" si="105"/>
        <v>0</v>
      </c>
      <c r="W326" s="90">
        <f t="shared" si="105"/>
        <v>0</v>
      </c>
      <c r="X326" s="90">
        <f t="shared" si="105"/>
        <v>0</v>
      </c>
      <c r="Y326" s="90">
        <f t="shared" si="105"/>
        <v>0</v>
      </c>
      <c r="Z326" s="90">
        <f t="shared" si="105"/>
        <v>0</v>
      </c>
      <c r="AA326" s="90">
        <f t="shared" si="105"/>
        <v>0</v>
      </c>
      <c r="AB326" s="90">
        <f t="shared" si="105"/>
        <v>0</v>
      </c>
      <c r="AC326" s="90">
        <f t="shared" si="105"/>
        <v>0</v>
      </c>
      <c r="AD326" s="90">
        <f t="shared" si="105"/>
        <v>0</v>
      </c>
      <c r="AE326" s="90">
        <f t="shared" si="105"/>
        <v>0</v>
      </c>
      <c r="AF326" s="90">
        <f t="shared" si="105"/>
        <v>0</v>
      </c>
      <c r="AG326" s="90">
        <f>SUM(F326:AF326)</f>
        <v>2580093.8201185083</v>
      </c>
      <c r="AH326" s="28" t="str">
        <f>IF(ABS(E326-AG326)&lt;0.01,"ok","err")</f>
        <v>ok</v>
      </c>
      <c r="AI326" s="68">
        <f t="shared" si="99"/>
        <v>0.1232020961424849</v>
      </c>
    </row>
    <row r="327" spans="1:41" x14ac:dyDescent="0.25">
      <c r="AI327" s="68"/>
    </row>
    <row r="328" spans="1:41" x14ac:dyDescent="0.25">
      <c r="A328" s="13" t="s">
        <v>247</v>
      </c>
      <c r="E328" s="90">
        <f t="shared" ref="E328:AF328" si="106">E117</f>
        <v>90562883.879807696</v>
      </c>
      <c r="F328" s="90">
        <f t="shared" si="106"/>
        <v>62800668.179839551</v>
      </c>
      <c r="G328" s="90">
        <f t="shared" si="106"/>
        <v>66720.427183814187</v>
      </c>
      <c r="H328" s="90">
        <f t="shared" si="106"/>
        <v>2959292.9884449947</v>
      </c>
      <c r="I328" s="90">
        <f t="shared" si="106"/>
        <v>10253680.408332247</v>
      </c>
      <c r="J328" s="90">
        <f t="shared" si="106"/>
        <v>4297128.2448560596</v>
      </c>
      <c r="K328" s="90">
        <f t="shared" si="106"/>
        <v>5719861.2777235387</v>
      </c>
      <c r="L328" s="90">
        <f t="shared" si="106"/>
        <v>1496439.8088717931</v>
      </c>
      <c r="M328" s="90">
        <f t="shared" si="106"/>
        <v>2969092.542478492</v>
      </c>
      <c r="N328" s="90">
        <f t="shared" si="106"/>
        <v>0</v>
      </c>
      <c r="O328" s="90">
        <f t="shared" si="106"/>
        <v>0</v>
      </c>
      <c r="P328" s="90">
        <f t="shared" si="106"/>
        <v>0</v>
      </c>
      <c r="Q328" s="90">
        <f t="shared" si="106"/>
        <v>0</v>
      </c>
      <c r="R328" s="90">
        <f t="shared" si="106"/>
        <v>0</v>
      </c>
      <c r="S328" s="90">
        <f t="shared" si="106"/>
        <v>0</v>
      </c>
      <c r="T328" s="90">
        <f t="shared" si="106"/>
        <v>0</v>
      </c>
      <c r="U328" s="90">
        <f t="shared" si="106"/>
        <v>0</v>
      </c>
      <c r="V328" s="90">
        <f t="shared" si="106"/>
        <v>0</v>
      </c>
      <c r="W328" s="90">
        <f t="shared" si="106"/>
        <v>0</v>
      </c>
      <c r="X328" s="90">
        <f t="shared" si="106"/>
        <v>0</v>
      </c>
      <c r="Y328" s="90">
        <f t="shared" si="106"/>
        <v>0</v>
      </c>
      <c r="Z328" s="90">
        <f t="shared" si="106"/>
        <v>0</v>
      </c>
      <c r="AA328" s="90">
        <f t="shared" si="106"/>
        <v>0</v>
      </c>
      <c r="AB328" s="90">
        <f t="shared" si="106"/>
        <v>0</v>
      </c>
      <c r="AC328" s="90">
        <f t="shared" si="106"/>
        <v>0</v>
      </c>
      <c r="AD328" s="90">
        <f t="shared" si="106"/>
        <v>0</v>
      </c>
      <c r="AE328" s="90">
        <f t="shared" si="106"/>
        <v>0</v>
      </c>
      <c r="AF328" s="90">
        <f t="shared" si="106"/>
        <v>0</v>
      </c>
      <c r="AG328" s="90">
        <f>SUM(F328:AF328)</f>
        <v>90562883.877730474</v>
      </c>
      <c r="AH328" s="28" t="str">
        <f>IF(ABS(E328-AG328)&lt;0.01,"ok","err")</f>
        <v>ok</v>
      </c>
      <c r="AI328" s="68">
        <f t="shared" si="99"/>
        <v>3.278487185199494E-2</v>
      </c>
    </row>
    <row r="329" spans="1:41" ht="13.8" thickBot="1" x14ac:dyDescent="0.3"/>
    <row r="330" spans="1:41" s="13" customFormat="1" ht="13.8" thickBot="1" x14ac:dyDescent="0.3">
      <c r="A330" s="193" t="s">
        <v>332</v>
      </c>
      <c r="B330" s="194"/>
      <c r="C330" s="194"/>
      <c r="D330" s="194"/>
      <c r="E330" s="100">
        <f>E326/E328</f>
        <v>2.8489528043566085E-2</v>
      </c>
      <c r="F330" s="100">
        <f t="shared" ref="F330:R330" si="107">F326/F328</f>
        <v>-8.6974406377361355E-3</v>
      </c>
      <c r="G330" s="100">
        <f t="shared" si="107"/>
        <v>-0.10605463640619192</v>
      </c>
      <c r="H330" s="100">
        <f t="shared" si="107"/>
        <v>4.3249479695716048E-2</v>
      </c>
      <c r="I330" s="100">
        <f t="shared" si="107"/>
        <v>7.419735605422631E-2</v>
      </c>
      <c r="J330" s="100">
        <f t="shared" si="107"/>
        <v>0.11968568514272378</v>
      </c>
      <c r="K330" s="100">
        <f t="shared" si="107"/>
        <v>0.21839100931782188</v>
      </c>
      <c r="L330" s="100">
        <f t="shared" si="107"/>
        <v>0.10909030389699492</v>
      </c>
      <c r="M330" s="100">
        <f t="shared" si="107"/>
        <v>0.10706064642145598</v>
      </c>
      <c r="N330" s="100" t="e">
        <f t="shared" si="107"/>
        <v>#DIV/0!</v>
      </c>
      <c r="O330" s="100" t="e">
        <f t="shared" si="107"/>
        <v>#DIV/0!</v>
      </c>
      <c r="P330" s="100" t="e">
        <f t="shared" si="107"/>
        <v>#DIV/0!</v>
      </c>
      <c r="Q330" s="100" t="e">
        <f>Q326/Q328</f>
        <v>#DIV/0!</v>
      </c>
      <c r="R330" s="100" t="e">
        <f t="shared" si="107"/>
        <v>#DIV/0!</v>
      </c>
      <c r="S330" s="100" t="e">
        <f>S326/S328</f>
        <v>#DIV/0!</v>
      </c>
      <c r="T330" s="100" t="e">
        <f>T326/T328</f>
        <v>#DIV/0!</v>
      </c>
      <c r="U330" s="100" t="e">
        <f t="shared" ref="U330:AG330" si="108">U326/U328</f>
        <v>#DIV/0!</v>
      </c>
      <c r="V330" s="100" t="e">
        <f t="shared" si="108"/>
        <v>#DIV/0!</v>
      </c>
      <c r="W330" s="100" t="e">
        <f t="shared" si="108"/>
        <v>#DIV/0!</v>
      </c>
      <c r="X330" s="100" t="e">
        <f t="shared" si="108"/>
        <v>#DIV/0!</v>
      </c>
      <c r="Y330" s="100" t="e">
        <f t="shared" si="108"/>
        <v>#DIV/0!</v>
      </c>
      <c r="Z330" s="100" t="e">
        <f t="shared" si="108"/>
        <v>#DIV/0!</v>
      </c>
      <c r="AA330" s="100" t="e">
        <f t="shared" si="108"/>
        <v>#DIV/0!</v>
      </c>
      <c r="AB330" s="100" t="e">
        <f t="shared" si="108"/>
        <v>#DIV/0!</v>
      </c>
      <c r="AC330" s="100" t="e">
        <f t="shared" si="108"/>
        <v>#DIV/0!</v>
      </c>
      <c r="AD330" s="100" t="e">
        <f t="shared" si="108"/>
        <v>#DIV/0!</v>
      </c>
      <c r="AE330" s="100" t="e">
        <f t="shared" si="108"/>
        <v>#DIV/0!</v>
      </c>
      <c r="AF330" s="100" t="e">
        <f t="shared" si="108"/>
        <v>#DIV/0!</v>
      </c>
      <c r="AG330" s="100">
        <f t="shared" si="108"/>
        <v>2.8489528045528116E-2</v>
      </c>
      <c r="AH330" s="28" t="str">
        <f>IF(ABS(E330-AG330)&lt;0.01,"ok","err")</f>
        <v>ok</v>
      </c>
      <c r="AK330" s="195"/>
    </row>
    <row r="331" spans="1:41" s="13" customFormat="1" x14ac:dyDescent="0.25">
      <c r="A331" s="13" t="s">
        <v>936</v>
      </c>
      <c r="E331" s="196">
        <f>E330/$E$330</f>
        <v>1</v>
      </c>
      <c r="F331" s="196">
        <f t="shared" ref="F331:AF331" si="109">F330/$E$330</f>
        <v>-0.30528552892964883</v>
      </c>
      <c r="G331" s="196">
        <f t="shared" si="109"/>
        <v>-3.7225831275271934</v>
      </c>
      <c r="H331" s="196">
        <f t="shared" si="109"/>
        <v>1.5180834034729918</v>
      </c>
      <c r="I331" s="196">
        <f t="shared" si="109"/>
        <v>2.6043729450612161</v>
      </c>
      <c r="J331" s="196">
        <f t="shared" si="109"/>
        <v>4.2010413426189741</v>
      </c>
      <c r="K331" s="196">
        <f t="shared" si="109"/>
        <v>7.6656590794996369</v>
      </c>
      <c r="L331" s="196">
        <f t="shared" si="109"/>
        <v>3.8291369281433663</v>
      </c>
      <c r="M331" s="196">
        <f t="shared" si="109"/>
        <v>3.7578946993344089</v>
      </c>
      <c r="N331" s="196" t="e">
        <f t="shared" si="109"/>
        <v>#DIV/0!</v>
      </c>
      <c r="O331" s="196" t="e">
        <f t="shared" si="109"/>
        <v>#DIV/0!</v>
      </c>
      <c r="P331" s="196" t="e">
        <f t="shared" si="109"/>
        <v>#DIV/0!</v>
      </c>
      <c r="Q331" s="196" t="e">
        <f t="shared" si="109"/>
        <v>#DIV/0!</v>
      </c>
      <c r="R331" s="196" t="e">
        <f t="shared" si="109"/>
        <v>#DIV/0!</v>
      </c>
      <c r="S331" s="196" t="e">
        <f t="shared" si="109"/>
        <v>#DIV/0!</v>
      </c>
      <c r="T331" s="196" t="e">
        <f t="shared" si="109"/>
        <v>#DIV/0!</v>
      </c>
      <c r="U331" s="196" t="e">
        <f t="shared" si="109"/>
        <v>#DIV/0!</v>
      </c>
      <c r="V331" s="196" t="e">
        <f t="shared" si="109"/>
        <v>#DIV/0!</v>
      </c>
      <c r="W331" s="196" t="e">
        <f t="shared" si="109"/>
        <v>#DIV/0!</v>
      </c>
      <c r="X331" s="196" t="e">
        <f t="shared" si="109"/>
        <v>#DIV/0!</v>
      </c>
      <c r="Y331" s="196" t="e">
        <f t="shared" si="109"/>
        <v>#DIV/0!</v>
      </c>
      <c r="Z331" s="196" t="e">
        <f t="shared" si="109"/>
        <v>#DIV/0!</v>
      </c>
      <c r="AA331" s="196" t="e">
        <f t="shared" si="109"/>
        <v>#DIV/0!</v>
      </c>
      <c r="AB331" s="196" t="e">
        <f t="shared" si="109"/>
        <v>#DIV/0!</v>
      </c>
      <c r="AC331" s="196" t="e">
        <f t="shared" si="109"/>
        <v>#DIV/0!</v>
      </c>
      <c r="AD331" s="196" t="e">
        <f t="shared" si="109"/>
        <v>#DIV/0!</v>
      </c>
      <c r="AE331" s="196" t="e">
        <f t="shared" si="109"/>
        <v>#DIV/0!</v>
      </c>
      <c r="AF331" s="196" t="e">
        <f t="shared" si="109"/>
        <v>#DIV/0!</v>
      </c>
      <c r="AG331" s="197"/>
      <c r="AH331" s="28"/>
      <c r="AK331" s="195"/>
    </row>
    <row r="334" spans="1:41" x14ac:dyDescent="0.25">
      <c r="A334" s="26" t="s">
        <v>862</v>
      </c>
    </row>
    <row r="336" spans="1:41" x14ac:dyDescent="0.25">
      <c r="A336" s="13" t="s">
        <v>321</v>
      </c>
    </row>
    <row r="338" spans="1:44" x14ac:dyDescent="0.25">
      <c r="A338" s="14" t="s">
        <v>567</v>
      </c>
      <c r="E338" s="90">
        <f t="shared" ref="E338:AF338" si="110">E316</f>
        <v>55470888</v>
      </c>
      <c r="F338" s="90">
        <f t="shared" si="110"/>
        <v>28151970.156760421</v>
      </c>
      <c r="G338" s="90">
        <f t="shared" si="110"/>
        <v>15629.810824437354</v>
      </c>
      <c r="H338" s="90">
        <f t="shared" si="110"/>
        <v>1982092.5763312636</v>
      </c>
      <c r="I338" s="90">
        <f t="shared" si="110"/>
        <v>5538610.8355298722</v>
      </c>
      <c r="J338" s="90">
        <f t="shared" si="110"/>
        <v>6271292.381955998</v>
      </c>
      <c r="K338" s="90">
        <f t="shared" si="110"/>
        <v>10166465.297791356</v>
      </c>
      <c r="L338" s="90">
        <f t="shared" si="110"/>
        <v>2712493.4842710462</v>
      </c>
      <c r="M338" s="90">
        <f t="shared" si="110"/>
        <v>632333.45653560036</v>
      </c>
      <c r="N338" s="90">
        <f t="shared" si="110"/>
        <v>0</v>
      </c>
      <c r="O338" s="90">
        <f t="shared" si="110"/>
        <v>0</v>
      </c>
      <c r="P338" s="90">
        <f t="shared" si="110"/>
        <v>0</v>
      </c>
      <c r="Q338" s="90">
        <f t="shared" si="110"/>
        <v>0</v>
      </c>
      <c r="R338" s="90">
        <f t="shared" si="110"/>
        <v>0</v>
      </c>
      <c r="S338" s="90">
        <f t="shared" si="110"/>
        <v>0</v>
      </c>
      <c r="T338" s="90">
        <f t="shared" si="110"/>
        <v>0</v>
      </c>
      <c r="U338" s="90">
        <f t="shared" si="110"/>
        <v>0</v>
      </c>
      <c r="V338" s="90">
        <f t="shared" si="110"/>
        <v>0</v>
      </c>
      <c r="W338" s="90">
        <f t="shared" si="110"/>
        <v>0</v>
      </c>
      <c r="X338" s="90">
        <f t="shared" si="110"/>
        <v>0</v>
      </c>
      <c r="Y338" s="90">
        <f t="shared" si="110"/>
        <v>0</v>
      </c>
      <c r="Z338" s="90">
        <f t="shared" si="110"/>
        <v>0</v>
      </c>
      <c r="AA338" s="90">
        <f t="shared" si="110"/>
        <v>0</v>
      </c>
      <c r="AB338" s="90">
        <f t="shared" si="110"/>
        <v>0</v>
      </c>
      <c r="AC338" s="90">
        <f t="shared" si="110"/>
        <v>0</v>
      </c>
      <c r="AD338" s="90">
        <f t="shared" si="110"/>
        <v>0</v>
      </c>
      <c r="AE338" s="90">
        <f t="shared" si="110"/>
        <v>0</v>
      </c>
      <c r="AF338" s="90">
        <f t="shared" si="110"/>
        <v>0</v>
      </c>
      <c r="AG338" s="90">
        <f>SUM(F338:AF338)</f>
        <v>55470888</v>
      </c>
      <c r="AH338" s="28" t="str">
        <f>IF(ABS(E338-AG338)&lt;0.01,"ok","err")</f>
        <v>ok</v>
      </c>
    </row>
    <row r="339" spans="1:44" x14ac:dyDescent="0.25">
      <c r="E339" s="90"/>
      <c r="F339" s="90"/>
      <c r="G339" s="90"/>
      <c r="H339" s="90"/>
      <c r="I339" s="90"/>
      <c r="J339" s="90"/>
      <c r="K339" s="90"/>
      <c r="L339" s="90"/>
      <c r="M339" s="90"/>
      <c r="N339" s="90"/>
      <c r="O339" s="90"/>
      <c r="P339" s="90"/>
      <c r="Q339" s="90"/>
      <c r="R339" s="90"/>
      <c r="S339" s="90"/>
      <c r="T339" s="90"/>
      <c r="U339" s="90"/>
      <c r="V339" s="90"/>
      <c r="W339" s="90"/>
      <c r="X339" s="90"/>
      <c r="Y339" s="90"/>
      <c r="Z339" s="90"/>
      <c r="AA339" s="90"/>
      <c r="AB339" s="90"/>
      <c r="AC339" s="90"/>
      <c r="AD339" s="90"/>
      <c r="AE339" s="90"/>
      <c r="AF339" s="90"/>
      <c r="AG339" s="90"/>
      <c r="AH339" s="28"/>
    </row>
    <row r="340" spans="1:44" x14ac:dyDescent="0.25">
      <c r="A340" s="14" t="s">
        <v>568</v>
      </c>
      <c r="E340" s="90"/>
      <c r="F340" s="90"/>
      <c r="G340" s="90"/>
      <c r="H340" s="90"/>
      <c r="I340" s="90"/>
      <c r="J340" s="90"/>
      <c r="K340" s="90"/>
      <c r="L340" s="90"/>
      <c r="M340" s="90"/>
      <c r="N340" s="90"/>
      <c r="O340" s="90"/>
      <c r="P340" s="90"/>
      <c r="Q340" s="90"/>
      <c r="R340" s="90"/>
      <c r="S340" s="90"/>
      <c r="T340" s="90"/>
      <c r="U340" s="90"/>
      <c r="V340" s="90"/>
      <c r="W340" s="90"/>
      <c r="X340" s="90"/>
      <c r="Y340" s="90"/>
      <c r="Z340" s="90"/>
      <c r="AA340" s="90"/>
      <c r="AB340" s="90"/>
      <c r="AC340" s="90"/>
      <c r="AD340" s="90"/>
      <c r="AE340" s="90"/>
      <c r="AF340" s="90"/>
      <c r="AG340" s="90"/>
      <c r="AH340" s="28"/>
      <c r="AK340" s="168" t="s">
        <v>1108</v>
      </c>
      <c r="AL340" s="198"/>
    </row>
    <row r="341" spans="1:44" x14ac:dyDescent="0.25">
      <c r="A341" s="28">
        <v>1</v>
      </c>
      <c r="B341" s="14" t="s">
        <v>948</v>
      </c>
      <c r="C341" s="14" t="s">
        <v>948</v>
      </c>
      <c r="D341" s="14" t="s">
        <v>11</v>
      </c>
      <c r="E341" s="90">
        <f>-6316641.16*AK341</f>
        <v>-6316641.1600000001</v>
      </c>
      <c r="F341" s="67">
        <f>IF(VLOOKUP($D341,$C$5:$AU$511,3,)=0,0,(VLOOKUP($D341,$C$5:$AU$511,4,)/VLOOKUP($D341,$C$5:$AU$511,3,))*$E341)</f>
        <v>-2887072.349300202</v>
      </c>
      <c r="G341" s="67">
        <f>IF(VLOOKUP($D341,$C$5:$AU$511,3,)=0,0,(VLOOKUP($D341,$C$5:$AU$511,5,)/VLOOKUP($D341,$C$5:$AU$511,3,))*$E341)</f>
        <v>-2526.108737416394</v>
      </c>
      <c r="H341" s="67">
        <f>IF(VLOOKUP($D341,$C$5:$AU$511,3,)=0,0,(VLOOKUP($D341,$C$5:$AU$511,6,)/VLOOKUP($D341,$C$5:$AU$511,3,))*$E341)</f>
        <v>-204929.9092182176</v>
      </c>
      <c r="I341" s="67">
        <f>IF(VLOOKUP($D341,$C$5:$AU$511,3,)=0,0,(VLOOKUP($D341,$C$5:$AU$511,7,)/VLOOKUP($D341,$C$5:$AU$511,3,))*$E341)</f>
        <v>-501518.15847462701</v>
      </c>
      <c r="J341" s="67">
        <f>IF(VLOOKUP($D341,$C$5:$AU$511,3,)=0,0,(VLOOKUP($D341,$C$5:$AU$511,8,)/VLOOKUP($D341,$C$5:$AU$511,3,))*$E341)</f>
        <v>-805268.36847579491</v>
      </c>
      <c r="K341" s="67">
        <f>IF(VLOOKUP($D341,$C$5:$AU$511,3,)=0,0,(VLOOKUP($D341,$C$5:$AU$511,9,)/VLOOKUP($D341,$C$5:$AU$511,3,))*$E341)</f>
        <v>-1456822.0216170514</v>
      </c>
      <c r="L341" s="67">
        <f>IF(VLOOKUP($D341,$C$5:$AU$511,3,)=0,0,(VLOOKUP($D341,$C$5:$AU$511,10,)/VLOOKUP($D341,$C$5:$AU$511,3,))*$E341)</f>
        <v>-435051.81895795005</v>
      </c>
      <c r="M341" s="67">
        <f>IF(VLOOKUP($D341,$C$5:$AU$511,3,)=0,0,(VLOOKUP($D341,$C$5:$AU$511,11,)/VLOOKUP($D341,$C$5:$AU$511,3,))*$E341)</f>
        <v>-23452.425218740507</v>
      </c>
      <c r="N341" s="67">
        <f>IF(VLOOKUP($D341,$C$5:$AU$511,3,)=0,0,(VLOOKUP($D341,$C$5:$AU$511,12,)/VLOOKUP($D341,$C$5:$AU$511,3,))*$E341)</f>
        <v>0</v>
      </c>
      <c r="O341" s="67">
        <f>IF(VLOOKUP($D341,$C$5:$AU$511,3,)=0,0,(VLOOKUP($D341,$C$5:$AU$511,13,)/VLOOKUP($D341,$C$5:$AU$511,3,))*$E341)</f>
        <v>0</v>
      </c>
      <c r="P341" s="67">
        <f>IF(VLOOKUP($D341,$C$5:$AU$511,3,)=0,0,(VLOOKUP($D341,$C$5:$AU$511,14,)/VLOOKUP($D341,$C$5:$AU$511,3,))*$E341)</f>
        <v>0</v>
      </c>
      <c r="Q341" s="67">
        <f>IF(VLOOKUP($D341,$C$5:$AU$511,3,)=0,0,(VLOOKUP($D341,$C$5:$AU$511,15,)/VLOOKUP($D341,$C$5:$AU$511,3,))*$E341)</f>
        <v>0</v>
      </c>
      <c r="R341" s="67">
        <f>IF(VLOOKUP($D341,$C$5:$AU$511,3,)=0,0,(VLOOKUP($D341,$C$5:$AU$511,16,)/VLOOKUP($D341,$C$5:$AU$511,3,))*$E341)</f>
        <v>0</v>
      </c>
      <c r="S341" s="67">
        <f>IF(VLOOKUP($D341,$C$5:$AU$511,3,)=0,0,(VLOOKUP($D341,$C$5:$AU$511,17,)/VLOOKUP($D341,$C$5:$AU$511,3,))*$E341)</f>
        <v>0</v>
      </c>
      <c r="T341" s="67">
        <f>IF(VLOOKUP($D341,$C$5:$AU$511,3,)=0,0,(VLOOKUP($D341,$C$5:$AU$511,18,)/VLOOKUP($D341,$C$5:$AU$511,3,))*$E341)</f>
        <v>0</v>
      </c>
      <c r="U341" s="67">
        <f>IF(VLOOKUP($D341,$C$5:$AU$511,3,)=0,0,(VLOOKUP($D341,$C$5:$AU$511,19,)/VLOOKUP($D341,$C$5:$AU$511,3,))*$E341)</f>
        <v>0</v>
      </c>
      <c r="V341" s="67">
        <f>IF(VLOOKUP($D341,$C$5:$AU$511,3,)=0,0,(VLOOKUP($D341,$C$5:$AU$511,20,)/VLOOKUP($D341,$C$5:$AU$511,3,))*$E341)</f>
        <v>0</v>
      </c>
      <c r="W341" s="67">
        <f>IF(VLOOKUP($D341,$C$5:$AU$511,3,)=0,0,(VLOOKUP($D341,$C$5:$AU$511,21,)/VLOOKUP($D341,$C$5:$AU$511,3,))*$E341)</f>
        <v>0</v>
      </c>
      <c r="X341" s="67">
        <f>IF(VLOOKUP($D341,$C$5:$AU$511,3,)=0,0,(VLOOKUP($D341,$C$5:$AU$511,22,)/VLOOKUP($D341,$C$5:$AU$511,3,))*$E341)</f>
        <v>0</v>
      </c>
      <c r="Y341" s="67">
        <f>IF(VLOOKUP($D341,$C$5:$AU$511,3,)=0,0,(VLOOKUP($D341,$C$5:$AU$511,23,)/VLOOKUP($D341,$C$5:$AU$511,3,))*$E341)</f>
        <v>0</v>
      </c>
      <c r="Z341" s="67">
        <f>IF(VLOOKUP($D341,$C$5:$AU$511,3,)=0,0,(VLOOKUP($D341,$C$5:$AU$511,24,)/VLOOKUP($D341,$C$5:$AU$511,3,))*$E341)</f>
        <v>0</v>
      </c>
      <c r="AA341" s="67">
        <f>IF(VLOOKUP($D341,$C$5:$AU$511,3,)=0,0,(VLOOKUP($D341,$C$5:$AU$511,25,)/VLOOKUP($D341,$C$5:$AU$511,3,))*$E341)</f>
        <v>0</v>
      </c>
      <c r="AB341" s="67">
        <f>IF(VLOOKUP($D341,$C$5:$AU$511,3,)=0,0,(VLOOKUP($D341,$C$5:$AU$511,26,)/VLOOKUP($D341,$C$5:$AU$511,3,))*$E341)</f>
        <v>0</v>
      </c>
      <c r="AC341" s="67">
        <f>IF(VLOOKUP($D341,$C$5:$AU$511,3,)=0,0,(VLOOKUP($D341,$C$5:$AU$511,27,)/VLOOKUP($D341,$C$5:$AU$511,3,))*$E341)</f>
        <v>0</v>
      </c>
      <c r="AD341" s="67">
        <f>IF(VLOOKUP($D341,$C$5:$AU$511,3,)=0,0,(VLOOKUP($D341,$C$5:$AU$511,28,)/VLOOKUP($D341,$C$5:$AU$511,3,))*$E341)</f>
        <v>0</v>
      </c>
      <c r="AE341" s="67">
        <f>IF(VLOOKUP($D341,$C$5:$AU$511,3,)=0,0,(VLOOKUP($D341,$C$5:$AU$511,29,)/VLOOKUP($D341,$C$5:$AU$511,3,))*$E341)</f>
        <v>0</v>
      </c>
      <c r="AF341" s="67">
        <f>IF(VLOOKUP($D341,$C$5:$AU$511,3,)=0,0,(VLOOKUP($D341,$C$5:$AU$511,30,)/VLOOKUP($D341,$C$5:$AU$511,3,))*$E341)</f>
        <v>0</v>
      </c>
      <c r="AG341" s="90">
        <f t="shared" ref="AG341:AG345" si="111">SUM(F341:AF341)</f>
        <v>-6316641.1600000001</v>
      </c>
      <c r="AH341" s="28" t="str">
        <f t="shared" ref="AH341:AH345" si="112">IF(ABS(E341-AG341)&lt;0.01,"ok","err")</f>
        <v>ok</v>
      </c>
      <c r="AK341" s="50">
        <v>1</v>
      </c>
    </row>
    <row r="342" spans="1:44" x14ac:dyDescent="0.25">
      <c r="A342" s="28">
        <v>2</v>
      </c>
      <c r="B342" s="14" t="s">
        <v>949</v>
      </c>
      <c r="C342" s="14" t="s">
        <v>949</v>
      </c>
      <c r="E342" s="90">
        <f>-5387555.8178473*AK342</f>
        <v>-5387555.8178473003</v>
      </c>
      <c r="F342" s="67">
        <f>-2639975.35635066*AK342</f>
        <v>-2639975.3563506599</v>
      </c>
      <c r="G342" s="67">
        <f>-1411.03622864518*AK342</f>
        <v>-1411.03622864518</v>
      </c>
      <c r="H342" s="67">
        <f>-186454.836561548*AK342</f>
        <v>-186454.836561548</v>
      </c>
      <c r="I342" s="67">
        <f>-519091.02131516*AK342</f>
        <v>-519091.02131515997</v>
      </c>
      <c r="J342" s="67">
        <f>-608822.369878166*AK342</f>
        <v>-608822.36987816601</v>
      </c>
      <c r="K342" s="67">
        <f>-1067133.1*AK342</f>
        <v>-1067133.1000000001</v>
      </c>
      <c r="L342" s="67">
        <f>-309205*AK342</f>
        <v>-309205</v>
      </c>
      <c r="M342" s="67">
        <f>-55463.0975131219*AK342</f>
        <v>-55463.097513121902</v>
      </c>
      <c r="N342" s="67">
        <v>0</v>
      </c>
      <c r="O342" s="67">
        <v>0</v>
      </c>
      <c r="P342" s="67">
        <v>0</v>
      </c>
      <c r="Q342" s="67">
        <v>0</v>
      </c>
      <c r="R342" s="67">
        <v>0</v>
      </c>
      <c r="S342" s="67">
        <v>0</v>
      </c>
      <c r="T342" s="67">
        <v>0</v>
      </c>
      <c r="U342" s="67">
        <v>0</v>
      </c>
      <c r="V342" s="67">
        <v>0</v>
      </c>
      <c r="W342" s="67">
        <v>0</v>
      </c>
      <c r="X342" s="67">
        <v>0</v>
      </c>
      <c r="Y342" s="67">
        <v>0</v>
      </c>
      <c r="Z342" s="67">
        <v>0</v>
      </c>
      <c r="AA342" s="67">
        <v>0</v>
      </c>
      <c r="AB342" s="67">
        <v>0</v>
      </c>
      <c r="AC342" s="67">
        <v>0</v>
      </c>
      <c r="AD342" s="67">
        <v>0</v>
      </c>
      <c r="AE342" s="67">
        <v>0</v>
      </c>
      <c r="AF342" s="67">
        <v>0</v>
      </c>
      <c r="AG342" s="90">
        <f t="shared" ref="AG342" si="113">SUM(F342:AF342)</f>
        <v>-5387555.8178473003</v>
      </c>
      <c r="AH342" s="28" t="str">
        <f t="shared" ref="AH342" si="114">IF(ABS(E342-AG342)&lt;0.01,"ok","err")</f>
        <v>ok</v>
      </c>
      <c r="AK342" s="50">
        <f>AK341</f>
        <v>1</v>
      </c>
    </row>
    <row r="343" spans="1:44" x14ac:dyDescent="0.25">
      <c r="A343" s="28">
        <v>3</v>
      </c>
      <c r="B343" s="14" t="s">
        <v>1011</v>
      </c>
      <c r="C343" s="14" t="s">
        <v>950</v>
      </c>
      <c r="E343" s="90">
        <f>248529.128742944*AK343</f>
        <v>248529.12874294401</v>
      </c>
      <c r="F343" s="90">
        <f>122160.478910588*AK343</f>
        <v>122160.478910588</v>
      </c>
      <c r="G343" s="90">
        <f>4442.27777777778*AK343</f>
        <v>4442.2777777777801</v>
      </c>
      <c r="H343" s="90">
        <f>-61914.8899502463*AK343</f>
        <v>-61914.889950246303</v>
      </c>
      <c r="I343" s="90">
        <f>102844.555330562*AK343</f>
        <v>102844.555330562</v>
      </c>
      <c r="J343" s="67">
        <f>80996.7066742623*AK343</f>
        <v>80996.706674262299</v>
      </c>
      <c r="K343" s="67">
        <v>0</v>
      </c>
      <c r="L343" s="67">
        <v>0</v>
      </c>
      <c r="M343" s="67">
        <v>0</v>
      </c>
      <c r="N343" s="67">
        <v>0</v>
      </c>
      <c r="O343" s="67">
        <v>0</v>
      </c>
      <c r="P343" s="67">
        <v>0</v>
      </c>
      <c r="Q343" s="67">
        <v>0</v>
      </c>
      <c r="R343" s="67">
        <v>0</v>
      </c>
      <c r="S343" s="67">
        <v>0</v>
      </c>
      <c r="T343" s="67">
        <v>0</v>
      </c>
      <c r="U343" s="67">
        <v>0</v>
      </c>
      <c r="V343" s="67">
        <v>0</v>
      </c>
      <c r="W343" s="67">
        <v>0</v>
      </c>
      <c r="X343" s="67">
        <v>0</v>
      </c>
      <c r="Y343" s="67">
        <v>0</v>
      </c>
      <c r="Z343" s="67">
        <v>0</v>
      </c>
      <c r="AA343" s="67">
        <v>0</v>
      </c>
      <c r="AB343" s="67">
        <v>0</v>
      </c>
      <c r="AC343" s="67">
        <v>0</v>
      </c>
      <c r="AD343" s="67">
        <v>0</v>
      </c>
      <c r="AE343" s="67">
        <v>0</v>
      </c>
      <c r="AF343" s="67">
        <v>0</v>
      </c>
      <c r="AG343" s="90">
        <f>SUM(F343:AF343)</f>
        <v>248529.12874294378</v>
      </c>
      <c r="AH343" s="28" t="str">
        <f>IF(ABS(E343-AG343)&lt;0.01,"ok","err")</f>
        <v>ok</v>
      </c>
      <c r="AK343" s="50">
        <f>AK346</f>
        <v>1</v>
      </c>
    </row>
    <row r="344" spans="1:44" x14ac:dyDescent="0.25">
      <c r="A344" s="28">
        <v>4</v>
      </c>
      <c r="B344" s="14" t="s">
        <v>1019</v>
      </c>
      <c r="D344" s="14" t="s">
        <v>560</v>
      </c>
      <c r="E344" s="90">
        <v>0</v>
      </c>
      <c r="F344" s="67">
        <f>IF(VLOOKUP($D344,$C$5:$AU$511,3,)=0,0,(VLOOKUP($D344,$C$5:$AU$511,4,)/VLOOKUP($D344,$C$5:$AU$511,3,))*$E344)</f>
        <v>0</v>
      </c>
      <c r="G344" s="67">
        <f>IF(VLOOKUP($D344,$C$5:$AU$511,3,)=0,0,(VLOOKUP($D344,$C$5:$AU$511,5,)/VLOOKUP($D344,$C$5:$AU$511,3,))*$E344)</f>
        <v>0</v>
      </c>
      <c r="H344" s="67">
        <f>IF(VLOOKUP($D344,$C$5:$AU$511,3,)=0,0,(VLOOKUP($D344,$C$5:$AU$511,6,)/VLOOKUP($D344,$C$5:$AU$511,3,))*$E344)</f>
        <v>0</v>
      </c>
      <c r="I344" s="67">
        <f>IF(VLOOKUP($D344,$C$5:$AU$511,3,)=0,0,(VLOOKUP($D344,$C$5:$AU$511,7,)/VLOOKUP($D344,$C$5:$AU$511,3,))*$E344)</f>
        <v>0</v>
      </c>
      <c r="J344" s="67">
        <f>IF(VLOOKUP($D344,$C$5:$AU$511,3,)=0,0,(VLOOKUP($D344,$C$5:$AU$511,8,)/VLOOKUP($D344,$C$5:$AU$511,3,))*$E344)</f>
        <v>0</v>
      </c>
      <c r="K344" s="67">
        <f>IF(VLOOKUP($D344,$C$5:$AU$511,3,)=0,0,(VLOOKUP($D344,$C$5:$AU$511,9,)/VLOOKUP($D344,$C$5:$AU$511,3,))*$E344)</f>
        <v>0</v>
      </c>
      <c r="L344" s="67">
        <f>IF(VLOOKUP($D344,$C$5:$AU$511,3,)=0,0,(VLOOKUP($D344,$C$5:$AU$511,10,)/VLOOKUP($D344,$C$5:$AU$511,3,))*$E344)</f>
        <v>0</v>
      </c>
      <c r="M344" s="67">
        <f>IF(VLOOKUP($D344,$C$5:$AU$511,3,)=0,0,(VLOOKUP($D344,$C$5:$AU$511,11,)/VLOOKUP($D344,$C$5:$AU$511,3,))*$E344)</f>
        <v>0</v>
      </c>
      <c r="N344" s="67">
        <f>IF(VLOOKUP($D344,$C$5:$AU$511,3,)=0,0,(VLOOKUP($D344,$C$5:$AU$511,12,)/VLOOKUP($D344,$C$5:$AU$511,3,))*$E344)</f>
        <v>0</v>
      </c>
      <c r="O344" s="67">
        <f>IF(VLOOKUP($D344,$C$5:$AU$511,3,)=0,0,(VLOOKUP($D344,$C$5:$AU$511,13,)/VLOOKUP($D344,$C$5:$AU$511,3,))*$E344)</f>
        <v>0</v>
      </c>
      <c r="P344" s="67">
        <f>IF(VLOOKUP($D344,$C$5:$AU$511,3,)=0,0,(VLOOKUP($D344,$C$5:$AU$511,14,)/VLOOKUP($D344,$C$5:$AU$511,3,))*$E344)</f>
        <v>0</v>
      </c>
      <c r="Q344" s="67">
        <f>IF(VLOOKUP($D344,$C$5:$AU$511,3,)=0,0,(VLOOKUP($D344,$C$5:$AU$511,15,)/VLOOKUP($D344,$C$5:$AU$511,3,))*$E344)</f>
        <v>0</v>
      </c>
      <c r="R344" s="67">
        <f>IF(VLOOKUP($D344,$C$5:$AU$511,3,)=0,0,(VLOOKUP($D344,$C$5:$AU$511,16,)/VLOOKUP($D344,$C$5:$AU$511,3,))*$E344)</f>
        <v>0</v>
      </c>
      <c r="S344" s="67">
        <f>IF(VLOOKUP($D344,$C$5:$AU$511,3,)=0,0,(VLOOKUP($D344,$C$5:$AU$511,17,)/VLOOKUP($D344,$C$5:$AU$511,3,))*$E344)</f>
        <v>0</v>
      </c>
      <c r="T344" s="67">
        <f>IF(VLOOKUP($D344,$C$5:$AU$511,3,)=0,0,(VLOOKUP($D344,$C$5:$AU$511,18,)/VLOOKUP($D344,$C$5:$AU$511,3,))*$E344)</f>
        <v>0</v>
      </c>
      <c r="U344" s="67">
        <f>IF(VLOOKUP($D344,$C$5:$AU$511,3,)=0,0,(VLOOKUP($D344,$C$5:$AU$511,19,)/VLOOKUP($D344,$C$5:$AU$511,3,))*$E344)</f>
        <v>0</v>
      </c>
      <c r="V344" s="67">
        <f>IF(VLOOKUP($D344,$C$5:$AU$511,3,)=0,0,(VLOOKUP($D344,$C$5:$AU$511,20,)/VLOOKUP($D344,$C$5:$AU$511,3,))*$E344)</f>
        <v>0</v>
      </c>
      <c r="W344" s="67">
        <f>IF(VLOOKUP($D344,$C$5:$AU$511,3,)=0,0,(VLOOKUP($D344,$C$5:$AU$511,21,)/VLOOKUP($D344,$C$5:$AU$511,3,))*$E344)</f>
        <v>0</v>
      </c>
      <c r="X344" s="67">
        <f>IF(VLOOKUP($D344,$C$5:$AU$511,3,)=0,0,(VLOOKUP($D344,$C$5:$AU$511,22,)/VLOOKUP($D344,$C$5:$AU$511,3,))*$E344)</f>
        <v>0</v>
      </c>
      <c r="Y344" s="67">
        <f>IF(VLOOKUP($D344,$C$5:$AU$511,3,)=0,0,(VLOOKUP($D344,$C$5:$AU$511,23,)/VLOOKUP($D344,$C$5:$AU$511,3,))*$E344)</f>
        <v>0</v>
      </c>
      <c r="Z344" s="67">
        <f>IF(VLOOKUP($D344,$C$5:$AU$511,3,)=0,0,(VLOOKUP($D344,$C$5:$AU$511,24,)/VLOOKUP($D344,$C$5:$AU$511,3,))*$E344)</f>
        <v>0</v>
      </c>
      <c r="AA344" s="67">
        <f>IF(VLOOKUP($D344,$C$5:$AU$511,3,)=0,0,(VLOOKUP($D344,$C$5:$AU$511,25,)/VLOOKUP($D344,$C$5:$AU$511,3,))*$E344)</f>
        <v>0</v>
      </c>
      <c r="AB344" s="67">
        <f>IF(VLOOKUP($D344,$C$5:$AU$511,3,)=0,0,(VLOOKUP($D344,$C$5:$AU$511,26,)/VLOOKUP($D344,$C$5:$AU$511,3,))*$E344)</f>
        <v>0</v>
      </c>
      <c r="AC344" s="67">
        <f>IF(VLOOKUP($D344,$C$5:$AU$511,3,)=0,0,(VLOOKUP($D344,$C$5:$AU$511,27,)/VLOOKUP($D344,$C$5:$AU$511,3,))*$E344)</f>
        <v>0</v>
      </c>
      <c r="AD344" s="67">
        <f>IF(VLOOKUP($D344,$C$5:$AU$511,3,)=0,0,(VLOOKUP($D344,$C$5:$AU$511,28,)/VLOOKUP($D344,$C$5:$AU$511,3,))*$E344)</f>
        <v>0</v>
      </c>
      <c r="AE344" s="67">
        <f>IF(VLOOKUP($D344,$C$5:$AU$511,3,)=0,0,(VLOOKUP($D344,$C$5:$AU$511,29,)/VLOOKUP($D344,$C$5:$AU$511,3,))*$E344)</f>
        <v>0</v>
      </c>
      <c r="AF344" s="67">
        <f>IF(VLOOKUP($D344,$C$5:$AU$511,3,)=0,0,(VLOOKUP($D344,$C$5:$AU$511,30,)/VLOOKUP($D344,$C$5:$AU$511,3,))*$E344)</f>
        <v>0</v>
      </c>
      <c r="AG344" s="90">
        <f t="shared" si="111"/>
        <v>0</v>
      </c>
      <c r="AH344" s="28" t="str">
        <f t="shared" si="112"/>
        <v>ok</v>
      </c>
      <c r="AK344" s="50">
        <f>AK342</f>
        <v>1</v>
      </c>
      <c r="AP344" s="14" t="s">
        <v>1111</v>
      </c>
    </row>
    <row r="345" spans="1:44" x14ac:dyDescent="0.25">
      <c r="A345" s="28">
        <v>5</v>
      </c>
      <c r="B345" s="14" t="s">
        <v>1019</v>
      </c>
      <c r="D345" s="14" t="s">
        <v>560</v>
      </c>
      <c r="E345" s="90">
        <v>0</v>
      </c>
      <c r="F345" s="67">
        <f>IF(VLOOKUP($D345,$C$5:$AU$511,3,)=0,0,(VLOOKUP($D345,$C$5:$AU$511,4,)/VLOOKUP($D345,$C$5:$AU$511,3,))*$E345)</f>
        <v>0</v>
      </c>
      <c r="G345" s="67">
        <f>IF(VLOOKUP($D345,$C$5:$AU$511,3,)=0,0,(VLOOKUP($D345,$C$5:$AU$511,5,)/VLOOKUP($D345,$C$5:$AU$511,3,))*$E345)</f>
        <v>0</v>
      </c>
      <c r="H345" s="67">
        <f>IF(VLOOKUP($D345,$C$5:$AU$511,3,)=0,0,(VLOOKUP($D345,$C$5:$AU$511,6,)/VLOOKUP($D345,$C$5:$AU$511,3,))*$E345)</f>
        <v>0</v>
      </c>
      <c r="I345" s="67">
        <f>IF(VLOOKUP($D345,$C$5:$AU$511,3,)=0,0,(VLOOKUP($D345,$C$5:$AU$511,7,)/VLOOKUP($D345,$C$5:$AU$511,3,))*$E345)</f>
        <v>0</v>
      </c>
      <c r="J345" s="67">
        <f>IF(VLOOKUP($D345,$C$5:$AU$511,3,)=0,0,(VLOOKUP($D345,$C$5:$AU$511,8,)/VLOOKUP($D345,$C$5:$AU$511,3,))*$E345)</f>
        <v>0</v>
      </c>
      <c r="K345" s="67">
        <f>IF(VLOOKUP($D345,$C$5:$AU$511,3,)=0,0,(VLOOKUP($D345,$C$5:$AU$511,9,)/VLOOKUP($D345,$C$5:$AU$511,3,))*$E345)</f>
        <v>0</v>
      </c>
      <c r="L345" s="67">
        <f>IF(VLOOKUP($D345,$C$5:$AU$511,3,)=0,0,(VLOOKUP($D345,$C$5:$AU$511,10,)/VLOOKUP($D345,$C$5:$AU$511,3,))*$E345)</f>
        <v>0</v>
      </c>
      <c r="M345" s="67">
        <f>IF(VLOOKUP($D345,$C$5:$AU$511,3,)=0,0,(VLOOKUP($D345,$C$5:$AU$511,11,)/VLOOKUP($D345,$C$5:$AU$511,3,))*$E345)</f>
        <v>0</v>
      </c>
      <c r="N345" s="67">
        <f>IF(VLOOKUP($D345,$C$5:$AU$511,3,)=0,0,(VLOOKUP($D345,$C$5:$AU$511,12,)/VLOOKUP($D345,$C$5:$AU$511,3,))*$E345)</f>
        <v>0</v>
      </c>
      <c r="O345" s="67">
        <f>IF(VLOOKUP($D345,$C$5:$AU$511,3,)=0,0,(VLOOKUP($D345,$C$5:$AU$511,13,)/VLOOKUP($D345,$C$5:$AU$511,3,))*$E345)</f>
        <v>0</v>
      </c>
      <c r="P345" s="67">
        <f>IF(VLOOKUP($D345,$C$5:$AU$511,3,)=0,0,(VLOOKUP($D345,$C$5:$AU$511,14,)/VLOOKUP($D345,$C$5:$AU$511,3,))*$E345)</f>
        <v>0</v>
      </c>
      <c r="Q345" s="67">
        <f>IF(VLOOKUP($D345,$C$5:$AU$511,3,)=0,0,(VLOOKUP($D345,$C$5:$AU$511,15,)/VLOOKUP($D345,$C$5:$AU$511,3,))*$E345)</f>
        <v>0</v>
      </c>
      <c r="R345" s="67">
        <f>IF(VLOOKUP($D345,$C$5:$AU$511,3,)=0,0,(VLOOKUP($D345,$C$5:$AU$511,16,)/VLOOKUP($D345,$C$5:$AU$511,3,))*$E345)</f>
        <v>0</v>
      </c>
      <c r="S345" s="67">
        <f>IF(VLOOKUP($D345,$C$5:$AU$511,3,)=0,0,(VLOOKUP($D345,$C$5:$AU$511,17,)/VLOOKUP($D345,$C$5:$AU$511,3,))*$E345)</f>
        <v>0</v>
      </c>
      <c r="T345" s="67">
        <f>IF(VLOOKUP($D345,$C$5:$AU$511,3,)=0,0,(VLOOKUP($D345,$C$5:$AU$511,18,)/VLOOKUP($D345,$C$5:$AU$511,3,))*$E345)</f>
        <v>0</v>
      </c>
      <c r="U345" s="67">
        <f>IF(VLOOKUP($D345,$C$5:$AU$511,3,)=0,0,(VLOOKUP($D345,$C$5:$AU$511,19,)/VLOOKUP($D345,$C$5:$AU$511,3,))*$E345)</f>
        <v>0</v>
      </c>
      <c r="V345" s="67">
        <f>IF(VLOOKUP($D345,$C$5:$AU$511,3,)=0,0,(VLOOKUP($D345,$C$5:$AU$511,20,)/VLOOKUP($D345,$C$5:$AU$511,3,))*$E345)</f>
        <v>0</v>
      </c>
      <c r="W345" s="67">
        <f>IF(VLOOKUP($D345,$C$5:$AU$511,3,)=0,0,(VLOOKUP($D345,$C$5:$AU$511,21,)/VLOOKUP($D345,$C$5:$AU$511,3,))*$E345)</f>
        <v>0</v>
      </c>
      <c r="X345" s="67">
        <f>IF(VLOOKUP($D345,$C$5:$AU$511,3,)=0,0,(VLOOKUP($D345,$C$5:$AU$511,22,)/VLOOKUP($D345,$C$5:$AU$511,3,))*$E345)</f>
        <v>0</v>
      </c>
      <c r="Y345" s="67">
        <f>IF(VLOOKUP($D345,$C$5:$AU$511,3,)=0,0,(VLOOKUP($D345,$C$5:$AU$511,23,)/VLOOKUP($D345,$C$5:$AU$511,3,))*$E345)</f>
        <v>0</v>
      </c>
      <c r="Z345" s="67">
        <f>IF(VLOOKUP($D345,$C$5:$AU$511,3,)=0,0,(VLOOKUP($D345,$C$5:$AU$511,24,)/VLOOKUP($D345,$C$5:$AU$511,3,))*$E345)</f>
        <v>0</v>
      </c>
      <c r="AA345" s="67">
        <f>IF(VLOOKUP($D345,$C$5:$AU$511,3,)=0,0,(VLOOKUP($D345,$C$5:$AU$511,25,)/VLOOKUP($D345,$C$5:$AU$511,3,))*$E345)</f>
        <v>0</v>
      </c>
      <c r="AB345" s="67">
        <f>IF(VLOOKUP($D345,$C$5:$AU$511,3,)=0,0,(VLOOKUP($D345,$C$5:$AU$511,26,)/VLOOKUP($D345,$C$5:$AU$511,3,))*$E345)</f>
        <v>0</v>
      </c>
      <c r="AC345" s="67">
        <f>IF(VLOOKUP($D345,$C$5:$AU$511,3,)=0,0,(VLOOKUP($D345,$C$5:$AU$511,27,)/VLOOKUP($D345,$C$5:$AU$511,3,))*$E345)</f>
        <v>0</v>
      </c>
      <c r="AD345" s="67">
        <f>IF(VLOOKUP($D345,$C$5:$AU$511,3,)=0,0,(VLOOKUP($D345,$C$5:$AU$511,28,)/VLOOKUP($D345,$C$5:$AU$511,3,))*$E345)</f>
        <v>0</v>
      </c>
      <c r="AE345" s="67">
        <f>IF(VLOOKUP($D345,$C$5:$AU$511,3,)=0,0,(VLOOKUP($D345,$C$5:$AU$511,29,)/VLOOKUP($D345,$C$5:$AU$511,3,))*$E345)</f>
        <v>0</v>
      </c>
      <c r="AF345" s="67">
        <f>IF(VLOOKUP($D345,$C$5:$AU$511,3,)=0,0,(VLOOKUP($D345,$C$5:$AU$511,30,)/VLOOKUP($D345,$C$5:$AU$511,3,))*$E345)</f>
        <v>0</v>
      </c>
      <c r="AG345" s="90">
        <f t="shared" si="111"/>
        <v>0</v>
      </c>
      <c r="AH345" s="28" t="str">
        <f t="shared" si="112"/>
        <v>ok</v>
      </c>
      <c r="AK345" s="50">
        <f t="shared" ref="AK345:AK346" si="115">AK344</f>
        <v>1</v>
      </c>
    </row>
    <row r="346" spans="1:44" x14ac:dyDescent="0.25">
      <c r="A346" s="28">
        <v>6</v>
      </c>
      <c r="B346" s="14" t="s">
        <v>1019</v>
      </c>
      <c r="D346" s="14" t="s">
        <v>560</v>
      </c>
      <c r="E346" s="90">
        <v>0</v>
      </c>
      <c r="F346" s="90">
        <v>0</v>
      </c>
      <c r="G346" s="90">
        <v>0</v>
      </c>
      <c r="H346" s="90">
        <v>0</v>
      </c>
      <c r="I346" s="90">
        <v>0</v>
      </c>
      <c r="J346" s="90">
        <v>0</v>
      </c>
      <c r="K346" s="90">
        <v>0</v>
      </c>
      <c r="L346" s="67">
        <v>0</v>
      </c>
      <c r="M346" s="67">
        <v>0</v>
      </c>
      <c r="N346" s="67">
        <v>0</v>
      </c>
      <c r="O346" s="67">
        <v>0</v>
      </c>
      <c r="P346" s="67">
        <v>0</v>
      </c>
      <c r="Q346" s="67">
        <v>0</v>
      </c>
      <c r="R346" s="67">
        <v>0</v>
      </c>
      <c r="S346" s="67">
        <v>0</v>
      </c>
      <c r="T346" s="67">
        <v>0</v>
      </c>
      <c r="U346" s="67">
        <v>0</v>
      </c>
      <c r="V346" s="67">
        <v>0</v>
      </c>
      <c r="W346" s="67">
        <v>0</v>
      </c>
      <c r="X346" s="67">
        <v>0</v>
      </c>
      <c r="Y346" s="67">
        <v>0</v>
      </c>
      <c r="Z346" s="67">
        <v>0</v>
      </c>
      <c r="AA346" s="67">
        <v>0</v>
      </c>
      <c r="AB346" s="67">
        <v>0</v>
      </c>
      <c r="AC346" s="67">
        <v>0</v>
      </c>
      <c r="AD346" s="67">
        <v>0</v>
      </c>
      <c r="AE346" s="67">
        <v>0</v>
      </c>
      <c r="AF346" s="67">
        <v>0</v>
      </c>
      <c r="AG346" s="90">
        <f t="shared" ref="AG346:AG348" si="116">SUM(F346:AF346)</f>
        <v>0</v>
      </c>
      <c r="AH346" s="28" t="str">
        <f t="shared" ref="AH346:AH349" si="117">IF(ABS(E346-AG346)&lt;0.01,"ok","err")</f>
        <v>ok</v>
      </c>
      <c r="AK346" s="50">
        <f t="shared" si="115"/>
        <v>1</v>
      </c>
      <c r="AP346" s="28" t="s">
        <v>1131</v>
      </c>
      <c r="AQ346" s="28" t="s">
        <v>1129</v>
      </c>
      <c r="AR346" s="28" t="s">
        <v>1130</v>
      </c>
    </row>
    <row r="347" spans="1:44" x14ac:dyDescent="0.25">
      <c r="A347" s="28">
        <v>7</v>
      </c>
      <c r="B347" s="14" t="s">
        <v>1019</v>
      </c>
      <c r="D347" s="14" t="s">
        <v>560</v>
      </c>
      <c r="E347" s="90">
        <v>0</v>
      </c>
      <c r="F347" s="67">
        <f>IF(VLOOKUP($D347,$C$5:$AU$511,3,)=0,0,(VLOOKUP($D347,$C$5:$AU$511,4,)/VLOOKUP($D347,$C$5:$AU$511,3,))*$E347)</f>
        <v>0</v>
      </c>
      <c r="G347" s="67">
        <f>IF(VLOOKUP($D347,$C$5:$AU$511,3,)=0,0,(VLOOKUP($D347,$C$5:$AU$511,5,)/VLOOKUP($D347,$C$5:$AU$511,3,))*$E347)</f>
        <v>0</v>
      </c>
      <c r="H347" s="67">
        <f>IF(VLOOKUP($D347,$C$5:$AU$511,3,)=0,0,(VLOOKUP($D347,$C$5:$AU$511,6,)/VLOOKUP($D347,$C$5:$AU$511,3,))*$E347)</f>
        <v>0</v>
      </c>
      <c r="I347" s="67">
        <f>IF(VLOOKUP($D347,$C$5:$AU$511,3,)=0,0,(VLOOKUP($D347,$C$5:$AU$511,7,)/VLOOKUP($D347,$C$5:$AU$511,3,))*$E347)</f>
        <v>0</v>
      </c>
      <c r="J347" s="67">
        <f>IF(VLOOKUP($D347,$C$5:$AU$511,3,)=0,0,(VLOOKUP($D347,$C$5:$AU$511,8,)/VLOOKUP($D347,$C$5:$AU$511,3,))*$E347)</f>
        <v>0</v>
      </c>
      <c r="K347" s="67">
        <f>IF(VLOOKUP($D347,$C$5:$AU$511,3,)=0,0,(VLOOKUP($D347,$C$5:$AU$511,9,)/VLOOKUP($D347,$C$5:$AU$511,3,))*$E347)</f>
        <v>0</v>
      </c>
      <c r="L347" s="67">
        <f>IF(VLOOKUP($D347,$C$5:$AU$511,3,)=0,0,(VLOOKUP($D347,$C$5:$AU$511,10,)/VLOOKUP($D347,$C$5:$AU$511,3,))*$E347)</f>
        <v>0</v>
      </c>
      <c r="M347" s="67">
        <f>IF(VLOOKUP($D347,$C$5:$AU$511,3,)=0,0,(VLOOKUP($D347,$C$5:$AU$511,11,)/VLOOKUP($D347,$C$5:$AU$511,3,))*$E347)</f>
        <v>0</v>
      </c>
      <c r="N347" s="67">
        <f>IF(VLOOKUP($D347,$C$5:$AU$511,3,)=0,0,(VLOOKUP($D347,$C$5:$AU$511,12,)/VLOOKUP($D347,$C$5:$AU$511,3,))*$E347)</f>
        <v>0</v>
      </c>
      <c r="O347" s="67">
        <f>IF(VLOOKUP($D347,$C$5:$AU$511,3,)=0,0,(VLOOKUP($D347,$C$5:$AU$511,13,)/VLOOKUP($D347,$C$5:$AU$511,3,))*$E347)</f>
        <v>0</v>
      </c>
      <c r="P347" s="67">
        <f>IF(VLOOKUP($D347,$C$5:$AU$511,3,)=0,0,(VLOOKUP($D347,$C$5:$AU$511,14,)/VLOOKUP($D347,$C$5:$AU$511,3,))*$E347)</f>
        <v>0</v>
      </c>
      <c r="Q347" s="67">
        <f>IF(VLOOKUP($D347,$C$5:$AU$511,3,)=0,0,(VLOOKUP($D347,$C$5:$AU$511,15,)/VLOOKUP($D347,$C$5:$AU$511,3,))*$E347)</f>
        <v>0</v>
      </c>
      <c r="R347" s="67">
        <f>IF(VLOOKUP($D347,$C$5:$AU$511,3,)=0,0,(VLOOKUP($D347,$C$5:$AU$511,16,)/VLOOKUP($D347,$C$5:$AU$511,3,))*$E347)</f>
        <v>0</v>
      </c>
      <c r="S347" s="67">
        <f>IF(VLOOKUP($D347,$C$5:$AU$511,3,)=0,0,(VLOOKUP($D347,$C$5:$AU$511,17,)/VLOOKUP($D347,$C$5:$AU$511,3,))*$E347)</f>
        <v>0</v>
      </c>
      <c r="T347" s="67">
        <f>IF(VLOOKUP($D347,$C$5:$AU$511,3,)=0,0,(VLOOKUP($D347,$C$5:$AU$511,18,)/VLOOKUP($D347,$C$5:$AU$511,3,))*$E347)</f>
        <v>0</v>
      </c>
      <c r="U347" s="67">
        <f>IF(VLOOKUP($D347,$C$5:$AU$511,3,)=0,0,(VLOOKUP($D347,$C$5:$AU$511,19,)/VLOOKUP($D347,$C$5:$AU$511,3,))*$E347)</f>
        <v>0</v>
      </c>
      <c r="V347" s="67">
        <f>IF(VLOOKUP($D347,$C$5:$AU$511,3,)=0,0,(VLOOKUP($D347,$C$5:$AU$511,20,)/VLOOKUP($D347,$C$5:$AU$511,3,))*$E347)</f>
        <v>0</v>
      </c>
      <c r="W347" s="67">
        <f>IF(VLOOKUP($D347,$C$5:$AU$511,3,)=0,0,(VLOOKUP($D347,$C$5:$AU$511,21,)/VLOOKUP($D347,$C$5:$AU$511,3,))*$E347)</f>
        <v>0</v>
      </c>
      <c r="X347" s="67">
        <f>IF(VLOOKUP($D347,$C$5:$AU$511,3,)=0,0,(VLOOKUP($D347,$C$5:$AU$511,22,)/VLOOKUP($D347,$C$5:$AU$511,3,))*$E347)</f>
        <v>0</v>
      </c>
      <c r="Y347" s="67">
        <f>IF(VLOOKUP($D347,$C$5:$AU$511,3,)=0,0,(VLOOKUP($D347,$C$5:$AU$511,23,)/VLOOKUP($D347,$C$5:$AU$511,3,))*$E347)</f>
        <v>0</v>
      </c>
      <c r="Z347" s="67">
        <f>IF(VLOOKUP($D347,$C$5:$AU$511,3,)=0,0,(VLOOKUP($D347,$C$5:$AU$511,24,)/VLOOKUP($D347,$C$5:$AU$511,3,))*$E347)</f>
        <v>0</v>
      </c>
      <c r="AA347" s="67">
        <f>IF(VLOOKUP($D347,$C$5:$AU$511,3,)=0,0,(VLOOKUP($D347,$C$5:$AU$511,25,)/VLOOKUP($D347,$C$5:$AU$511,3,))*$E347)</f>
        <v>0</v>
      </c>
      <c r="AB347" s="67">
        <f>IF(VLOOKUP($D347,$C$5:$AU$511,3,)=0,0,(VLOOKUP($D347,$C$5:$AU$511,26,)/VLOOKUP($D347,$C$5:$AU$511,3,))*$E347)</f>
        <v>0</v>
      </c>
      <c r="AC347" s="67">
        <f>IF(VLOOKUP($D347,$C$5:$AU$511,3,)=0,0,(VLOOKUP($D347,$C$5:$AU$511,27,)/VLOOKUP($D347,$C$5:$AU$511,3,))*$E347)</f>
        <v>0</v>
      </c>
      <c r="AD347" s="67">
        <f>IF(VLOOKUP($D347,$C$5:$AU$511,3,)=0,0,(VLOOKUP($D347,$C$5:$AU$511,28,)/VLOOKUP($D347,$C$5:$AU$511,3,))*$E347)</f>
        <v>0</v>
      </c>
      <c r="AE347" s="67">
        <f>IF(VLOOKUP($D347,$C$5:$AU$511,3,)=0,0,(VLOOKUP($D347,$C$5:$AU$511,29,)/VLOOKUP($D347,$C$5:$AU$511,3,))*$E347)</f>
        <v>0</v>
      </c>
      <c r="AF347" s="67">
        <f>IF(VLOOKUP($D347,$C$5:$AU$511,3,)=0,0,(VLOOKUP($D347,$C$5:$AU$511,30,)/VLOOKUP($D347,$C$5:$AU$511,3,))*$E347)</f>
        <v>0</v>
      </c>
      <c r="AG347" s="90">
        <f t="shared" si="116"/>
        <v>0</v>
      </c>
      <c r="AH347" s="28" t="str">
        <f t="shared" si="117"/>
        <v>ok</v>
      </c>
      <c r="AK347" s="50">
        <f>AK343</f>
        <v>1</v>
      </c>
    </row>
    <row r="348" spans="1:44" x14ac:dyDescent="0.25">
      <c r="A348" s="28">
        <v>8</v>
      </c>
      <c r="B348" s="14" t="s">
        <v>1044</v>
      </c>
      <c r="E348" s="90">
        <f>AP356*AK348</f>
        <v>2179595.4601933332</v>
      </c>
      <c r="F348" s="90">
        <f>AP348*AK348</f>
        <v>1846414.24783</v>
      </c>
      <c r="G348" s="90">
        <f>AP349*AK348</f>
        <v>0</v>
      </c>
      <c r="H348" s="90">
        <f>AP350*AK348</f>
        <v>122448.43236333341</v>
      </c>
      <c r="I348" s="90">
        <f>AP351*AK348</f>
        <v>192448.89999999944</v>
      </c>
      <c r="J348" s="90">
        <f>AP352*AK348</f>
        <v>0</v>
      </c>
      <c r="K348" s="90">
        <f>AP353*AK348</f>
        <v>13247.400000000373</v>
      </c>
      <c r="L348" s="67">
        <f>AP354*AK348</f>
        <v>5036.4799999999814</v>
      </c>
      <c r="M348" s="67">
        <f>AP355*AK348</f>
        <v>0</v>
      </c>
      <c r="N348" s="67">
        <v>0</v>
      </c>
      <c r="O348" s="67">
        <v>0</v>
      </c>
      <c r="P348" s="67">
        <v>0</v>
      </c>
      <c r="Q348" s="67">
        <v>0</v>
      </c>
      <c r="R348" s="67">
        <v>0</v>
      </c>
      <c r="S348" s="67">
        <v>0</v>
      </c>
      <c r="T348" s="67">
        <v>0</v>
      </c>
      <c r="U348" s="67">
        <v>0</v>
      </c>
      <c r="V348" s="67">
        <v>0</v>
      </c>
      <c r="W348" s="67">
        <v>0</v>
      </c>
      <c r="X348" s="67">
        <v>0</v>
      </c>
      <c r="Y348" s="67">
        <v>0</v>
      </c>
      <c r="Z348" s="67">
        <v>0</v>
      </c>
      <c r="AA348" s="67">
        <v>0</v>
      </c>
      <c r="AB348" s="67">
        <v>0</v>
      </c>
      <c r="AC348" s="67">
        <v>0</v>
      </c>
      <c r="AD348" s="67">
        <v>0</v>
      </c>
      <c r="AE348" s="67">
        <v>0</v>
      </c>
      <c r="AF348" s="67">
        <v>0</v>
      </c>
      <c r="AG348" s="199">
        <f t="shared" si="116"/>
        <v>2179595.4601933332</v>
      </c>
      <c r="AH348" s="28" t="str">
        <f t="shared" si="117"/>
        <v>ok</v>
      </c>
      <c r="AK348" s="50">
        <v>1</v>
      </c>
      <c r="AM348" s="14" t="s">
        <v>1109</v>
      </c>
      <c r="AP348" s="46">
        <f>1846414.24783+'Summary of Returns'!R1</f>
        <v>1846414.24783</v>
      </c>
      <c r="AQ348" s="46">
        <f>1846414.24783</f>
        <v>1846414.24783</v>
      </c>
      <c r="AR348" s="46">
        <f>AQ348-AP348</f>
        <v>0</v>
      </c>
    </row>
    <row r="349" spans="1:44" x14ac:dyDescent="0.25">
      <c r="B349" s="25" t="s">
        <v>897</v>
      </c>
      <c r="E349" s="261">
        <f t="shared" ref="E349:AG349" si="118">SUM(E341:E348)</f>
        <v>-9276072.3889110237</v>
      </c>
      <c r="F349" s="261">
        <f t="shared" si="118"/>
        <v>-3558472.9789102748</v>
      </c>
      <c r="G349" s="261">
        <f t="shared" si="118"/>
        <v>505.13281171620611</v>
      </c>
      <c r="H349" s="261">
        <f t="shared" si="118"/>
        <v>-330851.2033666785</v>
      </c>
      <c r="I349" s="261">
        <f t="shared" si="118"/>
        <v>-725315.72445922554</v>
      </c>
      <c r="J349" s="261">
        <f t="shared" si="118"/>
        <v>-1333094.0316796987</v>
      </c>
      <c r="K349" s="261">
        <f t="shared" si="118"/>
        <v>-2510707.7216170514</v>
      </c>
      <c r="L349" s="261">
        <f t="shared" si="118"/>
        <v>-739220.33895795001</v>
      </c>
      <c r="M349" s="261">
        <f t="shared" si="118"/>
        <v>-78915.522731862409</v>
      </c>
      <c r="N349" s="190">
        <f t="shared" si="118"/>
        <v>0</v>
      </c>
      <c r="O349" s="190">
        <f t="shared" si="118"/>
        <v>0</v>
      </c>
      <c r="P349" s="190">
        <f t="shared" si="118"/>
        <v>0</v>
      </c>
      <c r="Q349" s="190">
        <f t="shared" si="118"/>
        <v>0</v>
      </c>
      <c r="R349" s="190">
        <f t="shared" si="118"/>
        <v>0</v>
      </c>
      <c r="S349" s="190">
        <f t="shared" si="118"/>
        <v>0</v>
      </c>
      <c r="T349" s="190">
        <f t="shared" si="118"/>
        <v>0</v>
      </c>
      <c r="U349" s="190">
        <f t="shared" si="118"/>
        <v>0</v>
      </c>
      <c r="V349" s="190">
        <f t="shared" si="118"/>
        <v>0</v>
      </c>
      <c r="W349" s="190">
        <f t="shared" si="118"/>
        <v>0</v>
      </c>
      <c r="X349" s="190">
        <f t="shared" si="118"/>
        <v>0</v>
      </c>
      <c r="Y349" s="190">
        <f t="shared" si="118"/>
        <v>0</v>
      </c>
      <c r="Z349" s="190">
        <f t="shared" si="118"/>
        <v>0</v>
      </c>
      <c r="AA349" s="190">
        <f t="shared" si="118"/>
        <v>0</v>
      </c>
      <c r="AB349" s="190">
        <f t="shared" si="118"/>
        <v>0</v>
      </c>
      <c r="AC349" s="190">
        <f t="shared" si="118"/>
        <v>0</v>
      </c>
      <c r="AD349" s="190">
        <f t="shared" si="118"/>
        <v>0</v>
      </c>
      <c r="AE349" s="190">
        <f t="shared" si="118"/>
        <v>0</v>
      </c>
      <c r="AF349" s="190">
        <f t="shared" si="118"/>
        <v>0</v>
      </c>
      <c r="AG349" s="190">
        <f t="shared" si="118"/>
        <v>-9276072.3889110237</v>
      </c>
      <c r="AH349" s="28" t="str">
        <f t="shared" si="117"/>
        <v>ok</v>
      </c>
      <c r="AP349" s="14">
        <v>0</v>
      </c>
      <c r="AQ349" s="14">
        <v>0</v>
      </c>
    </row>
    <row r="350" spans="1:44" x14ac:dyDescent="0.25">
      <c r="A350" s="14" t="s">
        <v>749</v>
      </c>
      <c r="B350" s="14" t="s">
        <v>749</v>
      </c>
      <c r="AP350" s="14">
        <v>122448.43236333341</v>
      </c>
      <c r="AQ350" s="14">
        <v>122448.43236333341</v>
      </c>
    </row>
    <row r="351" spans="1:44" x14ac:dyDescent="0.25">
      <c r="A351" s="14" t="s">
        <v>569</v>
      </c>
      <c r="E351" s="90">
        <f t="shared" ref="E351:AG351" si="119">E338+E349</f>
        <v>46194815.611088976</v>
      </c>
      <c r="F351" s="90">
        <f t="shared" si="119"/>
        <v>24593497.177850146</v>
      </c>
      <c r="G351" s="90">
        <f t="shared" si="119"/>
        <v>16134.943636153561</v>
      </c>
      <c r="H351" s="90">
        <f t="shared" si="119"/>
        <v>1651241.3729645852</v>
      </c>
      <c r="I351" s="90">
        <f t="shared" si="119"/>
        <v>4813295.1110706469</v>
      </c>
      <c r="J351" s="90">
        <f t="shared" si="119"/>
        <v>4938198.3502762988</v>
      </c>
      <c r="K351" s="90">
        <f t="shared" si="119"/>
        <v>7655757.5761743048</v>
      </c>
      <c r="L351" s="90">
        <f t="shared" si="119"/>
        <v>1973273.1453130962</v>
      </c>
      <c r="M351" s="90">
        <f t="shared" si="119"/>
        <v>553417.93380373798</v>
      </c>
      <c r="N351" s="90">
        <f t="shared" si="119"/>
        <v>0</v>
      </c>
      <c r="O351" s="90">
        <f t="shared" si="119"/>
        <v>0</v>
      </c>
      <c r="P351" s="90">
        <f t="shared" si="119"/>
        <v>0</v>
      </c>
      <c r="Q351" s="90">
        <f t="shared" si="119"/>
        <v>0</v>
      </c>
      <c r="R351" s="90">
        <f t="shared" si="119"/>
        <v>0</v>
      </c>
      <c r="S351" s="90">
        <f t="shared" si="119"/>
        <v>0</v>
      </c>
      <c r="T351" s="90">
        <f t="shared" si="119"/>
        <v>0</v>
      </c>
      <c r="U351" s="90">
        <f t="shared" si="119"/>
        <v>0</v>
      </c>
      <c r="V351" s="90">
        <f t="shared" si="119"/>
        <v>0</v>
      </c>
      <c r="W351" s="90">
        <f t="shared" si="119"/>
        <v>0</v>
      </c>
      <c r="X351" s="90">
        <f t="shared" si="119"/>
        <v>0</v>
      </c>
      <c r="Y351" s="90">
        <f t="shared" si="119"/>
        <v>0</v>
      </c>
      <c r="Z351" s="90">
        <f t="shared" si="119"/>
        <v>0</v>
      </c>
      <c r="AA351" s="90">
        <f t="shared" si="119"/>
        <v>0</v>
      </c>
      <c r="AB351" s="90">
        <f t="shared" si="119"/>
        <v>0</v>
      </c>
      <c r="AC351" s="90">
        <f t="shared" si="119"/>
        <v>0</v>
      </c>
      <c r="AD351" s="90">
        <f t="shared" si="119"/>
        <v>0</v>
      </c>
      <c r="AE351" s="90">
        <f t="shared" si="119"/>
        <v>0</v>
      </c>
      <c r="AF351" s="90">
        <f t="shared" si="119"/>
        <v>0</v>
      </c>
      <c r="AG351" s="90">
        <f t="shared" si="119"/>
        <v>46194815.611088976</v>
      </c>
      <c r="AH351" s="28" t="str">
        <f>IF(ABS(E351-AG351)&lt;0.01,"ok","err")</f>
        <v>ok</v>
      </c>
      <c r="AP351" s="14">
        <v>192448.89999999944</v>
      </c>
      <c r="AQ351" s="14">
        <v>192448.89999999944</v>
      </c>
    </row>
    <row r="352" spans="1:44" x14ac:dyDescent="0.25">
      <c r="AP352" s="14">
        <v>0</v>
      </c>
      <c r="AQ352" s="14">
        <v>0</v>
      </c>
    </row>
    <row r="353" spans="1:43" x14ac:dyDescent="0.25">
      <c r="A353" s="13" t="s">
        <v>325</v>
      </c>
      <c r="AP353" s="14">
        <v>13247.400000000373</v>
      </c>
      <c r="AQ353" s="14">
        <v>13247.400000000373</v>
      </c>
    </row>
    <row r="354" spans="1:43" x14ac:dyDescent="0.25">
      <c r="AP354" s="14">
        <v>5036.4799999999814</v>
      </c>
      <c r="AQ354" s="14">
        <v>5036.4799999999814</v>
      </c>
    </row>
    <row r="355" spans="1:43" x14ac:dyDescent="0.25">
      <c r="A355" s="14" t="s">
        <v>570</v>
      </c>
      <c r="C355" s="14" t="s">
        <v>196</v>
      </c>
      <c r="E355" s="90">
        <f t="shared" ref="E355:U355" si="120">E324</f>
        <v>52890794.18</v>
      </c>
      <c r="F355" s="90">
        <f t="shared" si="120"/>
        <v>28698175.24026474</v>
      </c>
      <c r="G355" s="90">
        <f t="shared" si="120"/>
        <v>22705.821470282572</v>
      </c>
      <c r="H355" s="90">
        <f t="shared" si="120"/>
        <v>1854104.694313837</v>
      </c>
      <c r="I355" s="90">
        <f t="shared" si="120"/>
        <v>4777814.8594065998</v>
      </c>
      <c r="J355" s="90">
        <f t="shared" si="120"/>
        <v>5756987.6438242504</v>
      </c>
      <c r="K355" s="90">
        <f t="shared" si="120"/>
        <v>8917299.0201913863</v>
      </c>
      <c r="L355" s="90">
        <f t="shared" si="120"/>
        <v>2549246.4107576613</v>
      </c>
      <c r="M355" s="90">
        <f t="shared" si="120"/>
        <v>314460.48965272878</v>
      </c>
      <c r="N355" s="90">
        <f t="shared" si="120"/>
        <v>0</v>
      </c>
      <c r="O355" s="90">
        <f t="shared" si="120"/>
        <v>0</v>
      </c>
      <c r="P355" s="90">
        <f t="shared" si="120"/>
        <v>0</v>
      </c>
      <c r="Q355" s="90">
        <f t="shared" si="120"/>
        <v>0</v>
      </c>
      <c r="R355" s="90">
        <f t="shared" si="120"/>
        <v>0</v>
      </c>
      <c r="S355" s="90">
        <f t="shared" si="120"/>
        <v>0</v>
      </c>
      <c r="T355" s="90">
        <f t="shared" si="120"/>
        <v>0</v>
      </c>
      <c r="U355" s="90">
        <f t="shared" si="120"/>
        <v>0</v>
      </c>
      <c r="V355" s="90">
        <f t="shared" ref="V355:AE355" si="121">V324-V125</f>
        <v>0</v>
      </c>
      <c r="W355" s="90">
        <f t="shared" si="121"/>
        <v>0</v>
      </c>
      <c r="X355" s="90">
        <f t="shared" si="121"/>
        <v>0</v>
      </c>
      <c r="Y355" s="90">
        <f t="shared" si="121"/>
        <v>0</v>
      </c>
      <c r="Z355" s="90">
        <f t="shared" si="121"/>
        <v>0</v>
      </c>
      <c r="AA355" s="90">
        <f t="shared" si="121"/>
        <v>0</v>
      </c>
      <c r="AB355" s="90">
        <f t="shared" si="121"/>
        <v>0</v>
      </c>
      <c r="AC355" s="90">
        <f t="shared" si="121"/>
        <v>0</v>
      </c>
      <c r="AD355" s="90">
        <f t="shared" si="121"/>
        <v>0</v>
      </c>
      <c r="AE355" s="90">
        <f t="shared" si="121"/>
        <v>0</v>
      </c>
      <c r="AF355" s="90">
        <f>AF324</f>
        <v>0</v>
      </c>
      <c r="AG355" s="90">
        <f>SUM(F355:AF355)</f>
        <v>52890794.179881483</v>
      </c>
      <c r="AH355" s="28" t="str">
        <f>IF(ABS(E355-AG355)&lt;0.01,"ok","err")</f>
        <v>ok</v>
      </c>
      <c r="AP355" s="14">
        <v>0</v>
      </c>
      <c r="AQ355" s="14">
        <v>0</v>
      </c>
    </row>
    <row r="356" spans="1:43" x14ac:dyDescent="0.25">
      <c r="AP356" s="205">
        <f>SUM(AP348:AP355)</f>
        <v>2179595.4601933332</v>
      </c>
    </row>
    <row r="357" spans="1:43" x14ac:dyDescent="0.25">
      <c r="A357" s="14" t="s">
        <v>568</v>
      </c>
      <c r="AK357" s="200" t="s">
        <v>1112</v>
      </c>
    </row>
    <row r="358" spans="1:43" x14ac:dyDescent="0.25">
      <c r="A358" s="28">
        <v>1</v>
      </c>
      <c r="B358" s="14" t="s">
        <v>948</v>
      </c>
      <c r="D358" s="14" t="s">
        <v>948</v>
      </c>
      <c r="E358" s="90">
        <f>-6311733*AK358</f>
        <v>-6311733</v>
      </c>
      <c r="F358" s="67">
        <f t="shared" ref="F358:F365" si="122">IF(VLOOKUP($D358,$C$5:$AU$511,3,)=0,0,(VLOOKUP($D358,$C$5:$AU$511,4,)/VLOOKUP($D358,$C$5:$AU$511,3,))*$E358)</f>
        <v>-2884829.0347501095</v>
      </c>
      <c r="G358" s="67">
        <f t="shared" ref="G358:G365" si="123">IF(VLOOKUP($D358,$C$5:$AU$511,3,)=0,0,(VLOOKUP($D358,$C$5:$AU$511,5,)/VLOOKUP($D358,$C$5:$AU$511,3,))*$E358)</f>
        <v>-2524.1458990112064</v>
      </c>
      <c r="H358" s="67">
        <f t="shared" ref="H358:H365" si="124">IF(VLOOKUP($D358,$C$5:$AU$511,3,)=0,0,(VLOOKUP($D358,$C$5:$AU$511,6,)/VLOOKUP($D358,$C$5:$AU$511,3,))*$E358)</f>
        <v>-204770.67446706566</v>
      </c>
      <c r="I358" s="67">
        <f t="shared" ref="I358:I365" si="125">IF(VLOOKUP($D358,$C$5:$AU$511,3,)=0,0,(VLOOKUP($D358,$C$5:$AU$511,7,)/VLOOKUP($D358,$C$5:$AU$511,3,))*$E358)</f>
        <v>-501128.46855836478</v>
      </c>
      <c r="J358" s="67">
        <f t="shared" ref="J358:J365" si="126">IF(VLOOKUP($D358,$C$5:$AU$511,3,)=0,0,(VLOOKUP($D358,$C$5:$AU$511,8,)/VLOOKUP($D358,$C$5:$AU$511,3,))*$E358)</f>
        <v>-804642.65840373223</v>
      </c>
      <c r="K358" s="67">
        <f t="shared" ref="K358:K365" si="127">IF(VLOOKUP($D358,$C$5:$AU$511,3,)=0,0,(VLOOKUP($D358,$C$5:$AU$511,9,)/VLOOKUP($D358,$C$5:$AU$511,3,))*$E358)</f>
        <v>-1455690.040965863</v>
      </c>
      <c r="L358" s="67">
        <f t="shared" ref="L358:L365" si="128">IF(VLOOKUP($D358,$C$5:$AU$511,3,)=0,0,(VLOOKUP($D358,$C$5:$AU$511,10,)/VLOOKUP($D358,$C$5:$AU$511,3,))*$E358)</f>
        <v>-434713.77475349867</v>
      </c>
      <c r="M358" s="67">
        <f t="shared" ref="M358:M365" si="129">IF(VLOOKUP($D358,$C$5:$AU$511,3,)=0,0,(VLOOKUP($D358,$C$5:$AU$511,11,)/VLOOKUP($D358,$C$5:$AU$511,3,))*$E358)</f>
        <v>-23434.202202354754</v>
      </c>
      <c r="N358" s="67">
        <f t="shared" ref="N358:N365" si="130">IF(VLOOKUP($D358,$C$5:$AU$511,3,)=0,0,(VLOOKUP($D358,$C$5:$AU$511,12,)/VLOOKUP($D358,$C$5:$AU$511,3,))*$E358)</f>
        <v>0</v>
      </c>
      <c r="O358" s="67">
        <f t="shared" ref="O358:O365" si="131">IF(VLOOKUP($D358,$C$5:$AU$511,3,)=0,0,(VLOOKUP($D358,$C$5:$AU$511,13,)/VLOOKUP($D358,$C$5:$AU$511,3,))*$E358)</f>
        <v>0</v>
      </c>
      <c r="P358" s="67">
        <f t="shared" ref="P358:P365" si="132">IF(VLOOKUP($D358,$C$5:$AU$511,3,)=0,0,(VLOOKUP($D358,$C$5:$AU$511,14,)/VLOOKUP($D358,$C$5:$AU$511,3,))*$E358)</f>
        <v>0</v>
      </c>
      <c r="Q358" s="67">
        <f t="shared" ref="Q358:Q374" si="133">IF(VLOOKUP($D358,$C$5:$AU$511,3,)=0,0,(VLOOKUP($D358,$C$5:$AU$511,15,)/VLOOKUP($D358,$C$5:$AU$511,3,))*$E358)</f>
        <v>0</v>
      </c>
      <c r="R358" s="67">
        <f t="shared" ref="R358:R374" si="134">IF(VLOOKUP($D358,$C$5:$AU$511,3,)=0,0,(VLOOKUP($D358,$C$5:$AU$511,16,)/VLOOKUP($D358,$C$5:$AU$511,3,))*$E358)</f>
        <v>0</v>
      </c>
      <c r="S358" s="67">
        <f t="shared" ref="S358:S374" si="135">IF(VLOOKUP($D358,$C$5:$AU$511,3,)=0,0,(VLOOKUP($D358,$C$5:$AU$511,17,)/VLOOKUP($D358,$C$5:$AU$511,3,))*$E358)</f>
        <v>0</v>
      </c>
      <c r="T358" s="67">
        <f t="shared" ref="T358:T374" si="136">IF(VLOOKUP($D358,$C$5:$AU$511,3,)=0,0,(VLOOKUP($D358,$C$5:$AU$511,18,)/VLOOKUP($D358,$C$5:$AU$511,3,))*$E358)</f>
        <v>0</v>
      </c>
      <c r="U358" s="67">
        <f t="shared" ref="U358:U374" si="137">IF(VLOOKUP($D358,$C$5:$AU$511,3,)=0,0,(VLOOKUP($D358,$C$5:$AU$511,19,)/VLOOKUP($D358,$C$5:$AU$511,3,))*$E358)</f>
        <v>0</v>
      </c>
      <c r="V358" s="67">
        <f t="shared" ref="V358:V365" si="138">IF(VLOOKUP($D358,$C$5:$AU$511,3,)=0,0,(VLOOKUP($D358,$C$5:$AU$511,20,)/VLOOKUP($D358,$C$5:$AU$511,3,))*$E358)</f>
        <v>0</v>
      </c>
      <c r="W358" s="67">
        <f t="shared" ref="W358:W365" si="139">IF(VLOOKUP($D358,$C$5:$AU$511,3,)=0,0,(VLOOKUP($D358,$C$5:$AU$511,21,)/VLOOKUP($D358,$C$5:$AU$511,3,))*$E358)</f>
        <v>0</v>
      </c>
      <c r="X358" s="67">
        <f t="shared" ref="X358:X365" si="140">IF(VLOOKUP($D358,$C$5:$AU$511,3,)=0,0,(VLOOKUP($D358,$C$5:$AU$511,22,)/VLOOKUP($D358,$C$5:$AU$511,3,))*$E358)</f>
        <v>0</v>
      </c>
      <c r="Y358" s="67">
        <f t="shared" ref="Y358:Y365" si="141">IF(VLOOKUP($D358,$C$5:$AU$511,3,)=0,0,(VLOOKUP($D358,$C$5:$AU$511,23,)/VLOOKUP($D358,$C$5:$AU$511,3,))*$E358)</f>
        <v>0</v>
      </c>
      <c r="Z358" s="67">
        <f t="shared" ref="Z358:Z365" si="142">IF(VLOOKUP($D358,$C$5:$AU$511,3,)=0,0,(VLOOKUP($D358,$C$5:$AU$511,24,)/VLOOKUP($D358,$C$5:$AU$511,3,))*$E358)</f>
        <v>0</v>
      </c>
      <c r="AA358" s="67">
        <f t="shared" ref="AA358:AA365" si="143">IF(VLOOKUP($D358,$C$5:$AU$511,3,)=0,0,(VLOOKUP($D358,$C$5:$AU$511,25,)/VLOOKUP($D358,$C$5:$AU$511,3,))*$E358)</f>
        <v>0</v>
      </c>
      <c r="AB358" s="67">
        <f t="shared" ref="AB358:AB365" si="144">IF(VLOOKUP($D358,$C$5:$AU$511,3,)=0,0,(VLOOKUP($D358,$C$5:$AU$511,26,)/VLOOKUP($D358,$C$5:$AU$511,3,))*$E358)</f>
        <v>0</v>
      </c>
      <c r="AC358" s="67">
        <f t="shared" ref="AC358:AC365" si="145">IF(VLOOKUP($D358,$C$5:$AU$511,3,)=0,0,(VLOOKUP($D358,$C$5:$AU$511,27,)/VLOOKUP($D358,$C$5:$AU$511,3,))*$E358)</f>
        <v>0</v>
      </c>
      <c r="AD358" s="67">
        <f t="shared" ref="AD358:AD365" si="146">IF(VLOOKUP($D358,$C$5:$AU$511,3,)=0,0,(VLOOKUP($D358,$C$5:$AU$511,28,)/VLOOKUP($D358,$C$5:$AU$511,3,))*$E358)</f>
        <v>0</v>
      </c>
      <c r="AE358" s="67">
        <f t="shared" ref="AE358:AE365" si="147">IF(VLOOKUP($D358,$C$5:$AU$511,3,)=0,0,(VLOOKUP($D358,$C$5:$AU$511,29,)/VLOOKUP($D358,$C$5:$AU$511,3,))*$E358)</f>
        <v>0</v>
      </c>
      <c r="AF358" s="67">
        <f t="shared" ref="AF358:AF365" si="148">IF(VLOOKUP($D358,$C$5:$AU$511,3,)=0,0,(VLOOKUP($D358,$C$5:$AU$511,30,)/VLOOKUP($D358,$C$5:$AU$511,3,))*$E358)</f>
        <v>0</v>
      </c>
      <c r="AG358" s="90">
        <f t="shared" ref="AG358:AG375" si="149">SUM(F358:AF358)</f>
        <v>-6311733</v>
      </c>
      <c r="AH358" s="28" t="str">
        <f t="shared" ref="AH358:AH375" si="150">IF(ABS(E358-AG358)&lt;0.01,"ok","err")</f>
        <v>ok</v>
      </c>
      <c r="AK358" s="50">
        <f>AK341</f>
        <v>1</v>
      </c>
    </row>
    <row r="359" spans="1:43" x14ac:dyDescent="0.25">
      <c r="A359" s="28">
        <v>2</v>
      </c>
      <c r="B359" s="14" t="s">
        <v>949</v>
      </c>
      <c r="D359" s="14" t="s">
        <v>949</v>
      </c>
      <c r="E359" s="90">
        <f>-5387556*AK359</f>
        <v>-5387556</v>
      </c>
      <c r="F359" s="67">
        <f t="shared" si="122"/>
        <v>-2639975.4456079509</v>
      </c>
      <c r="G359" s="67">
        <f t="shared" si="123"/>
        <v>-1411.0362763521675</v>
      </c>
      <c r="H359" s="67">
        <f t="shared" si="124"/>
        <v>-186454.84286556655</v>
      </c>
      <c r="I359" s="67">
        <f t="shared" si="125"/>
        <v>-519091.03886557318</v>
      </c>
      <c r="J359" s="67">
        <f t="shared" si="126"/>
        <v>-608822.39046238677</v>
      </c>
      <c r="K359" s="67">
        <f t="shared" si="127"/>
        <v>-1067133.1360796588</v>
      </c>
      <c r="L359" s="67">
        <f t="shared" si="128"/>
        <v>-309205.01045418874</v>
      </c>
      <c r="M359" s="67">
        <f t="shared" si="129"/>
        <v>-55463.099388323433</v>
      </c>
      <c r="N359" s="67">
        <f t="shared" si="130"/>
        <v>0</v>
      </c>
      <c r="O359" s="67">
        <f t="shared" si="131"/>
        <v>0</v>
      </c>
      <c r="P359" s="67">
        <f t="shared" si="132"/>
        <v>0</v>
      </c>
      <c r="Q359" s="67">
        <f t="shared" si="133"/>
        <v>0</v>
      </c>
      <c r="R359" s="67">
        <f t="shared" si="134"/>
        <v>0</v>
      </c>
      <c r="S359" s="67">
        <f t="shared" si="135"/>
        <v>0</v>
      </c>
      <c r="T359" s="67">
        <f t="shared" si="136"/>
        <v>0</v>
      </c>
      <c r="U359" s="67">
        <f t="shared" si="137"/>
        <v>0</v>
      </c>
      <c r="V359" s="67">
        <f t="shared" si="138"/>
        <v>0</v>
      </c>
      <c r="W359" s="67">
        <f t="shared" si="139"/>
        <v>0</v>
      </c>
      <c r="X359" s="67">
        <f t="shared" si="140"/>
        <v>0</v>
      </c>
      <c r="Y359" s="67">
        <f t="shared" si="141"/>
        <v>0</v>
      </c>
      <c r="Z359" s="67">
        <f t="shared" si="142"/>
        <v>0</v>
      </c>
      <c r="AA359" s="67">
        <f t="shared" si="143"/>
        <v>0</v>
      </c>
      <c r="AB359" s="67">
        <f t="shared" si="144"/>
        <v>0</v>
      </c>
      <c r="AC359" s="67">
        <f t="shared" si="145"/>
        <v>0</v>
      </c>
      <c r="AD359" s="67">
        <f t="shared" si="146"/>
        <v>0</v>
      </c>
      <c r="AE359" s="67">
        <f t="shared" si="147"/>
        <v>0</v>
      </c>
      <c r="AF359" s="67">
        <f t="shared" si="148"/>
        <v>0</v>
      </c>
      <c r="AG359" s="90">
        <f t="shared" si="149"/>
        <v>-5387556.0000000019</v>
      </c>
      <c r="AH359" s="28" t="str">
        <f t="shared" si="150"/>
        <v>ok</v>
      </c>
      <c r="AK359" s="50">
        <f>AK$358</f>
        <v>1</v>
      </c>
    </row>
    <row r="360" spans="1:43" x14ac:dyDescent="0.25">
      <c r="A360" s="28">
        <v>3</v>
      </c>
      <c r="B360" s="14" t="s">
        <v>1107</v>
      </c>
      <c r="D360" s="14" t="s">
        <v>259</v>
      </c>
      <c r="E360" s="90">
        <f>-133158.1275*AK360</f>
        <v>-133158.1275</v>
      </c>
      <c r="F360" s="67">
        <f t="shared" si="122"/>
        <v>-92338.262898900357</v>
      </c>
      <c r="G360" s="67">
        <f t="shared" si="123"/>
        <v>-98.101636886783083</v>
      </c>
      <c r="H360" s="67">
        <f t="shared" si="124"/>
        <v>-4351.1634809265897</v>
      </c>
      <c r="I360" s="67">
        <f t="shared" si="125"/>
        <v>-15076.384768941578</v>
      </c>
      <c r="J360" s="67">
        <f t="shared" si="126"/>
        <v>-6318.2346475604463</v>
      </c>
      <c r="K360" s="67">
        <f t="shared" si="127"/>
        <v>-8410.1343140999943</v>
      </c>
      <c r="L360" s="67">
        <f t="shared" si="128"/>
        <v>-2200.2736035910893</v>
      </c>
      <c r="M360" s="67">
        <f t="shared" si="129"/>
        <v>-4365.5721460389714</v>
      </c>
      <c r="N360" s="67">
        <f t="shared" si="130"/>
        <v>0</v>
      </c>
      <c r="O360" s="67">
        <f t="shared" si="131"/>
        <v>0</v>
      </c>
      <c r="P360" s="67">
        <f t="shared" si="132"/>
        <v>0</v>
      </c>
      <c r="Q360" s="67">
        <f t="shared" si="133"/>
        <v>0</v>
      </c>
      <c r="R360" s="67">
        <f t="shared" si="134"/>
        <v>0</v>
      </c>
      <c r="S360" s="67">
        <f t="shared" si="135"/>
        <v>0</v>
      </c>
      <c r="T360" s="67">
        <f t="shared" si="136"/>
        <v>0</v>
      </c>
      <c r="U360" s="67">
        <f t="shared" si="137"/>
        <v>0</v>
      </c>
      <c r="V360" s="67">
        <f t="shared" si="138"/>
        <v>0</v>
      </c>
      <c r="W360" s="67">
        <f t="shared" si="139"/>
        <v>0</v>
      </c>
      <c r="X360" s="67">
        <f t="shared" si="140"/>
        <v>0</v>
      </c>
      <c r="Y360" s="67">
        <f t="shared" si="141"/>
        <v>0</v>
      </c>
      <c r="Z360" s="67">
        <f t="shared" si="142"/>
        <v>0</v>
      </c>
      <c r="AA360" s="67">
        <f t="shared" si="143"/>
        <v>0</v>
      </c>
      <c r="AB360" s="67">
        <f t="shared" si="144"/>
        <v>0</v>
      </c>
      <c r="AC360" s="67">
        <f t="shared" si="145"/>
        <v>0</v>
      </c>
      <c r="AD360" s="67">
        <f t="shared" si="146"/>
        <v>0</v>
      </c>
      <c r="AE360" s="67">
        <f t="shared" si="147"/>
        <v>0</v>
      </c>
      <c r="AF360" s="67">
        <f t="shared" si="148"/>
        <v>0</v>
      </c>
      <c r="AG360" s="90">
        <f t="shared" si="149"/>
        <v>-133158.12749694582</v>
      </c>
      <c r="AH360" s="28" t="str">
        <f t="shared" si="150"/>
        <v>ok</v>
      </c>
      <c r="AK360" s="50">
        <f t="shared" ref="AK360:AK373" si="151">AK$358</f>
        <v>1</v>
      </c>
    </row>
    <row r="361" spans="1:43" x14ac:dyDescent="0.25">
      <c r="A361" s="28">
        <v>4</v>
      </c>
      <c r="B361" s="14" t="s">
        <v>1038</v>
      </c>
      <c r="D361" s="14" t="s">
        <v>259</v>
      </c>
      <c r="E361" s="90">
        <f>-192048.66*AK361</f>
        <v>-192048.66</v>
      </c>
      <c r="F361" s="67">
        <f t="shared" si="122"/>
        <v>-133175.79624617001</v>
      </c>
      <c r="G361" s="67">
        <f t="shared" si="123"/>
        <v>-141.48808083767369</v>
      </c>
      <c r="H361" s="67">
        <f t="shared" si="124"/>
        <v>-6275.5096638985642</v>
      </c>
      <c r="I361" s="67">
        <f t="shared" si="125"/>
        <v>-21744.068851671407</v>
      </c>
      <c r="J361" s="67">
        <f t="shared" si="126"/>
        <v>-9112.5380058348746</v>
      </c>
      <c r="K361" s="67">
        <f t="shared" si="127"/>
        <v>-12129.601517886491</v>
      </c>
      <c r="L361" s="67">
        <f t="shared" si="128"/>
        <v>-3173.3669219931007</v>
      </c>
      <c r="M361" s="67">
        <f t="shared" si="129"/>
        <v>-6296.2907073029291</v>
      </c>
      <c r="N361" s="67">
        <f t="shared" si="130"/>
        <v>0</v>
      </c>
      <c r="O361" s="67">
        <f t="shared" si="131"/>
        <v>0</v>
      </c>
      <c r="P361" s="67">
        <f t="shared" si="132"/>
        <v>0</v>
      </c>
      <c r="Q361" s="67">
        <f t="shared" si="133"/>
        <v>0</v>
      </c>
      <c r="R361" s="67">
        <f t="shared" si="134"/>
        <v>0</v>
      </c>
      <c r="S361" s="67">
        <f t="shared" si="135"/>
        <v>0</v>
      </c>
      <c r="T361" s="67">
        <f t="shared" si="136"/>
        <v>0</v>
      </c>
      <c r="U361" s="67">
        <f t="shared" si="137"/>
        <v>0</v>
      </c>
      <c r="V361" s="67">
        <f t="shared" si="138"/>
        <v>0</v>
      </c>
      <c r="W361" s="67">
        <f t="shared" si="139"/>
        <v>0</v>
      </c>
      <c r="X361" s="67">
        <f t="shared" si="140"/>
        <v>0</v>
      </c>
      <c r="Y361" s="67">
        <f t="shared" si="141"/>
        <v>0</v>
      </c>
      <c r="Z361" s="67">
        <f t="shared" si="142"/>
        <v>0</v>
      </c>
      <c r="AA361" s="67">
        <f t="shared" si="143"/>
        <v>0</v>
      </c>
      <c r="AB361" s="67">
        <f t="shared" si="144"/>
        <v>0</v>
      </c>
      <c r="AC361" s="67">
        <f t="shared" si="145"/>
        <v>0</v>
      </c>
      <c r="AD361" s="67">
        <f t="shared" si="146"/>
        <v>0</v>
      </c>
      <c r="AE361" s="67">
        <f t="shared" si="147"/>
        <v>0</v>
      </c>
      <c r="AF361" s="67">
        <f t="shared" si="148"/>
        <v>0</v>
      </c>
      <c r="AG361" s="90">
        <f t="shared" si="149"/>
        <v>-192048.65999559505</v>
      </c>
      <c r="AH361" s="28" t="str">
        <f t="shared" si="150"/>
        <v>ok</v>
      </c>
      <c r="AK361" s="50">
        <f t="shared" si="151"/>
        <v>1</v>
      </c>
    </row>
    <row r="362" spans="1:43" x14ac:dyDescent="0.25">
      <c r="A362" s="28">
        <v>5</v>
      </c>
      <c r="B362" s="14" t="s">
        <v>1012</v>
      </c>
      <c r="D362" s="14" t="s">
        <v>283</v>
      </c>
      <c r="E362" s="90">
        <f>-17829.31*AK362</f>
        <v>-17829.310000000001</v>
      </c>
      <c r="F362" s="67">
        <f t="shared" si="122"/>
        <v>-12751.86863482682</v>
      </c>
      <c r="G362" s="67">
        <f t="shared" si="123"/>
        <v>-14.276855033204839</v>
      </c>
      <c r="H362" s="67">
        <f t="shared" si="124"/>
        <v>-635.68847686176844</v>
      </c>
      <c r="I362" s="67">
        <f t="shared" si="125"/>
        <v>-2358.4779396757372</v>
      </c>
      <c r="J362" s="67">
        <f t="shared" si="126"/>
        <v>-705.2776159296551</v>
      </c>
      <c r="K362" s="67">
        <f t="shared" si="127"/>
        <v>-946.71291454314701</v>
      </c>
      <c r="L362" s="67">
        <f t="shared" si="128"/>
        <v>-247.16123220216073</v>
      </c>
      <c r="M362" s="67">
        <f t="shared" si="129"/>
        <v>-169.84633082382894</v>
      </c>
      <c r="N362" s="67">
        <f t="shared" si="130"/>
        <v>0</v>
      </c>
      <c r="O362" s="67">
        <f t="shared" si="131"/>
        <v>0</v>
      </c>
      <c r="P362" s="67">
        <f t="shared" si="132"/>
        <v>0</v>
      </c>
      <c r="Q362" s="67">
        <f t="shared" si="133"/>
        <v>0</v>
      </c>
      <c r="R362" s="67">
        <f t="shared" si="134"/>
        <v>0</v>
      </c>
      <c r="S362" s="67">
        <f t="shared" si="135"/>
        <v>0</v>
      </c>
      <c r="T362" s="67">
        <f t="shared" si="136"/>
        <v>0</v>
      </c>
      <c r="U362" s="67">
        <f t="shared" si="137"/>
        <v>0</v>
      </c>
      <c r="V362" s="67">
        <f t="shared" si="138"/>
        <v>0</v>
      </c>
      <c r="W362" s="67">
        <f t="shared" si="139"/>
        <v>0</v>
      </c>
      <c r="X362" s="67">
        <f t="shared" si="140"/>
        <v>0</v>
      </c>
      <c r="Y362" s="67">
        <f t="shared" si="141"/>
        <v>0</v>
      </c>
      <c r="Z362" s="67">
        <f t="shared" si="142"/>
        <v>0</v>
      </c>
      <c r="AA362" s="67">
        <f t="shared" si="143"/>
        <v>0</v>
      </c>
      <c r="AB362" s="67">
        <f t="shared" si="144"/>
        <v>0</v>
      </c>
      <c r="AC362" s="67">
        <f t="shared" si="145"/>
        <v>0</v>
      </c>
      <c r="AD362" s="67">
        <f t="shared" si="146"/>
        <v>0</v>
      </c>
      <c r="AE362" s="67">
        <f t="shared" si="147"/>
        <v>0</v>
      </c>
      <c r="AF362" s="67">
        <f t="shared" si="148"/>
        <v>0</v>
      </c>
      <c r="AG362" s="90">
        <f t="shared" si="149"/>
        <v>-17829.309999896323</v>
      </c>
      <c r="AH362" s="28" t="str">
        <f t="shared" si="150"/>
        <v>ok</v>
      </c>
      <c r="AK362" s="50">
        <f t="shared" si="151"/>
        <v>1</v>
      </c>
    </row>
    <row r="363" spans="1:43" x14ac:dyDescent="0.25">
      <c r="A363" s="28">
        <v>6</v>
      </c>
      <c r="B363" s="14" t="s">
        <v>1013</v>
      </c>
      <c r="D363" s="14" t="s">
        <v>283</v>
      </c>
      <c r="E363" s="90">
        <f>-8097.85555419665*AK363</f>
        <v>-8097.8555541966498</v>
      </c>
      <c r="F363" s="67">
        <f t="shared" si="122"/>
        <v>-5791.743497135807</v>
      </c>
      <c r="G363" s="67">
        <f t="shared" si="123"/>
        <v>-6.48437375462641</v>
      </c>
      <c r="H363" s="67">
        <f t="shared" si="124"/>
        <v>-288.72196754074497</v>
      </c>
      <c r="I363" s="67">
        <f t="shared" si="125"/>
        <v>-1071.1919689126184</v>
      </c>
      <c r="J363" s="67">
        <f t="shared" si="126"/>
        <v>-320.32850735146388</v>
      </c>
      <c r="K363" s="67">
        <f t="shared" si="127"/>
        <v>-429.98548083256844</v>
      </c>
      <c r="L363" s="67">
        <f t="shared" si="128"/>
        <v>-112.25762281155889</v>
      </c>
      <c r="M363" s="67">
        <f t="shared" si="129"/>
        <v>-77.142135810172391</v>
      </c>
      <c r="N363" s="67">
        <f t="shared" si="130"/>
        <v>0</v>
      </c>
      <c r="O363" s="67">
        <f t="shared" si="131"/>
        <v>0</v>
      </c>
      <c r="P363" s="67">
        <f t="shared" si="132"/>
        <v>0</v>
      </c>
      <c r="Q363" s="67">
        <f t="shared" si="133"/>
        <v>0</v>
      </c>
      <c r="R363" s="67">
        <f t="shared" si="134"/>
        <v>0</v>
      </c>
      <c r="S363" s="67">
        <f t="shared" si="135"/>
        <v>0</v>
      </c>
      <c r="T363" s="67">
        <f t="shared" si="136"/>
        <v>0</v>
      </c>
      <c r="U363" s="67">
        <f t="shared" si="137"/>
        <v>0</v>
      </c>
      <c r="V363" s="67">
        <f t="shared" si="138"/>
        <v>0</v>
      </c>
      <c r="W363" s="67">
        <f t="shared" si="139"/>
        <v>0</v>
      </c>
      <c r="X363" s="67">
        <f t="shared" si="140"/>
        <v>0</v>
      </c>
      <c r="Y363" s="67">
        <f t="shared" si="141"/>
        <v>0</v>
      </c>
      <c r="Z363" s="67">
        <f t="shared" si="142"/>
        <v>0</v>
      </c>
      <c r="AA363" s="67">
        <f t="shared" si="143"/>
        <v>0</v>
      </c>
      <c r="AB363" s="67">
        <f t="shared" si="144"/>
        <v>0</v>
      </c>
      <c r="AC363" s="67">
        <f t="shared" si="145"/>
        <v>0</v>
      </c>
      <c r="AD363" s="67">
        <f t="shared" si="146"/>
        <v>0</v>
      </c>
      <c r="AE363" s="67">
        <f t="shared" si="147"/>
        <v>0</v>
      </c>
      <c r="AF363" s="67">
        <f t="shared" si="148"/>
        <v>0</v>
      </c>
      <c r="AG363" s="90">
        <f t="shared" si="149"/>
        <v>-8097.8555541495589</v>
      </c>
      <c r="AH363" s="28" t="str">
        <f t="shared" si="150"/>
        <v>ok</v>
      </c>
      <c r="AK363" s="50">
        <f t="shared" si="151"/>
        <v>1</v>
      </c>
    </row>
    <row r="364" spans="1:43" x14ac:dyDescent="0.25">
      <c r="A364" s="28">
        <v>7</v>
      </c>
      <c r="B364" s="14" t="s">
        <v>1014</v>
      </c>
      <c r="D364" s="14" t="s">
        <v>259</v>
      </c>
      <c r="E364" s="90">
        <f>25000*AK364</f>
        <v>25000</v>
      </c>
      <c r="F364" s="67">
        <f t="shared" si="122"/>
        <v>17336.204825143013</v>
      </c>
      <c r="G364" s="67">
        <f t="shared" si="123"/>
        <v>18.418259314810332</v>
      </c>
      <c r="H364" s="67">
        <f t="shared" si="124"/>
        <v>816.91661684837641</v>
      </c>
      <c r="I364" s="67">
        <f t="shared" si="125"/>
        <v>2830.5415996747133</v>
      </c>
      <c r="J364" s="67">
        <f t="shared" si="126"/>
        <v>1186.2277515806247</v>
      </c>
      <c r="K364" s="67">
        <f t="shared" si="127"/>
        <v>1578.9750261582781</v>
      </c>
      <c r="L364" s="67">
        <f t="shared" si="128"/>
        <v>413.09412442569254</v>
      </c>
      <c r="M364" s="67">
        <f t="shared" si="129"/>
        <v>819.62179628107401</v>
      </c>
      <c r="N364" s="67">
        <f t="shared" si="130"/>
        <v>0</v>
      </c>
      <c r="O364" s="67">
        <f t="shared" si="131"/>
        <v>0</v>
      </c>
      <c r="P364" s="67">
        <f t="shared" si="132"/>
        <v>0</v>
      </c>
      <c r="Q364" s="67">
        <f t="shared" si="133"/>
        <v>0</v>
      </c>
      <c r="R364" s="67">
        <f t="shared" si="134"/>
        <v>0</v>
      </c>
      <c r="S364" s="67">
        <f t="shared" si="135"/>
        <v>0</v>
      </c>
      <c r="T364" s="67">
        <f t="shared" si="136"/>
        <v>0</v>
      </c>
      <c r="U364" s="67">
        <f t="shared" si="137"/>
        <v>0</v>
      </c>
      <c r="V364" s="67">
        <f t="shared" si="138"/>
        <v>0</v>
      </c>
      <c r="W364" s="67">
        <f t="shared" si="139"/>
        <v>0</v>
      </c>
      <c r="X364" s="67">
        <f t="shared" si="140"/>
        <v>0</v>
      </c>
      <c r="Y364" s="67">
        <f t="shared" si="141"/>
        <v>0</v>
      </c>
      <c r="Z364" s="67">
        <f t="shared" si="142"/>
        <v>0</v>
      </c>
      <c r="AA364" s="67">
        <f t="shared" si="143"/>
        <v>0</v>
      </c>
      <c r="AB364" s="67">
        <f t="shared" si="144"/>
        <v>0</v>
      </c>
      <c r="AC364" s="67">
        <f t="shared" si="145"/>
        <v>0</v>
      </c>
      <c r="AD364" s="67">
        <f t="shared" si="146"/>
        <v>0</v>
      </c>
      <c r="AE364" s="67">
        <f t="shared" si="147"/>
        <v>0</v>
      </c>
      <c r="AF364" s="67">
        <f t="shared" si="148"/>
        <v>0</v>
      </c>
      <c r="AG364" s="90">
        <f t="shared" si="149"/>
        <v>24999.999999426582</v>
      </c>
      <c r="AH364" s="28" t="str">
        <f t="shared" si="150"/>
        <v>ok</v>
      </c>
      <c r="AK364" s="50">
        <f t="shared" si="151"/>
        <v>1</v>
      </c>
    </row>
    <row r="365" spans="1:43" x14ac:dyDescent="0.25">
      <c r="A365" s="28">
        <v>8</v>
      </c>
      <c r="B365" s="14" t="s">
        <v>1039</v>
      </c>
      <c r="D365" s="14" t="s">
        <v>259</v>
      </c>
      <c r="E365" s="90">
        <f>398879.31*0</f>
        <v>0</v>
      </c>
      <c r="F365" s="67">
        <f t="shared" si="122"/>
        <v>0</v>
      </c>
      <c r="G365" s="67">
        <f t="shared" si="123"/>
        <v>0</v>
      </c>
      <c r="H365" s="67">
        <f t="shared" si="124"/>
        <v>0</v>
      </c>
      <c r="I365" s="67">
        <f t="shared" si="125"/>
        <v>0</v>
      </c>
      <c r="J365" s="67">
        <f t="shared" si="126"/>
        <v>0</v>
      </c>
      <c r="K365" s="67">
        <f t="shared" si="127"/>
        <v>0</v>
      </c>
      <c r="L365" s="67">
        <f t="shared" si="128"/>
        <v>0</v>
      </c>
      <c r="M365" s="67">
        <f t="shared" si="129"/>
        <v>0</v>
      </c>
      <c r="N365" s="67">
        <f t="shared" si="130"/>
        <v>0</v>
      </c>
      <c r="O365" s="67">
        <f t="shared" si="131"/>
        <v>0</v>
      </c>
      <c r="P365" s="67">
        <f t="shared" si="132"/>
        <v>0</v>
      </c>
      <c r="Q365" s="67">
        <f t="shared" si="133"/>
        <v>0</v>
      </c>
      <c r="R365" s="67">
        <f t="shared" si="134"/>
        <v>0</v>
      </c>
      <c r="S365" s="67">
        <f t="shared" si="135"/>
        <v>0</v>
      </c>
      <c r="T365" s="67">
        <f t="shared" si="136"/>
        <v>0</v>
      </c>
      <c r="U365" s="67">
        <f t="shared" si="137"/>
        <v>0</v>
      </c>
      <c r="V365" s="67">
        <f t="shared" si="138"/>
        <v>0</v>
      </c>
      <c r="W365" s="67">
        <f t="shared" si="139"/>
        <v>0</v>
      </c>
      <c r="X365" s="67">
        <f t="shared" si="140"/>
        <v>0</v>
      </c>
      <c r="Y365" s="67">
        <f t="shared" si="141"/>
        <v>0</v>
      </c>
      <c r="Z365" s="67">
        <f t="shared" si="142"/>
        <v>0</v>
      </c>
      <c r="AA365" s="67">
        <f t="shared" si="143"/>
        <v>0</v>
      </c>
      <c r="AB365" s="67">
        <f t="shared" si="144"/>
        <v>0</v>
      </c>
      <c r="AC365" s="67">
        <f t="shared" si="145"/>
        <v>0</v>
      </c>
      <c r="AD365" s="67">
        <f t="shared" si="146"/>
        <v>0</v>
      </c>
      <c r="AE365" s="67">
        <f t="shared" si="147"/>
        <v>0</v>
      </c>
      <c r="AF365" s="67">
        <f t="shared" si="148"/>
        <v>0</v>
      </c>
      <c r="AG365" s="90">
        <f>SUM(F365:AF365)</f>
        <v>0</v>
      </c>
      <c r="AH365" s="28" t="str">
        <f>IF(ABS(E365-AG365)&lt;0.01,"ok","err")</f>
        <v>ok</v>
      </c>
      <c r="AK365" s="50">
        <f t="shared" si="151"/>
        <v>1</v>
      </c>
    </row>
    <row r="366" spans="1:43" x14ac:dyDescent="0.25">
      <c r="A366" s="28">
        <v>9</v>
      </c>
      <c r="B366" s="14" t="s">
        <v>1011</v>
      </c>
      <c r="D366" s="14" t="s">
        <v>950</v>
      </c>
      <c r="E366" s="90">
        <f>155949.60745193*AK366</f>
        <v>155949.60745193</v>
      </c>
      <c r="F366" s="90">
        <f>73812.9009327588*AK366</f>
        <v>73812.900932758799</v>
      </c>
      <c r="G366" s="90">
        <f>4461.37606781507*AK366</f>
        <v>4461.3760678150702</v>
      </c>
      <c r="H366" s="90">
        <f>-37822.873101283*AK366</f>
        <v>-37822.873101283098</v>
      </c>
      <c r="I366" s="90">
        <f>53968.7479233487*AK366</f>
        <v>53968.747923348703</v>
      </c>
      <c r="J366" s="67">
        <f>61529.4556292908*AK366</f>
        <v>61529.455629290802</v>
      </c>
      <c r="K366" s="67">
        <v>0</v>
      </c>
      <c r="L366" s="67">
        <v>0</v>
      </c>
      <c r="M366" s="67">
        <v>0</v>
      </c>
      <c r="N366" s="67">
        <v>0</v>
      </c>
      <c r="O366" s="67">
        <v>0</v>
      </c>
      <c r="P366" s="67">
        <v>0</v>
      </c>
      <c r="Q366" s="67">
        <f t="shared" si="133"/>
        <v>0</v>
      </c>
      <c r="R366" s="67">
        <f t="shared" si="134"/>
        <v>0</v>
      </c>
      <c r="S366" s="67">
        <f t="shared" si="135"/>
        <v>0</v>
      </c>
      <c r="T366" s="67">
        <f t="shared" si="136"/>
        <v>0</v>
      </c>
      <c r="U366" s="67">
        <f t="shared" si="137"/>
        <v>0</v>
      </c>
      <c r="V366" s="67">
        <v>0</v>
      </c>
      <c r="W366" s="67">
        <v>0</v>
      </c>
      <c r="X366" s="67">
        <v>0</v>
      </c>
      <c r="Y366" s="67">
        <v>0</v>
      </c>
      <c r="Z366" s="67">
        <v>0</v>
      </c>
      <c r="AA366" s="67">
        <v>0</v>
      </c>
      <c r="AB366" s="67">
        <v>0</v>
      </c>
      <c r="AC366" s="67">
        <v>0</v>
      </c>
      <c r="AD366" s="67">
        <v>0</v>
      </c>
      <c r="AE366" s="67">
        <v>0</v>
      </c>
      <c r="AF366" s="67">
        <v>0</v>
      </c>
      <c r="AG366" s="90">
        <f t="shared" si="149"/>
        <v>155949.60745193029</v>
      </c>
      <c r="AH366" s="28" t="str">
        <f t="shared" si="150"/>
        <v>ok</v>
      </c>
      <c r="AK366" s="50">
        <f t="shared" si="151"/>
        <v>1</v>
      </c>
    </row>
    <row r="367" spans="1:43" x14ac:dyDescent="0.25">
      <c r="A367" s="28">
        <v>10</v>
      </c>
      <c r="B367" s="14" t="s">
        <v>1015</v>
      </c>
      <c r="D367" s="14" t="s">
        <v>283</v>
      </c>
      <c r="E367" s="90">
        <f>123166*AK367</f>
        <v>123166</v>
      </c>
      <c r="F367" s="67">
        <f t="shared" ref="F367:F374" si="152">IF(VLOOKUP($D367,$C$5:$AU$511,3,)=0,0,(VLOOKUP($D367,$C$5:$AU$511,4,)/VLOOKUP($D367,$C$5:$AU$511,3,))*$E367)</f>
        <v>88090.714238356959</v>
      </c>
      <c r="G367" s="67">
        <f t="shared" ref="G367:G374" si="153">IF(VLOOKUP($D367,$C$5:$AU$511,3,)=0,0,(VLOOKUP($D367,$C$5:$AU$511,5,)/VLOOKUP($D367,$C$5:$AU$511,3,))*$E367)</f>
        <v>98.625416632483649</v>
      </c>
      <c r="H367" s="67">
        <f t="shared" ref="H367:H374" si="154">IF(VLOOKUP($D367,$C$5:$AU$511,3,)=0,0,(VLOOKUP($D367,$C$5:$AU$511,6,)/VLOOKUP($D367,$C$5:$AU$511,3,))*$E367)</f>
        <v>4391.3761632478527</v>
      </c>
      <c r="I367" s="67">
        <f t="shared" ref="I367:I374" si="155">IF(VLOOKUP($D367,$C$5:$AU$511,3,)=0,0,(VLOOKUP($D367,$C$5:$AU$511,7,)/VLOOKUP($D367,$C$5:$AU$511,3,))*$E367)</f>
        <v>16292.51462440789</v>
      </c>
      <c r="J367" s="67">
        <f t="shared" ref="J367:J374" si="156">IF(VLOOKUP($D367,$C$5:$AU$511,3,)=0,0,(VLOOKUP($D367,$C$5:$AU$511,8,)/VLOOKUP($D367,$C$5:$AU$511,3,))*$E367)</f>
        <v>4872.1023328211741</v>
      </c>
      <c r="K367" s="67">
        <f t="shared" ref="K367:K374" si="157">IF(VLOOKUP($D367,$C$5:$AU$511,3,)=0,0,(VLOOKUP($D367,$C$5:$AU$511,9,)/VLOOKUP($D367,$C$5:$AU$511,3,))*$E367)</f>
        <v>6539.9526303946277</v>
      </c>
      <c r="L367" s="67">
        <f t="shared" ref="L367:L374" si="158">IF(VLOOKUP($D367,$C$5:$AU$511,3,)=0,0,(VLOOKUP($D367,$C$5:$AU$511,10,)/VLOOKUP($D367,$C$5:$AU$511,3,))*$E367)</f>
        <v>1707.4054085890778</v>
      </c>
      <c r="M367" s="67">
        <f t="shared" ref="M367:M374" si="159">IF(VLOOKUP($D367,$C$5:$AU$511,3,)=0,0,(VLOOKUP($D367,$C$5:$AU$511,11,)/VLOOKUP($D367,$C$5:$AU$511,3,))*$E367)</f>
        <v>1173.3091848337212</v>
      </c>
      <c r="N367" s="67">
        <f t="shared" ref="N367:N374" si="160">IF(VLOOKUP($D367,$C$5:$AU$511,3,)=0,0,(VLOOKUP($D367,$C$5:$AU$511,12,)/VLOOKUP($D367,$C$5:$AU$511,3,))*$E367)</f>
        <v>0</v>
      </c>
      <c r="O367" s="67">
        <f t="shared" ref="O367:O374" si="161">IF(VLOOKUP($D367,$C$5:$AU$511,3,)=0,0,(VLOOKUP($D367,$C$5:$AU$511,13,)/VLOOKUP($D367,$C$5:$AU$511,3,))*$E367)</f>
        <v>0</v>
      </c>
      <c r="P367" s="67">
        <f t="shared" ref="P367:P374" si="162">IF(VLOOKUP($D367,$C$5:$AU$511,3,)=0,0,(VLOOKUP($D367,$C$5:$AU$511,14,)/VLOOKUP($D367,$C$5:$AU$511,3,))*$E367)</f>
        <v>0</v>
      </c>
      <c r="Q367" s="67">
        <f t="shared" si="133"/>
        <v>0</v>
      </c>
      <c r="R367" s="67">
        <f t="shared" si="134"/>
        <v>0</v>
      </c>
      <c r="S367" s="67">
        <f t="shared" si="135"/>
        <v>0</v>
      </c>
      <c r="T367" s="67">
        <f t="shared" si="136"/>
        <v>0</v>
      </c>
      <c r="U367" s="67">
        <f t="shared" si="137"/>
        <v>0</v>
      </c>
      <c r="V367" s="67">
        <f t="shared" ref="V367:V374" si="163">IF(VLOOKUP($D367,$C$5:$AU$511,3,)=0,0,(VLOOKUP($D367,$C$5:$AU$511,20,)/VLOOKUP($D367,$C$5:$AU$511,3,))*$E367)</f>
        <v>0</v>
      </c>
      <c r="W367" s="67">
        <f t="shared" ref="W367:W374" si="164">IF(VLOOKUP($D367,$C$5:$AU$511,3,)=0,0,(VLOOKUP($D367,$C$5:$AU$511,21,)/VLOOKUP($D367,$C$5:$AU$511,3,))*$E367)</f>
        <v>0</v>
      </c>
      <c r="X367" s="67">
        <f t="shared" ref="X367:X374" si="165">IF(VLOOKUP($D367,$C$5:$AU$511,3,)=0,0,(VLOOKUP($D367,$C$5:$AU$511,22,)/VLOOKUP($D367,$C$5:$AU$511,3,))*$E367)</f>
        <v>0</v>
      </c>
      <c r="Y367" s="67">
        <f t="shared" ref="Y367:Y374" si="166">IF(VLOOKUP($D367,$C$5:$AU$511,3,)=0,0,(VLOOKUP($D367,$C$5:$AU$511,23,)/VLOOKUP($D367,$C$5:$AU$511,3,))*$E367)</f>
        <v>0</v>
      </c>
      <c r="Z367" s="67">
        <f t="shared" ref="Z367:Z374" si="167">IF(VLOOKUP($D367,$C$5:$AU$511,3,)=0,0,(VLOOKUP($D367,$C$5:$AU$511,24,)/VLOOKUP($D367,$C$5:$AU$511,3,))*$E367)</f>
        <v>0</v>
      </c>
      <c r="AA367" s="67">
        <f t="shared" ref="AA367:AA374" si="168">IF(VLOOKUP($D367,$C$5:$AU$511,3,)=0,0,(VLOOKUP($D367,$C$5:$AU$511,25,)/VLOOKUP($D367,$C$5:$AU$511,3,))*$E367)</f>
        <v>0</v>
      </c>
      <c r="AB367" s="67">
        <f t="shared" ref="AB367:AB374" si="169">IF(VLOOKUP($D367,$C$5:$AU$511,3,)=0,0,(VLOOKUP($D367,$C$5:$AU$511,26,)/VLOOKUP($D367,$C$5:$AU$511,3,))*$E367)</f>
        <v>0</v>
      </c>
      <c r="AC367" s="67">
        <f t="shared" ref="AC367:AC374" si="170">IF(VLOOKUP($D367,$C$5:$AU$511,3,)=0,0,(VLOOKUP($D367,$C$5:$AU$511,27,)/VLOOKUP($D367,$C$5:$AU$511,3,))*$E367)</f>
        <v>0</v>
      </c>
      <c r="AD367" s="67">
        <f t="shared" ref="AD367:AD374" si="171">IF(VLOOKUP($D367,$C$5:$AU$511,3,)=0,0,(VLOOKUP($D367,$C$5:$AU$511,28,)/VLOOKUP($D367,$C$5:$AU$511,3,))*$E367)</f>
        <v>0</v>
      </c>
      <c r="AE367" s="67">
        <f t="shared" ref="AE367:AE374" si="172">IF(VLOOKUP($D367,$C$5:$AU$511,3,)=0,0,(VLOOKUP($D367,$C$5:$AU$511,29,)/VLOOKUP($D367,$C$5:$AU$511,3,))*$E367)</f>
        <v>0</v>
      </c>
      <c r="AF367" s="67">
        <f t="shared" ref="AF367:AF374" si="173">IF(VLOOKUP($D367,$C$5:$AU$511,3,)=0,0,(VLOOKUP($D367,$C$5:$AU$511,30,)/VLOOKUP($D367,$C$5:$AU$511,3,))*$E367)</f>
        <v>0</v>
      </c>
      <c r="AG367" s="90">
        <f t="shared" si="149"/>
        <v>123165.9999992838</v>
      </c>
      <c r="AH367" s="28" t="str">
        <f t="shared" si="150"/>
        <v>ok</v>
      </c>
      <c r="AK367" s="50">
        <f t="shared" si="151"/>
        <v>1</v>
      </c>
    </row>
    <row r="368" spans="1:43" x14ac:dyDescent="0.25">
      <c r="A368" s="28">
        <v>11</v>
      </c>
      <c r="B368" s="14" t="s">
        <v>1016</v>
      </c>
      <c r="D368" s="14" t="s">
        <v>295</v>
      </c>
      <c r="E368" s="90">
        <f>144170.854806089*AK368</f>
        <v>144170.85480608899</v>
      </c>
      <c r="F368" s="67">
        <f t="shared" si="152"/>
        <v>99945.982415748018</v>
      </c>
      <c r="G368" s="67">
        <f t="shared" si="153"/>
        <v>106.17116556535142</v>
      </c>
      <c r="H368" s="67">
        <f t="shared" si="154"/>
        <v>4709.4666330482714</v>
      </c>
      <c r="I368" s="67">
        <f t="shared" si="155"/>
        <v>16316.980208132465</v>
      </c>
      <c r="J368" s="67">
        <f t="shared" si="156"/>
        <v>6841.9542021284324</v>
      </c>
      <c r="K368" s="67">
        <f t="shared" si="157"/>
        <v>9105.5623597310605</v>
      </c>
      <c r="L368" s="67">
        <f t="shared" si="158"/>
        <v>2382.227042754299</v>
      </c>
      <c r="M368" s="67">
        <f t="shared" si="159"/>
        <v>4762.5107756476655</v>
      </c>
      <c r="N368" s="67">
        <f t="shared" si="160"/>
        <v>0</v>
      </c>
      <c r="O368" s="67">
        <f t="shared" si="161"/>
        <v>0</v>
      </c>
      <c r="P368" s="67">
        <f t="shared" si="162"/>
        <v>0</v>
      </c>
      <c r="Q368" s="67">
        <f t="shared" si="133"/>
        <v>0</v>
      </c>
      <c r="R368" s="67">
        <f t="shared" si="134"/>
        <v>0</v>
      </c>
      <c r="S368" s="67">
        <f t="shared" si="135"/>
        <v>0</v>
      </c>
      <c r="T368" s="67">
        <f t="shared" si="136"/>
        <v>0</v>
      </c>
      <c r="U368" s="67">
        <f t="shared" si="137"/>
        <v>0</v>
      </c>
      <c r="V368" s="67">
        <f t="shared" si="163"/>
        <v>0</v>
      </c>
      <c r="W368" s="67">
        <f t="shared" si="164"/>
        <v>0</v>
      </c>
      <c r="X368" s="67">
        <f t="shared" si="165"/>
        <v>0</v>
      </c>
      <c r="Y368" s="67">
        <f t="shared" si="166"/>
        <v>0</v>
      </c>
      <c r="Z368" s="67">
        <f t="shared" si="167"/>
        <v>0</v>
      </c>
      <c r="AA368" s="67">
        <f t="shared" si="168"/>
        <v>0</v>
      </c>
      <c r="AB368" s="67">
        <f t="shared" si="169"/>
        <v>0</v>
      </c>
      <c r="AC368" s="67">
        <f t="shared" si="170"/>
        <v>0</v>
      </c>
      <c r="AD368" s="67">
        <f t="shared" si="171"/>
        <v>0</v>
      </c>
      <c r="AE368" s="67">
        <f t="shared" si="172"/>
        <v>0</v>
      </c>
      <c r="AF368" s="67">
        <f t="shared" si="173"/>
        <v>0</v>
      </c>
      <c r="AG368" s="90">
        <f t="shared" si="149"/>
        <v>144170.85480275555</v>
      </c>
      <c r="AH368" s="28" t="str">
        <f t="shared" si="150"/>
        <v>ok</v>
      </c>
      <c r="AK368" s="50">
        <f t="shared" si="151"/>
        <v>1</v>
      </c>
    </row>
    <row r="369" spans="1:37" x14ac:dyDescent="0.25">
      <c r="A369" s="28">
        <v>12</v>
      </c>
      <c r="B369" s="14" t="s">
        <v>1017</v>
      </c>
      <c r="D369" s="14" t="s">
        <v>283</v>
      </c>
      <c r="E369" s="90">
        <f>-2702.56*AK369</f>
        <v>-2702.56</v>
      </c>
      <c r="F369" s="67">
        <f t="shared" si="152"/>
        <v>-1932.9233771658896</v>
      </c>
      <c r="G369" s="67">
        <f t="shared" si="153"/>
        <v>-2.1640802329724518</v>
      </c>
      <c r="H369" s="67">
        <f t="shared" si="154"/>
        <v>-96.35741652523518</v>
      </c>
      <c r="I369" s="67">
        <f t="shared" si="155"/>
        <v>-357.49718528928264</v>
      </c>
      <c r="J369" s="67">
        <f t="shared" si="156"/>
        <v>-106.9057116459834</v>
      </c>
      <c r="K369" s="67">
        <f t="shared" si="157"/>
        <v>-143.50238199502544</v>
      </c>
      <c r="L369" s="67">
        <f t="shared" si="158"/>
        <v>-37.464605175425831</v>
      </c>
      <c r="M369" s="67">
        <f t="shared" si="159"/>
        <v>-25.745241954469751</v>
      </c>
      <c r="N369" s="67">
        <f t="shared" si="160"/>
        <v>0</v>
      </c>
      <c r="O369" s="67">
        <f t="shared" si="161"/>
        <v>0</v>
      </c>
      <c r="P369" s="67">
        <f t="shared" si="162"/>
        <v>0</v>
      </c>
      <c r="Q369" s="67">
        <f t="shared" si="133"/>
        <v>0</v>
      </c>
      <c r="R369" s="67">
        <f t="shared" si="134"/>
        <v>0</v>
      </c>
      <c r="S369" s="67">
        <f t="shared" si="135"/>
        <v>0</v>
      </c>
      <c r="T369" s="67">
        <f t="shared" si="136"/>
        <v>0</v>
      </c>
      <c r="U369" s="67">
        <f t="shared" si="137"/>
        <v>0</v>
      </c>
      <c r="V369" s="67">
        <f t="shared" si="163"/>
        <v>0</v>
      </c>
      <c r="W369" s="67">
        <f t="shared" si="164"/>
        <v>0</v>
      </c>
      <c r="X369" s="67">
        <f t="shared" si="165"/>
        <v>0</v>
      </c>
      <c r="Y369" s="67">
        <f t="shared" si="166"/>
        <v>0</v>
      </c>
      <c r="Z369" s="67">
        <f t="shared" si="167"/>
        <v>0</v>
      </c>
      <c r="AA369" s="67">
        <f t="shared" si="168"/>
        <v>0</v>
      </c>
      <c r="AB369" s="67">
        <f t="shared" si="169"/>
        <v>0</v>
      </c>
      <c r="AC369" s="67">
        <f t="shared" si="170"/>
        <v>0</v>
      </c>
      <c r="AD369" s="67">
        <f t="shared" si="171"/>
        <v>0</v>
      </c>
      <c r="AE369" s="67">
        <f t="shared" si="172"/>
        <v>0</v>
      </c>
      <c r="AF369" s="67">
        <f t="shared" si="173"/>
        <v>0</v>
      </c>
      <c r="AG369" s="90">
        <f t="shared" ref="AG369" si="174">SUM(F369:AF369)</f>
        <v>-2702.5599999842848</v>
      </c>
      <c r="AH369" s="28" t="str">
        <f t="shared" ref="AH369" si="175">IF(ABS(E369-AG369)&lt;0.01,"ok","err")</f>
        <v>ok</v>
      </c>
      <c r="AK369" s="50">
        <f t="shared" si="151"/>
        <v>1</v>
      </c>
    </row>
    <row r="370" spans="1:37" x14ac:dyDescent="0.25">
      <c r="A370" s="28">
        <v>13</v>
      </c>
      <c r="B370" s="14" t="s">
        <v>1040</v>
      </c>
      <c r="D370" s="14" t="s">
        <v>628</v>
      </c>
      <c r="E370" s="90">
        <f>440429*AK370</f>
        <v>440429</v>
      </c>
      <c r="F370" s="67">
        <f t="shared" si="152"/>
        <v>312664.31881991058</v>
      </c>
      <c r="G370" s="67">
        <f t="shared" si="153"/>
        <v>275.35476397095675</v>
      </c>
      <c r="H370" s="67">
        <f t="shared" si="154"/>
        <v>11325.772171176914</v>
      </c>
      <c r="I370" s="67">
        <f t="shared" si="155"/>
        <v>22769.740737839205</v>
      </c>
      <c r="J370" s="67">
        <f t="shared" si="156"/>
        <v>32923.537549547051</v>
      </c>
      <c r="K370" s="67">
        <f t="shared" si="157"/>
        <v>47352.445320742125</v>
      </c>
      <c r="L370" s="67">
        <f t="shared" si="158"/>
        <v>12415.683458708359</v>
      </c>
      <c r="M370" s="67">
        <f t="shared" si="159"/>
        <v>702.1471781049072</v>
      </c>
      <c r="N370" s="67">
        <f t="shared" si="160"/>
        <v>0</v>
      </c>
      <c r="O370" s="67">
        <f t="shared" si="161"/>
        <v>0</v>
      </c>
      <c r="P370" s="67">
        <f t="shared" si="162"/>
        <v>0</v>
      </c>
      <c r="Q370" s="67">
        <f t="shared" si="133"/>
        <v>0</v>
      </c>
      <c r="R370" s="67">
        <f t="shared" si="134"/>
        <v>0</v>
      </c>
      <c r="S370" s="67">
        <f t="shared" si="135"/>
        <v>0</v>
      </c>
      <c r="T370" s="67">
        <f t="shared" si="136"/>
        <v>0</v>
      </c>
      <c r="U370" s="67">
        <f t="shared" si="137"/>
        <v>0</v>
      </c>
      <c r="V370" s="67">
        <f t="shared" si="163"/>
        <v>0</v>
      </c>
      <c r="W370" s="67">
        <f t="shared" si="164"/>
        <v>0</v>
      </c>
      <c r="X370" s="67">
        <f t="shared" si="165"/>
        <v>0</v>
      </c>
      <c r="Y370" s="67">
        <f t="shared" si="166"/>
        <v>0</v>
      </c>
      <c r="Z370" s="67">
        <f t="shared" si="167"/>
        <v>0</v>
      </c>
      <c r="AA370" s="67">
        <f t="shared" si="168"/>
        <v>0</v>
      </c>
      <c r="AB370" s="67">
        <f t="shared" si="169"/>
        <v>0</v>
      </c>
      <c r="AC370" s="67">
        <f t="shared" si="170"/>
        <v>0</v>
      </c>
      <c r="AD370" s="67">
        <f t="shared" si="171"/>
        <v>0</v>
      </c>
      <c r="AE370" s="67">
        <f t="shared" si="172"/>
        <v>0</v>
      </c>
      <c r="AF370" s="67">
        <f t="shared" si="173"/>
        <v>0</v>
      </c>
      <c r="AG370" s="90">
        <f t="shared" si="149"/>
        <v>440429.00000000006</v>
      </c>
      <c r="AH370" s="28" t="str">
        <f t="shared" si="150"/>
        <v>ok</v>
      </c>
      <c r="AK370" s="50">
        <f t="shared" si="151"/>
        <v>1</v>
      </c>
    </row>
    <row r="371" spans="1:37" x14ac:dyDescent="0.25">
      <c r="A371" s="28">
        <v>14</v>
      </c>
      <c r="B371" s="14" t="s">
        <v>1110</v>
      </c>
      <c r="D371" s="14" t="s">
        <v>259</v>
      </c>
      <c r="E371" s="90">
        <f>398879.31*0</f>
        <v>0</v>
      </c>
      <c r="F371" s="67">
        <f t="shared" si="152"/>
        <v>0</v>
      </c>
      <c r="G371" s="67">
        <f t="shared" si="153"/>
        <v>0</v>
      </c>
      <c r="H371" s="67">
        <f t="shared" si="154"/>
        <v>0</v>
      </c>
      <c r="I371" s="67">
        <f t="shared" si="155"/>
        <v>0</v>
      </c>
      <c r="J371" s="67">
        <f t="shared" si="156"/>
        <v>0</v>
      </c>
      <c r="K371" s="67">
        <f t="shared" si="157"/>
        <v>0</v>
      </c>
      <c r="L371" s="67">
        <f t="shared" si="158"/>
        <v>0</v>
      </c>
      <c r="M371" s="67">
        <f t="shared" si="159"/>
        <v>0</v>
      </c>
      <c r="N371" s="67">
        <f t="shared" si="160"/>
        <v>0</v>
      </c>
      <c r="O371" s="67">
        <f t="shared" si="161"/>
        <v>0</v>
      </c>
      <c r="P371" s="67">
        <f t="shared" si="162"/>
        <v>0</v>
      </c>
      <c r="Q371" s="67">
        <f t="shared" si="133"/>
        <v>0</v>
      </c>
      <c r="R371" s="67">
        <f t="shared" si="134"/>
        <v>0</v>
      </c>
      <c r="S371" s="67">
        <f t="shared" si="135"/>
        <v>0</v>
      </c>
      <c r="T371" s="67">
        <f t="shared" si="136"/>
        <v>0</v>
      </c>
      <c r="U371" s="67">
        <f t="shared" si="137"/>
        <v>0</v>
      </c>
      <c r="V371" s="67">
        <f t="shared" si="163"/>
        <v>0</v>
      </c>
      <c r="W371" s="67">
        <f t="shared" si="164"/>
        <v>0</v>
      </c>
      <c r="X371" s="67">
        <f t="shared" si="165"/>
        <v>0</v>
      </c>
      <c r="Y371" s="67">
        <f t="shared" si="166"/>
        <v>0</v>
      </c>
      <c r="Z371" s="67">
        <f t="shared" si="167"/>
        <v>0</v>
      </c>
      <c r="AA371" s="67">
        <f t="shared" si="168"/>
        <v>0</v>
      </c>
      <c r="AB371" s="67">
        <f t="shared" si="169"/>
        <v>0</v>
      </c>
      <c r="AC371" s="67">
        <f t="shared" si="170"/>
        <v>0</v>
      </c>
      <c r="AD371" s="67">
        <f t="shared" si="171"/>
        <v>0</v>
      </c>
      <c r="AE371" s="67">
        <f t="shared" si="172"/>
        <v>0</v>
      </c>
      <c r="AF371" s="67">
        <f t="shared" si="173"/>
        <v>0</v>
      </c>
      <c r="AG371" s="90">
        <f t="shared" si="149"/>
        <v>0</v>
      </c>
      <c r="AH371" s="28" t="str">
        <f t="shared" si="150"/>
        <v>ok</v>
      </c>
      <c r="AK371" s="50">
        <f t="shared" si="151"/>
        <v>1</v>
      </c>
    </row>
    <row r="372" spans="1:37" x14ac:dyDescent="0.25">
      <c r="A372" s="28">
        <v>15</v>
      </c>
      <c r="B372" s="14" t="s">
        <v>1019</v>
      </c>
      <c r="D372" s="14" t="s">
        <v>259</v>
      </c>
      <c r="E372" s="90">
        <v>0</v>
      </c>
      <c r="F372" s="67">
        <f t="shared" si="152"/>
        <v>0</v>
      </c>
      <c r="G372" s="67">
        <f t="shared" si="153"/>
        <v>0</v>
      </c>
      <c r="H372" s="67">
        <f t="shared" si="154"/>
        <v>0</v>
      </c>
      <c r="I372" s="67">
        <f t="shared" si="155"/>
        <v>0</v>
      </c>
      <c r="J372" s="67">
        <f t="shared" si="156"/>
        <v>0</v>
      </c>
      <c r="K372" s="67">
        <f t="shared" si="157"/>
        <v>0</v>
      </c>
      <c r="L372" s="67">
        <f t="shared" si="158"/>
        <v>0</v>
      </c>
      <c r="M372" s="67">
        <f t="shared" si="159"/>
        <v>0</v>
      </c>
      <c r="N372" s="67">
        <f t="shared" si="160"/>
        <v>0</v>
      </c>
      <c r="O372" s="67">
        <f t="shared" si="161"/>
        <v>0</v>
      </c>
      <c r="P372" s="67">
        <f t="shared" si="162"/>
        <v>0</v>
      </c>
      <c r="Q372" s="67">
        <f t="shared" si="133"/>
        <v>0</v>
      </c>
      <c r="R372" s="67">
        <f t="shared" si="134"/>
        <v>0</v>
      </c>
      <c r="S372" s="67">
        <f t="shared" si="135"/>
        <v>0</v>
      </c>
      <c r="T372" s="67">
        <f t="shared" si="136"/>
        <v>0</v>
      </c>
      <c r="U372" s="67">
        <f t="shared" si="137"/>
        <v>0</v>
      </c>
      <c r="V372" s="67">
        <f t="shared" si="163"/>
        <v>0</v>
      </c>
      <c r="W372" s="67">
        <f t="shared" si="164"/>
        <v>0</v>
      </c>
      <c r="X372" s="67">
        <f t="shared" si="165"/>
        <v>0</v>
      </c>
      <c r="Y372" s="67">
        <f t="shared" si="166"/>
        <v>0</v>
      </c>
      <c r="Z372" s="67">
        <f t="shared" si="167"/>
        <v>0</v>
      </c>
      <c r="AA372" s="67">
        <f t="shared" si="168"/>
        <v>0</v>
      </c>
      <c r="AB372" s="67">
        <f t="shared" si="169"/>
        <v>0</v>
      </c>
      <c r="AC372" s="67">
        <f t="shared" si="170"/>
        <v>0</v>
      </c>
      <c r="AD372" s="67">
        <f t="shared" si="171"/>
        <v>0</v>
      </c>
      <c r="AE372" s="67">
        <f t="shared" si="172"/>
        <v>0</v>
      </c>
      <c r="AF372" s="67">
        <f t="shared" si="173"/>
        <v>0</v>
      </c>
      <c r="AG372" s="90">
        <f t="shared" ref="AG372" si="176">SUM(F372:AF372)</f>
        <v>0</v>
      </c>
      <c r="AH372" s="28" t="str">
        <f t="shared" ref="AH372" si="177">IF(ABS(E372-AG372)&lt;0.01,"ok","err")</f>
        <v>ok</v>
      </c>
      <c r="AK372" s="50">
        <f t="shared" si="151"/>
        <v>1</v>
      </c>
    </row>
    <row r="373" spans="1:37" x14ac:dyDescent="0.25">
      <c r="A373" s="28">
        <v>16</v>
      </c>
      <c r="B373" s="14" t="s">
        <v>1019</v>
      </c>
      <c r="D373" s="14" t="s">
        <v>259</v>
      </c>
      <c r="E373" s="90">
        <v>0</v>
      </c>
      <c r="F373" s="67">
        <f t="shared" si="152"/>
        <v>0</v>
      </c>
      <c r="G373" s="67">
        <f t="shared" si="153"/>
        <v>0</v>
      </c>
      <c r="H373" s="67">
        <f t="shared" si="154"/>
        <v>0</v>
      </c>
      <c r="I373" s="67">
        <f t="shared" si="155"/>
        <v>0</v>
      </c>
      <c r="J373" s="67">
        <f t="shared" si="156"/>
        <v>0</v>
      </c>
      <c r="K373" s="67">
        <f t="shared" si="157"/>
        <v>0</v>
      </c>
      <c r="L373" s="67">
        <f t="shared" si="158"/>
        <v>0</v>
      </c>
      <c r="M373" s="67">
        <f t="shared" si="159"/>
        <v>0</v>
      </c>
      <c r="N373" s="67">
        <f t="shared" si="160"/>
        <v>0</v>
      </c>
      <c r="O373" s="67">
        <f t="shared" si="161"/>
        <v>0</v>
      </c>
      <c r="P373" s="67">
        <f t="shared" si="162"/>
        <v>0</v>
      </c>
      <c r="Q373" s="67">
        <f t="shared" si="133"/>
        <v>0</v>
      </c>
      <c r="R373" s="67">
        <f t="shared" si="134"/>
        <v>0</v>
      </c>
      <c r="S373" s="67">
        <f t="shared" si="135"/>
        <v>0</v>
      </c>
      <c r="T373" s="67">
        <f t="shared" si="136"/>
        <v>0</v>
      </c>
      <c r="U373" s="67">
        <f t="shared" si="137"/>
        <v>0</v>
      </c>
      <c r="V373" s="67">
        <f t="shared" si="163"/>
        <v>0</v>
      </c>
      <c r="W373" s="67">
        <f t="shared" si="164"/>
        <v>0</v>
      </c>
      <c r="X373" s="67">
        <f t="shared" si="165"/>
        <v>0</v>
      </c>
      <c r="Y373" s="67">
        <f t="shared" si="166"/>
        <v>0</v>
      </c>
      <c r="Z373" s="67">
        <f t="shared" si="167"/>
        <v>0</v>
      </c>
      <c r="AA373" s="67">
        <f t="shared" si="168"/>
        <v>0</v>
      </c>
      <c r="AB373" s="67">
        <f t="shared" si="169"/>
        <v>0</v>
      </c>
      <c r="AC373" s="67">
        <f t="shared" si="170"/>
        <v>0</v>
      </c>
      <c r="AD373" s="67">
        <f t="shared" si="171"/>
        <v>0</v>
      </c>
      <c r="AE373" s="67">
        <f t="shared" si="172"/>
        <v>0</v>
      </c>
      <c r="AF373" s="67">
        <f t="shared" si="173"/>
        <v>0</v>
      </c>
      <c r="AG373" s="90">
        <f>SUM(F373:AF373)</f>
        <v>0</v>
      </c>
      <c r="AH373" s="28" t="str">
        <f>IF(ABS(E373-AG373)&lt;0.01,"ok","err")</f>
        <v>ok</v>
      </c>
      <c r="AK373" s="50">
        <f t="shared" si="151"/>
        <v>1</v>
      </c>
    </row>
    <row r="374" spans="1:37" hidden="1" x14ac:dyDescent="0.25">
      <c r="A374" s="14">
        <v>17</v>
      </c>
      <c r="D374" s="14" t="s">
        <v>259</v>
      </c>
      <c r="E374" s="90">
        <v>0</v>
      </c>
      <c r="F374" s="67">
        <f t="shared" si="152"/>
        <v>0</v>
      </c>
      <c r="G374" s="67">
        <f t="shared" si="153"/>
        <v>0</v>
      </c>
      <c r="H374" s="67">
        <f t="shared" si="154"/>
        <v>0</v>
      </c>
      <c r="I374" s="67">
        <f t="shared" si="155"/>
        <v>0</v>
      </c>
      <c r="J374" s="67">
        <f t="shared" si="156"/>
        <v>0</v>
      </c>
      <c r="K374" s="67">
        <f t="shared" si="157"/>
        <v>0</v>
      </c>
      <c r="L374" s="67">
        <f t="shared" si="158"/>
        <v>0</v>
      </c>
      <c r="M374" s="67">
        <f t="shared" si="159"/>
        <v>0</v>
      </c>
      <c r="N374" s="67">
        <f t="shared" si="160"/>
        <v>0</v>
      </c>
      <c r="O374" s="67">
        <f t="shared" si="161"/>
        <v>0</v>
      </c>
      <c r="P374" s="67">
        <f t="shared" si="162"/>
        <v>0</v>
      </c>
      <c r="Q374" s="67">
        <f t="shared" si="133"/>
        <v>0</v>
      </c>
      <c r="R374" s="67">
        <f t="shared" si="134"/>
        <v>0</v>
      </c>
      <c r="S374" s="67">
        <f t="shared" si="135"/>
        <v>0</v>
      </c>
      <c r="T374" s="67">
        <f t="shared" si="136"/>
        <v>0</v>
      </c>
      <c r="U374" s="67">
        <f t="shared" si="137"/>
        <v>0</v>
      </c>
      <c r="V374" s="67">
        <f t="shared" si="163"/>
        <v>0</v>
      </c>
      <c r="W374" s="67">
        <f t="shared" si="164"/>
        <v>0</v>
      </c>
      <c r="X374" s="67">
        <f t="shared" si="165"/>
        <v>0</v>
      </c>
      <c r="Y374" s="67">
        <f t="shared" si="166"/>
        <v>0</v>
      </c>
      <c r="Z374" s="67">
        <f t="shared" si="167"/>
        <v>0</v>
      </c>
      <c r="AA374" s="67">
        <f t="shared" si="168"/>
        <v>0</v>
      </c>
      <c r="AB374" s="67">
        <f t="shared" si="169"/>
        <v>0</v>
      </c>
      <c r="AC374" s="67">
        <f t="shared" si="170"/>
        <v>0</v>
      </c>
      <c r="AD374" s="67">
        <f t="shared" si="171"/>
        <v>0</v>
      </c>
      <c r="AE374" s="67">
        <f t="shared" si="172"/>
        <v>0</v>
      </c>
      <c r="AF374" s="67">
        <f t="shared" si="173"/>
        <v>0</v>
      </c>
      <c r="AG374" s="90">
        <f t="shared" si="149"/>
        <v>0</v>
      </c>
      <c r="AH374" s="28" t="str">
        <f t="shared" si="150"/>
        <v>ok</v>
      </c>
    </row>
    <row r="375" spans="1:37" x14ac:dyDescent="0.25">
      <c r="B375" s="25" t="s">
        <v>897</v>
      </c>
      <c r="E375" s="190">
        <f t="shared" ref="E375:R375" si="178">SUM(E358:E374)</f>
        <v>-11164410.050796177</v>
      </c>
      <c r="F375" s="190">
        <f t="shared" si="178"/>
        <v>-5178944.9537803419</v>
      </c>
      <c r="G375" s="190">
        <f t="shared" si="178"/>
        <v>762.24847119003834</v>
      </c>
      <c r="H375" s="190">
        <f t="shared" si="178"/>
        <v>-419452.29985534679</v>
      </c>
      <c r="I375" s="190">
        <f t="shared" si="178"/>
        <v>-948648.60304502584</v>
      </c>
      <c r="J375" s="190">
        <f t="shared" si="178"/>
        <v>-1322675.0558890735</v>
      </c>
      <c r="K375" s="190">
        <f t="shared" si="178"/>
        <v>-2480306.1783178523</v>
      </c>
      <c r="L375" s="190">
        <f t="shared" si="178"/>
        <v>-732770.89915898349</v>
      </c>
      <c r="M375" s="190">
        <f t="shared" si="178"/>
        <v>-82374.309217741204</v>
      </c>
      <c r="N375" s="190">
        <f t="shared" si="178"/>
        <v>0</v>
      </c>
      <c r="O375" s="190">
        <f t="shared" si="178"/>
        <v>0</v>
      </c>
      <c r="P375" s="190">
        <f t="shared" si="178"/>
        <v>0</v>
      </c>
      <c r="Q375" s="190">
        <f t="shared" si="178"/>
        <v>0</v>
      </c>
      <c r="R375" s="190">
        <f t="shared" si="178"/>
        <v>0</v>
      </c>
      <c r="S375" s="67"/>
      <c r="T375" s="67"/>
      <c r="U375" s="67"/>
      <c r="V375" s="67"/>
      <c r="W375" s="67"/>
      <c r="X375" s="67"/>
      <c r="Y375" s="67"/>
      <c r="Z375" s="67"/>
      <c r="AA375" s="67"/>
      <c r="AB375" s="67"/>
      <c r="AC375" s="67"/>
      <c r="AD375" s="67"/>
      <c r="AE375" s="67"/>
      <c r="AF375" s="67"/>
      <c r="AG375" s="190">
        <f t="shared" si="149"/>
        <v>-11164410.050793177</v>
      </c>
      <c r="AH375" s="28" t="str">
        <f t="shared" si="150"/>
        <v>ok</v>
      </c>
    </row>
    <row r="376" spans="1:37" x14ac:dyDescent="0.25">
      <c r="E376" s="90"/>
    </row>
    <row r="377" spans="1:37" x14ac:dyDescent="0.25">
      <c r="A377" s="14" t="s">
        <v>571</v>
      </c>
      <c r="E377" s="90">
        <f t="shared" ref="E377:R377" si="179">E355+E375</f>
        <v>41726384.129203826</v>
      </c>
      <c r="F377" s="90">
        <f t="shared" si="179"/>
        <v>23519230.286484398</v>
      </c>
      <c r="G377" s="90">
        <f t="shared" si="179"/>
        <v>23468.069941472611</v>
      </c>
      <c r="H377" s="90">
        <f t="shared" si="179"/>
        <v>1434652.3944584902</v>
      </c>
      <c r="I377" s="90">
        <f t="shared" si="179"/>
        <v>3829166.2563615739</v>
      </c>
      <c r="J377" s="90">
        <f t="shared" si="179"/>
        <v>4434312.5879351767</v>
      </c>
      <c r="K377" s="90">
        <f t="shared" si="179"/>
        <v>6436992.841873534</v>
      </c>
      <c r="L377" s="90">
        <f t="shared" si="179"/>
        <v>1816475.5115986778</v>
      </c>
      <c r="M377" s="90">
        <f t="shared" si="179"/>
        <v>232086.18043498759</v>
      </c>
      <c r="N377" s="90">
        <f t="shared" si="179"/>
        <v>0</v>
      </c>
      <c r="O377" s="90">
        <f t="shared" si="179"/>
        <v>0</v>
      </c>
      <c r="P377" s="90">
        <f t="shared" si="179"/>
        <v>0</v>
      </c>
      <c r="Q377" s="90">
        <f t="shared" si="179"/>
        <v>0</v>
      </c>
      <c r="R377" s="90">
        <f t="shared" si="179"/>
        <v>0</v>
      </c>
      <c r="S377" s="90">
        <f t="shared" ref="S377:AF377" si="180">SUM(S355:S376)</f>
        <v>0</v>
      </c>
      <c r="T377" s="90">
        <f t="shared" si="180"/>
        <v>0</v>
      </c>
      <c r="U377" s="90">
        <f t="shared" si="180"/>
        <v>0</v>
      </c>
      <c r="V377" s="90">
        <f t="shared" si="180"/>
        <v>0</v>
      </c>
      <c r="W377" s="90">
        <f t="shared" si="180"/>
        <v>0</v>
      </c>
      <c r="X377" s="90">
        <f t="shared" si="180"/>
        <v>0</v>
      </c>
      <c r="Y377" s="90">
        <f t="shared" si="180"/>
        <v>0</v>
      </c>
      <c r="Z377" s="90">
        <f t="shared" si="180"/>
        <v>0</v>
      </c>
      <c r="AA377" s="90">
        <f t="shared" si="180"/>
        <v>0</v>
      </c>
      <c r="AB377" s="90">
        <f t="shared" si="180"/>
        <v>0</v>
      </c>
      <c r="AC377" s="90">
        <f t="shared" si="180"/>
        <v>0</v>
      </c>
      <c r="AD377" s="90">
        <f t="shared" si="180"/>
        <v>0</v>
      </c>
      <c r="AE377" s="90">
        <f t="shared" si="180"/>
        <v>0</v>
      </c>
      <c r="AF377" s="90">
        <f t="shared" si="180"/>
        <v>0</v>
      </c>
      <c r="AG377" s="90">
        <f>SUM(F377:AF377)</f>
        <v>41726384.129088312</v>
      </c>
      <c r="AH377" s="28" t="str">
        <f>IF(ABS(E377-AG377)&lt;0.01,"ok","err")</f>
        <v>ok</v>
      </c>
    </row>
    <row r="379" spans="1:37" x14ac:dyDescent="0.25">
      <c r="A379" s="13" t="s">
        <v>572</v>
      </c>
      <c r="E379" s="90">
        <f t="shared" ref="E379:AF379" si="181">E351-E377</f>
        <v>4468431.4818851501</v>
      </c>
      <c r="F379" s="90">
        <f t="shared" si="181"/>
        <v>1074266.8913657479</v>
      </c>
      <c r="G379" s="90">
        <f t="shared" si="181"/>
        <v>-7333.1263053190505</v>
      </c>
      <c r="H379" s="90">
        <f t="shared" si="181"/>
        <v>216588.97850609501</v>
      </c>
      <c r="I379" s="90">
        <f t="shared" si="181"/>
        <v>984128.85470907297</v>
      </c>
      <c r="J379" s="90">
        <f t="shared" si="181"/>
        <v>503885.76234112214</v>
      </c>
      <c r="K379" s="90">
        <f t="shared" si="181"/>
        <v>1218764.7343007708</v>
      </c>
      <c r="L379" s="90">
        <f t="shared" si="181"/>
        <v>156797.63371441839</v>
      </c>
      <c r="M379" s="90">
        <f t="shared" si="181"/>
        <v>321331.75336875039</v>
      </c>
      <c r="N379" s="90">
        <f t="shared" si="181"/>
        <v>0</v>
      </c>
      <c r="O379" s="90">
        <f t="shared" si="181"/>
        <v>0</v>
      </c>
      <c r="P379" s="90">
        <f t="shared" si="181"/>
        <v>0</v>
      </c>
      <c r="Q379" s="90">
        <f t="shared" si="181"/>
        <v>0</v>
      </c>
      <c r="R379" s="90">
        <f t="shared" si="181"/>
        <v>0</v>
      </c>
      <c r="S379" s="90">
        <f t="shared" si="181"/>
        <v>0</v>
      </c>
      <c r="T379" s="90">
        <f t="shared" si="181"/>
        <v>0</v>
      </c>
      <c r="U379" s="90">
        <f t="shared" si="181"/>
        <v>0</v>
      </c>
      <c r="V379" s="90">
        <f t="shared" si="181"/>
        <v>0</v>
      </c>
      <c r="W379" s="90">
        <f t="shared" si="181"/>
        <v>0</v>
      </c>
      <c r="X379" s="90">
        <f t="shared" si="181"/>
        <v>0</v>
      </c>
      <c r="Y379" s="90">
        <f t="shared" si="181"/>
        <v>0</v>
      </c>
      <c r="Z379" s="90">
        <f t="shared" si="181"/>
        <v>0</v>
      </c>
      <c r="AA379" s="90">
        <f t="shared" si="181"/>
        <v>0</v>
      </c>
      <c r="AB379" s="90">
        <f t="shared" si="181"/>
        <v>0</v>
      </c>
      <c r="AC379" s="90">
        <f t="shared" si="181"/>
        <v>0</v>
      </c>
      <c r="AD379" s="90">
        <f t="shared" si="181"/>
        <v>0</v>
      </c>
      <c r="AE379" s="90">
        <f t="shared" si="181"/>
        <v>0</v>
      </c>
      <c r="AF379" s="90">
        <f t="shared" si="181"/>
        <v>0</v>
      </c>
      <c r="AG379" s="90">
        <f>SUM(F379:AF379)</f>
        <v>4468431.4820006583</v>
      </c>
      <c r="AH379" s="28" t="str">
        <f>IF(ABS(E379-AG379)&lt;0.01,"ok","err")</f>
        <v>ok</v>
      </c>
    </row>
    <row r="381" spans="1:37" x14ac:dyDescent="0.25">
      <c r="A381" s="13" t="s">
        <v>247</v>
      </c>
      <c r="E381" s="90">
        <f t="shared" ref="E381:AF381" si="182">E328</f>
        <v>90562883.879807696</v>
      </c>
      <c r="F381" s="90">
        <f t="shared" si="182"/>
        <v>62800668.179839551</v>
      </c>
      <c r="G381" s="90">
        <f t="shared" si="182"/>
        <v>66720.427183814187</v>
      </c>
      <c r="H381" s="90">
        <f t="shared" si="182"/>
        <v>2959292.9884449947</v>
      </c>
      <c r="I381" s="90">
        <f t="shared" si="182"/>
        <v>10253680.408332247</v>
      </c>
      <c r="J381" s="90">
        <f t="shared" si="182"/>
        <v>4297128.2448560596</v>
      </c>
      <c r="K381" s="90">
        <f t="shared" si="182"/>
        <v>5719861.2777235387</v>
      </c>
      <c r="L381" s="90">
        <f t="shared" si="182"/>
        <v>1496439.8088717931</v>
      </c>
      <c r="M381" s="90">
        <f t="shared" si="182"/>
        <v>2969092.542478492</v>
      </c>
      <c r="N381" s="90">
        <f t="shared" si="182"/>
        <v>0</v>
      </c>
      <c r="O381" s="90">
        <f t="shared" si="182"/>
        <v>0</v>
      </c>
      <c r="P381" s="90">
        <f t="shared" si="182"/>
        <v>0</v>
      </c>
      <c r="Q381" s="90">
        <f t="shared" si="182"/>
        <v>0</v>
      </c>
      <c r="R381" s="90">
        <f t="shared" si="182"/>
        <v>0</v>
      </c>
      <c r="S381" s="90">
        <f t="shared" si="182"/>
        <v>0</v>
      </c>
      <c r="T381" s="90">
        <f t="shared" si="182"/>
        <v>0</v>
      </c>
      <c r="U381" s="90">
        <f t="shared" si="182"/>
        <v>0</v>
      </c>
      <c r="V381" s="90">
        <f t="shared" si="182"/>
        <v>0</v>
      </c>
      <c r="W381" s="90">
        <f t="shared" si="182"/>
        <v>0</v>
      </c>
      <c r="X381" s="90">
        <f t="shared" si="182"/>
        <v>0</v>
      </c>
      <c r="Y381" s="90">
        <f t="shared" si="182"/>
        <v>0</v>
      </c>
      <c r="Z381" s="90">
        <f t="shared" si="182"/>
        <v>0</v>
      </c>
      <c r="AA381" s="90">
        <f t="shared" si="182"/>
        <v>0</v>
      </c>
      <c r="AB381" s="90">
        <f t="shared" si="182"/>
        <v>0</v>
      </c>
      <c r="AC381" s="90">
        <f t="shared" si="182"/>
        <v>0</v>
      </c>
      <c r="AD381" s="90">
        <f t="shared" si="182"/>
        <v>0</v>
      </c>
      <c r="AE381" s="90">
        <f t="shared" si="182"/>
        <v>0</v>
      </c>
      <c r="AF381" s="90">
        <f t="shared" si="182"/>
        <v>0</v>
      </c>
      <c r="AG381" s="90">
        <f>SUM(F381:AF381)</f>
        <v>90562883.877730474</v>
      </c>
      <c r="AH381" s="28" t="str">
        <f>IF(ABS(E381-AG381)&lt;0.01,"ok","err")</f>
        <v>ok</v>
      </c>
    </row>
    <row r="382" spans="1:37" x14ac:dyDescent="0.25">
      <c r="A382" s="14" t="s">
        <v>748</v>
      </c>
      <c r="E382" s="90"/>
      <c r="F382" s="90"/>
      <c r="G382" s="90"/>
      <c r="H382" s="90"/>
      <c r="I382" s="90"/>
      <c r="J382" s="90"/>
      <c r="K382" s="90"/>
      <c r="L382" s="90"/>
      <c r="M382" s="90"/>
      <c r="N382" s="90"/>
      <c r="O382" s="90"/>
      <c r="P382" s="90"/>
      <c r="Q382" s="90"/>
      <c r="R382" s="90"/>
      <c r="S382" s="90"/>
      <c r="T382" s="90"/>
      <c r="U382" s="90"/>
      <c r="V382" s="90"/>
      <c r="W382" s="90"/>
      <c r="X382" s="90"/>
      <c r="Y382" s="90"/>
      <c r="Z382" s="90"/>
      <c r="AA382" s="90"/>
      <c r="AB382" s="90"/>
      <c r="AC382" s="90"/>
      <c r="AD382" s="90"/>
      <c r="AE382" s="90"/>
      <c r="AF382" s="90"/>
      <c r="AG382" s="90"/>
      <c r="AH382" s="28"/>
    </row>
    <row r="383" spans="1:37" x14ac:dyDescent="0.25">
      <c r="A383" s="13"/>
      <c r="B383" s="14" t="s">
        <v>1018</v>
      </c>
      <c r="D383" s="14" t="s">
        <v>259</v>
      </c>
      <c r="E383" s="90">
        <v>0</v>
      </c>
      <c r="F383" s="67">
        <f>IF(VLOOKUP($D383,$C$5:$AU$511,3,)=0,0,(VLOOKUP($D383,$C$5:$AU$511,4,)/VLOOKUP($D383,$C$5:$AU$511,3,))*$E383)</f>
        <v>0</v>
      </c>
      <c r="G383" s="67">
        <f>IF(VLOOKUP($D383,$C$5:$AU$511,3,)=0,0,(VLOOKUP($D383,$C$5:$AU$511,5,)/VLOOKUP($D383,$C$5:$AU$511,3,))*$E383)</f>
        <v>0</v>
      </c>
      <c r="H383" s="67">
        <f>IF(VLOOKUP($D383,$C$5:$AU$511,3,)=0,0,(VLOOKUP($D383,$C$5:$AU$511,6,)/VLOOKUP($D383,$C$5:$AU$511,3,))*$E383)</f>
        <v>0</v>
      </c>
      <c r="I383" s="67">
        <f>IF(VLOOKUP($D383,$C$5:$AU$511,3,)=0,0,(VLOOKUP($D383,$C$5:$AU$511,7,)/VLOOKUP($D383,$C$5:$AU$511,3,))*$E383)</f>
        <v>0</v>
      </c>
      <c r="J383" s="67">
        <f>IF(VLOOKUP($D383,$C$5:$AU$511,3,)=0,0,(VLOOKUP($D383,$C$5:$AU$511,8,)/VLOOKUP($D383,$C$5:$AU$511,3,))*$E383)</f>
        <v>0</v>
      </c>
      <c r="K383" s="67">
        <f>IF(VLOOKUP($D383,$C$5:$AU$511,3,)=0,0,(VLOOKUP($D383,$C$5:$AU$511,9,)/VLOOKUP($D383,$C$5:$AU$511,3,))*$E383)</f>
        <v>0</v>
      </c>
      <c r="L383" s="67">
        <f>IF(VLOOKUP($D383,$C$5:$AU$511,3,)=0,0,(VLOOKUP($D383,$C$5:$AU$511,10,)/VLOOKUP($D383,$C$5:$AU$511,3,))*$E383)</f>
        <v>0</v>
      </c>
      <c r="M383" s="67">
        <f>IF(VLOOKUP($D383,$C$5:$AU$511,3,)=0,0,(VLOOKUP($D383,$C$5:$AU$511,11,)/VLOOKUP($D383,$C$5:$AU$511,3,))*$E383)</f>
        <v>0</v>
      </c>
      <c r="N383" s="67">
        <f>IF(VLOOKUP($D383,$C$5:$AU$511,3,)=0,0,(VLOOKUP($D383,$C$5:$AU$511,12,)/VLOOKUP($D383,$C$5:$AU$511,3,))*$E383)</f>
        <v>0</v>
      </c>
      <c r="O383" s="67">
        <f>IF(VLOOKUP($D383,$C$5:$AU$511,3,)=0,0,(VLOOKUP($D383,$C$5:$AU$511,13,)/VLOOKUP($D383,$C$5:$AU$511,3,))*$E383)</f>
        <v>0</v>
      </c>
      <c r="P383" s="67">
        <f>IF(VLOOKUP($D383,$C$5:$AU$511,3,)=0,0,(VLOOKUP($D383,$C$5:$AU$511,14,)/VLOOKUP($D383,$C$5:$AU$511,3,))*$E383)</f>
        <v>0</v>
      </c>
      <c r="Q383" s="67">
        <f>IF(VLOOKUP($D383,$C$5:$AU$511,3,)=0,0,(VLOOKUP($D383,$C$5:$AU$511,15,)/VLOOKUP($D383,$C$5:$AU$511,3,))*$E383)</f>
        <v>0</v>
      </c>
      <c r="R383" s="67">
        <f>IF(VLOOKUP($D383,$C$5:$AU$511,3,)=0,0,(VLOOKUP($D383,$C$5:$AU$511,16,)/VLOOKUP($D383,$C$5:$AU$511,3,))*$E383)</f>
        <v>0</v>
      </c>
      <c r="S383" s="67">
        <f>IF(VLOOKUP($D383,$C$5:$AU$511,3,)=0,0,(VLOOKUP($D383,$C$5:$AU$511,17,)/VLOOKUP($D383,$C$5:$AU$511,3,))*$E383)</f>
        <v>0</v>
      </c>
      <c r="T383" s="67">
        <f>IF(VLOOKUP($D383,$C$5:$AU$511,3,)=0,0,(VLOOKUP($D383,$C$5:$AU$511,18,)/VLOOKUP($D383,$C$5:$AU$511,3,))*$E383)</f>
        <v>0</v>
      </c>
      <c r="U383" s="67">
        <f>IF(VLOOKUP($D383,$C$5:$AU$511,3,)=0,0,(VLOOKUP($D383,$C$5:$AU$511,19,)/VLOOKUP($D383,$C$5:$AU$511,3,))*$E383)</f>
        <v>0</v>
      </c>
      <c r="V383" s="67">
        <f>IF(VLOOKUP($D383,$C$5:$AU$511,3,)=0,0,(VLOOKUP($D383,$C$5:$AU$511,20,)/VLOOKUP($D383,$C$5:$AU$511,3,))*$E383)</f>
        <v>0</v>
      </c>
      <c r="W383" s="67">
        <f>IF(VLOOKUP($D383,$C$5:$AU$511,3,)=0,0,(VLOOKUP($D383,$C$5:$AU$511,21,)/VLOOKUP($D383,$C$5:$AU$511,3,))*$E383)</f>
        <v>0</v>
      </c>
      <c r="X383" s="67">
        <f>IF(VLOOKUP($D383,$C$5:$AU$511,3,)=0,0,(VLOOKUP($D383,$C$5:$AU$511,22,)/VLOOKUP($D383,$C$5:$AU$511,3,))*$E383)</f>
        <v>0</v>
      </c>
      <c r="Y383" s="67">
        <f>IF(VLOOKUP($D383,$C$5:$AU$511,3,)=0,0,(VLOOKUP($D383,$C$5:$AU$511,23,)/VLOOKUP($D383,$C$5:$AU$511,3,))*$E383)</f>
        <v>0</v>
      </c>
      <c r="Z383" s="67">
        <f>IF(VLOOKUP($D383,$C$5:$AU$511,3,)=0,0,(VLOOKUP($D383,$C$5:$AU$511,24,)/VLOOKUP($D383,$C$5:$AU$511,3,))*$E383)</f>
        <v>0</v>
      </c>
      <c r="AA383" s="67">
        <f>IF(VLOOKUP($D383,$C$5:$AU$511,3,)=0,0,(VLOOKUP($D383,$C$5:$AU$511,25,)/VLOOKUP($D383,$C$5:$AU$511,3,))*$E383)</f>
        <v>0</v>
      </c>
      <c r="AB383" s="67">
        <f>IF(VLOOKUP($D383,$C$5:$AU$511,3,)=0,0,(VLOOKUP($D383,$C$5:$AU$511,26,)/VLOOKUP($D383,$C$5:$AU$511,3,))*$E383)</f>
        <v>0</v>
      </c>
      <c r="AC383" s="67">
        <f>IF(VLOOKUP($D383,$C$5:$AU$511,3,)=0,0,(VLOOKUP($D383,$C$5:$AU$511,27,)/VLOOKUP($D383,$C$5:$AU$511,3,))*$E383)</f>
        <v>0</v>
      </c>
      <c r="AD383" s="67">
        <f>IF(VLOOKUP($D383,$C$5:$AU$511,3,)=0,0,(VLOOKUP($D383,$C$5:$AU$511,28,)/VLOOKUP($D383,$C$5:$AU$511,3,))*$E383)</f>
        <v>0</v>
      </c>
      <c r="AE383" s="67">
        <f>IF(VLOOKUP($D383,$C$5:$AU$511,3,)=0,0,(VLOOKUP($D383,$C$5:$AU$511,29,)/VLOOKUP($D383,$C$5:$AU$511,3,))*$E383)</f>
        <v>0</v>
      </c>
      <c r="AF383" s="67">
        <f>IF(VLOOKUP($D383,$C$5:$AU$511,3,)=0,0,(VLOOKUP($D383,$C$5:$AU$511,30,)/VLOOKUP($D383,$C$5:$AU$511,3,))*$E383)</f>
        <v>0</v>
      </c>
      <c r="AG383" s="90">
        <f>SUM(F383:AF383)</f>
        <v>0</v>
      </c>
      <c r="AH383" s="28" t="str">
        <f>IF(ABS(E383-AG383)&lt;0.01,"ok","err")</f>
        <v>ok</v>
      </c>
    </row>
    <row r="384" spans="1:37" x14ac:dyDescent="0.25">
      <c r="A384" s="13"/>
      <c r="E384" s="90"/>
      <c r="F384" s="67"/>
      <c r="G384" s="67"/>
      <c r="H384" s="67"/>
      <c r="I384" s="67"/>
      <c r="J384" s="67"/>
      <c r="K384" s="67"/>
      <c r="L384" s="67"/>
      <c r="M384" s="67"/>
      <c r="N384" s="67"/>
      <c r="O384" s="67"/>
      <c r="P384" s="67"/>
      <c r="Q384" s="67"/>
      <c r="R384" s="67"/>
      <c r="S384" s="67"/>
      <c r="T384" s="67"/>
      <c r="U384" s="67"/>
      <c r="V384" s="67"/>
      <c r="W384" s="67"/>
      <c r="X384" s="67"/>
      <c r="Y384" s="67"/>
      <c r="Z384" s="67"/>
      <c r="AA384" s="67"/>
      <c r="AB384" s="67"/>
      <c r="AC384" s="67"/>
      <c r="AD384" s="67"/>
      <c r="AE384" s="67"/>
      <c r="AF384" s="67"/>
      <c r="AG384" s="90"/>
      <c r="AH384" s="28"/>
    </row>
    <row r="385" spans="1:34" x14ac:dyDescent="0.25">
      <c r="A385" s="14" t="s">
        <v>747</v>
      </c>
      <c r="E385" s="90">
        <f>E381+E383</f>
        <v>90562883.879807696</v>
      </c>
      <c r="F385" s="90">
        <f t="shared" ref="F385:U385" si="183">F381+F383</f>
        <v>62800668.179839551</v>
      </c>
      <c r="G385" s="90">
        <f t="shared" si="183"/>
        <v>66720.427183814187</v>
      </c>
      <c r="H385" s="90">
        <f t="shared" si="183"/>
        <v>2959292.9884449947</v>
      </c>
      <c r="I385" s="90">
        <f t="shared" si="183"/>
        <v>10253680.408332247</v>
      </c>
      <c r="J385" s="90">
        <f t="shared" si="183"/>
        <v>4297128.2448560596</v>
      </c>
      <c r="K385" s="90">
        <f t="shared" si="183"/>
        <v>5719861.2777235387</v>
      </c>
      <c r="L385" s="90">
        <f t="shared" si="183"/>
        <v>1496439.8088717931</v>
      </c>
      <c r="M385" s="90">
        <f t="shared" si="183"/>
        <v>2969092.542478492</v>
      </c>
      <c r="N385" s="90">
        <f t="shared" si="183"/>
        <v>0</v>
      </c>
      <c r="O385" s="90">
        <f t="shared" si="183"/>
        <v>0</v>
      </c>
      <c r="P385" s="90">
        <f>P381+P383</f>
        <v>0</v>
      </c>
      <c r="Q385" s="90">
        <f t="shared" si="183"/>
        <v>0</v>
      </c>
      <c r="R385" s="90">
        <f t="shared" si="183"/>
        <v>0</v>
      </c>
      <c r="S385" s="67">
        <f t="shared" si="183"/>
        <v>0</v>
      </c>
      <c r="T385" s="67">
        <f t="shared" si="183"/>
        <v>0</v>
      </c>
      <c r="U385" s="67">
        <f t="shared" si="183"/>
        <v>0</v>
      </c>
      <c r="V385" s="67"/>
      <c r="W385" s="67"/>
      <c r="X385" s="67"/>
      <c r="Y385" s="67"/>
      <c r="Z385" s="67"/>
      <c r="AA385" s="67"/>
      <c r="AB385" s="67"/>
      <c r="AC385" s="67"/>
      <c r="AD385" s="67"/>
      <c r="AE385" s="67"/>
      <c r="AF385" s="67"/>
      <c r="AG385" s="90">
        <f>SUM(F385:AF385)</f>
        <v>90562883.877730474</v>
      </c>
      <c r="AH385" s="28" t="str">
        <f>IF(ABS(E385-AG385)&lt;0.01,"ok","err")</f>
        <v>ok</v>
      </c>
    </row>
    <row r="386" spans="1:34" ht="13.8" thickBot="1" x14ac:dyDescent="0.3"/>
    <row r="387" spans="1:34" ht="13.8" thickBot="1" x14ac:dyDescent="0.3">
      <c r="A387" s="193" t="s">
        <v>332</v>
      </c>
      <c r="B387" s="194"/>
      <c r="C387" s="194"/>
      <c r="D387" s="194"/>
      <c r="E387" s="100">
        <f t="shared" ref="E387:R387" si="184">E379/E385</f>
        <v>4.9340649176052263E-2</v>
      </c>
      <c r="F387" s="100">
        <f t="shared" si="184"/>
        <v>1.7105978686236527E-2</v>
      </c>
      <c r="G387" s="100">
        <f t="shared" si="184"/>
        <v>-0.10990826370335359</v>
      </c>
      <c r="H387" s="100">
        <f t="shared" si="184"/>
        <v>7.3189433878902602E-2</v>
      </c>
      <c r="I387" s="100">
        <f t="shared" si="184"/>
        <v>9.5978108885601668E-2</v>
      </c>
      <c r="J387" s="100">
        <f t="shared" si="184"/>
        <v>0.11726104822314903</v>
      </c>
      <c r="K387" s="100">
        <f t="shared" si="184"/>
        <v>0.21307592529338926</v>
      </c>
      <c r="L387" s="100">
        <f t="shared" si="184"/>
        <v>0.10478044809074707</v>
      </c>
      <c r="M387" s="100">
        <f t="shared" si="184"/>
        <v>0.10822557693015326</v>
      </c>
      <c r="N387" s="100" t="e">
        <f t="shared" si="184"/>
        <v>#DIV/0!</v>
      </c>
      <c r="O387" s="100" t="e">
        <f t="shared" si="184"/>
        <v>#DIV/0!</v>
      </c>
      <c r="P387" s="100" t="e">
        <f t="shared" si="184"/>
        <v>#DIV/0!</v>
      </c>
      <c r="Q387" s="100" t="e">
        <f t="shared" si="184"/>
        <v>#DIV/0!</v>
      </c>
      <c r="R387" s="100" t="e">
        <f t="shared" si="184"/>
        <v>#DIV/0!</v>
      </c>
      <c r="S387" s="100" t="e">
        <f t="shared" ref="S387:AF387" si="185">S379/S381</f>
        <v>#DIV/0!</v>
      </c>
      <c r="T387" s="100" t="e">
        <f t="shared" si="185"/>
        <v>#DIV/0!</v>
      </c>
      <c r="U387" s="100" t="e">
        <f t="shared" si="185"/>
        <v>#DIV/0!</v>
      </c>
      <c r="V387" s="100" t="e">
        <f t="shared" si="185"/>
        <v>#DIV/0!</v>
      </c>
      <c r="W387" s="100" t="e">
        <f t="shared" si="185"/>
        <v>#DIV/0!</v>
      </c>
      <c r="X387" s="100" t="e">
        <f t="shared" si="185"/>
        <v>#DIV/0!</v>
      </c>
      <c r="Y387" s="100" t="e">
        <f t="shared" si="185"/>
        <v>#DIV/0!</v>
      </c>
      <c r="Z387" s="100" t="e">
        <f t="shared" si="185"/>
        <v>#DIV/0!</v>
      </c>
      <c r="AA387" s="100" t="e">
        <f t="shared" si="185"/>
        <v>#DIV/0!</v>
      </c>
      <c r="AB387" s="100" t="e">
        <f t="shared" si="185"/>
        <v>#DIV/0!</v>
      </c>
      <c r="AC387" s="100" t="e">
        <f t="shared" si="185"/>
        <v>#DIV/0!</v>
      </c>
      <c r="AD387" s="100" t="e">
        <f t="shared" si="185"/>
        <v>#DIV/0!</v>
      </c>
      <c r="AE387" s="100" t="e">
        <f t="shared" si="185"/>
        <v>#DIV/0!</v>
      </c>
      <c r="AF387" s="100" t="e">
        <f t="shared" si="185"/>
        <v>#DIV/0!</v>
      </c>
      <c r="AG387" s="90"/>
      <c r="AH387" s="28"/>
    </row>
    <row r="388" spans="1:34" x14ac:dyDescent="0.25">
      <c r="A388" s="13" t="s">
        <v>936</v>
      </c>
      <c r="B388" s="13"/>
      <c r="C388" s="13"/>
      <c r="D388" s="13"/>
      <c r="E388" s="196">
        <f>E387/$E$387</f>
        <v>1</v>
      </c>
      <c r="F388" s="196">
        <f t="shared" ref="F388:AF388" si="186">F387/$E$387</f>
        <v>0.34669139891533896</v>
      </c>
      <c r="G388" s="196">
        <f t="shared" si="186"/>
        <v>-2.2275398791610979</v>
      </c>
      <c r="H388" s="196">
        <f t="shared" si="186"/>
        <v>1.4833496336409264</v>
      </c>
      <c r="I388" s="196">
        <f t="shared" si="186"/>
        <v>1.9452137434013563</v>
      </c>
      <c r="J388" s="196">
        <f t="shared" si="186"/>
        <v>2.3765607097050983</v>
      </c>
      <c r="K388" s="196">
        <f t="shared" si="186"/>
        <v>4.3184661906881994</v>
      </c>
      <c r="L388" s="196">
        <f t="shared" si="186"/>
        <v>2.1236130825291775</v>
      </c>
      <c r="M388" s="196">
        <f t="shared" si="186"/>
        <v>2.1934364208300914</v>
      </c>
      <c r="N388" s="196" t="e">
        <f t="shared" si="186"/>
        <v>#DIV/0!</v>
      </c>
      <c r="O388" s="196" t="e">
        <f t="shared" si="186"/>
        <v>#DIV/0!</v>
      </c>
      <c r="P388" s="196" t="e">
        <f t="shared" si="186"/>
        <v>#DIV/0!</v>
      </c>
      <c r="Q388" s="196" t="e">
        <f t="shared" si="186"/>
        <v>#DIV/0!</v>
      </c>
      <c r="R388" s="196" t="e">
        <f t="shared" si="186"/>
        <v>#DIV/0!</v>
      </c>
      <c r="S388" s="196" t="e">
        <f t="shared" si="186"/>
        <v>#DIV/0!</v>
      </c>
      <c r="T388" s="196" t="e">
        <f t="shared" si="186"/>
        <v>#DIV/0!</v>
      </c>
      <c r="U388" s="196" t="e">
        <f t="shared" si="186"/>
        <v>#DIV/0!</v>
      </c>
      <c r="V388" s="196" t="e">
        <f t="shared" si="186"/>
        <v>#DIV/0!</v>
      </c>
      <c r="W388" s="196" t="e">
        <f t="shared" si="186"/>
        <v>#DIV/0!</v>
      </c>
      <c r="X388" s="196" t="e">
        <f t="shared" si="186"/>
        <v>#DIV/0!</v>
      </c>
      <c r="Y388" s="196" t="e">
        <f t="shared" si="186"/>
        <v>#DIV/0!</v>
      </c>
      <c r="Z388" s="196" t="e">
        <f t="shared" si="186"/>
        <v>#DIV/0!</v>
      </c>
      <c r="AA388" s="196" t="e">
        <f t="shared" si="186"/>
        <v>#DIV/0!</v>
      </c>
      <c r="AB388" s="196" t="e">
        <f t="shared" si="186"/>
        <v>#DIV/0!</v>
      </c>
      <c r="AC388" s="196" t="e">
        <f t="shared" si="186"/>
        <v>#DIV/0!</v>
      </c>
      <c r="AD388" s="196" t="e">
        <f t="shared" si="186"/>
        <v>#DIV/0!</v>
      </c>
      <c r="AE388" s="196" t="e">
        <f t="shared" si="186"/>
        <v>#DIV/0!</v>
      </c>
      <c r="AF388" s="196" t="e">
        <f t="shared" si="186"/>
        <v>#DIV/0!</v>
      </c>
      <c r="AG388" s="90"/>
      <c r="AH388" s="28"/>
    </row>
    <row r="390" spans="1:34" x14ac:dyDescent="0.25">
      <c r="A390" s="26" t="s">
        <v>566</v>
      </c>
    </row>
    <row r="392" spans="1:34" x14ac:dyDescent="0.25">
      <c r="A392" s="13" t="s">
        <v>333</v>
      </c>
    </row>
    <row r="393" spans="1:34" x14ac:dyDescent="0.25">
      <c r="A393" s="14" t="s">
        <v>334</v>
      </c>
      <c r="C393" s="14" t="s">
        <v>212</v>
      </c>
      <c r="D393" s="14" t="s">
        <v>11</v>
      </c>
      <c r="E393" s="49">
        <v>1</v>
      </c>
      <c r="F393" s="49">
        <f>IF(VLOOKUP($D393,$C$5:$AU$493,3,)=0,0,(VLOOKUP($D393,$C$5:$AU$493,4,)/VLOOKUP($D393,$C$5:$AU$493,3,))*$E393)</f>
        <v>0.45705815419475276</v>
      </c>
      <c r="G393" s="49">
        <f>IF(VLOOKUP($D393,$C$5:$AU$493,3,)=0,0,(VLOOKUP($D393,$C$5:$AU$493,5,)/VLOOKUP($D393,$C$5:$AU$493,3,))*$E393)</f>
        <v>3.9991328831736169E-4</v>
      </c>
      <c r="H393" s="49">
        <f>IF(VLOOKUP($D393,$C$5:$AU$493,3,)=0,0,(VLOOKUP($D393,$C$5:$AU$493,6,)/VLOOKUP($D393,$C$5:$AU$493,3,))*$E393)</f>
        <v>3.2442860695638689E-2</v>
      </c>
      <c r="I393" s="49">
        <f>IF(VLOOKUP($D393,$C$5:$AU$493,3,)=0,0,(VLOOKUP($D393,$C$5:$AU$493,7,)/VLOOKUP($D393,$C$5:$AU$493,3,))*$E393)</f>
        <v>7.9396335136224044E-2</v>
      </c>
      <c r="J393" s="49">
        <f>IF(VLOOKUP($D393,$C$5:$AU$493,3,)=0,0,(VLOOKUP($D393,$C$5:$AU$493,8,)/VLOOKUP($D393,$C$5:$AU$493,3,))*$E393)</f>
        <v>0.1274836337981553</v>
      </c>
      <c r="K393" s="49">
        <f>IF(VLOOKUP($D393,$C$5:$AU$493,3,)=0,0,(VLOOKUP($D393,$C$5:$AU$493,9,)/VLOOKUP($D393,$C$5:$AU$493,3,))*$E393)</f>
        <v>0.23063238590191679</v>
      </c>
      <c r="L393" s="49">
        <f>IF(VLOOKUP($D393,$C$5:$AU$493,3,)=0,0,(VLOOKUP($D393,$C$5:$AU$493,10,)/VLOOKUP($D393,$C$5:$AU$493,3,))*$E393)</f>
        <v>6.8873916997676976E-2</v>
      </c>
      <c r="M393" s="49">
        <f>IF(VLOOKUP($D393,$C$5:$AU$493,3,)=0,0,(VLOOKUP($D393,$C$5:$AU$493,11,)/VLOOKUP($D393,$C$5:$AU$493,3,))*$E393)</f>
        <v>3.7127999873180239E-3</v>
      </c>
      <c r="N393" s="49">
        <f>IF(VLOOKUP($D393,$C$5:$AU$493,3,)=0,0,(VLOOKUP($D393,$C$5:$AU$493,12,)/VLOOKUP($D393,$C$5:$AU$493,3,))*$E393)</f>
        <v>0</v>
      </c>
      <c r="O393" s="49">
        <f>IF(VLOOKUP($D393,$C$5:$AU$493,3,)=0,0,(VLOOKUP($D393,$C$5:$AU$493,13,)/VLOOKUP($D393,$C$5:$AU$493,3,))*$E393)</f>
        <v>0</v>
      </c>
      <c r="P393" s="49">
        <f>IF(VLOOKUP($D393,$C$5:$AU$493,3,)=0,0,(VLOOKUP($D393,$C$5:$AU$493,14,)/VLOOKUP($D393,$C$5:$AU$493,3,))*$E393)</f>
        <v>0</v>
      </c>
      <c r="Q393" s="49">
        <f>IF(VLOOKUP($D393,$C$5:$AU$493,3,)=0,0,(VLOOKUP($D393,$C$5:$AU$493,15,)/VLOOKUP($D393,$C$5:$AU$493,3,))*$E393)</f>
        <v>0</v>
      </c>
      <c r="R393" s="49">
        <f>IF(VLOOKUP($D393,$C$5:$AU$493,3,)=0,0,(VLOOKUP($D393,$C$5:$AU$493,16,)/VLOOKUP($D393,$C$5:$AU$493,3,))*$E393)</f>
        <v>0</v>
      </c>
      <c r="S393" s="49">
        <f>IF(VLOOKUP($D393,$C$5:$AU$493,3,)=0,0,(VLOOKUP($D393,$C$5:$AU$493,17,)/VLOOKUP($D393,$C$5:$AU$493,3,))*$E393)</f>
        <v>0</v>
      </c>
      <c r="T393" s="49">
        <f>IF(VLOOKUP($D393,$C$5:$AU$493,3,)=0,0,(VLOOKUP($D393,$C$5:$AU$493,18,)/VLOOKUP($D393,$C$5:$AU$493,3,))*$E393)</f>
        <v>0</v>
      </c>
      <c r="U393" s="49">
        <f>IF(VLOOKUP($D393,$C$5:$AU$493,3,)=0,0,(VLOOKUP($D393,$C$5:$AU$493,19,)/VLOOKUP($D393,$C$5:$AU$493,3,))*$E393)</f>
        <v>0</v>
      </c>
      <c r="V393" s="49">
        <f>IF(VLOOKUP($D393,$C$5:$AU$493,3,)=0,0,(VLOOKUP($D393,$C$5:$AU$493,20,)/VLOOKUP($D393,$C$5:$AU$493,3,))*$E393)</f>
        <v>0</v>
      </c>
      <c r="W393" s="49">
        <f>IF(VLOOKUP($D393,$C$5:$AU$493,3,)=0,0,(VLOOKUP($D393,$C$5:$AU$493,21,)/VLOOKUP($D393,$C$5:$AU$493,3,))*$E393)</f>
        <v>0</v>
      </c>
      <c r="X393" s="49">
        <f>IF(VLOOKUP($D393,$C$5:$AU$493,3,)=0,0,(VLOOKUP($D393,$C$5:$AU$493,22,)/VLOOKUP($D393,$C$5:$AU$493,3,))*$E393)</f>
        <v>0</v>
      </c>
      <c r="Y393" s="49">
        <f>IF(VLOOKUP($D393,$C$5:$AU$493,3,)=0,0,(VLOOKUP($D393,$C$5:$AU$493,23,)/VLOOKUP($D393,$C$5:$AU$493,3,))*$E393)</f>
        <v>0</v>
      </c>
      <c r="Z393" s="49">
        <f>IF(VLOOKUP($D393,$C$5:$AU$493,3,)=0,0,(VLOOKUP($D393,$C$5:$AU$493,24,)/VLOOKUP($D393,$C$5:$AU$493,3,))*$E393)</f>
        <v>0</v>
      </c>
      <c r="AA393" s="49">
        <f>IF(VLOOKUP($D393,$C$5:$AU$493,3,)=0,0,(VLOOKUP($D393,$C$5:$AU$493,25,)/VLOOKUP($D393,$C$5:$AU$493,3,))*$E393)</f>
        <v>0</v>
      </c>
      <c r="AB393" s="49">
        <f>IF(VLOOKUP($D393,$C$5:$AU$493,3,)=0,0,(VLOOKUP($D393,$C$5:$AU$493,26,)/VLOOKUP($D393,$C$5:$AU$493,3,))*$E393)</f>
        <v>0</v>
      </c>
      <c r="AC393" s="49">
        <f>IF(VLOOKUP($D393,$C$5:$AU$493,3,)=0,0,(VLOOKUP($D393,$C$5:$AU$493,27,)/VLOOKUP($D393,$C$5:$AU$493,3,))*$E393)</f>
        <v>0</v>
      </c>
      <c r="AD393" s="49">
        <f>IF(VLOOKUP($D393,$C$5:$AU$493,3,)=0,0,(VLOOKUP($D393,$C$5:$AU$493,28,)/VLOOKUP($D393,$C$5:$AU$493,3,))*$E393)</f>
        <v>0</v>
      </c>
      <c r="AE393" s="49">
        <f>IF(VLOOKUP($D393,$C$5:$AU$493,3,)=0,0,(VLOOKUP($D393,$C$5:$AU$493,29,)/VLOOKUP($D393,$C$5:$AU$493,3,))*$E393)</f>
        <v>0</v>
      </c>
      <c r="AF393" s="49">
        <f>IF(VLOOKUP($D393,$C$5:$AU$493,3,)=0,0,(VLOOKUP($D393,$C$5:$AU$493,30,)/VLOOKUP($D393,$C$5:$AU$493,3,))*$E393)</f>
        <v>0</v>
      </c>
      <c r="AG393" s="49">
        <f>SUM(F393:AF393)</f>
        <v>0.99999999999999989</v>
      </c>
      <c r="AH393" s="28" t="str">
        <f>IF(ABS(E393-AG393)&lt;0.01,"ok","err")</f>
        <v>ok</v>
      </c>
    </row>
    <row r="395" spans="1:34" x14ac:dyDescent="0.25">
      <c r="A395" s="13" t="s">
        <v>335</v>
      </c>
    </row>
    <row r="396" spans="1:34" x14ac:dyDescent="0.25">
      <c r="A396" s="14" t="s">
        <v>336</v>
      </c>
      <c r="C396" s="14" t="s">
        <v>209</v>
      </c>
      <c r="D396" s="14" t="s">
        <v>941</v>
      </c>
      <c r="E396" s="94">
        <v>1</v>
      </c>
      <c r="F396" s="49">
        <f>IF(VLOOKUP($D396,$C$5:$AU$493,3,)=0,0,(VLOOKUP($D396,$C$5:$AU$493,4,)/VLOOKUP($D396,$C$5:$AU$493,3,))*$E396)</f>
        <v>0.63909813522853642</v>
      </c>
      <c r="G396" s="49">
        <f>IF(VLOOKUP($D396,$C$5:$AU$493,3,)=0,0,(VLOOKUP($D396,$C$5:$AU$493,5,)/VLOOKUP($D396,$C$5:$AU$493,3,))*$E396)</f>
        <v>0</v>
      </c>
      <c r="H396" s="49">
        <f>IF(VLOOKUP($D396,$C$5:$AU$493,3,)=0,0,(VLOOKUP($D396,$C$5:$AU$493,6,)/VLOOKUP($D396,$C$5:$AU$493,3,))*$E396)</f>
        <v>4.5396028493935904E-2</v>
      </c>
      <c r="I396" s="49">
        <f>IF(VLOOKUP($D396,$C$5:$AU$493,3,)=0,0,(VLOOKUP($D396,$C$5:$AU$493,7,)/VLOOKUP($D396,$C$5:$AU$493,3,))*$E396)</f>
        <v>9.1809283746277365E-2</v>
      </c>
      <c r="J396" s="49">
        <f>IF(VLOOKUP($D396,$C$5:$AU$493,3,)=0,0,(VLOOKUP($D396,$C$5:$AU$493,8,)/VLOOKUP($D396,$C$5:$AU$493,3,))*$E396)</f>
        <v>7.4143675957019858E-2</v>
      </c>
      <c r="K396" s="49">
        <f>IF(VLOOKUP($D396,$C$5:$AU$493,3,)=0,0,(VLOOKUP($D396,$C$5:$AU$493,9,)/VLOOKUP($D396,$C$5:$AU$493,3,))*$E396)</f>
        <v>0.11848613224404275</v>
      </c>
      <c r="L396" s="49">
        <f>IF(VLOOKUP($D396,$C$5:$AU$493,3,)=0,0,(VLOOKUP($D396,$C$5:$AU$493,10,)/VLOOKUP($D396,$C$5:$AU$493,3,))*$E396)</f>
        <v>3.1066744330187787E-2</v>
      </c>
      <c r="M396" s="49">
        <f>IF(VLOOKUP($D396,$C$5:$AU$493,3,)=0,0,(VLOOKUP($D396,$C$5:$AU$493,11,)/VLOOKUP($D396,$C$5:$AU$493,3,))*$E396)</f>
        <v>0</v>
      </c>
      <c r="N396" s="49">
        <f>IF(VLOOKUP($D396,$C$5:$AU$493,3,)=0,0,(VLOOKUP($D396,$C$5:$AU$493,12,)/VLOOKUP($D396,$C$5:$AU$493,3,))*$E396)</f>
        <v>0</v>
      </c>
      <c r="O396" s="49">
        <f>IF(VLOOKUP($D396,$C$5:$AU$493,3,)=0,0,(VLOOKUP($D396,$C$5:$AU$493,13,)/VLOOKUP($D396,$C$5:$AU$493,3,))*$E396)</f>
        <v>0</v>
      </c>
      <c r="P396" s="49">
        <f>IF(VLOOKUP($D396,$C$5:$AU$493,3,)=0,0,(VLOOKUP($D396,$C$5:$AU$493,14,)/VLOOKUP($D396,$C$5:$AU$493,3,))*$E396)</f>
        <v>0</v>
      </c>
      <c r="Q396" s="49">
        <f>IF(VLOOKUP($D396,$C$5:$AU$493,3,)=0,0,(VLOOKUP($D396,$C$5:$AU$493,15,)/VLOOKUP($D396,$C$5:$AU$493,3,))*$E396)</f>
        <v>0</v>
      </c>
      <c r="R396" s="49">
        <f>IF(VLOOKUP($D396,$C$5:$AU$493,3,)=0,0,(VLOOKUP($D396,$C$5:$AU$493,16,)/VLOOKUP($D396,$C$5:$AU$493,3,))*$E396)</f>
        <v>0</v>
      </c>
      <c r="S396" s="49">
        <f>IF(VLOOKUP($D396,$C$5:$AU$493,3,)=0,0,(VLOOKUP($D396,$C$5:$AU$493,17,)/VLOOKUP($D396,$C$5:$AU$493,3,))*$E396)</f>
        <v>0</v>
      </c>
      <c r="T396" s="49">
        <f>IF(VLOOKUP($D396,$C$5:$AU$493,3,)=0,0,(VLOOKUP($D396,$C$5:$AU$493,18,)/VLOOKUP($D396,$C$5:$AU$493,3,))*$E396)</f>
        <v>0</v>
      </c>
      <c r="U396" s="49">
        <f>IF(VLOOKUP($D396,$C$5:$AU$493,3,)=0,0,(VLOOKUP($D396,$C$5:$AU$493,19,)/VLOOKUP($D396,$C$5:$AU$493,3,))*$E396)</f>
        <v>0</v>
      </c>
      <c r="V396" s="49">
        <f>IF(VLOOKUP($D396,$C$5:$AU$493,3,)=0,0,(VLOOKUP($D396,$C$5:$AU$493,20,)/VLOOKUP($D396,$C$5:$AU$493,3,))*$E396)</f>
        <v>0</v>
      </c>
      <c r="W396" s="49">
        <f>IF(VLOOKUP($D396,$C$5:$AU$493,3,)=0,0,(VLOOKUP($D396,$C$5:$AU$493,21,)/VLOOKUP($D396,$C$5:$AU$493,3,))*$E396)</f>
        <v>0</v>
      </c>
      <c r="X396" s="49">
        <f>IF(VLOOKUP($D396,$C$5:$AU$493,3,)=0,0,(VLOOKUP($D396,$C$5:$AU$493,22,)/VLOOKUP($D396,$C$5:$AU$493,3,))*$E396)</f>
        <v>0</v>
      </c>
      <c r="Y396" s="49">
        <f>IF(VLOOKUP($D396,$C$5:$AU$493,3,)=0,0,(VLOOKUP($D396,$C$5:$AU$493,23,)/VLOOKUP($D396,$C$5:$AU$493,3,))*$E396)</f>
        <v>0</v>
      </c>
      <c r="Z396" s="49">
        <f>IF(VLOOKUP($D396,$C$5:$AU$493,3,)=0,0,(VLOOKUP($D396,$C$5:$AU$493,24,)/VLOOKUP($D396,$C$5:$AU$493,3,))*$E396)</f>
        <v>0</v>
      </c>
      <c r="AA396" s="49">
        <f>IF(VLOOKUP($D396,$C$5:$AU$493,3,)=0,0,(VLOOKUP($D396,$C$5:$AU$493,25,)/VLOOKUP($D396,$C$5:$AU$493,3,))*$E396)</f>
        <v>0</v>
      </c>
      <c r="AB396" s="49">
        <f>IF(VLOOKUP($D396,$C$5:$AU$493,3,)=0,0,(VLOOKUP($D396,$C$5:$AU$493,26,)/VLOOKUP($D396,$C$5:$AU$493,3,))*$E396)</f>
        <v>0</v>
      </c>
      <c r="AC396" s="49">
        <f>IF(VLOOKUP($D396,$C$5:$AU$493,3,)=0,0,(VLOOKUP($D396,$C$5:$AU$493,27,)/VLOOKUP($D396,$C$5:$AU$493,3,))*$E396)</f>
        <v>0</v>
      </c>
      <c r="AD396" s="49">
        <f>IF(VLOOKUP($D396,$C$5:$AU$493,3,)=0,0,(VLOOKUP($D396,$C$5:$AU$493,28,)/VLOOKUP($D396,$C$5:$AU$493,3,))*$E396)</f>
        <v>0</v>
      </c>
      <c r="AE396" s="49">
        <f>IF(VLOOKUP($D396,$C$5:$AU$493,3,)=0,0,(VLOOKUP($D396,$C$5:$AU$493,29,)/VLOOKUP($D396,$C$5:$AU$493,3,))*$E396)</f>
        <v>0</v>
      </c>
      <c r="AF396" s="49">
        <f>IF(VLOOKUP($D396,$C$5:$AU$493,3,)=0,0,(VLOOKUP($D396,$C$5:$AU$493,30,)/VLOOKUP($D396,$C$5:$AU$493,3,))*$E396)</f>
        <v>0</v>
      </c>
      <c r="AG396" s="49">
        <f>SUM(F396:AF396)</f>
        <v>1</v>
      </c>
      <c r="AH396" s="28" t="str">
        <f t="shared" ref="AH396:AH401" si="187">IF(ABS(E396-AG396)&lt;0.01,"ok","err")</f>
        <v>ok</v>
      </c>
    </row>
    <row r="397" spans="1:34" x14ac:dyDescent="0.25">
      <c r="A397" s="14" t="s">
        <v>337</v>
      </c>
      <c r="C397" s="14" t="s">
        <v>216</v>
      </c>
      <c r="D397" s="14" t="s">
        <v>565</v>
      </c>
      <c r="E397" s="94">
        <v>1</v>
      </c>
      <c r="F397" s="49">
        <f>IF(VLOOKUP($D397,$C$5:$AU$493,3,)=0,0,(VLOOKUP($D397,$C$5:$AU$493,4,)/VLOOKUP($D397,$C$5:$AU$493,3,))*$E397)</f>
        <v>0.50637355361594127</v>
      </c>
      <c r="G397" s="49">
        <f>IF(VLOOKUP($D397,$C$5:$AU$493,3,)=0,0,(VLOOKUP($D397,$C$5:$AU$493,5,)/VLOOKUP($D397,$C$5:$AU$493,3,))*$E397)</f>
        <v>1.4441567796054382E-3</v>
      </c>
      <c r="H397" s="49">
        <f>IF(VLOOKUP($D397,$C$5:$AU$493,3,)=0,0,(VLOOKUP($D397,$C$5:$AU$493,6,)/VLOOKUP($D397,$C$5:$AU$493,3,))*$E397)</f>
        <v>4.1642623422248622E-2</v>
      </c>
      <c r="I397" s="49">
        <f>IF(VLOOKUP($D397,$C$5:$AU$493,3,)=0,0,(VLOOKUP($D397,$C$5:$AU$493,7,)/VLOOKUP($D397,$C$5:$AU$493,3,))*$E397)</f>
        <v>0.21211292152598002</v>
      </c>
      <c r="J397" s="49">
        <f>IF(VLOOKUP($D397,$C$5:$AU$493,3,)=0,0,(VLOOKUP($D397,$C$5:$AU$493,8,)/VLOOKUP($D397,$C$5:$AU$493,3,))*$E397)</f>
        <v>8.3777301632046192E-2</v>
      </c>
      <c r="K397" s="49">
        <f>IF(VLOOKUP($D397,$C$5:$AU$493,3,)=0,0,(VLOOKUP($D397,$C$5:$AU$493,9,)/VLOOKUP($D397,$C$5:$AU$493,3,))*$E397)</f>
        <v>0.12216359428489937</v>
      </c>
      <c r="L397" s="49">
        <f>IF(VLOOKUP($D397,$C$5:$AU$493,3,)=0,0,(VLOOKUP($D397,$C$5:$AU$493,10,)/VLOOKUP($D397,$C$5:$AU$493,3,))*$E397)</f>
        <v>3.2485848739279094E-2</v>
      </c>
      <c r="M397" s="49">
        <f>IF(VLOOKUP($D397,$C$5:$AU$493,3,)=0,0,(VLOOKUP($D397,$C$5:$AU$493,11,)/VLOOKUP($D397,$C$5:$AU$493,3,))*$E397)</f>
        <v>0</v>
      </c>
      <c r="N397" s="49">
        <f>IF(VLOOKUP($D397,$C$5:$AU$493,3,)=0,0,(VLOOKUP($D397,$C$5:$AU$493,12,)/VLOOKUP($D397,$C$5:$AU$493,3,))*$E397)</f>
        <v>0</v>
      </c>
      <c r="O397" s="49">
        <f>IF(VLOOKUP($D397,$C$5:$AU$493,3,)=0,0,(VLOOKUP($D397,$C$5:$AU$493,13,)/VLOOKUP($D397,$C$5:$AU$493,3,))*$E397)</f>
        <v>0</v>
      </c>
      <c r="P397" s="49">
        <f>IF(VLOOKUP($D397,$C$5:$AU$493,3,)=0,0,(VLOOKUP($D397,$C$5:$AU$493,14,)/VLOOKUP($D397,$C$5:$AU$493,3,))*$E397)</f>
        <v>0</v>
      </c>
      <c r="Q397" s="49">
        <f>IF(VLOOKUP($D397,$C$5:$AU$493,3,)=0,0,(VLOOKUP($D397,$C$5:$AU$493,15,)/VLOOKUP($D397,$C$5:$AU$493,3,))*$E397)</f>
        <v>0</v>
      </c>
      <c r="R397" s="49">
        <f>IF(VLOOKUP($D397,$C$5:$AU$493,3,)=0,0,(VLOOKUP($D397,$C$5:$AU$493,16,)/VLOOKUP($D397,$C$5:$AU$493,3,))*$E397)</f>
        <v>0</v>
      </c>
      <c r="S397" s="49">
        <f>IF(VLOOKUP($D397,$C$5:$AU$493,3,)=0,0,(VLOOKUP($D397,$C$5:$AU$493,17,)/VLOOKUP($D397,$C$5:$AU$493,3,))*$E397)</f>
        <v>0</v>
      </c>
      <c r="T397" s="49">
        <f>IF(VLOOKUP($D397,$C$5:$AU$493,3,)=0,0,(VLOOKUP($D397,$C$5:$AU$493,18,)/VLOOKUP($D397,$C$5:$AU$493,3,))*$E397)</f>
        <v>0</v>
      </c>
      <c r="U397" s="49">
        <f>IF(VLOOKUP($D397,$C$5:$AU$493,3,)=0,0,(VLOOKUP($D397,$C$5:$AU$493,19,)/VLOOKUP($D397,$C$5:$AU$493,3,))*$E397)</f>
        <v>0</v>
      </c>
      <c r="V397" s="49">
        <f>IF(VLOOKUP($D397,$C$5:$AU$493,3,)=0,0,(VLOOKUP($D397,$C$5:$AU$493,20,)/VLOOKUP($D397,$C$5:$AU$493,3,))*$E397)</f>
        <v>0</v>
      </c>
      <c r="W397" s="49">
        <f>IF(VLOOKUP($D397,$C$5:$AU$493,3,)=0,0,(VLOOKUP($D397,$C$5:$AU$493,21,)/VLOOKUP($D397,$C$5:$AU$493,3,))*$E397)</f>
        <v>0</v>
      </c>
      <c r="X397" s="49">
        <f>IF(VLOOKUP($D397,$C$5:$AU$493,3,)=0,0,(VLOOKUP($D397,$C$5:$AU$493,22,)/VLOOKUP($D397,$C$5:$AU$493,3,))*$E397)</f>
        <v>0</v>
      </c>
      <c r="Y397" s="49">
        <f>IF(VLOOKUP($D397,$C$5:$AU$493,3,)=0,0,(VLOOKUP($D397,$C$5:$AU$493,23,)/VLOOKUP($D397,$C$5:$AU$493,3,))*$E397)</f>
        <v>0</v>
      </c>
      <c r="Z397" s="49">
        <f>IF(VLOOKUP($D397,$C$5:$AU$493,3,)=0,0,(VLOOKUP($D397,$C$5:$AU$493,24,)/VLOOKUP($D397,$C$5:$AU$493,3,))*$E397)</f>
        <v>0</v>
      </c>
      <c r="AA397" s="49">
        <f>IF(VLOOKUP($D397,$C$5:$AU$493,3,)=0,0,(VLOOKUP($D397,$C$5:$AU$493,25,)/VLOOKUP($D397,$C$5:$AU$493,3,))*$E397)</f>
        <v>0</v>
      </c>
      <c r="AB397" s="49">
        <f>IF(VLOOKUP($D397,$C$5:$AU$493,3,)=0,0,(VLOOKUP($D397,$C$5:$AU$493,26,)/VLOOKUP($D397,$C$5:$AU$493,3,))*$E397)</f>
        <v>0</v>
      </c>
      <c r="AC397" s="49">
        <f>IF(VLOOKUP($D397,$C$5:$AU$493,3,)=0,0,(VLOOKUP($D397,$C$5:$AU$493,27,)/VLOOKUP($D397,$C$5:$AU$493,3,))*$E397)</f>
        <v>0</v>
      </c>
      <c r="AD397" s="49">
        <f>IF(VLOOKUP($D397,$C$5:$AU$493,3,)=0,0,(VLOOKUP($D397,$C$5:$AU$493,28,)/VLOOKUP($D397,$C$5:$AU$493,3,))*$E397)</f>
        <v>0</v>
      </c>
      <c r="AE397" s="49">
        <f>IF(VLOOKUP($D397,$C$5:$AU$493,3,)=0,0,(VLOOKUP($D397,$C$5:$AU$493,29,)/VLOOKUP($D397,$C$5:$AU$493,3,))*$E397)</f>
        <v>0</v>
      </c>
      <c r="AF397" s="49">
        <f>IF(VLOOKUP($D397,$C$5:$AU$493,3,)=0,0,(VLOOKUP($D397,$C$5:$AU$493,30,)/VLOOKUP($D397,$C$5:$AU$493,3,))*$E397)</f>
        <v>0</v>
      </c>
      <c r="AG397" s="49">
        <f>SUM(F397:AF397)</f>
        <v>1.0000000000000002</v>
      </c>
      <c r="AH397" s="28" t="str">
        <f t="shared" si="187"/>
        <v>ok</v>
      </c>
    </row>
    <row r="398" spans="1:34" x14ac:dyDescent="0.25">
      <c r="A398" s="14" t="s">
        <v>338</v>
      </c>
      <c r="C398" s="14" t="s">
        <v>218</v>
      </c>
      <c r="D398" s="14" t="s">
        <v>565</v>
      </c>
      <c r="E398" s="94">
        <v>1</v>
      </c>
      <c r="F398" s="49">
        <f>IF(VLOOKUP($D398,$C$5:$AU$493,3,)=0,0,(VLOOKUP($D398,$C$5:$AU$493,4,)/VLOOKUP($D398,$C$5:$AU$493,3,))*$E398)</f>
        <v>0.50637355361594127</v>
      </c>
      <c r="G398" s="49">
        <f>IF(VLOOKUP($D398,$C$5:$AU$493,3,)=0,0,(VLOOKUP($D398,$C$5:$AU$493,5,)/VLOOKUP($D398,$C$5:$AU$493,3,))*$E398)</f>
        <v>1.4441567796054382E-3</v>
      </c>
      <c r="H398" s="49">
        <f>IF(VLOOKUP($D398,$C$5:$AU$493,3,)=0,0,(VLOOKUP($D398,$C$5:$AU$493,6,)/VLOOKUP($D398,$C$5:$AU$493,3,))*$E398)</f>
        <v>4.1642623422248622E-2</v>
      </c>
      <c r="I398" s="49">
        <f>IF(VLOOKUP($D398,$C$5:$AU$493,3,)=0,0,(VLOOKUP($D398,$C$5:$AU$493,7,)/VLOOKUP($D398,$C$5:$AU$493,3,))*$E398)</f>
        <v>0.21211292152598002</v>
      </c>
      <c r="J398" s="49">
        <f>IF(VLOOKUP($D398,$C$5:$AU$493,3,)=0,0,(VLOOKUP($D398,$C$5:$AU$493,8,)/VLOOKUP($D398,$C$5:$AU$493,3,))*$E398)</f>
        <v>8.3777301632046192E-2</v>
      </c>
      <c r="K398" s="49">
        <f>IF(VLOOKUP($D398,$C$5:$AU$493,3,)=0,0,(VLOOKUP($D398,$C$5:$AU$493,9,)/VLOOKUP($D398,$C$5:$AU$493,3,))*$E398)</f>
        <v>0.12216359428489937</v>
      </c>
      <c r="L398" s="49">
        <f>IF(VLOOKUP($D398,$C$5:$AU$493,3,)=0,0,(VLOOKUP($D398,$C$5:$AU$493,10,)/VLOOKUP($D398,$C$5:$AU$493,3,))*$E398)</f>
        <v>3.2485848739279094E-2</v>
      </c>
      <c r="M398" s="49">
        <f>IF(VLOOKUP($D398,$C$5:$AU$493,3,)=0,0,(VLOOKUP($D398,$C$5:$AU$493,11,)/VLOOKUP($D398,$C$5:$AU$493,3,))*$E398)</f>
        <v>0</v>
      </c>
      <c r="N398" s="49">
        <f>IF(VLOOKUP($D398,$C$5:$AU$493,3,)=0,0,(VLOOKUP($D398,$C$5:$AU$493,12,)/VLOOKUP($D398,$C$5:$AU$493,3,))*$E398)</f>
        <v>0</v>
      </c>
      <c r="O398" s="49">
        <f>IF(VLOOKUP($D398,$C$5:$AU$493,3,)=0,0,(VLOOKUP($D398,$C$5:$AU$493,13,)/VLOOKUP($D398,$C$5:$AU$493,3,))*$E398)</f>
        <v>0</v>
      </c>
      <c r="P398" s="49">
        <f>IF(VLOOKUP($D398,$C$5:$AU$493,3,)=0,0,(VLOOKUP($D398,$C$5:$AU$493,14,)/VLOOKUP($D398,$C$5:$AU$493,3,))*$E398)</f>
        <v>0</v>
      </c>
      <c r="Q398" s="49">
        <f>IF(VLOOKUP($D398,$C$5:$AU$493,3,)=0,0,(VLOOKUP($D398,$C$5:$AU$493,15,)/VLOOKUP($D398,$C$5:$AU$493,3,))*$E398)</f>
        <v>0</v>
      </c>
      <c r="R398" s="49">
        <f>IF(VLOOKUP($D398,$C$5:$AU$493,3,)=0,0,(VLOOKUP($D398,$C$5:$AU$493,16,)/VLOOKUP($D398,$C$5:$AU$493,3,))*$E398)</f>
        <v>0</v>
      </c>
      <c r="S398" s="49">
        <f>IF(VLOOKUP($D398,$C$5:$AU$493,3,)=0,0,(VLOOKUP($D398,$C$5:$AU$493,17,)/VLOOKUP($D398,$C$5:$AU$493,3,))*$E398)</f>
        <v>0</v>
      </c>
      <c r="T398" s="49">
        <f>IF(VLOOKUP($D398,$C$5:$AU$493,3,)=0,0,(VLOOKUP($D398,$C$5:$AU$493,18,)/VLOOKUP($D398,$C$5:$AU$493,3,))*$E398)</f>
        <v>0</v>
      </c>
      <c r="U398" s="49">
        <f>IF(VLOOKUP($D398,$C$5:$AU$493,3,)=0,0,(VLOOKUP($D398,$C$5:$AU$493,19,)/VLOOKUP($D398,$C$5:$AU$493,3,))*$E398)</f>
        <v>0</v>
      </c>
      <c r="V398" s="49">
        <f>IF(VLOOKUP($D398,$C$5:$AU$493,3,)=0,0,(VLOOKUP($D398,$C$5:$AU$493,20,)/VLOOKUP($D398,$C$5:$AU$493,3,))*$E398)</f>
        <v>0</v>
      </c>
      <c r="W398" s="49">
        <f>IF(VLOOKUP($D398,$C$5:$AU$493,3,)=0,0,(VLOOKUP($D398,$C$5:$AU$493,21,)/VLOOKUP($D398,$C$5:$AU$493,3,))*$E398)</f>
        <v>0</v>
      </c>
      <c r="X398" s="49">
        <f>IF(VLOOKUP($D398,$C$5:$AU$493,3,)=0,0,(VLOOKUP($D398,$C$5:$AU$493,22,)/VLOOKUP($D398,$C$5:$AU$493,3,))*$E398)</f>
        <v>0</v>
      </c>
      <c r="Y398" s="49">
        <f>IF(VLOOKUP($D398,$C$5:$AU$493,3,)=0,0,(VLOOKUP($D398,$C$5:$AU$493,23,)/VLOOKUP($D398,$C$5:$AU$493,3,))*$E398)</f>
        <v>0</v>
      </c>
      <c r="Z398" s="49">
        <f>IF(VLOOKUP($D398,$C$5:$AU$493,3,)=0,0,(VLOOKUP($D398,$C$5:$AU$493,24,)/VLOOKUP($D398,$C$5:$AU$493,3,))*$E398)</f>
        <v>0</v>
      </c>
      <c r="AA398" s="49">
        <f>IF(VLOOKUP($D398,$C$5:$AU$493,3,)=0,0,(VLOOKUP($D398,$C$5:$AU$493,25,)/VLOOKUP($D398,$C$5:$AU$493,3,))*$E398)</f>
        <v>0</v>
      </c>
      <c r="AB398" s="49">
        <f>IF(VLOOKUP($D398,$C$5:$AU$493,3,)=0,0,(VLOOKUP($D398,$C$5:$AU$493,26,)/VLOOKUP($D398,$C$5:$AU$493,3,))*$E398)</f>
        <v>0</v>
      </c>
      <c r="AC398" s="49">
        <f>IF(VLOOKUP($D398,$C$5:$AU$493,3,)=0,0,(VLOOKUP($D398,$C$5:$AU$493,27,)/VLOOKUP($D398,$C$5:$AU$493,3,))*$E398)</f>
        <v>0</v>
      </c>
      <c r="AD398" s="49">
        <f>IF(VLOOKUP($D398,$C$5:$AU$493,3,)=0,0,(VLOOKUP($D398,$C$5:$AU$493,28,)/VLOOKUP($D398,$C$5:$AU$493,3,))*$E398)</f>
        <v>0</v>
      </c>
      <c r="AE398" s="49">
        <f>IF(VLOOKUP($D398,$C$5:$AU$493,3,)=0,0,(VLOOKUP($D398,$C$5:$AU$493,29,)/VLOOKUP($D398,$C$5:$AU$493,3,))*$E398)</f>
        <v>0</v>
      </c>
      <c r="AF398" s="49">
        <f>IF(VLOOKUP($D398,$C$5:$AU$493,3,)=0,0,(VLOOKUP($D398,$C$5:$AU$493,30,)/VLOOKUP($D398,$C$5:$AU$493,3,))*$E398)</f>
        <v>0</v>
      </c>
      <c r="AG398" s="49">
        <f>SUM(F398:AF398)</f>
        <v>1.0000000000000002</v>
      </c>
      <c r="AH398" s="28" t="str">
        <f t="shared" si="187"/>
        <v>ok</v>
      </c>
    </row>
    <row r="399" spans="1:34" x14ac:dyDescent="0.25">
      <c r="A399" s="14" t="s">
        <v>699</v>
      </c>
      <c r="C399" s="14" t="s">
        <v>700</v>
      </c>
      <c r="E399" s="94">
        <f>Services!G33</f>
        <v>1</v>
      </c>
      <c r="F399" s="49">
        <f>Services!G6</f>
        <v>0.70796631697592072</v>
      </c>
      <c r="G399" s="49">
        <f>Services!G7</f>
        <v>9.5545083104619599E-4</v>
      </c>
      <c r="H399" s="49">
        <f>Services!G8</f>
        <v>4.4355667389854116E-2</v>
      </c>
      <c r="I399" s="49">
        <f>Services!G9</f>
        <v>0.22288064679585248</v>
      </c>
      <c r="J399" s="49">
        <f>Services!G10</f>
        <v>2.3841918007326483E-2</v>
      </c>
      <c r="K399" s="49">
        <f>Services!G11</f>
        <v>0</v>
      </c>
      <c r="L399" s="49">
        <f>Services!G12</f>
        <v>0</v>
      </c>
      <c r="M399" s="49">
        <f>Services!G13</f>
        <v>0</v>
      </c>
      <c r="N399" s="49">
        <f>Services!G22</f>
        <v>0</v>
      </c>
      <c r="O399" s="49">
        <f>Services!G24</f>
        <v>0</v>
      </c>
      <c r="P399" s="49">
        <f>Services!G26</f>
        <v>0</v>
      </c>
      <c r="Q399" s="49">
        <f>Services!G28</f>
        <v>0</v>
      </c>
      <c r="R399" s="49">
        <f>Services!G30</f>
        <v>0</v>
      </c>
      <c r="S399" s="49">
        <v>0</v>
      </c>
      <c r="T399" s="49">
        <v>0</v>
      </c>
      <c r="U399" s="49">
        <v>0</v>
      </c>
      <c r="V399" s="49">
        <f>Services!W6</f>
        <v>0</v>
      </c>
      <c r="W399" s="49">
        <f>Services!X6</f>
        <v>0</v>
      </c>
      <c r="X399" s="49">
        <f>Services!Y6</f>
        <v>0</v>
      </c>
      <c r="Y399" s="49">
        <f>Services!Z6</f>
        <v>0</v>
      </c>
      <c r="Z399" s="49">
        <f>Services!AA6</f>
        <v>0</v>
      </c>
      <c r="AA399" s="49">
        <f>Services!AB6</f>
        <v>0</v>
      </c>
      <c r="AB399" s="49">
        <f>Services!AC6</f>
        <v>0</v>
      </c>
      <c r="AC399" s="49">
        <f>Services!AD6</f>
        <v>0</v>
      </c>
      <c r="AD399" s="49">
        <f>Services!AE6</f>
        <v>0</v>
      </c>
      <c r="AE399" s="49">
        <f>Services!AF6</f>
        <v>0</v>
      </c>
      <c r="AF399" s="49">
        <f>Services!AG6</f>
        <v>0</v>
      </c>
      <c r="AG399" s="49">
        <f>SUM(F399:AF399)</f>
        <v>1</v>
      </c>
      <c r="AH399" s="28" t="str">
        <f t="shared" si="187"/>
        <v>ok</v>
      </c>
    </row>
    <row r="400" spans="1:34" x14ac:dyDescent="0.25">
      <c r="A400" s="14" t="s">
        <v>745</v>
      </c>
      <c r="C400" s="14" t="s">
        <v>746</v>
      </c>
      <c r="E400" s="94">
        <v>1</v>
      </c>
      <c r="F400" s="49">
        <f t="shared" ref="F400:AF400" si="188">F399</f>
        <v>0.70796631697592072</v>
      </c>
      <c r="G400" s="49">
        <f t="shared" si="188"/>
        <v>9.5545083104619599E-4</v>
      </c>
      <c r="H400" s="49">
        <f t="shared" si="188"/>
        <v>4.4355667389854116E-2</v>
      </c>
      <c r="I400" s="49">
        <f t="shared" si="188"/>
        <v>0.22288064679585248</v>
      </c>
      <c r="J400" s="49">
        <f t="shared" si="188"/>
        <v>2.3841918007326483E-2</v>
      </c>
      <c r="K400" s="49">
        <f t="shared" si="188"/>
        <v>0</v>
      </c>
      <c r="L400" s="49">
        <f t="shared" si="188"/>
        <v>0</v>
      </c>
      <c r="M400" s="49">
        <f t="shared" si="188"/>
        <v>0</v>
      </c>
      <c r="N400" s="49">
        <f t="shared" si="188"/>
        <v>0</v>
      </c>
      <c r="O400" s="49">
        <f t="shared" si="188"/>
        <v>0</v>
      </c>
      <c r="P400" s="49">
        <f t="shared" si="188"/>
        <v>0</v>
      </c>
      <c r="Q400" s="49">
        <f t="shared" si="188"/>
        <v>0</v>
      </c>
      <c r="R400" s="49">
        <f t="shared" si="188"/>
        <v>0</v>
      </c>
      <c r="S400" s="49">
        <f t="shared" si="188"/>
        <v>0</v>
      </c>
      <c r="T400" s="49">
        <f t="shared" si="188"/>
        <v>0</v>
      </c>
      <c r="U400" s="49">
        <f t="shared" si="188"/>
        <v>0</v>
      </c>
      <c r="V400" s="49">
        <f t="shared" si="188"/>
        <v>0</v>
      </c>
      <c r="W400" s="49">
        <f t="shared" si="188"/>
        <v>0</v>
      </c>
      <c r="X400" s="49">
        <f t="shared" si="188"/>
        <v>0</v>
      </c>
      <c r="Y400" s="49">
        <f t="shared" si="188"/>
        <v>0</v>
      </c>
      <c r="Z400" s="49">
        <f t="shared" si="188"/>
        <v>0</v>
      </c>
      <c r="AA400" s="49">
        <f t="shared" si="188"/>
        <v>0</v>
      </c>
      <c r="AB400" s="49">
        <f t="shared" si="188"/>
        <v>0</v>
      </c>
      <c r="AC400" s="49">
        <f t="shared" si="188"/>
        <v>0</v>
      </c>
      <c r="AD400" s="49">
        <f t="shared" si="188"/>
        <v>0</v>
      </c>
      <c r="AE400" s="49">
        <f t="shared" si="188"/>
        <v>0</v>
      </c>
      <c r="AF400" s="49">
        <f t="shared" si="188"/>
        <v>0</v>
      </c>
      <c r="AG400" s="49">
        <f>SUM(F400:R400)</f>
        <v>1</v>
      </c>
      <c r="AH400" s="28" t="str">
        <f t="shared" si="187"/>
        <v>ok</v>
      </c>
    </row>
    <row r="401" spans="1:34" x14ac:dyDescent="0.25">
      <c r="A401" s="14" t="s">
        <v>939</v>
      </c>
      <c r="C401" s="14" t="s">
        <v>940</v>
      </c>
      <c r="E401" s="50">
        <f>F401+G401+H401+I401</f>
        <v>34758372.379445992</v>
      </c>
      <c r="F401" s="50">
        <f>F313</f>
        <v>27418413.5771298</v>
      </c>
      <c r="G401" s="50">
        <f>G313</f>
        <v>15222.544458893321</v>
      </c>
      <c r="H401" s="50">
        <f>H313</f>
        <v>1930445.141259809</v>
      </c>
      <c r="I401" s="50">
        <f>I313</f>
        <v>5394291.1165974932</v>
      </c>
      <c r="J401" s="49"/>
      <c r="K401" s="49"/>
      <c r="L401" s="49"/>
      <c r="M401" s="49"/>
      <c r="N401" s="49"/>
      <c r="O401" s="49"/>
      <c r="P401" s="49"/>
      <c r="Q401" s="49"/>
      <c r="R401" s="49"/>
      <c r="S401" s="49"/>
      <c r="T401" s="49"/>
      <c r="U401" s="49"/>
      <c r="V401" s="49"/>
      <c r="W401" s="49"/>
      <c r="X401" s="49"/>
      <c r="Y401" s="49"/>
      <c r="Z401" s="49"/>
      <c r="AA401" s="49"/>
      <c r="AB401" s="49"/>
      <c r="AC401" s="49"/>
      <c r="AD401" s="49"/>
      <c r="AE401" s="49"/>
      <c r="AF401" s="49"/>
      <c r="AG401" s="50">
        <f>SUM(F401:R401)</f>
        <v>34758372.379445992</v>
      </c>
      <c r="AH401" s="28" t="str">
        <f t="shared" si="187"/>
        <v>ok</v>
      </c>
    </row>
    <row r="402" spans="1:34" x14ac:dyDescent="0.25">
      <c r="F402" s="201"/>
    </row>
    <row r="403" spans="1:34" x14ac:dyDescent="0.25">
      <c r="A403" s="13" t="s">
        <v>339</v>
      </c>
    </row>
    <row r="404" spans="1:34" x14ac:dyDescent="0.25">
      <c r="A404" s="14" t="s">
        <v>340</v>
      </c>
      <c r="C404" s="14" t="s">
        <v>221</v>
      </c>
      <c r="D404" s="14" t="s">
        <v>561</v>
      </c>
      <c r="E404" s="94">
        <v>1</v>
      </c>
      <c r="F404" s="49">
        <f>IF(VLOOKUP($D404,$C$5:$AU$493,3,)=0,0,(VLOOKUP($D404,$C$5:$AU$493,4,)/VLOOKUP($D404,$C$5:$AU$493,3,))*$E404)</f>
        <v>0.73413475374722237</v>
      </c>
      <c r="G404" s="49">
        <f>IF(VLOOKUP($D404,$C$5:$AU$493,3,)=0,0,(VLOOKUP($D404,$C$5:$AU$493,5,)/VLOOKUP($D404,$C$5:$AU$493,3,))*$E404)</f>
        <v>9.9076699519242122E-4</v>
      </c>
      <c r="H404" s="49">
        <f>IF(VLOOKUP($D404,$C$5:$AU$493,3,)=0,0,(VLOOKUP($D404,$C$5:$AU$493,6,)/VLOOKUP($D404,$C$5:$AU$493,3,))*$E404)</f>
        <v>4.5995178267290063E-2</v>
      </c>
      <c r="I404" s="49">
        <f>IF(VLOOKUP($D404,$C$5:$AU$493,3,)=0,0,(VLOOKUP($D404,$C$5:$AU$493,7,)/VLOOKUP($D404,$C$5:$AU$493,3,))*$E404)</f>
        <v>0.21263746892058297</v>
      </c>
      <c r="J404" s="49">
        <f>IF(VLOOKUP($D404,$C$5:$AU$493,3,)=0,0,(VLOOKUP($D404,$C$5:$AU$493,8,)/VLOOKUP($D404,$C$5:$AU$493,3,))*$E404)</f>
        <v>3.4676844831734743E-3</v>
      </c>
      <c r="K404" s="49">
        <f>IF(VLOOKUP($D404,$C$5:$AU$493,3,)=0,0,(VLOOKUP($D404,$C$5:$AU$493,9,)/VLOOKUP($D404,$C$5:$AU$493,3,))*$E404)</f>
        <v>7.9261359615393693E-4</v>
      </c>
      <c r="L404" s="49">
        <f>IF(VLOOKUP($D404,$C$5:$AU$493,3,)=0,0,(VLOOKUP($D404,$C$5:$AU$493,10,)/VLOOKUP($D404,$C$5:$AU$493,3,))*$E404)</f>
        <v>5.6615256868138351E-5</v>
      </c>
      <c r="M404" s="49">
        <f>IF(VLOOKUP($D404,$C$5:$AU$493,3,)=0,0,(VLOOKUP($D404,$C$5:$AU$493,11,)/VLOOKUP($D404,$C$5:$AU$493,3,))*$E404)</f>
        <v>1.924918733516704E-3</v>
      </c>
      <c r="N404" s="49">
        <f>IF(VLOOKUP($D404,$C$5:$AU$493,3,)=0,0,(VLOOKUP($D404,$C$5:$AU$493,12,)/VLOOKUP($D404,$C$5:$AU$493,3,))*$E404)</f>
        <v>0</v>
      </c>
      <c r="O404" s="49">
        <f>IF(VLOOKUP($D404,$C$5:$AU$493,3,)=0,0,(VLOOKUP($D404,$C$5:$AU$493,13,)/VLOOKUP($D404,$C$5:$AU$493,3,))*$E404)</f>
        <v>0</v>
      </c>
      <c r="P404" s="49">
        <f>IF(VLOOKUP($D404,$C$5:$AU$493,3,)=0,0,(VLOOKUP($D404,$C$5:$AU$493,14,)/VLOOKUP($D404,$C$5:$AU$493,3,))*$E404)</f>
        <v>0</v>
      </c>
      <c r="Q404" s="49">
        <f>IF(VLOOKUP($D404,$C$5:$AU$493,3,)=0,0,(VLOOKUP($D404,$C$5:$AU$493,15,)/VLOOKUP($D404,$C$5:$AU$493,3,))*$E404)</f>
        <v>0</v>
      </c>
      <c r="R404" s="49">
        <f>IF(VLOOKUP($D404,$C$5:$AU$493,3,)=0,0,(VLOOKUP($D404,$C$5:$AU$493,16,)/VLOOKUP($D404,$C$5:$AU$493,3,))*$E404)</f>
        <v>0</v>
      </c>
      <c r="S404" s="49">
        <f>IF(VLOOKUP($D404,$C$5:$AU$493,3,)=0,0,(VLOOKUP($D404,$C$5:$AU$493,17,)/VLOOKUP($D404,$C$5:$AU$493,3,))*$E404)</f>
        <v>0</v>
      </c>
      <c r="T404" s="49">
        <f>IF(VLOOKUP($D404,$C$5:$AU$493,3,)=0,0,(VLOOKUP($D404,$C$5:$AU$493,18,)/VLOOKUP($D404,$C$5:$AU$493,3,))*$E404)</f>
        <v>0</v>
      </c>
      <c r="U404" s="49">
        <f>IF(VLOOKUP($D404,$C$5:$AU$493,3,)=0,0,(VLOOKUP($D404,$C$5:$AU$493,19,)/VLOOKUP($D404,$C$5:$AU$493,3,))*$E404)</f>
        <v>0</v>
      </c>
      <c r="V404" s="49">
        <f>IF(VLOOKUP($D404,$C$5:$AU$493,3,)=0,0,(VLOOKUP($D404,$C$5:$AU$493,20,)/VLOOKUP($D404,$C$5:$AU$493,3,))*$E404)</f>
        <v>0</v>
      </c>
      <c r="W404" s="49">
        <f>IF(VLOOKUP($D404,$C$5:$AU$493,3,)=0,0,(VLOOKUP($D404,$C$5:$AU$493,21,)/VLOOKUP($D404,$C$5:$AU$493,3,))*$E404)</f>
        <v>0</v>
      </c>
      <c r="X404" s="49">
        <f>IF(VLOOKUP($D404,$C$5:$AU$493,3,)=0,0,(VLOOKUP($D404,$C$5:$AU$493,22,)/VLOOKUP($D404,$C$5:$AU$493,3,))*$E404)</f>
        <v>0</v>
      </c>
      <c r="Y404" s="49">
        <f>IF(VLOOKUP($D404,$C$5:$AU$493,3,)=0,0,(VLOOKUP($D404,$C$5:$AU$493,23,)/VLOOKUP($D404,$C$5:$AU$493,3,))*$E404)</f>
        <v>0</v>
      </c>
      <c r="Z404" s="49">
        <f>IF(VLOOKUP($D404,$C$5:$AU$493,3,)=0,0,(VLOOKUP($D404,$C$5:$AU$493,24,)/VLOOKUP($D404,$C$5:$AU$493,3,))*$E404)</f>
        <v>0</v>
      </c>
      <c r="AA404" s="49">
        <f>IF(VLOOKUP($D404,$C$5:$AU$493,3,)=0,0,(VLOOKUP($D404,$C$5:$AU$493,25,)/VLOOKUP($D404,$C$5:$AU$493,3,))*$E404)</f>
        <v>0</v>
      </c>
      <c r="AB404" s="49">
        <f>IF(VLOOKUP($D404,$C$5:$AU$493,3,)=0,0,(VLOOKUP($D404,$C$5:$AU$493,26,)/VLOOKUP($D404,$C$5:$AU$493,3,))*$E404)</f>
        <v>0</v>
      </c>
      <c r="AC404" s="49">
        <f>IF(VLOOKUP($D404,$C$5:$AU$493,3,)=0,0,(VLOOKUP($D404,$C$5:$AU$493,27,)/VLOOKUP($D404,$C$5:$AU$493,3,))*$E404)</f>
        <v>0</v>
      </c>
      <c r="AD404" s="49">
        <f>IF(VLOOKUP($D404,$C$5:$AU$493,3,)=0,0,(VLOOKUP($D404,$C$5:$AU$493,28,)/VLOOKUP($D404,$C$5:$AU$493,3,))*$E404)</f>
        <v>0</v>
      </c>
      <c r="AE404" s="49">
        <f>IF(VLOOKUP($D404,$C$5:$AU$493,3,)=0,0,(VLOOKUP($D404,$C$5:$AU$493,29,)/VLOOKUP($D404,$C$5:$AU$493,3,))*$E404)</f>
        <v>0</v>
      </c>
      <c r="AF404" s="49">
        <f>IF(VLOOKUP($D404,$C$5:$AU$493,3,)=0,0,(VLOOKUP($D404,$C$5:$AU$493,30,)/VLOOKUP($D404,$C$5:$AU$493,3,))*$E404)</f>
        <v>0</v>
      </c>
      <c r="AG404" s="98">
        <f t="shared" ref="AG404:AG409" si="189">SUM(F404:AF404)</f>
        <v>1</v>
      </c>
      <c r="AH404" s="28" t="str">
        <f t="shared" ref="AH404:AH409" si="190">IF(ABS(E404-AG404)&lt;0.01,"ok","err")</f>
        <v>ok</v>
      </c>
    </row>
    <row r="405" spans="1:34" x14ac:dyDescent="0.25">
      <c r="A405" s="14" t="s">
        <v>341</v>
      </c>
      <c r="C405" s="14" t="s">
        <v>225</v>
      </c>
      <c r="D405" s="14" t="s">
        <v>562</v>
      </c>
      <c r="E405" s="94">
        <v>1</v>
      </c>
      <c r="F405" s="49">
        <f>IF(VLOOKUP($D405,$C$5:$AU$493,3,)=0,0,(VLOOKUP($D405,$C$5:$AU$493,4,)/VLOOKUP($D405,$C$5:$AU$493,3,))*$E405)</f>
        <v>0.73413475374722237</v>
      </c>
      <c r="G405" s="49">
        <f>IF(VLOOKUP($D405,$C$5:$AU$493,3,)=0,0,(VLOOKUP($D405,$C$5:$AU$493,5,)/VLOOKUP($D405,$C$5:$AU$493,3,))*$E405)</f>
        <v>9.9076699519242122E-4</v>
      </c>
      <c r="H405" s="49">
        <f>IF(VLOOKUP($D405,$C$5:$AU$493,3,)=0,0,(VLOOKUP($D405,$C$5:$AU$493,6,)/VLOOKUP($D405,$C$5:$AU$493,3,))*$E405)</f>
        <v>4.5995178267290063E-2</v>
      </c>
      <c r="I405" s="49">
        <f>IF(VLOOKUP($D405,$C$5:$AU$493,3,)=0,0,(VLOOKUP($D405,$C$5:$AU$493,7,)/VLOOKUP($D405,$C$5:$AU$493,3,))*$E405)</f>
        <v>0.21263746892058297</v>
      </c>
      <c r="J405" s="49">
        <f>IF(VLOOKUP($D405,$C$5:$AU$493,3,)=0,0,(VLOOKUP($D405,$C$5:$AU$493,8,)/VLOOKUP($D405,$C$5:$AU$493,3,))*$E405)</f>
        <v>3.4676844831734743E-3</v>
      </c>
      <c r="K405" s="49">
        <f>IF(VLOOKUP($D405,$C$5:$AU$493,3,)=0,0,(VLOOKUP($D405,$C$5:$AU$493,9,)/VLOOKUP($D405,$C$5:$AU$493,3,))*$E405)</f>
        <v>7.9261359615393693E-4</v>
      </c>
      <c r="L405" s="49">
        <f>IF(VLOOKUP($D405,$C$5:$AU$493,3,)=0,0,(VLOOKUP($D405,$C$5:$AU$493,10,)/VLOOKUP($D405,$C$5:$AU$493,3,))*$E405)</f>
        <v>5.6615256868138351E-5</v>
      </c>
      <c r="M405" s="49">
        <f>IF(VLOOKUP($D405,$C$5:$AU$493,3,)=0,0,(VLOOKUP($D405,$C$5:$AU$493,11,)/VLOOKUP($D405,$C$5:$AU$493,3,))*$E405)</f>
        <v>1.924918733516704E-3</v>
      </c>
      <c r="N405" s="49">
        <f>IF(VLOOKUP($D405,$C$5:$AU$493,3,)=0,0,(VLOOKUP($D405,$C$5:$AU$493,12,)/VLOOKUP($D405,$C$5:$AU$493,3,))*$E405)</f>
        <v>0</v>
      </c>
      <c r="O405" s="49">
        <f>IF(VLOOKUP($D405,$C$5:$AU$493,3,)=0,0,(VLOOKUP($D405,$C$5:$AU$493,13,)/VLOOKUP($D405,$C$5:$AU$493,3,))*$E405)</f>
        <v>0</v>
      </c>
      <c r="P405" s="49">
        <f>IF(VLOOKUP($D405,$C$5:$AU$493,3,)=0,0,(VLOOKUP($D405,$C$5:$AU$493,14,)/VLOOKUP($D405,$C$5:$AU$493,3,))*$E405)</f>
        <v>0</v>
      </c>
      <c r="Q405" s="49">
        <f>IF(VLOOKUP($D405,$C$5:$AU$493,3,)=0,0,(VLOOKUP($D405,$C$5:$AU$493,15,)/VLOOKUP($D405,$C$5:$AU$493,3,))*$E405)</f>
        <v>0</v>
      </c>
      <c r="R405" s="49">
        <f>IF(VLOOKUP($D405,$C$5:$AU$493,3,)=0,0,(VLOOKUP($D405,$C$5:$AU$493,16,)/VLOOKUP($D405,$C$5:$AU$493,3,))*$E405)</f>
        <v>0</v>
      </c>
      <c r="S405" s="49">
        <f>IF(VLOOKUP($D405,$C$5:$AU$493,3,)=0,0,(VLOOKUP($D405,$C$5:$AU$493,17,)/VLOOKUP($D405,$C$5:$AU$493,3,))*$E405)</f>
        <v>0</v>
      </c>
      <c r="T405" s="49">
        <f>IF(VLOOKUP($D405,$C$5:$AU$493,3,)=0,0,(VLOOKUP($D405,$C$5:$AU$493,18,)/VLOOKUP($D405,$C$5:$AU$493,3,))*$E405)</f>
        <v>0</v>
      </c>
      <c r="U405" s="49">
        <f>IF(VLOOKUP($D405,$C$5:$AU$493,3,)=0,0,(VLOOKUP($D405,$C$5:$AU$493,19,)/VLOOKUP($D405,$C$5:$AU$493,3,))*$E405)</f>
        <v>0</v>
      </c>
      <c r="V405" s="49">
        <f>IF(VLOOKUP($D405,$C$5:$AU$493,3,)=0,0,(VLOOKUP($D405,$C$5:$AU$493,20,)/VLOOKUP($D405,$C$5:$AU$493,3,))*$E405)</f>
        <v>0</v>
      </c>
      <c r="W405" s="49">
        <f>IF(VLOOKUP($D405,$C$5:$AU$493,3,)=0,0,(VLOOKUP($D405,$C$5:$AU$493,21,)/VLOOKUP($D405,$C$5:$AU$493,3,))*$E405)</f>
        <v>0</v>
      </c>
      <c r="X405" s="49">
        <f>IF(VLOOKUP($D405,$C$5:$AU$493,3,)=0,0,(VLOOKUP($D405,$C$5:$AU$493,22,)/VLOOKUP($D405,$C$5:$AU$493,3,))*$E405)</f>
        <v>0</v>
      </c>
      <c r="Y405" s="49">
        <f>IF(VLOOKUP($D405,$C$5:$AU$493,3,)=0,0,(VLOOKUP($D405,$C$5:$AU$493,23,)/VLOOKUP($D405,$C$5:$AU$493,3,))*$E405)</f>
        <v>0</v>
      </c>
      <c r="Z405" s="49">
        <f>IF(VLOOKUP($D405,$C$5:$AU$493,3,)=0,0,(VLOOKUP($D405,$C$5:$AU$493,24,)/VLOOKUP($D405,$C$5:$AU$493,3,))*$E405)</f>
        <v>0</v>
      </c>
      <c r="AA405" s="49">
        <f>IF(VLOOKUP($D405,$C$5:$AU$493,3,)=0,0,(VLOOKUP($D405,$C$5:$AU$493,25,)/VLOOKUP($D405,$C$5:$AU$493,3,))*$E405)</f>
        <v>0</v>
      </c>
      <c r="AB405" s="49">
        <f>IF(VLOOKUP($D405,$C$5:$AU$493,3,)=0,0,(VLOOKUP($D405,$C$5:$AU$493,26,)/VLOOKUP($D405,$C$5:$AU$493,3,))*$E405)</f>
        <v>0</v>
      </c>
      <c r="AC405" s="49">
        <f>IF(VLOOKUP($D405,$C$5:$AU$493,3,)=0,0,(VLOOKUP($D405,$C$5:$AU$493,27,)/VLOOKUP($D405,$C$5:$AU$493,3,))*$E405)</f>
        <v>0</v>
      </c>
      <c r="AD405" s="49">
        <f>IF(VLOOKUP($D405,$C$5:$AU$493,3,)=0,0,(VLOOKUP($D405,$C$5:$AU$493,28,)/VLOOKUP($D405,$C$5:$AU$493,3,))*$E405)</f>
        <v>0</v>
      </c>
      <c r="AE405" s="49">
        <f>IF(VLOOKUP($D405,$C$5:$AU$493,3,)=0,0,(VLOOKUP($D405,$C$5:$AU$493,29,)/VLOOKUP($D405,$C$5:$AU$493,3,))*$E405)</f>
        <v>0</v>
      </c>
      <c r="AF405" s="49">
        <f>IF(VLOOKUP($D405,$C$5:$AU$493,3,)=0,0,(VLOOKUP($D405,$C$5:$AU$493,30,)/VLOOKUP($D405,$C$5:$AU$493,3,))*$E405)</f>
        <v>0</v>
      </c>
      <c r="AG405" s="98">
        <f t="shared" si="189"/>
        <v>1</v>
      </c>
      <c r="AH405" s="28" t="str">
        <f t="shared" si="190"/>
        <v>ok</v>
      </c>
    </row>
    <row r="406" spans="1:34" x14ac:dyDescent="0.25">
      <c r="A406" s="14" t="s">
        <v>342</v>
      </c>
      <c r="C406" s="14" t="s">
        <v>228</v>
      </c>
      <c r="E406" s="94">
        <v>1</v>
      </c>
      <c r="F406" s="49">
        <f>Meters!G6</f>
        <v>0.7310823288889271</v>
      </c>
      <c r="G406" s="49">
        <f>Meters!G7</f>
        <v>9.8664753103482983E-4</v>
      </c>
      <c r="H406" s="49">
        <f>Meters!G8</f>
        <v>4.5803937047897883E-2</v>
      </c>
      <c r="I406" s="49">
        <f>Meters!G9</f>
        <v>0.21175335344637991</v>
      </c>
      <c r="J406" s="49">
        <f>Meters!G10</f>
        <v>1.0373733085760468E-2</v>
      </c>
      <c r="K406" s="49">
        <f>Meters!G11</f>
        <v>0</v>
      </c>
      <c r="L406" s="49">
        <f>Meters!G12</f>
        <v>0</v>
      </c>
      <c r="M406" s="49">
        <v>0</v>
      </c>
      <c r="N406" s="49">
        <v>0</v>
      </c>
      <c r="O406" s="49">
        <v>0</v>
      </c>
      <c r="P406" s="49">
        <v>0</v>
      </c>
      <c r="Q406" s="49">
        <v>0</v>
      </c>
      <c r="R406" s="49">
        <v>0</v>
      </c>
      <c r="S406" s="49">
        <v>0</v>
      </c>
      <c r="T406" s="49">
        <v>0</v>
      </c>
      <c r="U406" s="49">
        <v>0</v>
      </c>
      <c r="V406" s="49">
        <v>0</v>
      </c>
      <c r="W406" s="49">
        <v>0</v>
      </c>
      <c r="X406" s="49">
        <v>0</v>
      </c>
      <c r="Y406" s="49">
        <v>0</v>
      </c>
      <c r="Z406" s="49">
        <v>0</v>
      </c>
      <c r="AA406" s="49">
        <v>0</v>
      </c>
      <c r="AB406" s="49">
        <v>0</v>
      </c>
      <c r="AC406" s="49">
        <v>0</v>
      </c>
      <c r="AD406" s="49">
        <v>0</v>
      </c>
      <c r="AE406" s="49">
        <v>0</v>
      </c>
      <c r="AF406" s="49">
        <v>0</v>
      </c>
      <c r="AG406" s="98">
        <f t="shared" ref="AG406" si="191">SUM(F406:AF406)</f>
        <v>1.0000000000000002</v>
      </c>
      <c r="AH406" s="28" t="str">
        <f t="shared" si="190"/>
        <v>ok</v>
      </c>
    </row>
    <row r="407" spans="1:34" x14ac:dyDescent="0.25">
      <c r="A407" s="14" t="s">
        <v>343</v>
      </c>
      <c r="C407" s="14" t="s">
        <v>230</v>
      </c>
      <c r="D407" s="14" t="s">
        <v>564</v>
      </c>
      <c r="E407" s="94">
        <v>1</v>
      </c>
      <c r="F407" s="49">
        <f>IF(VLOOKUP($D407,$C$5:$AU$493,3,)=0,0,(VLOOKUP($D407,$C$5:$AU$493,4,)/VLOOKUP($D407,$C$5:$AU$493,3,))*$E407)</f>
        <v>0</v>
      </c>
      <c r="G407" s="49">
        <f>IF(VLOOKUP($D407,$C$5:$AU$493,3,)=0,0,(VLOOKUP($D407,$C$5:$AU$493,5,)/VLOOKUP($D407,$C$5:$AU$493,3,))*$E407)</f>
        <v>0</v>
      </c>
      <c r="H407" s="49">
        <f>IF(VLOOKUP($D407,$C$5:$AU$493,3,)=0,0,(VLOOKUP($D407,$C$5:$AU$493,6,)/VLOOKUP($D407,$C$5:$AU$493,3,))*$E407)</f>
        <v>0</v>
      </c>
      <c r="I407" s="49">
        <f>IF(VLOOKUP($D407,$C$5:$AU$493,3,)=0,0,(VLOOKUP($D407,$C$5:$AU$493,7,)/VLOOKUP($D407,$C$5:$AU$493,3,))*$E407)</f>
        <v>0</v>
      </c>
      <c r="J407" s="49">
        <f>IF(VLOOKUP($D407,$C$5:$AU$493,3,)=0,0,(VLOOKUP($D407,$C$5:$AU$493,8,)/VLOOKUP($D407,$C$5:$AU$493,3,))*$E407)</f>
        <v>0</v>
      </c>
      <c r="K407" s="49">
        <f>IF(VLOOKUP($D407,$C$5:$AU$493,3,)=0,0,(VLOOKUP($D407,$C$5:$AU$493,8,)/VLOOKUP($D407,$C$5:$AU$493,3,))*$E407)</f>
        <v>0</v>
      </c>
      <c r="L407" s="49">
        <v>0</v>
      </c>
      <c r="M407" s="49">
        <v>1</v>
      </c>
      <c r="N407" s="49">
        <f>IF(VLOOKUP($D407,$C$5:$AU$493,3,)=0,0,(VLOOKUP($D407,$C$5:$AU$493,12,)/VLOOKUP($D407,$C$5:$AU$493,3,))*$E407)</f>
        <v>0</v>
      </c>
      <c r="O407" s="49">
        <f>IF(VLOOKUP($D407,$C$5:$AU$493,3,)=0,0,(VLOOKUP($D407,$C$5:$AU$493,13,)/VLOOKUP($D407,$C$5:$AU$493,3,))*$E407)</f>
        <v>0</v>
      </c>
      <c r="P407" s="49">
        <f>IF(VLOOKUP($D407,$C$5:$AU$493,3,)=0,0,(VLOOKUP($D407,$C$5:$AU$493,14,)/VLOOKUP($D407,$C$5:$AU$493,3,))*$E407)</f>
        <v>0</v>
      </c>
      <c r="Q407" s="49">
        <f>IF(VLOOKUP($D407,$C$5:$AU$493,3,)=0,0,(VLOOKUP($D407,$C$5:$AU$493,15,)/VLOOKUP($D407,$C$5:$AU$493,3,))*$E407)</f>
        <v>0</v>
      </c>
      <c r="R407" s="49">
        <f>IF(VLOOKUP($D407,$C$5:$AU$493,3,)=0,0,(VLOOKUP($D407,$C$5:$AU$493,16,)/VLOOKUP($D407,$C$5:$AU$493,3,))*$E407)</f>
        <v>0</v>
      </c>
      <c r="S407" s="49">
        <f>IF(VLOOKUP($D407,$C$5:$AU$493,3,)=0,0,(VLOOKUP($D407,$C$5:$AU$493,17,)/VLOOKUP($D407,$C$5:$AU$493,3,))*$E407)</f>
        <v>0</v>
      </c>
      <c r="T407" s="49">
        <f>IF(VLOOKUP($D407,$C$5:$AU$493,3,)=0,0,(VLOOKUP($D407,$C$5:$AU$493,18,)/VLOOKUP($D407,$C$5:$AU$493,3,))*$E407)</f>
        <v>0</v>
      </c>
      <c r="U407" s="49">
        <f>IF(VLOOKUP($D407,$C$5:$AU$493,3,)=0,0,(VLOOKUP($D407,$C$5:$AU$493,19,)/VLOOKUP($D407,$C$5:$AU$493,3,))*$E407)</f>
        <v>0</v>
      </c>
      <c r="V407" s="49">
        <f>IF(VLOOKUP($D407,$C$5:$AU$493,3,)=0,0,(VLOOKUP($D407,$C$5:$AU$493,20,)/VLOOKUP($D407,$C$5:$AU$493,3,))*$E407)</f>
        <v>0</v>
      </c>
      <c r="W407" s="49">
        <f>IF(VLOOKUP($D407,$C$5:$AU$493,3,)=0,0,(VLOOKUP($D407,$C$5:$AU$493,21,)/VLOOKUP($D407,$C$5:$AU$493,3,))*$E407)</f>
        <v>0</v>
      </c>
      <c r="X407" s="49">
        <f>IF(VLOOKUP($D407,$C$5:$AU$493,3,)=0,0,(VLOOKUP($D407,$C$5:$AU$493,22,)/VLOOKUP($D407,$C$5:$AU$493,3,))*$E407)</f>
        <v>0</v>
      </c>
      <c r="Y407" s="49">
        <f>IF(VLOOKUP($D407,$C$5:$AU$493,3,)=0,0,(VLOOKUP($D407,$C$5:$AU$493,23,)/VLOOKUP($D407,$C$5:$AU$493,3,))*$E407)</f>
        <v>0</v>
      </c>
      <c r="Z407" s="49">
        <f>IF(VLOOKUP($D407,$C$5:$AU$493,3,)=0,0,(VLOOKUP($D407,$C$5:$AU$493,24,)/VLOOKUP($D407,$C$5:$AU$493,3,))*$E407)</f>
        <v>0</v>
      </c>
      <c r="AA407" s="49">
        <f>IF(VLOOKUP($D407,$C$5:$AU$493,3,)=0,0,(VLOOKUP($D407,$C$5:$AU$493,25,)/VLOOKUP($D407,$C$5:$AU$493,3,))*$E407)</f>
        <v>0</v>
      </c>
      <c r="AB407" s="49">
        <f>IF(VLOOKUP($D407,$C$5:$AU$493,3,)=0,0,(VLOOKUP($D407,$C$5:$AU$493,26,)/VLOOKUP($D407,$C$5:$AU$493,3,))*$E407)</f>
        <v>0</v>
      </c>
      <c r="AC407" s="49">
        <f>IF(VLOOKUP($D407,$C$5:$AU$493,3,)=0,0,(VLOOKUP($D407,$C$5:$AU$493,27,)/VLOOKUP($D407,$C$5:$AU$493,3,))*$E407)</f>
        <v>0</v>
      </c>
      <c r="AD407" s="49">
        <f>IF(VLOOKUP($D407,$C$5:$AU$493,3,)=0,0,(VLOOKUP($D407,$C$5:$AU$493,28,)/VLOOKUP($D407,$C$5:$AU$493,3,))*$E407)</f>
        <v>0</v>
      </c>
      <c r="AE407" s="49">
        <f>IF(VLOOKUP($D407,$C$5:$AU$493,3,)=0,0,(VLOOKUP($D407,$C$5:$AU$493,29,)/VLOOKUP($D407,$C$5:$AU$493,3,))*$E407)</f>
        <v>0</v>
      </c>
      <c r="AF407" s="49">
        <f>IF(VLOOKUP($D407,$C$5:$AU$493,3,)=0,0,(VLOOKUP($D407,$C$5:$AU$493,30,)/VLOOKUP($D407,$C$5:$AU$493,3,))*$E407)</f>
        <v>0</v>
      </c>
      <c r="AG407" s="98">
        <f t="shared" si="189"/>
        <v>1</v>
      </c>
      <c r="AH407" s="28" t="str">
        <f t="shared" si="190"/>
        <v>ok</v>
      </c>
    </row>
    <row r="408" spans="1:34" x14ac:dyDescent="0.25">
      <c r="A408" s="14" t="s">
        <v>344</v>
      </c>
      <c r="C408" s="14" t="s">
        <v>232</v>
      </c>
      <c r="D408" s="14" t="s">
        <v>562</v>
      </c>
      <c r="E408" s="94">
        <v>1</v>
      </c>
      <c r="F408" s="49">
        <f>IF(VLOOKUP($D408,$C$5:$AU$493,3,)=0,0,(VLOOKUP($D408,$C$5:$AU$493,4,)/VLOOKUP($D408,$C$5:$AU$493,3,))*$E408)</f>
        <v>0.73413475374722237</v>
      </c>
      <c r="G408" s="49">
        <f>IF(VLOOKUP($D408,$C$5:$AU$493,3,)=0,0,(VLOOKUP($D408,$C$5:$AU$493,5,)/VLOOKUP($D408,$C$5:$AU$493,3,))*$E408)</f>
        <v>9.9076699519242122E-4</v>
      </c>
      <c r="H408" s="49">
        <f>IF(VLOOKUP($D408,$C$5:$AU$493,3,)=0,0,(VLOOKUP($D408,$C$5:$AU$493,6,)/VLOOKUP($D408,$C$5:$AU$493,3,))*$E408)</f>
        <v>4.5995178267290063E-2</v>
      </c>
      <c r="I408" s="49">
        <f>IF(VLOOKUP($D408,$C$5:$AU$493,3,)=0,0,(VLOOKUP($D408,$C$5:$AU$493,7,)/VLOOKUP($D408,$C$5:$AU$493,3,))*$E408)</f>
        <v>0.21263746892058297</v>
      </c>
      <c r="J408" s="49">
        <f>IF(VLOOKUP($D408,$C$5:$AU$493,3,)=0,0,(VLOOKUP($D408,$C$5:$AU$493,8,)/VLOOKUP($D408,$C$5:$AU$493,3,))*$E408)</f>
        <v>3.4676844831734743E-3</v>
      </c>
      <c r="K408" s="49">
        <f>IF(VLOOKUP($D408,$C$5:$AU$493,3,)=0,0,(VLOOKUP($D408,$C$5:$AU$493,9,)/VLOOKUP($D408,$C$5:$AU$493,3,))*$E408)</f>
        <v>7.9261359615393693E-4</v>
      </c>
      <c r="L408" s="49">
        <f>IF(VLOOKUP($D408,$C$5:$AU$493,3,)=0,0,(VLOOKUP($D408,$C$5:$AU$493,10,)/VLOOKUP($D408,$C$5:$AU$493,3,))*$E408)</f>
        <v>5.6615256868138351E-5</v>
      </c>
      <c r="M408" s="49">
        <f>IF(VLOOKUP($D408,$C$5:$AU$493,3,)=0,0,(VLOOKUP($D408,$C$5:$AU$493,11,)/VLOOKUP($D408,$C$5:$AU$493,3,))*$E408)</f>
        <v>1.924918733516704E-3</v>
      </c>
      <c r="N408" s="49">
        <f>IF(VLOOKUP($D408,$C$5:$AU$493,3,)=0,0,(VLOOKUP($D408,$C$5:$AU$493,12,)/VLOOKUP($D408,$C$5:$AU$493,3,))*$E408)</f>
        <v>0</v>
      </c>
      <c r="O408" s="49">
        <f>IF(VLOOKUP($D408,$C$5:$AU$493,3,)=0,0,(VLOOKUP($D408,$C$5:$AU$493,13,)/VLOOKUP($D408,$C$5:$AU$493,3,))*$E408)</f>
        <v>0</v>
      </c>
      <c r="P408" s="49">
        <f>IF(VLOOKUP($D408,$C$5:$AU$493,3,)=0,0,(VLOOKUP($D408,$C$5:$AU$493,14,)/VLOOKUP($D408,$C$5:$AU$493,3,))*$E408)</f>
        <v>0</v>
      </c>
      <c r="Q408" s="49">
        <f>IF(VLOOKUP($D408,$C$5:$AU$493,3,)=0,0,(VLOOKUP($D408,$C$5:$AU$493,15,)/VLOOKUP($D408,$C$5:$AU$493,3,))*$E408)</f>
        <v>0</v>
      </c>
      <c r="R408" s="49">
        <f>IF(VLOOKUP($D408,$C$5:$AU$493,3,)=0,0,(VLOOKUP($D408,$C$5:$AU$493,16,)/VLOOKUP($D408,$C$5:$AU$493,3,))*$E408)</f>
        <v>0</v>
      </c>
      <c r="S408" s="49">
        <f>IF(VLOOKUP($D408,$C$5:$AU$493,3,)=0,0,(VLOOKUP($D408,$C$5:$AU$493,17,)/VLOOKUP($D408,$C$5:$AU$493,3,))*$E408)</f>
        <v>0</v>
      </c>
      <c r="T408" s="49">
        <f>IF(VLOOKUP($D408,$C$5:$AU$493,3,)=0,0,(VLOOKUP($D408,$C$5:$AU$493,18,)/VLOOKUP($D408,$C$5:$AU$493,3,))*$E408)</f>
        <v>0</v>
      </c>
      <c r="U408" s="49">
        <f>IF(VLOOKUP($D408,$C$5:$AU$493,3,)=0,0,(VLOOKUP($D408,$C$5:$AU$493,19,)/VLOOKUP($D408,$C$5:$AU$493,3,))*$E408)</f>
        <v>0</v>
      </c>
      <c r="V408" s="49">
        <f>IF(VLOOKUP($D408,$C$5:$AU$493,3,)=0,0,(VLOOKUP($D408,$C$5:$AU$493,20,)/VLOOKUP($D408,$C$5:$AU$493,3,))*$E408)</f>
        <v>0</v>
      </c>
      <c r="W408" s="49">
        <f>IF(VLOOKUP($D408,$C$5:$AU$493,3,)=0,0,(VLOOKUP($D408,$C$5:$AU$493,21,)/VLOOKUP($D408,$C$5:$AU$493,3,))*$E408)</f>
        <v>0</v>
      </c>
      <c r="X408" s="49">
        <f>IF(VLOOKUP($D408,$C$5:$AU$493,3,)=0,0,(VLOOKUP($D408,$C$5:$AU$493,22,)/VLOOKUP($D408,$C$5:$AU$493,3,))*$E408)</f>
        <v>0</v>
      </c>
      <c r="Y408" s="49">
        <f>IF(VLOOKUP($D408,$C$5:$AU$493,3,)=0,0,(VLOOKUP($D408,$C$5:$AU$493,23,)/VLOOKUP($D408,$C$5:$AU$493,3,))*$E408)</f>
        <v>0</v>
      </c>
      <c r="Z408" s="49">
        <f>IF(VLOOKUP($D408,$C$5:$AU$493,3,)=0,0,(VLOOKUP($D408,$C$5:$AU$493,24,)/VLOOKUP($D408,$C$5:$AU$493,3,))*$E408)</f>
        <v>0</v>
      </c>
      <c r="AA408" s="49">
        <f>IF(VLOOKUP($D408,$C$5:$AU$493,3,)=0,0,(VLOOKUP($D408,$C$5:$AU$493,25,)/VLOOKUP($D408,$C$5:$AU$493,3,))*$E408)</f>
        <v>0</v>
      </c>
      <c r="AB408" s="49">
        <f>IF(VLOOKUP($D408,$C$5:$AU$493,3,)=0,0,(VLOOKUP($D408,$C$5:$AU$493,26,)/VLOOKUP($D408,$C$5:$AU$493,3,))*$E408)</f>
        <v>0</v>
      </c>
      <c r="AC408" s="49">
        <f>IF(VLOOKUP($D408,$C$5:$AU$493,3,)=0,0,(VLOOKUP($D408,$C$5:$AU$493,27,)/VLOOKUP($D408,$C$5:$AU$493,3,))*$E408)</f>
        <v>0</v>
      </c>
      <c r="AD408" s="49">
        <f>IF(VLOOKUP($D408,$C$5:$AU$493,3,)=0,0,(VLOOKUP($D408,$C$5:$AU$493,28,)/VLOOKUP($D408,$C$5:$AU$493,3,))*$E408)</f>
        <v>0</v>
      </c>
      <c r="AE408" s="49">
        <f>IF(VLOOKUP($D408,$C$5:$AU$493,3,)=0,0,(VLOOKUP($D408,$C$5:$AU$493,29,)/VLOOKUP($D408,$C$5:$AU$493,3,))*$E408)</f>
        <v>0</v>
      </c>
      <c r="AF408" s="49">
        <f>IF(VLOOKUP($D408,$C$5:$AU$493,3,)=0,0,(VLOOKUP($D408,$C$5:$AU$493,30,)/VLOOKUP($D408,$C$5:$AU$493,3,))*$E408)</f>
        <v>0</v>
      </c>
      <c r="AG408" s="98">
        <f t="shared" si="189"/>
        <v>1</v>
      </c>
      <c r="AH408" s="28" t="str">
        <f t="shared" si="190"/>
        <v>ok</v>
      </c>
    </row>
    <row r="409" spans="1:34" x14ac:dyDescent="0.25">
      <c r="A409" s="14" t="s">
        <v>469</v>
      </c>
      <c r="C409" s="14" t="s">
        <v>233</v>
      </c>
      <c r="D409" s="14" t="s">
        <v>617</v>
      </c>
      <c r="E409" s="94">
        <v>1</v>
      </c>
      <c r="F409" s="49">
        <f>IF(VLOOKUP($D409,$C$5:$AU$493,3,)=0,0,(VLOOKUP($D409,$C$5:$AU$493,4,)/VLOOKUP($D409,$C$5:$AU$493,3,))*$E409)</f>
        <v>0.73413475374722237</v>
      </c>
      <c r="G409" s="49">
        <f>IF(VLOOKUP($D409,$C$5:$AU$493,3,)=0,0,(VLOOKUP($D409,$C$5:$AU$493,5,)/VLOOKUP($D409,$C$5:$AU$493,3,))*$E409)</f>
        <v>9.9076699519242122E-4</v>
      </c>
      <c r="H409" s="49">
        <f>IF(VLOOKUP($D409,$C$5:$AU$493,3,)=0,0,(VLOOKUP($D409,$C$5:$AU$493,6,)/VLOOKUP($D409,$C$5:$AU$493,3,))*$E409)</f>
        <v>4.5995178267290063E-2</v>
      </c>
      <c r="I409" s="49">
        <f>IF(VLOOKUP($D409,$C$5:$AU$493,3,)=0,0,(VLOOKUP($D409,$C$5:$AU$493,7,)/VLOOKUP($D409,$C$5:$AU$493,3,))*$E409)</f>
        <v>0.21263746892058297</v>
      </c>
      <c r="J409" s="49">
        <f>IF(VLOOKUP($D409,$C$5:$AU$493,3,)=0,0,(VLOOKUP($D409,$C$5:$AU$493,8,)/VLOOKUP($D409,$C$5:$AU$493,3,))*$E409)</f>
        <v>3.4676844831734743E-3</v>
      </c>
      <c r="K409" s="49">
        <f>IF(VLOOKUP($D409,$C$5:$AU$493,3,)=0,0,(VLOOKUP($D409,$C$5:$AU$493,9,)/VLOOKUP($D409,$C$5:$AU$493,3,))*$E409)</f>
        <v>7.9261359615393693E-4</v>
      </c>
      <c r="L409" s="49">
        <f>IF(VLOOKUP($D409,$C$5:$AU$493,3,)=0,0,(VLOOKUP($D409,$C$5:$AU$493,10,)/VLOOKUP($D409,$C$5:$AU$493,3,))*$E409)</f>
        <v>5.6615256868138351E-5</v>
      </c>
      <c r="M409" s="49">
        <f>IF(VLOOKUP($D409,$C$5:$AU$493,3,)=0,0,(VLOOKUP($D409,$C$5:$AU$493,11,)/VLOOKUP($D409,$C$5:$AU$493,3,))*$E409)</f>
        <v>1.924918733516704E-3</v>
      </c>
      <c r="N409" s="49">
        <f>IF(VLOOKUP($D409,$C$5:$AU$493,3,)=0,0,(VLOOKUP($D409,$C$5:$AU$493,12,)/VLOOKUP($D409,$C$5:$AU$493,3,))*$E409)</f>
        <v>0</v>
      </c>
      <c r="O409" s="49">
        <f>IF(VLOOKUP($D409,$C$5:$AU$493,3,)=0,0,(VLOOKUP($D409,$C$5:$AU$493,13,)/VLOOKUP($D409,$C$5:$AU$493,3,))*$E409)</f>
        <v>0</v>
      </c>
      <c r="P409" s="49">
        <f>IF(VLOOKUP($D409,$C$5:$AU$493,3,)=0,0,(VLOOKUP($D409,$C$5:$AU$493,14,)/VLOOKUP($D409,$C$5:$AU$493,3,))*$E409)</f>
        <v>0</v>
      </c>
      <c r="Q409" s="49">
        <f>IF(VLOOKUP($D409,$C$5:$AU$493,3,)=0,0,(VLOOKUP($D409,$C$5:$AU$493,15,)/VLOOKUP($D409,$C$5:$AU$493,3,))*$E409)</f>
        <v>0</v>
      </c>
      <c r="R409" s="49">
        <f>IF(VLOOKUP($D409,$C$5:$AU$493,3,)=0,0,(VLOOKUP($D409,$C$5:$AU$493,16,)/VLOOKUP($D409,$C$5:$AU$493,3,))*$E409)</f>
        <v>0</v>
      </c>
      <c r="S409" s="49">
        <f>IF(VLOOKUP($D409,$C$5:$AU$493,3,)=0,0,(VLOOKUP($D409,$C$5:$AU$493,17,)/VLOOKUP($D409,$C$5:$AU$493,3,))*$E409)</f>
        <v>0</v>
      </c>
      <c r="T409" s="49">
        <f>IF(VLOOKUP($D409,$C$5:$AU$493,3,)=0,0,(VLOOKUP($D409,$C$5:$AU$493,18,)/VLOOKUP($D409,$C$5:$AU$493,3,))*$E409)</f>
        <v>0</v>
      </c>
      <c r="U409" s="49">
        <f>IF(VLOOKUP($D409,$C$5:$AU$493,3,)=0,0,(VLOOKUP($D409,$C$5:$AU$493,19,)/VLOOKUP($D409,$C$5:$AU$493,3,))*$E409)</f>
        <v>0</v>
      </c>
      <c r="V409" s="49">
        <f>IF(VLOOKUP($D409,$C$5:$AU$493,3,)=0,0,(VLOOKUP($D409,$C$5:$AU$493,20,)/VLOOKUP($D409,$C$5:$AU$493,3,))*$E409)</f>
        <v>0</v>
      </c>
      <c r="W409" s="49">
        <f>IF(VLOOKUP($D409,$C$5:$AU$493,3,)=0,0,(VLOOKUP($D409,$C$5:$AU$493,21,)/VLOOKUP($D409,$C$5:$AU$493,3,))*$E409)</f>
        <v>0</v>
      </c>
      <c r="X409" s="49">
        <f>IF(VLOOKUP($D409,$C$5:$AU$493,3,)=0,0,(VLOOKUP($D409,$C$5:$AU$493,22,)/VLOOKUP($D409,$C$5:$AU$493,3,))*$E409)</f>
        <v>0</v>
      </c>
      <c r="Y409" s="49">
        <f>IF(VLOOKUP($D409,$C$5:$AU$493,3,)=0,0,(VLOOKUP($D409,$C$5:$AU$493,23,)/VLOOKUP($D409,$C$5:$AU$493,3,))*$E409)</f>
        <v>0</v>
      </c>
      <c r="Z409" s="49">
        <f>IF(VLOOKUP($D409,$C$5:$AU$493,3,)=0,0,(VLOOKUP($D409,$C$5:$AU$493,24,)/VLOOKUP($D409,$C$5:$AU$493,3,))*$E409)</f>
        <v>0</v>
      </c>
      <c r="AA409" s="49">
        <f>IF(VLOOKUP($D409,$C$5:$AU$493,3,)=0,0,(VLOOKUP($D409,$C$5:$AU$493,25,)/VLOOKUP($D409,$C$5:$AU$493,3,))*$E409)</f>
        <v>0</v>
      </c>
      <c r="AB409" s="49">
        <f>IF(VLOOKUP($D409,$C$5:$AU$493,3,)=0,0,(VLOOKUP($D409,$C$5:$AU$493,26,)/VLOOKUP($D409,$C$5:$AU$493,3,))*$E409)</f>
        <v>0</v>
      </c>
      <c r="AC409" s="49">
        <f>IF(VLOOKUP($D409,$C$5:$AU$493,3,)=0,0,(VLOOKUP($D409,$C$5:$AU$493,27,)/VLOOKUP($D409,$C$5:$AU$493,3,))*$E409)</f>
        <v>0</v>
      </c>
      <c r="AD409" s="49">
        <f>IF(VLOOKUP($D409,$C$5:$AU$493,3,)=0,0,(VLOOKUP($D409,$C$5:$AU$493,28,)/VLOOKUP($D409,$C$5:$AU$493,3,))*$E409)</f>
        <v>0</v>
      </c>
      <c r="AE409" s="49">
        <f>IF(VLOOKUP($D409,$C$5:$AU$493,3,)=0,0,(VLOOKUP($D409,$C$5:$AU$493,29,)/VLOOKUP($D409,$C$5:$AU$493,3,))*$E409)</f>
        <v>0</v>
      </c>
      <c r="AF409" s="49">
        <f>IF(VLOOKUP($D409,$C$5:$AU$493,3,)=0,0,(VLOOKUP($D409,$C$5:$AU$493,30,)/VLOOKUP($D409,$C$5:$AU$493,3,))*$E409)</f>
        <v>0</v>
      </c>
      <c r="AG409" s="98">
        <f t="shared" si="189"/>
        <v>1</v>
      </c>
      <c r="AH409" s="28" t="str">
        <f t="shared" si="190"/>
        <v>ok</v>
      </c>
    </row>
    <row r="411" spans="1:34" x14ac:dyDescent="0.25">
      <c r="A411" s="13" t="s">
        <v>863</v>
      </c>
      <c r="D411" s="47"/>
    </row>
    <row r="412" spans="1:34" x14ac:dyDescent="0.25">
      <c r="A412" s="14" t="s">
        <v>347</v>
      </c>
      <c r="C412" s="14" t="s">
        <v>560</v>
      </c>
      <c r="E412" s="50">
        <f>'Billing Det'!E25</f>
        <v>53885658.360000007</v>
      </c>
      <c r="F412" s="50">
        <f>'Billing Det'!$E8</f>
        <v>27088986.846901163</v>
      </c>
      <c r="G412" s="50">
        <f>'Billing Det'!$E9</f>
        <v>15039.648645729421</v>
      </c>
      <c r="H412" s="50">
        <f>'Billing Det'!$E10</f>
        <v>1907251.2307521121</v>
      </c>
      <c r="I412" s="50">
        <f>'Billing Det'!$E11</f>
        <v>5329479.7926511532</v>
      </c>
      <c r="J412" s="50">
        <f>'Billing Det'!$E12</f>
        <v>6195944.0640132437</v>
      </c>
      <c r="K412" s="50">
        <f>'Billing Det'!$E13</f>
        <v>10044317.259881979</v>
      </c>
      <c r="L412" s="50">
        <f>'Billing Det'!$E14</f>
        <v>2679903.4200510206</v>
      </c>
      <c r="M412" s="50">
        <f>'Billing Det'!$E15</f>
        <v>624736.09710360004</v>
      </c>
      <c r="N412" s="50">
        <f>'Billing Det'!$E16</f>
        <v>0</v>
      </c>
      <c r="O412" s="50">
        <f>'Billing Det'!$E17</f>
        <v>0</v>
      </c>
      <c r="P412" s="50">
        <f>'Billing Det'!$E18</f>
        <v>0</v>
      </c>
      <c r="Q412" s="50">
        <f>'Billing Det'!$E19</f>
        <v>0</v>
      </c>
      <c r="R412" s="50">
        <f>'Billing Det'!$E20</f>
        <v>0</v>
      </c>
      <c r="S412" s="50">
        <f>'Billing Det'!$E21</f>
        <v>0</v>
      </c>
      <c r="T412" s="50">
        <f>'Billing Det'!$E22</f>
        <v>0</v>
      </c>
      <c r="U412" s="50">
        <f>'Billing Det'!$E23</f>
        <v>0</v>
      </c>
      <c r="V412" s="50">
        <v>0</v>
      </c>
      <c r="W412" s="50">
        <v>0</v>
      </c>
      <c r="X412" s="50">
        <v>0</v>
      </c>
      <c r="Y412" s="50">
        <v>0</v>
      </c>
      <c r="Z412" s="50">
        <v>0</v>
      </c>
      <c r="AA412" s="50">
        <v>0</v>
      </c>
      <c r="AB412" s="50">
        <v>0</v>
      </c>
      <c r="AC412" s="50">
        <v>0</v>
      </c>
      <c r="AD412" s="50">
        <v>0</v>
      </c>
      <c r="AE412" s="50"/>
      <c r="AF412" s="50"/>
      <c r="AG412" s="50">
        <f t="shared" ref="AG412:AG422" si="192">SUM(F412:AF412)</f>
        <v>53885658.360000007</v>
      </c>
      <c r="AH412" s="28" t="str">
        <f t="shared" ref="AH412:AH421" si="193">IF(ABS(E412-AG412)&lt;0.01,"ok","err")</f>
        <v>ok</v>
      </c>
    </row>
    <row r="413" spans="1:34" x14ac:dyDescent="0.25">
      <c r="A413" s="14" t="s">
        <v>11</v>
      </c>
      <c r="C413" s="14" t="s">
        <v>212</v>
      </c>
      <c r="E413" s="50">
        <f>'Billing Det'!D25</f>
        <v>480055292</v>
      </c>
      <c r="F413" s="50">
        <f>'Billing Det'!D8</f>
        <v>215297067</v>
      </c>
      <c r="G413" s="50">
        <f>'Billing Det'!D9</f>
        <v>188379</v>
      </c>
      <c r="H413" s="50">
        <f>'Billing Det'!D10</f>
        <v>15282197</v>
      </c>
      <c r="I413" s="50">
        <f>'Billing Det'!D11</f>
        <v>37399613</v>
      </c>
      <c r="J413" s="50">
        <f>'Billing Det'!D12</f>
        <v>61631409</v>
      </c>
      <c r="K413" s="50">
        <f>'Billing Det'!D13</f>
        <v>114357154</v>
      </c>
      <c r="L413" s="50">
        <f>'Billing Det'!D14</f>
        <v>34150560</v>
      </c>
      <c r="M413" s="50">
        <f>'Billing Det'!D15</f>
        <v>1748913</v>
      </c>
      <c r="N413" s="50">
        <f>'Billing Det'!D16</f>
        <v>0</v>
      </c>
      <c r="O413" s="50">
        <f>'Billing Det'!D17</f>
        <v>0</v>
      </c>
      <c r="P413" s="50">
        <f>'Billing Det'!D18</f>
        <v>0</v>
      </c>
      <c r="Q413" s="50">
        <f>'Billing Det'!D19</f>
        <v>0</v>
      </c>
      <c r="R413" s="50">
        <f>'Billing Det'!D20</f>
        <v>0</v>
      </c>
      <c r="S413" s="50">
        <f>'Billing Det'!$D21</f>
        <v>0</v>
      </c>
      <c r="T413" s="50">
        <f>'Billing Det'!$D22</f>
        <v>0</v>
      </c>
      <c r="U413" s="50">
        <f>'Billing Det'!$D23</f>
        <v>0</v>
      </c>
      <c r="V413" s="50">
        <v>0</v>
      </c>
      <c r="W413" s="50">
        <v>0</v>
      </c>
      <c r="X413" s="50">
        <v>0</v>
      </c>
      <c r="Y413" s="50">
        <v>0</v>
      </c>
      <c r="Z413" s="50">
        <v>0</v>
      </c>
      <c r="AA413" s="50">
        <v>0</v>
      </c>
      <c r="AB413" s="50">
        <v>0</v>
      </c>
      <c r="AC413" s="50">
        <v>0</v>
      </c>
      <c r="AD413" s="50">
        <v>0</v>
      </c>
      <c r="AE413" s="50"/>
      <c r="AF413" s="50"/>
      <c r="AG413" s="50">
        <f>SUM(F413:AF413)</f>
        <v>480055292</v>
      </c>
      <c r="AH413" s="28" t="str">
        <f t="shared" si="193"/>
        <v>ok</v>
      </c>
    </row>
    <row r="414" spans="1:34" x14ac:dyDescent="0.25">
      <c r="A414" s="14" t="s">
        <v>742</v>
      </c>
      <c r="E414" s="48"/>
      <c r="F414" s="202">
        <v>0.05</v>
      </c>
      <c r="G414" s="202">
        <f t="shared" ref="G414:O414" si="194">F414</f>
        <v>0.05</v>
      </c>
      <c r="H414" s="202">
        <v>0.05</v>
      </c>
      <c r="I414" s="180">
        <v>0.05</v>
      </c>
      <c r="J414" s="180">
        <v>2.5000000000000001E-2</v>
      </c>
      <c r="K414" s="50">
        <v>0</v>
      </c>
      <c r="L414" s="142">
        <v>0</v>
      </c>
      <c r="M414" s="180">
        <v>0.05</v>
      </c>
      <c r="N414" s="202">
        <f t="shared" si="194"/>
        <v>0.05</v>
      </c>
      <c r="O414" s="202">
        <f t="shared" si="194"/>
        <v>0.05</v>
      </c>
      <c r="P414" s="202"/>
      <c r="Q414" s="202"/>
      <c r="R414" s="202"/>
      <c r="S414" s="202"/>
      <c r="T414" s="202"/>
      <c r="U414" s="202"/>
      <c r="V414" s="202"/>
      <c r="W414" s="202"/>
      <c r="X414" s="202"/>
      <c r="Y414" s="202"/>
      <c r="Z414" s="202"/>
      <c r="AA414" s="202"/>
      <c r="AB414" s="202"/>
      <c r="AC414" s="202"/>
      <c r="AD414" s="202"/>
      <c r="AE414" s="202"/>
      <c r="AF414" s="202"/>
      <c r="AG414" s="98"/>
      <c r="AH414" s="28"/>
    </row>
    <row r="415" spans="1:34" x14ac:dyDescent="0.25">
      <c r="A415" s="14" t="s">
        <v>743</v>
      </c>
      <c r="C415" s="14" t="s">
        <v>11</v>
      </c>
      <c r="E415" s="50">
        <v>495841698.6963563</v>
      </c>
      <c r="F415" s="50">
        <f t="shared" ref="F415:AF415" si="195">F413/(1-F414)</f>
        <v>226628491.57894737</v>
      </c>
      <c r="G415" s="50">
        <f t="shared" si="195"/>
        <v>198293.68421052632</v>
      </c>
      <c r="H415" s="50">
        <f t="shared" si="195"/>
        <v>16086523.157894738</v>
      </c>
      <c r="I415" s="50">
        <f t="shared" si="195"/>
        <v>39368013.684210531</v>
      </c>
      <c r="J415" s="50">
        <f t="shared" si="195"/>
        <v>63211701.538461544</v>
      </c>
      <c r="K415" s="50">
        <f t="shared" si="195"/>
        <v>114357154</v>
      </c>
      <c r="L415" s="50">
        <f t="shared" si="195"/>
        <v>34150560</v>
      </c>
      <c r="M415" s="50">
        <f t="shared" si="195"/>
        <v>1840961.0526315791</v>
      </c>
      <c r="N415" s="50">
        <f t="shared" si="195"/>
        <v>0</v>
      </c>
      <c r="O415" s="50">
        <f t="shared" si="195"/>
        <v>0</v>
      </c>
      <c r="P415" s="50">
        <f t="shared" si="195"/>
        <v>0</v>
      </c>
      <c r="Q415" s="50">
        <f t="shared" si="195"/>
        <v>0</v>
      </c>
      <c r="R415" s="50">
        <f t="shared" si="195"/>
        <v>0</v>
      </c>
      <c r="S415" s="50">
        <f t="shared" si="195"/>
        <v>0</v>
      </c>
      <c r="T415" s="50">
        <f t="shared" si="195"/>
        <v>0</v>
      </c>
      <c r="U415" s="50">
        <f t="shared" si="195"/>
        <v>0</v>
      </c>
      <c r="V415" s="50">
        <f t="shared" si="195"/>
        <v>0</v>
      </c>
      <c r="W415" s="50">
        <f t="shared" si="195"/>
        <v>0</v>
      </c>
      <c r="X415" s="50">
        <f t="shared" si="195"/>
        <v>0</v>
      </c>
      <c r="Y415" s="50">
        <f t="shared" si="195"/>
        <v>0</v>
      </c>
      <c r="Z415" s="50">
        <f t="shared" si="195"/>
        <v>0</v>
      </c>
      <c r="AA415" s="50">
        <f t="shared" si="195"/>
        <v>0</v>
      </c>
      <c r="AB415" s="50">
        <f t="shared" si="195"/>
        <v>0</v>
      </c>
      <c r="AC415" s="50">
        <f t="shared" si="195"/>
        <v>0</v>
      </c>
      <c r="AD415" s="50">
        <f t="shared" si="195"/>
        <v>0</v>
      </c>
      <c r="AE415" s="50">
        <f t="shared" si="195"/>
        <v>0</v>
      </c>
      <c r="AF415" s="50">
        <f t="shared" si="195"/>
        <v>0</v>
      </c>
      <c r="AG415" s="50">
        <f t="shared" si="192"/>
        <v>495841698.6963563</v>
      </c>
      <c r="AH415" s="28" t="str">
        <f t="shared" si="193"/>
        <v>ok</v>
      </c>
    </row>
    <row r="416" spans="1:34" x14ac:dyDescent="0.25">
      <c r="A416" s="14" t="s">
        <v>557</v>
      </c>
      <c r="E416" s="50">
        <f>'Billing Det'!C25*12</f>
        <v>211957</v>
      </c>
      <c r="F416" s="50">
        <f>'Billing Det'!$C8*12</f>
        <v>155605</v>
      </c>
      <c r="G416" s="50">
        <f>'Billing Det'!$C9*12</f>
        <v>210</v>
      </c>
      <c r="H416" s="50">
        <f>'Billing Det'!$C10*12</f>
        <v>9749</v>
      </c>
      <c r="I416" s="50">
        <f>'Billing Det'!$C11*12</f>
        <v>45070</v>
      </c>
      <c r="J416" s="50">
        <f>'Billing Det'!$C12*12</f>
        <v>735</v>
      </c>
      <c r="K416" s="50">
        <f>'Billing Det'!$C13*12</f>
        <v>168</v>
      </c>
      <c r="L416" s="50">
        <f>'Billing Det'!$C14*12</f>
        <v>12</v>
      </c>
      <c r="M416" s="50">
        <f>'Billing Det'!$C15*12</f>
        <v>408</v>
      </c>
      <c r="N416" s="50">
        <f>'Billing Det'!$C16*12</f>
        <v>0</v>
      </c>
      <c r="O416" s="50">
        <f>'Billing Det'!$C17*12</f>
        <v>0</v>
      </c>
      <c r="P416" s="50">
        <f>'Billing Det'!$C18*12</f>
        <v>0</v>
      </c>
      <c r="Q416" s="50">
        <f>'Billing Det'!$C19*12</f>
        <v>0</v>
      </c>
      <c r="R416" s="50">
        <f>'Billing Det'!$C20*12</f>
        <v>0</v>
      </c>
      <c r="S416" s="50">
        <f>'Billing Det'!$C21*12</f>
        <v>0</v>
      </c>
      <c r="T416" s="50">
        <f>'Billing Det'!$C22*12</f>
        <v>0</v>
      </c>
      <c r="U416" s="50">
        <f>'Billing Det'!$C23*12</f>
        <v>0</v>
      </c>
      <c r="V416" s="50">
        <v>0</v>
      </c>
      <c r="W416" s="50">
        <v>0</v>
      </c>
      <c r="X416" s="50">
        <v>0</v>
      </c>
      <c r="Y416" s="50">
        <v>0</v>
      </c>
      <c r="Z416" s="50">
        <v>0</v>
      </c>
      <c r="AA416" s="50">
        <v>0</v>
      </c>
      <c r="AB416" s="50">
        <v>0</v>
      </c>
      <c r="AC416" s="50">
        <v>0</v>
      </c>
      <c r="AD416" s="50">
        <v>0</v>
      </c>
      <c r="AE416" s="50"/>
      <c r="AF416" s="50"/>
      <c r="AG416" s="50">
        <f t="shared" si="192"/>
        <v>211957</v>
      </c>
      <c r="AH416" s="28" t="str">
        <f t="shared" si="193"/>
        <v>ok</v>
      </c>
    </row>
    <row r="417" spans="1:34" x14ac:dyDescent="0.25">
      <c r="A417" s="14" t="s">
        <v>558</v>
      </c>
      <c r="C417" s="14" t="s">
        <v>561</v>
      </c>
      <c r="E417" s="50">
        <f>'Billing Det'!C25</f>
        <v>17663.083333333332</v>
      </c>
      <c r="F417" s="50">
        <f>F416/12</f>
        <v>12967.083333333334</v>
      </c>
      <c r="G417" s="50">
        <f t="shared" ref="G417:AF417" si="196">G416/12</f>
        <v>17.5</v>
      </c>
      <c r="H417" s="50">
        <f>H416/12</f>
        <v>812.41666666666663</v>
      </c>
      <c r="I417" s="50">
        <f t="shared" si="196"/>
        <v>3755.8333333333335</v>
      </c>
      <c r="J417" s="50">
        <f t="shared" si="196"/>
        <v>61.25</v>
      </c>
      <c r="K417" s="50">
        <f t="shared" si="196"/>
        <v>14</v>
      </c>
      <c r="L417" s="50">
        <f t="shared" si="196"/>
        <v>1</v>
      </c>
      <c r="M417" s="50">
        <f t="shared" si="196"/>
        <v>34</v>
      </c>
      <c r="N417" s="50">
        <f t="shared" si="196"/>
        <v>0</v>
      </c>
      <c r="O417" s="50">
        <f t="shared" si="196"/>
        <v>0</v>
      </c>
      <c r="P417" s="50">
        <f t="shared" si="196"/>
        <v>0</v>
      </c>
      <c r="Q417" s="50">
        <f t="shared" si="196"/>
        <v>0</v>
      </c>
      <c r="R417" s="50">
        <f t="shared" si="196"/>
        <v>0</v>
      </c>
      <c r="S417" s="50">
        <f t="shared" si="196"/>
        <v>0</v>
      </c>
      <c r="T417" s="50">
        <f t="shared" si="196"/>
        <v>0</v>
      </c>
      <c r="U417" s="50">
        <f t="shared" si="196"/>
        <v>0</v>
      </c>
      <c r="V417" s="50">
        <v>0</v>
      </c>
      <c r="W417" s="50">
        <v>0</v>
      </c>
      <c r="X417" s="50">
        <v>0</v>
      </c>
      <c r="Y417" s="50">
        <v>0</v>
      </c>
      <c r="Z417" s="50">
        <f t="shared" si="196"/>
        <v>0</v>
      </c>
      <c r="AA417" s="50">
        <f t="shared" si="196"/>
        <v>0</v>
      </c>
      <c r="AB417" s="50">
        <f t="shared" si="196"/>
        <v>0</v>
      </c>
      <c r="AC417" s="50">
        <f t="shared" si="196"/>
        <v>0</v>
      </c>
      <c r="AD417" s="50">
        <f t="shared" si="196"/>
        <v>0</v>
      </c>
      <c r="AE417" s="50">
        <f t="shared" si="196"/>
        <v>0</v>
      </c>
      <c r="AF417" s="50">
        <f t="shared" si="196"/>
        <v>0</v>
      </c>
      <c r="AG417" s="50">
        <f t="shared" si="192"/>
        <v>17663.083333333332</v>
      </c>
      <c r="AH417" s="28" t="str">
        <f t="shared" si="193"/>
        <v>ok</v>
      </c>
    </row>
    <row r="418" spans="1:34" x14ac:dyDescent="0.25">
      <c r="A418" s="14" t="s">
        <v>559</v>
      </c>
      <c r="C418" s="14" t="s">
        <v>562</v>
      </c>
      <c r="E418" s="50">
        <f>E417</f>
        <v>17663.083333333332</v>
      </c>
      <c r="F418" s="50">
        <f t="shared" ref="F418:O418" si="197">F417</f>
        <v>12967.083333333334</v>
      </c>
      <c r="G418" s="50">
        <f t="shared" si="197"/>
        <v>17.5</v>
      </c>
      <c r="H418" s="50">
        <f t="shared" si="197"/>
        <v>812.41666666666663</v>
      </c>
      <c r="I418" s="50">
        <f t="shared" si="197"/>
        <v>3755.8333333333335</v>
      </c>
      <c r="J418" s="50">
        <f t="shared" si="197"/>
        <v>61.25</v>
      </c>
      <c r="K418" s="50">
        <f t="shared" si="197"/>
        <v>14</v>
      </c>
      <c r="L418" s="50">
        <f t="shared" si="197"/>
        <v>1</v>
      </c>
      <c r="M418" s="50">
        <f t="shared" si="197"/>
        <v>34</v>
      </c>
      <c r="N418" s="50">
        <f t="shared" si="197"/>
        <v>0</v>
      </c>
      <c r="O418" s="50">
        <f t="shared" si="197"/>
        <v>0</v>
      </c>
      <c r="P418" s="50">
        <f t="shared" ref="P418:U418" si="198">P417</f>
        <v>0</v>
      </c>
      <c r="Q418" s="50">
        <f t="shared" si="198"/>
        <v>0</v>
      </c>
      <c r="R418" s="50">
        <f t="shared" si="198"/>
        <v>0</v>
      </c>
      <c r="S418" s="50">
        <f t="shared" si="198"/>
        <v>0</v>
      </c>
      <c r="T418" s="50">
        <f t="shared" si="198"/>
        <v>0</v>
      </c>
      <c r="U418" s="50">
        <f t="shared" si="198"/>
        <v>0</v>
      </c>
      <c r="V418" s="50">
        <v>0</v>
      </c>
      <c r="W418" s="50">
        <v>0</v>
      </c>
      <c r="X418" s="50">
        <v>0</v>
      </c>
      <c r="Y418" s="50">
        <v>0</v>
      </c>
      <c r="Z418" s="35">
        <f t="shared" ref="Z418:AF418" si="199">Z417</f>
        <v>0</v>
      </c>
      <c r="AA418" s="35">
        <f t="shared" si="199"/>
        <v>0</v>
      </c>
      <c r="AB418" s="35">
        <f t="shared" si="199"/>
        <v>0</v>
      </c>
      <c r="AC418" s="35">
        <f t="shared" si="199"/>
        <v>0</v>
      </c>
      <c r="AD418" s="35">
        <f t="shared" si="199"/>
        <v>0</v>
      </c>
      <c r="AE418" s="35">
        <f t="shared" si="199"/>
        <v>0</v>
      </c>
      <c r="AF418" s="35">
        <f t="shared" si="199"/>
        <v>0</v>
      </c>
      <c r="AG418" s="50">
        <f t="shared" si="192"/>
        <v>17663.083333333332</v>
      </c>
      <c r="AH418" s="28" t="str">
        <f t="shared" si="193"/>
        <v>ok</v>
      </c>
    </row>
    <row r="419" spans="1:34" x14ac:dyDescent="0.25">
      <c r="A419" s="14" t="s">
        <v>898</v>
      </c>
      <c r="C419" s="14" t="s">
        <v>563</v>
      </c>
      <c r="E419" s="50">
        <v>17629.838888888888</v>
      </c>
      <c r="F419" s="35">
        <f t="shared" ref="F419:K419" si="200">F417</f>
        <v>12967.083333333334</v>
      </c>
      <c r="G419" s="35">
        <f t="shared" si="200"/>
        <v>17.5</v>
      </c>
      <c r="H419" s="35">
        <f t="shared" si="200"/>
        <v>812.41666666666663</v>
      </c>
      <c r="I419" s="35">
        <f t="shared" si="200"/>
        <v>3755.8333333333335</v>
      </c>
      <c r="J419" s="35">
        <f t="shared" si="200"/>
        <v>61.25</v>
      </c>
      <c r="K419" s="35">
        <f t="shared" si="200"/>
        <v>14</v>
      </c>
      <c r="L419" s="35">
        <f t="shared" ref="L419:R419" si="201">L417</f>
        <v>1</v>
      </c>
      <c r="M419" s="46">
        <f>M417/45</f>
        <v>0.75555555555555554</v>
      </c>
      <c r="N419" s="35">
        <f t="shared" si="201"/>
        <v>0</v>
      </c>
      <c r="O419" s="35">
        <f t="shared" si="201"/>
        <v>0</v>
      </c>
      <c r="P419" s="35">
        <f>P417/45</f>
        <v>0</v>
      </c>
      <c r="Q419" s="35">
        <f t="shared" si="201"/>
        <v>0</v>
      </c>
      <c r="R419" s="35">
        <f t="shared" si="201"/>
        <v>0</v>
      </c>
      <c r="S419" s="50">
        <f>S417</f>
        <v>0</v>
      </c>
      <c r="T419" s="50">
        <f>T417</f>
        <v>0</v>
      </c>
      <c r="U419" s="50">
        <f>U417</f>
        <v>0</v>
      </c>
      <c r="V419" s="50">
        <v>0</v>
      </c>
      <c r="W419" s="50">
        <v>0</v>
      </c>
      <c r="X419" s="50">
        <v>0</v>
      </c>
      <c r="Y419" s="50">
        <v>0</v>
      </c>
      <c r="Z419" s="35">
        <f t="shared" ref="Z419:AF419" si="202">Z417</f>
        <v>0</v>
      </c>
      <c r="AA419" s="35">
        <f t="shared" si="202"/>
        <v>0</v>
      </c>
      <c r="AB419" s="35">
        <f t="shared" si="202"/>
        <v>0</v>
      </c>
      <c r="AC419" s="35">
        <f t="shared" si="202"/>
        <v>0</v>
      </c>
      <c r="AD419" s="35">
        <f t="shared" si="202"/>
        <v>0</v>
      </c>
      <c r="AE419" s="35">
        <f t="shared" si="202"/>
        <v>0</v>
      </c>
      <c r="AF419" s="35">
        <f t="shared" si="202"/>
        <v>0</v>
      </c>
      <c r="AG419" s="50">
        <f>SUM(F419:AF419)</f>
        <v>17629.838888888888</v>
      </c>
      <c r="AH419" s="28" t="str">
        <f>IF(ABS(E419-AG419)&lt;0.01,"ok","err")</f>
        <v>ok</v>
      </c>
    </row>
    <row r="420" spans="1:34" x14ac:dyDescent="0.25">
      <c r="A420" s="14" t="s">
        <v>753</v>
      </c>
      <c r="C420" s="14" t="s">
        <v>564</v>
      </c>
      <c r="E420" s="142">
        <v>1</v>
      </c>
      <c r="F420" s="50">
        <v>0</v>
      </c>
      <c r="G420" s="50">
        <v>0</v>
      </c>
      <c r="H420" s="50">
        <v>0</v>
      </c>
      <c r="I420" s="50">
        <v>0</v>
      </c>
      <c r="J420" s="50">
        <v>0</v>
      </c>
      <c r="K420" s="50">
        <v>0</v>
      </c>
      <c r="L420" s="142">
        <v>0</v>
      </c>
      <c r="M420" s="50">
        <v>1</v>
      </c>
      <c r="N420" s="50">
        <v>0</v>
      </c>
      <c r="O420" s="50">
        <v>0</v>
      </c>
      <c r="P420" s="50">
        <f>'Billing Det'!C18</f>
        <v>0</v>
      </c>
      <c r="Q420" s="50">
        <v>0</v>
      </c>
      <c r="R420" s="50">
        <v>0</v>
      </c>
      <c r="S420" s="50">
        <v>0</v>
      </c>
      <c r="T420" s="50">
        <v>0</v>
      </c>
      <c r="U420" s="50">
        <v>0</v>
      </c>
      <c r="V420" s="50">
        <v>0</v>
      </c>
      <c r="W420" s="50">
        <v>0</v>
      </c>
      <c r="X420" s="50">
        <v>0</v>
      </c>
      <c r="Y420" s="50">
        <v>0</v>
      </c>
      <c r="Z420" s="35"/>
      <c r="AA420" s="35"/>
      <c r="AB420" s="35"/>
      <c r="AC420" s="35"/>
      <c r="AD420" s="35"/>
      <c r="AE420" s="35"/>
      <c r="AF420" s="35"/>
      <c r="AG420" s="142">
        <f t="shared" si="192"/>
        <v>1</v>
      </c>
      <c r="AH420" s="28" t="str">
        <f>IF(ABS(E420-AG420)&lt;0.01,"ok","err")</f>
        <v>ok</v>
      </c>
    </row>
    <row r="421" spans="1:34" x14ac:dyDescent="0.25">
      <c r="A421" s="14" t="s">
        <v>1043</v>
      </c>
      <c r="C421" s="14" t="s">
        <v>616</v>
      </c>
      <c r="E421" s="50">
        <v>17629.083333333332</v>
      </c>
      <c r="F421" s="35">
        <f>F419</f>
        <v>12967.083333333334</v>
      </c>
      <c r="G421" s="35">
        <f>G419</f>
        <v>17.5</v>
      </c>
      <c r="H421" s="35">
        <f t="shared" ref="H421:L421" si="203">H419</f>
        <v>812.41666666666663</v>
      </c>
      <c r="I421" s="35">
        <f t="shared" si="203"/>
        <v>3755.8333333333335</v>
      </c>
      <c r="J421" s="35">
        <f t="shared" si="203"/>
        <v>61.25</v>
      </c>
      <c r="K421" s="35">
        <f t="shared" si="203"/>
        <v>14</v>
      </c>
      <c r="L421" s="35">
        <f t="shared" si="203"/>
        <v>1</v>
      </c>
      <c r="M421" s="35">
        <v>0</v>
      </c>
      <c r="N421" s="50">
        <f>N416/12*2.11</f>
        <v>0</v>
      </c>
      <c r="O421" s="50">
        <f>O416/12*0.17+O416/12*0.83*2.11</f>
        <v>0</v>
      </c>
      <c r="P421" s="35">
        <f>P419</f>
        <v>0</v>
      </c>
      <c r="Q421" s="50">
        <f>Q416/12*2.11</f>
        <v>0</v>
      </c>
      <c r="R421" s="50">
        <f>R416/12*2.11</f>
        <v>0</v>
      </c>
      <c r="S421" s="50">
        <f>S419</f>
        <v>0</v>
      </c>
      <c r="T421" s="50">
        <f>T419</f>
        <v>0</v>
      </c>
      <c r="U421" s="50">
        <f>U419</f>
        <v>0</v>
      </c>
      <c r="V421" s="50">
        <v>0</v>
      </c>
      <c r="W421" s="50">
        <v>0</v>
      </c>
      <c r="X421" s="50">
        <v>0</v>
      </c>
      <c r="Y421" s="50">
        <v>0</v>
      </c>
      <c r="Z421" s="35">
        <v>0</v>
      </c>
      <c r="AA421" s="35">
        <v>0</v>
      </c>
      <c r="AB421" s="35">
        <v>0</v>
      </c>
      <c r="AC421" s="35">
        <v>0</v>
      </c>
      <c r="AD421" s="35">
        <v>0</v>
      </c>
      <c r="AE421" s="35">
        <v>0</v>
      </c>
      <c r="AF421" s="35">
        <v>0</v>
      </c>
      <c r="AG421" s="50">
        <f t="shared" si="192"/>
        <v>17629.083333333332</v>
      </c>
      <c r="AH421" s="28" t="str">
        <f t="shared" si="193"/>
        <v>ok</v>
      </c>
    </row>
    <row r="422" spans="1:34" x14ac:dyDescent="0.25">
      <c r="A422" s="14" t="s">
        <v>469</v>
      </c>
      <c r="C422" s="14" t="s">
        <v>617</v>
      </c>
      <c r="E422" s="50">
        <v>17663.083333333332</v>
      </c>
      <c r="F422" s="50">
        <f t="shared" ref="F422:L422" si="204">F419</f>
        <v>12967.083333333334</v>
      </c>
      <c r="G422" s="50">
        <f t="shared" si="204"/>
        <v>17.5</v>
      </c>
      <c r="H422" s="50">
        <f t="shared" si="204"/>
        <v>812.41666666666663</v>
      </c>
      <c r="I422" s="50">
        <f t="shared" si="204"/>
        <v>3755.8333333333335</v>
      </c>
      <c r="J422" s="50">
        <f t="shared" si="204"/>
        <v>61.25</v>
      </c>
      <c r="K422" s="50">
        <f t="shared" si="204"/>
        <v>14</v>
      </c>
      <c r="L422" s="50">
        <f t="shared" si="204"/>
        <v>1</v>
      </c>
      <c r="M422" s="35">
        <f t="shared" ref="M422:Q422" si="205">M418</f>
        <v>34</v>
      </c>
      <c r="N422" s="35">
        <f t="shared" si="205"/>
        <v>0</v>
      </c>
      <c r="O422" s="35">
        <f t="shared" si="205"/>
        <v>0</v>
      </c>
      <c r="P422" s="35">
        <f t="shared" si="205"/>
        <v>0</v>
      </c>
      <c r="Q422" s="35">
        <f t="shared" si="205"/>
        <v>0</v>
      </c>
      <c r="R422" s="35">
        <f>R418</f>
        <v>0</v>
      </c>
      <c r="S422" s="50">
        <f>S418</f>
        <v>0</v>
      </c>
      <c r="T422" s="50">
        <v>0</v>
      </c>
      <c r="U422" s="50">
        <v>0</v>
      </c>
      <c r="V422" s="50">
        <v>0</v>
      </c>
      <c r="W422" s="50">
        <v>0</v>
      </c>
      <c r="X422" s="50">
        <v>0</v>
      </c>
      <c r="Y422" s="50">
        <v>0</v>
      </c>
      <c r="Z422" s="35"/>
      <c r="AA422" s="35"/>
      <c r="AB422" s="35"/>
      <c r="AC422" s="35"/>
      <c r="AD422" s="35"/>
      <c r="AE422" s="35"/>
      <c r="AF422" s="35"/>
      <c r="AG422" s="50">
        <f t="shared" si="192"/>
        <v>17663.083333333332</v>
      </c>
      <c r="AH422" s="28" t="str">
        <f>IF(ABS(E420-AG420)&lt;0.01,"ok","err")</f>
        <v>ok</v>
      </c>
    </row>
    <row r="424" spans="1:34" x14ac:dyDescent="0.25">
      <c r="A424" s="14" t="s">
        <v>690</v>
      </c>
      <c r="C424" s="14" t="s">
        <v>942</v>
      </c>
      <c r="E424" s="50">
        <f>'Billing Det'!$K$25</f>
        <v>779525.9984921884</v>
      </c>
      <c r="F424" s="50">
        <f>'Billing Det'!$K$8</f>
        <v>485856.54009915167</v>
      </c>
      <c r="G424" s="50">
        <f>'Billing Det'!$K$9</f>
        <v>0</v>
      </c>
      <c r="H424" s="50">
        <f>'Billing Det'!$K$10</f>
        <v>35241.297552587421</v>
      </c>
      <c r="I424" s="50">
        <f>'Billing Det'!$K$11</f>
        <v>83983.677240449295</v>
      </c>
      <c r="J424" s="50">
        <f>'Billing Det'!$K$12</f>
        <v>57984.483600000007</v>
      </c>
      <c r="K424" s="50">
        <f>'Billing Det'!$K$13</f>
        <v>91942</v>
      </c>
      <c r="L424" s="50">
        <f>'Billing Det'!$K$14</f>
        <v>24518</v>
      </c>
      <c r="M424" s="50">
        <f>'Billing Det'!$K$15</f>
        <v>0</v>
      </c>
      <c r="N424" s="50">
        <f>'Billing Det'!$K$16</f>
        <v>0</v>
      </c>
      <c r="O424" s="50">
        <f>'Billing Det'!$K$17</f>
        <v>0</v>
      </c>
      <c r="P424" s="50">
        <f>'Billing Det'!$K$18</f>
        <v>0</v>
      </c>
      <c r="Q424" s="50">
        <f>'Billing Det'!$K$19</f>
        <v>0</v>
      </c>
      <c r="R424" s="50">
        <f>'Billing Det'!$K$20</f>
        <v>0</v>
      </c>
      <c r="S424" s="50">
        <f>'Billing Det'!$K$21</f>
        <v>0</v>
      </c>
      <c r="T424" s="50">
        <f>'Billing Det'!$K$22</f>
        <v>0</v>
      </c>
      <c r="U424" s="50">
        <f>'Billing Det'!$K$23</f>
        <v>0</v>
      </c>
      <c r="V424" s="50">
        <v>0</v>
      </c>
      <c r="W424" s="50">
        <v>0</v>
      </c>
      <c r="X424" s="50">
        <v>0</v>
      </c>
      <c r="Y424" s="50">
        <v>0</v>
      </c>
      <c r="Z424" s="50">
        <v>0</v>
      </c>
      <c r="AA424" s="50">
        <v>0</v>
      </c>
      <c r="AB424" s="50">
        <v>0</v>
      </c>
      <c r="AC424" s="50">
        <v>0</v>
      </c>
      <c r="AD424" s="50">
        <v>0</v>
      </c>
      <c r="AE424" s="50"/>
      <c r="AF424" s="50"/>
      <c r="AG424" s="90">
        <f>SUM(F424:AF424)</f>
        <v>779525.9984921884</v>
      </c>
      <c r="AH424" s="28" t="str">
        <f>IF(ABS(E424-AG424)&lt;0.01,"ok","err")</f>
        <v>ok</v>
      </c>
    </row>
    <row r="425" spans="1:34" x14ac:dyDescent="0.25">
      <c r="A425" s="14" t="s">
        <v>691</v>
      </c>
      <c r="C425" s="14" t="s">
        <v>943</v>
      </c>
      <c r="E425" s="50">
        <f>'Billing Det'!$J$25</f>
        <v>270406.99909922149</v>
      </c>
      <c r="F425" s="50">
        <f>'Billing Det'!$J$8</f>
        <v>185153.68077642572</v>
      </c>
      <c r="G425" s="50">
        <f>'Billing Det'!$J$9</f>
        <v>0</v>
      </c>
      <c r="H425" s="50">
        <f>'Billing Det'!$J$10</f>
        <v>12421.490722795759</v>
      </c>
      <c r="I425" s="50">
        <f>'Billing Det'!$J$11</f>
        <v>12409.919250000001</v>
      </c>
      <c r="J425" s="50">
        <f>'Billing Det'!$J$12</f>
        <v>19861.408350000002</v>
      </c>
      <c r="K425" s="50">
        <f>'Billing Det'!$J$13</f>
        <v>32460.5</v>
      </c>
      <c r="L425" s="50">
        <f>'Billing Det'!$J$14</f>
        <v>8100</v>
      </c>
      <c r="M425" s="50">
        <f>'Billing Det'!$J$15</f>
        <v>0</v>
      </c>
      <c r="N425" s="50">
        <f>'Billing Det'!$J$16</f>
        <v>0</v>
      </c>
      <c r="O425" s="50">
        <f>'Billing Det'!$J$17</f>
        <v>0</v>
      </c>
      <c r="P425" s="50">
        <f>'Billing Det'!$J$18</f>
        <v>0</v>
      </c>
      <c r="Q425" s="50">
        <f>'Billing Det'!$J$19</f>
        <v>0</v>
      </c>
      <c r="R425" s="50">
        <f>'Billing Det'!$J$20</f>
        <v>0</v>
      </c>
      <c r="S425" s="50">
        <f>'Billing Det'!$J$21</f>
        <v>0</v>
      </c>
      <c r="T425" s="50">
        <f>'Billing Det'!$J$22</f>
        <v>0</v>
      </c>
      <c r="U425" s="50">
        <f>'Billing Det'!$J$23</f>
        <v>0</v>
      </c>
      <c r="V425" s="50">
        <v>0</v>
      </c>
      <c r="W425" s="50">
        <v>0</v>
      </c>
      <c r="X425" s="50">
        <v>0</v>
      </c>
      <c r="Y425" s="50">
        <v>0</v>
      </c>
      <c r="Z425" s="50">
        <v>0</v>
      </c>
      <c r="AA425" s="50">
        <v>0</v>
      </c>
      <c r="AB425" s="50">
        <v>0</v>
      </c>
      <c r="AC425" s="50">
        <v>0</v>
      </c>
      <c r="AD425" s="50">
        <v>0</v>
      </c>
      <c r="AE425" s="50"/>
      <c r="AF425" s="50"/>
      <c r="AG425" s="90">
        <f>SUM(F425:AF425)</f>
        <v>270406.99909922149</v>
      </c>
      <c r="AH425" s="28" t="str">
        <f>IF(ABS(E425-AG425)&lt;0.01,"ok","err")</f>
        <v>ok</v>
      </c>
    </row>
    <row r="426" spans="1:34" x14ac:dyDescent="0.25">
      <c r="A426" s="14" t="s">
        <v>887</v>
      </c>
      <c r="C426" s="14" t="s">
        <v>941</v>
      </c>
      <c r="E426" s="50">
        <f>'Billing Det'!$I$25</f>
        <v>1049932.9975914098</v>
      </c>
      <c r="F426" s="50">
        <f>'Billing Det'!$I$8</f>
        <v>671010.22087557742</v>
      </c>
      <c r="G426" s="50">
        <f>'Billing Det'!$I$9</f>
        <v>0</v>
      </c>
      <c r="H426" s="50">
        <f>'Billing Det'!$I$10</f>
        <v>47662.78827538318</v>
      </c>
      <c r="I426" s="50">
        <f>'Billing Det'!$I$11</f>
        <v>96393.596490449301</v>
      </c>
      <c r="J426" s="50">
        <f>'Billing Det'!$I$12</f>
        <v>77845.891950000005</v>
      </c>
      <c r="K426" s="50">
        <f>'Billing Det'!$I$13</f>
        <v>124402.5</v>
      </c>
      <c r="L426" s="50">
        <f>'Billing Det'!$I$14</f>
        <v>32618</v>
      </c>
      <c r="M426" s="50">
        <f>'Billing Det'!$I$15</f>
        <v>0</v>
      </c>
      <c r="N426" s="50">
        <f>'Billing Det'!$I$16</f>
        <v>0</v>
      </c>
      <c r="O426" s="50">
        <f>'Billing Det'!$I$17</f>
        <v>0</v>
      </c>
      <c r="P426" s="50">
        <f>'Billing Det'!$I$18</f>
        <v>0</v>
      </c>
      <c r="Q426" s="50">
        <f>'Billing Det'!$I$19</f>
        <v>0</v>
      </c>
      <c r="R426" s="50">
        <f>'Billing Det'!$I$20</f>
        <v>0</v>
      </c>
      <c r="S426" s="50">
        <f>'Billing Det'!$I$21</f>
        <v>0</v>
      </c>
      <c r="T426" s="50">
        <f>'Billing Det'!$I$22</f>
        <v>0</v>
      </c>
      <c r="U426" s="50">
        <f>'Billing Det'!$I$23</f>
        <v>0</v>
      </c>
      <c r="V426" s="50">
        <v>0</v>
      </c>
      <c r="W426" s="50">
        <v>0</v>
      </c>
      <c r="X426" s="50">
        <v>0</v>
      </c>
      <c r="Y426" s="50">
        <v>0</v>
      </c>
      <c r="Z426" s="50">
        <v>0</v>
      </c>
      <c r="AA426" s="50">
        <v>0</v>
      </c>
      <c r="AB426" s="50">
        <v>0</v>
      </c>
      <c r="AC426" s="50">
        <v>0</v>
      </c>
      <c r="AD426" s="50">
        <v>0</v>
      </c>
      <c r="AE426" s="50"/>
      <c r="AF426" s="50"/>
      <c r="AG426" s="90">
        <f>SUM(F426:AF426)</f>
        <v>1049932.9975914098</v>
      </c>
      <c r="AH426" s="28" t="str">
        <f>IF(ABS(E426-AG426)&lt;0.01,"ok","err")</f>
        <v>ok</v>
      </c>
    </row>
    <row r="427" spans="1:34" x14ac:dyDescent="0.25">
      <c r="A427" s="14" t="s">
        <v>692</v>
      </c>
      <c r="C427" s="14" t="s">
        <v>565</v>
      </c>
      <c r="E427" s="50">
        <f>'Billing Det'!$H$25</f>
        <v>178539.27864249208</v>
      </c>
      <c r="F427" s="50">
        <f>'Billing Det'!$H$8</f>
        <v>90407.568986225437</v>
      </c>
      <c r="G427" s="50">
        <f>'Billing Det'!$H$9</f>
        <v>257.83870967741933</v>
      </c>
      <c r="H427" s="50">
        <f>'Billing Det'!$H$10</f>
        <v>7434.8439465892143</v>
      </c>
      <c r="I427" s="50">
        <f>'Billing Det'!$H$11</f>
        <v>37870.488000000005</v>
      </c>
      <c r="J427" s="50">
        <f>'Billing Det'!$H$12</f>
        <v>14957.539000000001</v>
      </c>
      <c r="K427" s="50">
        <f>'Billing Det'!$H$13</f>
        <v>21811</v>
      </c>
      <c r="L427" s="50">
        <f>'Billing Det'!$H$14</f>
        <v>5800</v>
      </c>
      <c r="M427" s="50">
        <f>'Billing Det'!$H$15</f>
        <v>0</v>
      </c>
      <c r="N427" s="50">
        <f>'Billing Det'!$H$16</f>
        <v>0</v>
      </c>
      <c r="O427" s="50">
        <f>'Billing Det'!$H$17</f>
        <v>0</v>
      </c>
      <c r="P427" s="50">
        <f>'Billing Det'!$H$18</f>
        <v>0</v>
      </c>
      <c r="Q427" s="50">
        <f>'Billing Det'!$H$19</f>
        <v>0</v>
      </c>
      <c r="R427" s="50">
        <f>'Billing Det'!$H$20</f>
        <v>0</v>
      </c>
      <c r="S427" s="50">
        <f>'Billing Det'!$H$21</f>
        <v>0</v>
      </c>
      <c r="T427" s="50">
        <f>'Billing Det'!$H$22</f>
        <v>0</v>
      </c>
      <c r="U427" s="50">
        <f>'Billing Det'!$H$23</f>
        <v>0</v>
      </c>
      <c r="V427" s="50">
        <v>0</v>
      </c>
      <c r="W427" s="50">
        <v>0</v>
      </c>
      <c r="X427" s="50">
        <v>0</v>
      </c>
      <c r="Y427" s="50">
        <v>0</v>
      </c>
      <c r="Z427" s="50">
        <v>0</v>
      </c>
      <c r="AA427" s="50">
        <v>0</v>
      </c>
      <c r="AB427" s="50">
        <v>0</v>
      </c>
      <c r="AC427" s="50">
        <v>0</v>
      </c>
      <c r="AD427" s="50">
        <v>0</v>
      </c>
      <c r="AE427" s="50"/>
      <c r="AF427" s="50"/>
      <c r="AG427" s="90">
        <f>SUM(F427:AF427)</f>
        <v>178539.27864249208</v>
      </c>
      <c r="AH427" s="28" t="str">
        <f>IF(ABS(E427-AG427)&lt;0.01,"ok","err")</f>
        <v>ok</v>
      </c>
    </row>
    <row r="428" spans="1:34" x14ac:dyDescent="0.25">
      <c r="A428" s="14" t="s">
        <v>744</v>
      </c>
      <c r="C428" s="14" t="s">
        <v>888</v>
      </c>
      <c r="E428" s="50">
        <f>'Billing Det'!$F$25</f>
        <v>2314155.8287592698</v>
      </c>
      <c r="F428" s="50">
        <f>'Billing Det'!$F$8</f>
        <v>1642839.0406674917</v>
      </c>
      <c r="G428" s="50">
        <f>'Billing Det'!$F$9</f>
        <v>1446.8026220344768</v>
      </c>
      <c r="H428" s="50">
        <f>'Billing Det'!$F$10</f>
        <v>59509.255033452806</v>
      </c>
      <c r="I428" s="50">
        <f>'Billing Det'!$F$11</f>
        <v>119639.552</v>
      </c>
      <c r="J428" s="50">
        <f>'Billing Det'!$F$12</f>
        <v>172990.87100000001</v>
      </c>
      <c r="K428" s="50">
        <f>'Billing Det'!$F$13</f>
        <v>248805</v>
      </c>
      <c r="L428" s="50">
        <f>'Billing Det'!$F$14</f>
        <v>65236</v>
      </c>
      <c r="M428" s="50">
        <f>'Billing Det'!$F$15</f>
        <v>3689.3074362913071</v>
      </c>
      <c r="N428" s="50">
        <f>'Billing Det'!$F$16</f>
        <v>0</v>
      </c>
      <c r="O428" s="50">
        <f>'Billing Det'!$F$17</f>
        <v>0</v>
      </c>
      <c r="P428" s="50">
        <f>'Billing Det'!$F$18</f>
        <v>0</v>
      </c>
      <c r="Q428" s="50">
        <f>'Billing Det'!$F$19</f>
        <v>0</v>
      </c>
      <c r="R428" s="50">
        <f>'Billing Det'!$F$20</f>
        <v>0</v>
      </c>
      <c r="S428" s="50">
        <f>'Billing Det'!$F$21</f>
        <v>0</v>
      </c>
      <c r="T428" s="50">
        <f>'Billing Det'!$F$22</f>
        <v>0</v>
      </c>
      <c r="U428" s="50">
        <f>'Billing Det'!$F$23</f>
        <v>0</v>
      </c>
      <c r="V428" s="50">
        <v>0</v>
      </c>
      <c r="W428" s="50">
        <v>0</v>
      </c>
      <c r="X428" s="50">
        <v>0</v>
      </c>
      <c r="Y428" s="50">
        <v>0</v>
      </c>
      <c r="Z428" s="50">
        <v>0</v>
      </c>
      <c r="AA428" s="50">
        <v>0</v>
      </c>
      <c r="AB428" s="50">
        <v>0</v>
      </c>
      <c r="AC428" s="50">
        <v>0</v>
      </c>
      <c r="AD428" s="50">
        <v>0</v>
      </c>
      <c r="AE428" s="50"/>
      <c r="AF428" s="50"/>
      <c r="AG428" s="90">
        <f>SUM(F428:AF428)</f>
        <v>2314155.8287592698</v>
      </c>
      <c r="AH428" s="28" t="str">
        <f>IF(ABS(E428-AG428)&lt;0.01,"ok","err")</f>
        <v>ok</v>
      </c>
    </row>
    <row r="430" spans="1:34" x14ac:dyDescent="0.25">
      <c r="A430" s="26" t="s">
        <v>899</v>
      </c>
    </row>
    <row r="431" spans="1:34" x14ac:dyDescent="0.25"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0"/>
      <c r="AC431" s="50"/>
      <c r="AD431" s="50"/>
      <c r="AE431" s="50"/>
      <c r="AF431" s="50"/>
      <c r="AG431" s="50"/>
      <c r="AH431" s="28"/>
    </row>
    <row r="432" spans="1:34" x14ac:dyDescent="0.25">
      <c r="A432" s="14" t="s">
        <v>597</v>
      </c>
      <c r="C432" s="14" t="s">
        <v>598</v>
      </c>
      <c r="E432" s="50">
        <v>1049933.0004534973</v>
      </c>
      <c r="F432" s="50">
        <f>F426</f>
        <v>671010.22087557742</v>
      </c>
      <c r="G432" s="50">
        <f t="shared" ref="G432:S432" si="206">G426</f>
        <v>0</v>
      </c>
      <c r="H432" s="50">
        <f t="shared" si="206"/>
        <v>47662.78827538318</v>
      </c>
      <c r="I432" s="50">
        <f t="shared" si="206"/>
        <v>96393.596490449301</v>
      </c>
      <c r="J432" s="50">
        <f t="shared" si="206"/>
        <v>77845.891950000005</v>
      </c>
      <c r="K432" s="50">
        <f t="shared" si="206"/>
        <v>124402.5</v>
      </c>
      <c r="L432" s="50">
        <f t="shared" si="206"/>
        <v>32618</v>
      </c>
      <c r="M432" s="50">
        <f t="shared" si="206"/>
        <v>0</v>
      </c>
      <c r="N432" s="50">
        <f t="shared" si="206"/>
        <v>0</v>
      </c>
      <c r="O432" s="50">
        <f t="shared" si="206"/>
        <v>0</v>
      </c>
      <c r="P432" s="50">
        <f t="shared" si="206"/>
        <v>0</v>
      </c>
      <c r="Q432" s="50">
        <f t="shared" si="206"/>
        <v>0</v>
      </c>
      <c r="R432" s="50">
        <f t="shared" si="206"/>
        <v>0</v>
      </c>
      <c r="S432" s="50">
        <f t="shared" si="206"/>
        <v>0</v>
      </c>
      <c r="T432" s="50">
        <f t="shared" ref="T432:AF432" si="207">T427</f>
        <v>0</v>
      </c>
      <c r="U432" s="50">
        <f t="shared" si="207"/>
        <v>0</v>
      </c>
      <c r="V432" s="50">
        <f t="shared" si="207"/>
        <v>0</v>
      </c>
      <c r="W432" s="50">
        <f t="shared" si="207"/>
        <v>0</v>
      </c>
      <c r="X432" s="50">
        <f t="shared" si="207"/>
        <v>0</v>
      </c>
      <c r="Y432" s="50">
        <f t="shared" si="207"/>
        <v>0</v>
      </c>
      <c r="Z432" s="50">
        <f t="shared" si="207"/>
        <v>0</v>
      </c>
      <c r="AA432" s="50">
        <f t="shared" si="207"/>
        <v>0</v>
      </c>
      <c r="AB432" s="50">
        <f t="shared" si="207"/>
        <v>0</v>
      </c>
      <c r="AC432" s="50">
        <f t="shared" si="207"/>
        <v>0</v>
      </c>
      <c r="AD432" s="50">
        <f t="shared" si="207"/>
        <v>0</v>
      </c>
      <c r="AE432" s="50">
        <f t="shared" si="207"/>
        <v>0</v>
      </c>
      <c r="AF432" s="50">
        <f t="shared" si="207"/>
        <v>0</v>
      </c>
      <c r="AG432" s="50">
        <f>SUM(F432:AF432)</f>
        <v>1049932.9975914098</v>
      </c>
      <c r="AH432" s="28" t="str">
        <f t="shared" ref="AH432:AH437" si="208">IF(ABS(E432-AG432)&lt;0.01,"ok","err")</f>
        <v>ok</v>
      </c>
    </row>
    <row r="433" spans="1:34" x14ac:dyDescent="0.25">
      <c r="A433" s="14" t="s">
        <v>596</v>
      </c>
      <c r="E433" s="90">
        <f>'Func &amp; Classif'!K35</f>
        <v>0</v>
      </c>
      <c r="AG433" s="90">
        <f>E433</f>
        <v>0</v>
      </c>
      <c r="AH433" s="28" t="str">
        <f t="shared" si="208"/>
        <v>ok</v>
      </c>
    </row>
    <row r="434" spans="1:34" x14ac:dyDescent="0.25">
      <c r="A434" s="14" t="s">
        <v>594</v>
      </c>
      <c r="E434" s="67"/>
      <c r="M434" s="50">
        <v>0</v>
      </c>
      <c r="N434" s="50">
        <v>0</v>
      </c>
      <c r="O434" s="50"/>
      <c r="P434" s="50"/>
      <c r="AG434" s="90">
        <f>SUM(F434:AF434)</f>
        <v>0</v>
      </c>
      <c r="AH434" s="28" t="str">
        <f t="shared" si="208"/>
        <v>ok</v>
      </c>
    </row>
    <row r="435" spans="1:34" x14ac:dyDescent="0.25">
      <c r="A435" s="14" t="s">
        <v>595</v>
      </c>
      <c r="D435" s="14" t="s">
        <v>598</v>
      </c>
      <c r="E435" s="90">
        <f>E433-E434</f>
        <v>0</v>
      </c>
      <c r="F435" s="67">
        <f>IF(VLOOKUP($D435,$C$5:$AU$511,3,)=0,0,(VLOOKUP($D435,$C$5:$AU$511,4,)/VLOOKUP($D435,$C$5:$AU$511,3,))*$E435)</f>
        <v>0</v>
      </c>
      <c r="G435" s="67">
        <f>IF(VLOOKUP($D435,$C$5:$AU$511,3,)=0,0,(VLOOKUP($D435,$C$5:$AU$511,5,)/VLOOKUP($D435,$C$5:$AU$511,3,))*$E435)</f>
        <v>0</v>
      </c>
      <c r="H435" s="67">
        <f>IF(VLOOKUP($D435,$C$5:$AU$511,3,)=0,0,(VLOOKUP($D435,$C$5:$AU$511,6,)/VLOOKUP($D435,$C$5:$AU$511,3,))*$E435)</f>
        <v>0</v>
      </c>
      <c r="I435" s="67">
        <f>IF(VLOOKUP($D435,$C$5:$AU$511,3,)=0,0,(VLOOKUP($D435,$C$5:$AU$511,7,)/VLOOKUP($D435,$C$5:$AU$511,3,))*$E435)</f>
        <v>0</v>
      </c>
      <c r="J435" s="67">
        <f>IF(VLOOKUP($D435,$C$5:$AU$511,3,)=0,0,(VLOOKUP($D435,$C$5:$AU$511,8,)/VLOOKUP($D435,$C$5:$AU$511,3,))*$E435)</f>
        <v>0</v>
      </c>
      <c r="K435" s="67">
        <f>IF(VLOOKUP($D435,$C$5:$AU$511,3,)=0,0,(VLOOKUP($D435,$C$5:$AU$511,9,)/VLOOKUP($D435,$C$5:$AU$511,3,))*$E435)</f>
        <v>0</v>
      </c>
      <c r="L435" s="67">
        <f>IF(VLOOKUP($D435,$C$5:$AU$511,3,)=0,0,(VLOOKUP($D435,$C$5:$AU$511,10,)/VLOOKUP($D435,$C$5:$AU$511,3,))*$E435)</f>
        <v>0</v>
      </c>
      <c r="M435" s="67">
        <f>IF(VLOOKUP($D435,$C$5:$AU$511,3,)=0,0,(VLOOKUP($D435,$C$5:$AU$511,11,)/VLOOKUP($D435,$C$5:$AU$511,3,))*$E435)</f>
        <v>0</v>
      </c>
      <c r="N435" s="67">
        <f>IF(VLOOKUP($D435,$C$5:$AU$511,3,)=0,0,(VLOOKUP($D435,$C$5:$AU$511,12,)/VLOOKUP($D435,$C$5:$AU$511,3,))*$E435)</f>
        <v>0</v>
      </c>
      <c r="O435" s="67">
        <f>IF(VLOOKUP($D435,$C$5:$AU$511,3,)=0,0,(VLOOKUP($D435,$C$5:$AU$511,13,)/VLOOKUP($D435,$C$5:$AU$511,3,))*$E435)</f>
        <v>0</v>
      </c>
      <c r="P435" s="67">
        <f>IF(VLOOKUP($D435,$C$5:$AU$511,3,)=0,0,(VLOOKUP($D435,$C$5:$AU$511,14,)/VLOOKUP($D435,$C$5:$AU$511,3,))*$E435)</f>
        <v>0</v>
      </c>
      <c r="Q435" s="67">
        <f>IF(VLOOKUP($D435,$C$5:$AU$511,3,)=0,0,(VLOOKUP($D435,$C$5:$AU$511,15,)/VLOOKUP($D435,$C$5:$AU$511,3,))*$E435)</f>
        <v>0</v>
      </c>
      <c r="R435" s="67">
        <f>IF(VLOOKUP($D435,$C$5:$AU$511,3,)=0,0,(VLOOKUP($D435,$C$5:$AU$511,16,)/VLOOKUP($D435,$C$5:$AU$511,3,))*$E435)</f>
        <v>0</v>
      </c>
      <c r="S435" s="67">
        <f>IF(VLOOKUP($D435,$C$5:$AU$511,3,)=0,0,(VLOOKUP($D435,$C$5:$AU$511,17,)/VLOOKUP($D435,$C$5:$AU$511,3,))*$E435)</f>
        <v>0</v>
      </c>
      <c r="T435" s="67">
        <f>IF(VLOOKUP($D435,$C$5:$AU$511,3,)=0,0,(VLOOKUP($D435,$C$5:$AU$511,18,)/VLOOKUP($D435,$C$5:$AU$511,3,))*$E435)</f>
        <v>0</v>
      </c>
      <c r="U435" s="67">
        <f>IF(VLOOKUP($D435,$C$5:$AU$511,3,)=0,0,(VLOOKUP($D435,$C$5:$AU$511,19,)/VLOOKUP($D435,$C$5:$AU$511,3,))*$E435)</f>
        <v>0</v>
      </c>
      <c r="V435" s="67">
        <f>IF(VLOOKUP($D435,$C$5:$AU$511,3,)=0,0,(VLOOKUP($D435,$C$5:$AU$511,20,)/VLOOKUP($D435,$C$5:$AU$511,3,))*$E435)</f>
        <v>0</v>
      </c>
      <c r="W435" s="67">
        <f>IF(VLOOKUP($D435,$C$5:$AU$511,3,)=0,0,(VLOOKUP($D435,$C$5:$AU$511,21,)/VLOOKUP($D435,$C$5:$AU$511,3,))*$E435)</f>
        <v>0</v>
      </c>
      <c r="X435" s="67">
        <f>IF(VLOOKUP($D435,$C$5:$AU$511,3,)=0,0,(VLOOKUP($D435,$C$5:$AU$511,22,)/VLOOKUP($D435,$C$5:$AU$511,3,))*$E435)</f>
        <v>0</v>
      </c>
      <c r="Y435" s="67">
        <f>IF(VLOOKUP($D435,$C$5:$AU$511,3,)=0,0,(VLOOKUP($D435,$C$5:$AU$511,23,)/VLOOKUP($D435,$C$5:$AU$511,3,))*$E435)</f>
        <v>0</v>
      </c>
      <c r="Z435" s="67">
        <f>IF(VLOOKUP($D435,$C$5:$AU$511,3,)=0,0,(VLOOKUP($D435,$C$5:$AU$511,24,)/VLOOKUP($D435,$C$5:$AU$511,3,))*$E435)</f>
        <v>0</v>
      </c>
      <c r="AA435" s="67">
        <f>IF(VLOOKUP($D435,$C$5:$AU$511,3,)=0,0,(VLOOKUP($D435,$C$5:$AU$511,25,)/VLOOKUP($D435,$C$5:$AU$511,3,))*$E435)</f>
        <v>0</v>
      </c>
      <c r="AB435" s="67">
        <f>IF(VLOOKUP($D435,$C$5:$AU$511,3,)=0,0,(VLOOKUP($D435,$C$5:$AU$511,26,)/VLOOKUP($D435,$C$5:$AU$511,3,))*$E435)</f>
        <v>0</v>
      </c>
      <c r="AC435" s="67">
        <f>IF(VLOOKUP($D435,$C$5:$AU$511,3,)=0,0,(VLOOKUP($D435,$C$5:$AU$511,27,)/VLOOKUP($D435,$C$5:$AU$511,3,))*$E435)</f>
        <v>0</v>
      </c>
      <c r="AD435" s="67">
        <f>IF(VLOOKUP($D435,$C$5:$AU$511,3,)=0,0,(VLOOKUP($D435,$C$5:$AU$511,28,)/VLOOKUP($D435,$C$5:$AU$511,3,))*$E435)</f>
        <v>0</v>
      </c>
      <c r="AE435" s="67">
        <f>IF(VLOOKUP($D435,$C$5:$AU$511,3,)=0,0,(VLOOKUP($D435,$C$5:$AU$511,29,)/VLOOKUP($D435,$C$5:$AU$511,3,))*$E435)</f>
        <v>0</v>
      </c>
      <c r="AF435" s="67">
        <f>IF(VLOOKUP($D435,$C$5:$AU$511,3,)=0,0,(VLOOKUP($D435,$C$5:$AU$511,30,)/VLOOKUP($D435,$C$5:$AU$511,3,))*$E435)</f>
        <v>0</v>
      </c>
      <c r="AG435" s="90">
        <f>SUM(F435:AF435)</f>
        <v>0</v>
      </c>
      <c r="AH435" s="28" t="str">
        <f t="shared" si="208"/>
        <v>ok</v>
      </c>
    </row>
    <row r="436" spans="1:34" x14ac:dyDescent="0.25">
      <c r="A436" s="14" t="s">
        <v>600</v>
      </c>
      <c r="C436" s="14" t="s">
        <v>599</v>
      </c>
      <c r="E436" s="90">
        <f>E434+E435</f>
        <v>0</v>
      </c>
      <c r="F436" s="90">
        <f t="shared" ref="F436:U436" si="209">F434+F435</f>
        <v>0</v>
      </c>
      <c r="G436" s="90">
        <f t="shared" si="209"/>
        <v>0</v>
      </c>
      <c r="H436" s="90">
        <f t="shared" si="209"/>
        <v>0</v>
      </c>
      <c r="I436" s="90">
        <f t="shared" si="209"/>
        <v>0</v>
      </c>
      <c r="J436" s="90">
        <f t="shared" si="209"/>
        <v>0</v>
      </c>
      <c r="K436" s="90">
        <f t="shared" si="209"/>
        <v>0</v>
      </c>
      <c r="L436" s="90">
        <f t="shared" si="209"/>
        <v>0</v>
      </c>
      <c r="M436" s="90">
        <f t="shared" si="209"/>
        <v>0</v>
      </c>
      <c r="N436" s="90">
        <f t="shared" si="209"/>
        <v>0</v>
      </c>
      <c r="O436" s="90">
        <f t="shared" si="209"/>
        <v>0</v>
      </c>
      <c r="P436" s="90">
        <f t="shared" si="209"/>
        <v>0</v>
      </c>
      <c r="Q436" s="90">
        <f t="shared" si="209"/>
        <v>0</v>
      </c>
      <c r="R436" s="90">
        <f t="shared" si="209"/>
        <v>0</v>
      </c>
      <c r="S436" s="90">
        <f t="shared" si="209"/>
        <v>0</v>
      </c>
      <c r="T436" s="90">
        <f t="shared" si="209"/>
        <v>0</v>
      </c>
      <c r="U436" s="90">
        <f t="shared" si="209"/>
        <v>0</v>
      </c>
      <c r="V436" s="90"/>
      <c r="W436" s="90"/>
      <c r="X436" s="90"/>
      <c r="Y436" s="90"/>
      <c r="Z436" s="90"/>
      <c r="AA436" s="90"/>
      <c r="AB436" s="90"/>
      <c r="AC436" s="90"/>
      <c r="AD436" s="90"/>
      <c r="AE436" s="90"/>
      <c r="AF436" s="90"/>
      <c r="AG436" s="90">
        <f>SUM(F436:AF436)</f>
        <v>0</v>
      </c>
      <c r="AH436" s="28" t="str">
        <f t="shared" si="208"/>
        <v>ok</v>
      </c>
    </row>
    <row r="437" spans="1:34" x14ac:dyDescent="0.25">
      <c r="A437" s="14" t="s">
        <v>622</v>
      </c>
      <c r="C437" s="14" t="s">
        <v>601</v>
      </c>
      <c r="D437" s="14" t="s">
        <v>599</v>
      </c>
      <c r="E437" s="49">
        <v>0</v>
      </c>
      <c r="F437" s="98">
        <f>IF(VLOOKUP($D437,$C$5:$AU$511,3,)=0,0,(VLOOKUP($D437,$C$5:$AU$511,4,)/VLOOKUP($D437,$C$5:$AU$511,3,))*$E437)</f>
        <v>0</v>
      </c>
      <c r="G437" s="98">
        <f>IF(VLOOKUP($D437,$C$5:$AU$511,3,)=0,0,(VLOOKUP($D437,$C$5:$AU$511,5,)/VLOOKUP($D437,$C$5:$AU$511,3,))*$E437)</f>
        <v>0</v>
      </c>
      <c r="H437" s="98">
        <f>IF(VLOOKUP($D437,$C$5:$AU$511,3,)=0,0,(VLOOKUP($D437,$C$5:$AU$511,6,)/VLOOKUP($D437,$C$5:$AU$511,3,))*$E437)</f>
        <v>0</v>
      </c>
      <c r="I437" s="98">
        <f>IF(VLOOKUP($D437,$C$5:$AU$511,3,)=0,0,(VLOOKUP($D437,$C$5:$AU$511,7,)/VLOOKUP($D437,$C$5:$AU$511,3,))*$E437)</f>
        <v>0</v>
      </c>
      <c r="J437" s="98">
        <f>IF(VLOOKUP($D437,$C$5:$AU$511,3,)=0,0,(VLOOKUP($D437,$C$5:$AU$511,8,)/VLOOKUP($D437,$C$5:$AU$511,3,))*$E437)</f>
        <v>0</v>
      </c>
      <c r="K437" s="98">
        <f>IF(VLOOKUP($D437,$C$5:$AU$511,3,)=0,0,(VLOOKUP($D437,$C$5:$AU$511,9,)/VLOOKUP($D437,$C$5:$AU$511,3,))*$E437)</f>
        <v>0</v>
      </c>
      <c r="L437" s="98">
        <f>IF(VLOOKUP($D437,$C$5:$AU$511,3,)=0,0,(VLOOKUP($D437,$C$5:$AU$511,10,)/VLOOKUP($D437,$C$5:$AU$511,3,))*$E437)</f>
        <v>0</v>
      </c>
      <c r="M437" s="98">
        <f>IF(VLOOKUP($D437,$C$5:$AU$511,3,)=0,0,(VLOOKUP($D437,$C$5:$AU$511,11,)/VLOOKUP($D437,$C$5:$AU$511,3,))*$E437)</f>
        <v>0</v>
      </c>
      <c r="N437" s="98">
        <f>IF(VLOOKUP($D437,$C$5:$AU$511,3,)=0,0,(VLOOKUP($D437,$C$5:$AU$511,12,)/VLOOKUP($D437,$C$5:$AU$511,3,))*$E437)</f>
        <v>0</v>
      </c>
      <c r="O437" s="98">
        <f>IF(VLOOKUP($D437,$C$5:$AU$511,3,)=0,0,(VLOOKUP($D437,$C$5:$AU$511,13,)/VLOOKUP($D437,$C$5:$AU$511,3,))*$E437)</f>
        <v>0</v>
      </c>
      <c r="P437" s="98">
        <f>IF(VLOOKUP($D437,$C$5:$AU$511,3,)=0,0,(VLOOKUP($D437,$C$5:$AU$511,14,)/VLOOKUP($D437,$C$5:$AU$511,3,))*$E437)</f>
        <v>0</v>
      </c>
      <c r="Q437" s="98">
        <f>IF(VLOOKUP($D437,$C$5:$AU$511,3,)=0,0,(VLOOKUP($D437,$C$5:$AU$511,15,)/VLOOKUP($D437,$C$5:$AU$511,3,))*$E437)</f>
        <v>0</v>
      </c>
      <c r="R437" s="98">
        <f>IF(VLOOKUP($D437,$C$5:$AU$511,3,)=0,0,(VLOOKUP($D437,$C$5:$AU$511,16,)/VLOOKUP($D437,$C$5:$AU$511,3,))*$E437)</f>
        <v>0</v>
      </c>
      <c r="S437" s="98">
        <f>IF(VLOOKUP($D437,$C$5:$AU$511,3,)=0,0,(VLOOKUP($D437,$C$5:$AU$511,17,)/VLOOKUP($D437,$C$5:$AU$511,3,))*$E437)</f>
        <v>0</v>
      </c>
      <c r="T437" s="98">
        <f>IF(VLOOKUP($D437,$C$5:$AU$511,3,)=0,0,(VLOOKUP($D437,$C$5:$AU$511,18,)/VLOOKUP($D437,$C$5:$AU$511,3,))*$E437)</f>
        <v>0</v>
      </c>
      <c r="U437" s="98">
        <f>IF(VLOOKUP($D437,$C$5:$AU$511,3,)=0,0,(VLOOKUP($D437,$C$5:$AU$511,19,)/VLOOKUP($D437,$C$5:$AU$511,3,))*$E437)</f>
        <v>0</v>
      </c>
      <c r="V437" s="98">
        <f>IF(VLOOKUP($D437,$C$5:$AU$511,3,)=0,0,(VLOOKUP($D437,$C$5:$AU$511,20,)/VLOOKUP($D437,$C$5:$AU$511,3,))*$E437)</f>
        <v>0</v>
      </c>
      <c r="W437" s="98">
        <f>IF(VLOOKUP($D437,$C$5:$AU$511,3,)=0,0,(VLOOKUP($D437,$C$5:$AU$511,21,)/VLOOKUP($D437,$C$5:$AU$511,3,))*$E437)</f>
        <v>0</v>
      </c>
      <c r="X437" s="98">
        <f>IF(VLOOKUP($D437,$C$5:$AU$511,3,)=0,0,(VLOOKUP($D437,$C$5:$AU$511,22,)/VLOOKUP($D437,$C$5:$AU$511,3,))*$E437)</f>
        <v>0</v>
      </c>
      <c r="Y437" s="98">
        <f>IF(VLOOKUP($D437,$C$5:$AU$511,3,)=0,0,(VLOOKUP($D437,$C$5:$AU$511,23,)/VLOOKUP($D437,$C$5:$AU$511,3,))*$E437)</f>
        <v>0</v>
      </c>
      <c r="Z437" s="98">
        <f>IF(VLOOKUP($D437,$C$5:$AU$511,3,)=0,0,(VLOOKUP($D437,$C$5:$AU$511,24,)/VLOOKUP($D437,$C$5:$AU$511,3,))*$E437)</f>
        <v>0</v>
      </c>
      <c r="AA437" s="98">
        <f>IF(VLOOKUP($D437,$C$5:$AU$511,3,)=0,0,(VLOOKUP($D437,$C$5:$AU$511,25,)/VLOOKUP($D437,$C$5:$AU$511,3,))*$E437)</f>
        <v>0</v>
      </c>
      <c r="AB437" s="98">
        <f>IF(VLOOKUP($D437,$C$5:$AU$511,3,)=0,0,(VLOOKUP($D437,$C$5:$AU$511,26,)/VLOOKUP($D437,$C$5:$AU$511,3,))*$E437)</f>
        <v>0</v>
      </c>
      <c r="AC437" s="98">
        <f>IF(VLOOKUP($D437,$C$5:$AU$511,3,)=0,0,(VLOOKUP($D437,$C$5:$AU$511,27,)/VLOOKUP($D437,$C$5:$AU$511,3,))*$E437)</f>
        <v>0</v>
      </c>
      <c r="AD437" s="98">
        <f>IF(VLOOKUP($D437,$C$5:$AU$511,3,)=0,0,(VLOOKUP($D437,$C$5:$AU$511,28,)/VLOOKUP($D437,$C$5:$AU$511,3,))*$E437)</f>
        <v>0</v>
      </c>
      <c r="AE437" s="98">
        <f>IF(VLOOKUP($D437,$C$5:$AU$511,3,)=0,0,(VLOOKUP($D437,$C$5:$AU$511,29,)/VLOOKUP($D437,$C$5:$AU$511,3,))*$E437)</f>
        <v>0</v>
      </c>
      <c r="AF437" s="98">
        <f>IF(VLOOKUP($D437,$C$5:$AU$511,3,)=0,0,(VLOOKUP($D437,$C$5:$AU$511,30,)/VLOOKUP($D437,$C$5:$AU$511,3,))*$E437)</f>
        <v>0</v>
      </c>
      <c r="AG437" s="98">
        <f>SUM(F437:AF437)</f>
        <v>0</v>
      </c>
      <c r="AH437" s="28" t="str">
        <f t="shared" si="208"/>
        <v>ok</v>
      </c>
    </row>
    <row r="438" spans="1:34" x14ac:dyDescent="0.25">
      <c r="E438" s="49"/>
      <c r="F438" s="49"/>
      <c r="G438" s="49"/>
      <c r="H438" s="49"/>
      <c r="I438" s="49"/>
      <c r="J438" s="49"/>
      <c r="K438" s="49"/>
      <c r="L438" s="49"/>
      <c r="M438" s="49"/>
      <c r="N438" s="49"/>
      <c r="O438" s="49"/>
      <c r="P438" s="49"/>
      <c r="Q438" s="49"/>
      <c r="R438" s="49"/>
      <c r="S438" s="49"/>
      <c r="T438" s="49"/>
      <c r="U438" s="49"/>
      <c r="V438" s="49"/>
      <c r="W438" s="49"/>
      <c r="X438" s="49"/>
      <c r="Y438" s="49"/>
      <c r="Z438" s="49"/>
      <c r="AA438" s="49"/>
      <c r="AB438" s="49"/>
      <c r="AC438" s="49"/>
      <c r="AD438" s="49"/>
      <c r="AE438" s="49"/>
      <c r="AF438" s="49"/>
      <c r="AG438" s="49"/>
      <c r="AH438" s="28"/>
    </row>
    <row r="439" spans="1:34" x14ac:dyDescent="0.25">
      <c r="A439" s="14" t="s">
        <v>597</v>
      </c>
      <c r="C439" s="14" t="s">
        <v>623</v>
      </c>
      <c r="E439" s="50">
        <f t="shared" ref="E439:AF439" si="210">E432</f>
        <v>1049933.0004534973</v>
      </c>
      <c r="F439" s="50">
        <f t="shared" si="210"/>
        <v>671010.22087557742</v>
      </c>
      <c r="G439" s="50">
        <f t="shared" si="210"/>
        <v>0</v>
      </c>
      <c r="H439" s="50">
        <f t="shared" si="210"/>
        <v>47662.78827538318</v>
      </c>
      <c r="I439" s="50">
        <f t="shared" si="210"/>
        <v>96393.596490449301</v>
      </c>
      <c r="J439" s="50">
        <f t="shared" si="210"/>
        <v>77845.891950000005</v>
      </c>
      <c r="K439" s="50">
        <f t="shared" si="210"/>
        <v>124402.5</v>
      </c>
      <c r="L439" s="50">
        <f t="shared" si="210"/>
        <v>32618</v>
      </c>
      <c r="M439" s="50">
        <f t="shared" si="210"/>
        <v>0</v>
      </c>
      <c r="N439" s="50">
        <f t="shared" si="210"/>
        <v>0</v>
      </c>
      <c r="O439" s="50">
        <f t="shared" si="210"/>
        <v>0</v>
      </c>
      <c r="P439" s="50">
        <f t="shared" si="210"/>
        <v>0</v>
      </c>
      <c r="Q439" s="50">
        <f t="shared" si="210"/>
        <v>0</v>
      </c>
      <c r="R439" s="50">
        <f t="shared" si="210"/>
        <v>0</v>
      </c>
      <c r="S439" s="50">
        <f t="shared" si="210"/>
        <v>0</v>
      </c>
      <c r="T439" s="50">
        <f t="shared" si="210"/>
        <v>0</v>
      </c>
      <c r="U439" s="50">
        <f t="shared" si="210"/>
        <v>0</v>
      </c>
      <c r="V439" s="50">
        <f t="shared" si="210"/>
        <v>0</v>
      </c>
      <c r="W439" s="50">
        <f t="shared" si="210"/>
        <v>0</v>
      </c>
      <c r="X439" s="50">
        <f t="shared" si="210"/>
        <v>0</v>
      </c>
      <c r="Y439" s="50">
        <f t="shared" si="210"/>
        <v>0</v>
      </c>
      <c r="Z439" s="50">
        <f t="shared" si="210"/>
        <v>0</v>
      </c>
      <c r="AA439" s="50">
        <f t="shared" si="210"/>
        <v>0</v>
      </c>
      <c r="AB439" s="50">
        <f t="shared" si="210"/>
        <v>0</v>
      </c>
      <c r="AC439" s="50">
        <f t="shared" si="210"/>
        <v>0</v>
      </c>
      <c r="AD439" s="50">
        <f t="shared" si="210"/>
        <v>0</v>
      </c>
      <c r="AE439" s="50">
        <f t="shared" si="210"/>
        <v>0</v>
      </c>
      <c r="AF439" s="50">
        <f t="shared" si="210"/>
        <v>0</v>
      </c>
      <c r="AG439" s="50">
        <f>SUM(F439:AF439)</f>
        <v>1049932.9975914098</v>
      </c>
      <c r="AH439" s="28" t="str">
        <f t="shared" ref="AH439:AH444" si="211">IF(ABS(E439-AG439)&lt;0.01,"ok","err")</f>
        <v>ok</v>
      </c>
    </row>
    <row r="440" spans="1:34" x14ac:dyDescent="0.25">
      <c r="A440" s="14" t="s">
        <v>596</v>
      </c>
      <c r="E440" s="90">
        <f>E433</f>
        <v>0</v>
      </c>
      <c r="AG440" s="90">
        <f>E440</f>
        <v>0</v>
      </c>
      <c r="AH440" s="28" t="str">
        <f t="shared" si="211"/>
        <v>ok</v>
      </c>
    </row>
    <row r="441" spans="1:34" x14ac:dyDescent="0.25">
      <c r="A441" s="14" t="s">
        <v>594</v>
      </c>
      <c r="E441" s="67">
        <f>E434</f>
        <v>0</v>
      </c>
      <c r="F441" s="67">
        <f>F434</f>
        <v>0</v>
      </c>
      <c r="G441" s="67">
        <f t="shared" ref="G441:S441" si="212">G434</f>
        <v>0</v>
      </c>
      <c r="H441" s="67">
        <f t="shared" si="212"/>
        <v>0</v>
      </c>
      <c r="I441" s="67">
        <f t="shared" si="212"/>
        <v>0</v>
      </c>
      <c r="J441" s="67">
        <f t="shared" si="212"/>
        <v>0</v>
      </c>
      <c r="K441" s="67">
        <f t="shared" si="212"/>
        <v>0</v>
      </c>
      <c r="L441" s="67">
        <f t="shared" si="212"/>
        <v>0</v>
      </c>
      <c r="M441" s="67">
        <f t="shared" si="212"/>
        <v>0</v>
      </c>
      <c r="N441" s="14">
        <f t="shared" si="212"/>
        <v>0</v>
      </c>
      <c r="O441" s="50">
        <f t="shared" si="212"/>
        <v>0</v>
      </c>
      <c r="P441" s="50">
        <f t="shared" si="212"/>
        <v>0</v>
      </c>
      <c r="Q441" s="14">
        <f t="shared" si="212"/>
        <v>0</v>
      </c>
      <c r="R441" s="14">
        <f t="shared" si="212"/>
        <v>0</v>
      </c>
      <c r="S441" s="14">
        <f t="shared" si="212"/>
        <v>0</v>
      </c>
      <c r="AG441" s="90">
        <f>SUM(F441:AF441)</f>
        <v>0</v>
      </c>
      <c r="AH441" s="28" t="str">
        <f t="shared" si="211"/>
        <v>ok</v>
      </c>
    </row>
    <row r="442" spans="1:34" x14ac:dyDescent="0.25">
      <c r="A442" s="14" t="s">
        <v>595</v>
      </c>
      <c r="D442" s="14" t="s">
        <v>623</v>
      </c>
      <c r="E442" s="90">
        <f>E440-E441</f>
        <v>0</v>
      </c>
      <c r="F442" s="67">
        <f>IF(VLOOKUP($D442,$C$5:$AU$511,3,)=0,0,(VLOOKUP($D442,$C$5:$AU$511,4,)/VLOOKUP($D442,$C$5:$AU$511,3,))*$E442)</f>
        <v>0</v>
      </c>
      <c r="G442" s="67">
        <f>IF(VLOOKUP($D442,$C$5:$AU$511,3,)=0,0,(VLOOKUP($D442,$C$5:$AU$511,5,)/VLOOKUP($D442,$C$5:$AU$511,3,))*$E442)</f>
        <v>0</v>
      </c>
      <c r="H442" s="67">
        <f>IF(VLOOKUP($D442,$C$5:$AU$511,3,)=0,0,(VLOOKUP($D442,$C$5:$AU$511,6,)/VLOOKUP($D442,$C$5:$AU$511,3,))*$E442)</f>
        <v>0</v>
      </c>
      <c r="I442" s="67">
        <f>IF(VLOOKUP($D442,$C$5:$AU$511,3,)=0,0,(VLOOKUP($D442,$C$5:$AU$511,7,)/VLOOKUP($D442,$C$5:$AU$511,3,))*$E442)</f>
        <v>0</v>
      </c>
      <c r="J442" s="67">
        <f>IF(VLOOKUP($D442,$C$5:$AU$511,3,)=0,0,(VLOOKUP($D442,$C$5:$AU$511,8,)/VLOOKUP($D442,$C$5:$AU$511,3,))*$E442)</f>
        <v>0</v>
      </c>
      <c r="K442" s="67">
        <f>IF(VLOOKUP($D442,$C$5:$AU$511,3,)=0,0,(VLOOKUP($D442,$C$5:$AU$511,9,)/VLOOKUP($D442,$C$5:$AU$511,3,))*$E442)</f>
        <v>0</v>
      </c>
      <c r="L442" s="67">
        <f>IF(VLOOKUP($D442,$C$5:$AU$511,3,)=0,0,(VLOOKUP($D442,$C$5:$AU$511,10,)/VLOOKUP($D442,$C$5:$AU$511,3,))*$E442)</f>
        <v>0</v>
      </c>
      <c r="M442" s="67">
        <f>IF(VLOOKUP($D442,$C$5:$AU$511,3,)=0,0,(VLOOKUP($D442,$C$5:$AU$511,11,)/VLOOKUP($D442,$C$5:$AU$511,3,))*$E442)</f>
        <v>0</v>
      </c>
      <c r="N442" s="67">
        <f>IF(VLOOKUP($D442,$C$5:$AU$511,3,)=0,0,(VLOOKUP($D442,$C$5:$AU$511,12,)/VLOOKUP($D442,$C$5:$AU$511,3,))*$E442)</f>
        <v>0</v>
      </c>
      <c r="O442" s="67">
        <f>IF(VLOOKUP($D442,$C$5:$AU$511,3,)=0,0,(VLOOKUP($D442,$C$5:$AU$511,13,)/VLOOKUP($D442,$C$5:$AU$511,3,))*$E442)</f>
        <v>0</v>
      </c>
      <c r="P442" s="67">
        <f>IF(VLOOKUP($D442,$C$5:$AU$511,3,)=0,0,(VLOOKUP($D442,$C$5:$AU$511,14,)/VLOOKUP($D442,$C$5:$AU$511,3,))*$E442)</f>
        <v>0</v>
      </c>
      <c r="Q442" s="67">
        <f>IF(VLOOKUP($D442,$C$5:$AU$511,3,)=0,0,(VLOOKUP($D442,$C$5:$AU$511,15,)/VLOOKUP($D442,$C$5:$AU$511,3,))*$E442)</f>
        <v>0</v>
      </c>
      <c r="R442" s="67">
        <f>IF(VLOOKUP($D442,$C$5:$AU$511,3,)=0,0,(VLOOKUP($D442,$C$5:$AU$511,16,)/VLOOKUP($D442,$C$5:$AU$511,3,))*$E442)</f>
        <v>0</v>
      </c>
      <c r="S442" s="67">
        <f>IF(VLOOKUP($D442,$C$5:$AU$511,3,)=0,0,(VLOOKUP($D442,$C$5:$AU$511,17,)/VLOOKUP($D442,$C$5:$AU$511,3,))*$E442)</f>
        <v>0</v>
      </c>
      <c r="T442" s="67">
        <f>IF(VLOOKUP($D442,$C$5:$AU$511,3,)=0,0,(VLOOKUP($D442,$C$5:$AU$511,18,)/VLOOKUP($D442,$C$5:$AU$511,3,))*$E442)</f>
        <v>0</v>
      </c>
      <c r="U442" s="67">
        <f>IF(VLOOKUP($D442,$C$5:$AU$511,3,)=0,0,(VLOOKUP($D442,$C$5:$AU$511,19,)/VLOOKUP($D442,$C$5:$AU$511,3,))*$E442)</f>
        <v>0</v>
      </c>
      <c r="V442" s="67">
        <f>IF(VLOOKUP($D442,$C$5:$AU$511,3,)=0,0,(VLOOKUP($D442,$C$5:$AU$511,20,)/VLOOKUP($D442,$C$5:$AU$511,3,))*$E442)</f>
        <v>0</v>
      </c>
      <c r="W442" s="67">
        <f>IF(VLOOKUP($D442,$C$5:$AU$511,3,)=0,0,(VLOOKUP($D442,$C$5:$AU$511,21,)/VLOOKUP($D442,$C$5:$AU$511,3,))*$E442)</f>
        <v>0</v>
      </c>
      <c r="X442" s="67">
        <f>IF(VLOOKUP($D442,$C$5:$AU$511,3,)=0,0,(VLOOKUP($D442,$C$5:$AU$511,22,)/VLOOKUP($D442,$C$5:$AU$511,3,))*$E442)</f>
        <v>0</v>
      </c>
      <c r="Y442" s="67">
        <f>IF(VLOOKUP($D442,$C$5:$AU$511,3,)=0,0,(VLOOKUP($D442,$C$5:$AU$511,23,)/VLOOKUP($D442,$C$5:$AU$511,3,))*$E442)</f>
        <v>0</v>
      </c>
      <c r="Z442" s="67">
        <f>IF(VLOOKUP($D442,$C$5:$AU$511,3,)=0,0,(VLOOKUP($D442,$C$5:$AU$511,24,)/VLOOKUP($D442,$C$5:$AU$511,3,))*$E442)</f>
        <v>0</v>
      </c>
      <c r="AA442" s="67">
        <f>IF(VLOOKUP($D442,$C$5:$AU$511,3,)=0,0,(VLOOKUP($D442,$C$5:$AU$511,25,)/VLOOKUP($D442,$C$5:$AU$511,3,))*$E442)</f>
        <v>0</v>
      </c>
      <c r="AB442" s="67">
        <f>IF(VLOOKUP($D442,$C$5:$AU$511,3,)=0,0,(VLOOKUP($D442,$C$5:$AU$511,26,)/VLOOKUP($D442,$C$5:$AU$511,3,))*$E442)</f>
        <v>0</v>
      </c>
      <c r="AC442" s="67">
        <f>IF(VLOOKUP($D442,$C$5:$AU$511,3,)=0,0,(VLOOKUP($D442,$C$5:$AU$511,27,)/VLOOKUP($D442,$C$5:$AU$511,3,))*$E442)</f>
        <v>0</v>
      </c>
      <c r="AD442" s="67">
        <f>IF(VLOOKUP($D442,$C$5:$AU$511,3,)=0,0,(VLOOKUP($D442,$C$5:$AU$511,28,)/VLOOKUP($D442,$C$5:$AU$511,3,))*$E442)</f>
        <v>0</v>
      </c>
      <c r="AE442" s="67">
        <f>IF(VLOOKUP($D442,$C$5:$AU$511,3,)=0,0,(VLOOKUP($D442,$C$5:$AU$511,29,)/VLOOKUP($D442,$C$5:$AU$511,3,))*$E442)</f>
        <v>0</v>
      </c>
      <c r="AF442" s="67">
        <f>IF(VLOOKUP($D442,$C$5:$AU$511,3,)=0,0,(VLOOKUP($D442,$C$5:$AU$511,30,)/VLOOKUP($D442,$C$5:$AU$511,3,))*$E442)</f>
        <v>0</v>
      </c>
      <c r="AG442" s="90">
        <f>SUM(F442:AF442)</f>
        <v>0</v>
      </c>
      <c r="AH442" s="28" t="str">
        <f t="shared" si="211"/>
        <v>ok</v>
      </c>
    </row>
    <row r="443" spans="1:34" x14ac:dyDescent="0.25">
      <c r="A443" s="14" t="s">
        <v>600</v>
      </c>
      <c r="C443" s="14" t="s">
        <v>624</v>
      </c>
      <c r="E443" s="90">
        <f t="shared" ref="E443:U443" si="213">E441+E442</f>
        <v>0</v>
      </c>
      <c r="F443" s="90">
        <f t="shared" si="213"/>
        <v>0</v>
      </c>
      <c r="G443" s="90">
        <f t="shared" si="213"/>
        <v>0</v>
      </c>
      <c r="H443" s="90">
        <f t="shared" si="213"/>
        <v>0</v>
      </c>
      <c r="I443" s="90">
        <f t="shared" si="213"/>
        <v>0</v>
      </c>
      <c r="J443" s="90">
        <f t="shared" si="213"/>
        <v>0</v>
      </c>
      <c r="K443" s="90">
        <f t="shared" si="213"/>
        <v>0</v>
      </c>
      <c r="L443" s="90">
        <f t="shared" si="213"/>
        <v>0</v>
      </c>
      <c r="M443" s="90">
        <f t="shared" si="213"/>
        <v>0</v>
      </c>
      <c r="N443" s="90">
        <f t="shared" si="213"/>
        <v>0</v>
      </c>
      <c r="O443" s="90">
        <f t="shared" si="213"/>
        <v>0</v>
      </c>
      <c r="P443" s="90">
        <f t="shared" si="213"/>
        <v>0</v>
      </c>
      <c r="Q443" s="90">
        <f t="shared" si="213"/>
        <v>0</v>
      </c>
      <c r="R443" s="90">
        <f t="shared" si="213"/>
        <v>0</v>
      </c>
      <c r="S443" s="90">
        <f t="shared" si="213"/>
        <v>0</v>
      </c>
      <c r="T443" s="90">
        <f t="shared" si="213"/>
        <v>0</v>
      </c>
      <c r="U443" s="90">
        <f t="shared" si="213"/>
        <v>0</v>
      </c>
      <c r="V443" s="90"/>
      <c r="W443" s="90"/>
      <c r="X443" s="90"/>
      <c r="Y443" s="90"/>
      <c r="Z443" s="90"/>
      <c r="AA443" s="90"/>
      <c r="AB443" s="90"/>
      <c r="AC443" s="90"/>
      <c r="AD443" s="90"/>
      <c r="AE443" s="90"/>
      <c r="AF443" s="90"/>
      <c r="AG443" s="90">
        <f>SUM(F443:AF443)</f>
        <v>0</v>
      </c>
      <c r="AH443" s="28" t="str">
        <f t="shared" si="211"/>
        <v>ok</v>
      </c>
    </row>
    <row r="444" spans="1:34" x14ac:dyDescent="0.25">
      <c r="A444" s="14" t="s">
        <v>632</v>
      </c>
      <c r="C444" s="14" t="s">
        <v>625</v>
      </c>
      <c r="D444" s="14" t="s">
        <v>624</v>
      </c>
      <c r="E444" s="49">
        <v>0</v>
      </c>
      <c r="F444" s="98">
        <f>IF(VLOOKUP($D444,$C$5:$AU$511,3,)=0,0,(VLOOKUP($D444,$C$5:$AU$511,4,)/VLOOKUP($D444,$C$5:$AU$511,3,))*$E444)</f>
        <v>0</v>
      </c>
      <c r="G444" s="98">
        <f>IF(VLOOKUP($D444,$C$5:$AU$511,3,)=0,0,(VLOOKUP($D444,$C$5:$AU$511,5,)/VLOOKUP($D444,$C$5:$AU$511,3,))*$E444)</f>
        <v>0</v>
      </c>
      <c r="H444" s="98">
        <f>IF(VLOOKUP($D444,$C$5:$AU$511,3,)=0,0,(VLOOKUP($D444,$C$5:$AU$511,6,)/VLOOKUP($D444,$C$5:$AU$511,3,))*$E444)</f>
        <v>0</v>
      </c>
      <c r="I444" s="98">
        <f>IF(VLOOKUP($D444,$C$5:$AU$511,3,)=0,0,(VLOOKUP($D444,$C$5:$AU$511,7,)/VLOOKUP($D444,$C$5:$AU$511,3,))*$E444)</f>
        <v>0</v>
      </c>
      <c r="J444" s="98">
        <f>IF(VLOOKUP($D444,$C$5:$AU$511,3,)=0,0,(VLOOKUP($D444,$C$5:$AU$511,8,)/VLOOKUP($D444,$C$5:$AU$511,3,))*$E444)</f>
        <v>0</v>
      </c>
      <c r="K444" s="98">
        <f>IF(VLOOKUP($D444,$C$5:$AU$511,3,)=0,0,(VLOOKUP($D444,$C$5:$AU$511,9,)/VLOOKUP($D444,$C$5:$AU$511,3,))*$E444)</f>
        <v>0</v>
      </c>
      <c r="L444" s="98">
        <f>IF(VLOOKUP($D444,$C$5:$AU$511,3,)=0,0,(VLOOKUP($D444,$C$5:$AU$511,10,)/VLOOKUP($D444,$C$5:$AU$511,3,))*$E444)</f>
        <v>0</v>
      </c>
      <c r="M444" s="98">
        <f>IF(VLOOKUP($D444,$C$5:$AU$511,3,)=0,0,(VLOOKUP($D444,$C$5:$AU$511,11,)/VLOOKUP($D444,$C$5:$AU$511,3,))*$E444)</f>
        <v>0</v>
      </c>
      <c r="N444" s="98">
        <f>IF(VLOOKUP($D444,$C$5:$AU$511,3,)=0,0,(VLOOKUP($D444,$C$5:$AU$511,12,)/VLOOKUP($D444,$C$5:$AU$511,3,))*$E444)</f>
        <v>0</v>
      </c>
      <c r="O444" s="98">
        <f>IF(VLOOKUP($D444,$C$5:$AU$511,3,)=0,0,(VLOOKUP($D444,$C$5:$AU$511,13,)/VLOOKUP($D444,$C$5:$AU$511,3,))*$E444)</f>
        <v>0</v>
      </c>
      <c r="P444" s="98">
        <f>IF(VLOOKUP($D444,$C$5:$AU$511,3,)=0,0,(VLOOKUP($D444,$C$5:$AU$511,14,)/VLOOKUP($D444,$C$5:$AU$511,3,))*$E444)</f>
        <v>0</v>
      </c>
      <c r="Q444" s="98">
        <f>IF(VLOOKUP($D444,$C$5:$AU$511,3,)=0,0,(VLOOKUP($D444,$C$5:$AU$511,15,)/VLOOKUP($D444,$C$5:$AU$511,3,))*$E444)</f>
        <v>0</v>
      </c>
      <c r="R444" s="98">
        <f>IF(VLOOKUP($D444,$C$5:$AU$511,3,)=0,0,(VLOOKUP($D444,$C$5:$AU$511,16,)/VLOOKUP($D444,$C$5:$AU$511,3,))*$E444)</f>
        <v>0</v>
      </c>
      <c r="S444" s="98">
        <f>IF(VLOOKUP($D444,$C$5:$AU$511,3,)=0,0,(VLOOKUP($D444,$C$5:$AU$511,17,)/VLOOKUP($D444,$C$5:$AU$511,3,))*$E444)</f>
        <v>0</v>
      </c>
      <c r="T444" s="98">
        <f>IF(VLOOKUP($D444,$C$5:$AU$511,3,)=0,0,(VLOOKUP($D444,$C$5:$AU$511,18,)/VLOOKUP($D444,$C$5:$AU$511,3,))*$E444)</f>
        <v>0</v>
      </c>
      <c r="U444" s="98">
        <f>IF(VLOOKUP($D444,$C$5:$AU$511,3,)=0,0,(VLOOKUP($D444,$C$5:$AU$511,19,)/VLOOKUP($D444,$C$5:$AU$511,3,))*$E444)</f>
        <v>0</v>
      </c>
      <c r="V444" s="98">
        <f>IF(VLOOKUP($D444,$C$5:$AU$511,3,)=0,0,(VLOOKUP($D444,$C$5:$AU$511,20,)/VLOOKUP($D444,$C$5:$AU$511,3,))*$E444)</f>
        <v>0</v>
      </c>
      <c r="W444" s="98">
        <f>IF(VLOOKUP($D444,$C$5:$AU$511,3,)=0,0,(VLOOKUP($D444,$C$5:$AU$511,21,)/VLOOKUP($D444,$C$5:$AU$511,3,))*$E444)</f>
        <v>0</v>
      </c>
      <c r="X444" s="98">
        <f>IF(VLOOKUP($D444,$C$5:$AU$511,3,)=0,0,(VLOOKUP($D444,$C$5:$AU$511,22,)/VLOOKUP($D444,$C$5:$AU$511,3,))*$E444)</f>
        <v>0</v>
      </c>
      <c r="Y444" s="98">
        <f>IF(VLOOKUP($D444,$C$5:$AU$511,3,)=0,0,(VLOOKUP($D444,$C$5:$AU$511,23,)/VLOOKUP($D444,$C$5:$AU$511,3,))*$E444)</f>
        <v>0</v>
      </c>
      <c r="Z444" s="98">
        <f>IF(VLOOKUP($D444,$C$5:$AU$511,3,)=0,0,(VLOOKUP($D444,$C$5:$AU$511,24,)/VLOOKUP($D444,$C$5:$AU$511,3,))*$E444)</f>
        <v>0</v>
      </c>
      <c r="AA444" s="98">
        <f>IF(VLOOKUP($D444,$C$5:$AU$511,3,)=0,0,(VLOOKUP($D444,$C$5:$AU$511,25,)/VLOOKUP($D444,$C$5:$AU$511,3,))*$E444)</f>
        <v>0</v>
      </c>
      <c r="AB444" s="98">
        <f>IF(VLOOKUP($D444,$C$5:$AU$511,3,)=0,0,(VLOOKUP($D444,$C$5:$AU$511,26,)/VLOOKUP($D444,$C$5:$AU$511,3,))*$E444)</f>
        <v>0</v>
      </c>
      <c r="AC444" s="98">
        <f>IF(VLOOKUP($D444,$C$5:$AU$511,3,)=0,0,(VLOOKUP($D444,$C$5:$AU$511,27,)/VLOOKUP($D444,$C$5:$AU$511,3,))*$E444)</f>
        <v>0</v>
      </c>
      <c r="AD444" s="98">
        <f>IF(VLOOKUP($D444,$C$5:$AU$511,3,)=0,0,(VLOOKUP($D444,$C$5:$AU$511,28,)/VLOOKUP($D444,$C$5:$AU$511,3,))*$E444)</f>
        <v>0</v>
      </c>
      <c r="AE444" s="98">
        <f>IF(VLOOKUP($D444,$C$5:$AU$511,3,)=0,0,(VLOOKUP($D444,$C$5:$AU$511,29,)/VLOOKUP($D444,$C$5:$AU$511,3,))*$E444)</f>
        <v>0</v>
      </c>
      <c r="AF444" s="98">
        <f>IF(VLOOKUP($D444,$C$5:$AU$511,3,)=0,0,(VLOOKUP($D444,$C$5:$AU$511,30,)/VLOOKUP($D444,$C$5:$AU$511,3,))*$E444)</f>
        <v>0</v>
      </c>
      <c r="AG444" s="98">
        <f>SUM(F444:AF444)</f>
        <v>0</v>
      </c>
      <c r="AH444" s="28" t="str">
        <f t="shared" si="211"/>
        <v>ok</v>
      </c>
    </row>
    <row r="445" spans="1:34" x14ac:dyDescent="0.25">
      <c r="E445" s="49"/>
      <c r="F445" s="49"/>
      <c r="G445" s="49"/>
      <c r="H445" s="49"/>
      <c r="I445" s="49"/>
      <c r="J445" s="49"/>
      <c r="K445" s="49"/>
      <c r="L445" s="49"/>
      <c r="M445" s="49"/>
      <c r="N445" s="49"/>
      <c r="O445" s="49"/>
      <c r="P445" s="49"/>
      <c r="Q445" s="49"/>
      <c r="R445" s="49"/>
      <c r="S445" s="49"/>
      <c r="T445" s="49"/>
      <c r="U445" s="49"/>
      <c r="V445" s="49"/>
      <c r="W445" s="49"/>
      <c r="X445" s="49"/>
      <c r="Y445" s="49"/>
      <c r="Z445" s="49"/>
      <c r="AA445" s="49"/>
      <c r="AB445" s="49"/>
      <c r="AC445" s="49"/>
      <c r="AD445" s="49"/>
      <c r="AE445" s="49"/>
      <c r="AF445" s="49"/>
      <c r="AG445" s="49"/>
      <c r="AH445" s="28"/>
    </row>
    <row r="446" spans="1:34" x14ac:dyDescent="0.25">
      <c r="A446" s="14" t="s">
        <v>602</v>
      </c>
      <c r="B446" s="50"/>
      <c r="C446" s="14" t="s">
        <v>606</v>
      </c>
      <c r="E446" s="50">
        <v>2314155.8287592698</v>
      </c>
      <c r="F446" s="50">
        <f>F428</f>
        <v>1642839.0406674917</v>
      </c>
      <c r="G446" s="50">
        <f t="shared" ref="G446:L446" si="214">G428</f>
        <v>1446.8026220344768</v>
      </c>
      <c r="H446" s="50">
        <f>H428</f>
        <v>59509.255033452806</v>
      </c>
      <c r="I446" s="50">
        <f>I428</f>
        <v>119639.552</v>
      </c>
      <c r="J446" s="50">
        <f>J428</f>
        <v>172990.87100000001</v>
      </c>
      <c r="K446" s="50">
        <f>K428</f>
        <v>248805</v>
      </c>
      <c r="L446" s="50">
        <f t="shared" si="214"/>
        <v>65236</v>
      </c>
      <c r="M446" s="50">
        <f>M428</f>
        <v>3689.3074362913071</v>
      </c>
      <c r="N446" s="50">
        <f>N428*2.11</f>
        <v>0</v>
      </c>
      <c r="O446" s="50">
        <f>O428*((2.11*0.83)+0.17)</f>
        <v>0</v>
      </c>
      <c r="P446" s="50">
        <f>P428</f>
        <v>0</v>
      </c>
      <c r="Q446" s="50">
        <f>Q428*2.11</f>
        <v>0</v>
      </c>
      <c r="R446" s="50">
        <f>R428*2.11</f>
        <v>0</v>
      </c>
      <c r="S446" s="50">
        <f>S428</f>
        <v>0</v>
      </c>
      <c r="T446" s="50">
        <f>T428*0.9</f>
        <v>0</v>
      </c>
      <c r="U446" s="50">
        <f t="shared" ref="U446:Z446" si="215">U428</f>
        <v>0</v>
      </c>
      <c r="V446" s="50">
        <f t="shared" si="215"/>
        <v>0</v>
      </c>
      <c r="W446" s="50">
        <f t="shared" si="215"/>
        <v>0</v>
      </c>
      <c r="X446" s="50">
        <f t="shared" si="215"/>
        <v>0</v>
      </c>
      <c r="Y446" s="50">
        <f t="shared" si="215"/>
        <v>0</v>
      </c>
      <c r="Z446" s="50">
        <f t="shared" si="215"/>
        <v>0</v>
      </c>
      <c r="AA446" s="50">
        <f>AA428*0.5</f>
        <v>0</v>
      </c>
      <c r="AB446" s="50">
        <f>AB428*0.1</f>
        <v>0</v>
      </c>
      <c r="AC446" s="50">
        <f>AC428*0.5</f>
        <v>0</v>
      </c>
      <c r="AD446" s="50">
        <f>AD428*0.07</f>
        <v>0</v>
      </c>
      <c r="AE446" s="50">
        <f>AE428*0.07</f>
        <v>0</v>
      </c>
      <c r="AF446" s="50">
        <f>AF428</f>
        <v>0</v>
      </c>
      <c r="AG446" s="50">
        <f>SUM(F446:AF446)</f>
        <v>2314155.8287592698</v>
      </c>
      <c r="AH446" s="28" t="str">
        <f t="shared" ref="AH446:AH451" si="216">IF(ABS(E446-AG446)&lt;0.01,"ok","err")</f>
        <v>ok</v>
      </c>
    </row>
    <row r="447" spans="1:34" x14ac:dyDescent="0.25">
      <c r="A447" s="14" t="s">
        <v>603</v>
      </c>
      <c r="E447" s="90">
        <f>'Func &amp; Classif'!O54</f>
        <v>62675042.242689639</v>
      </c>
      <c r="AG447" s="90">
        <f>E447</f>
        <v>62675042.242689639</v>
      </c>
      <c r="AH447" s="28" t="str">
        <f t="shared" si="216"/>
        <v>ok</v>
      </c>
    </row>
    <row r="448" spans="1:34" x14ac:dyDescent="0.25">
      <c r="A448" s="14" t="s">
        <v>594</v>
      </c>
      <c r="E448" s="67"/>
      <c r="M448" s="50">
        <v>0</v>
      </c>
      <c r="N448" s="50">
        <v>0</v>
      </c>
      <c r="P448" s="50"/>
      <c r="Q448" s="50">
        <f>(1/70)*'Func &amp; Classif'!F53</f>
        <v>0</v>
      </c>
      <c r="AA448" s="67">
        <v>0</v>
      </c>
      <c r="AB448" s="67">
        <v>0</v>
      </c>
      <c r="AC448" s="67">
        <v>0</v>
      </c>
      <c r="AD448" s="67">
        <v>0</v>
      </c>
      <c r="AE448" s="67">
        <v>0</v>
      </c>
      <c r="AG448" s="90">
        <f>SUM(F448:AF448)</f>
        <v>0</v>
      </c>
      <c r="AH448" s="28" t="str">
        <f t="shared" si="216"/>
        <v>ok</v>
      </c>
    </row>
    <row r="449" spans="1:34" x14ac:dyDescent="0.25">
      <c r="A449" s="14" t="s">
        <v>604</v>
      </c>
      <c r="D449" s="14" t="s">
        <v>626</v>
      </c>
      <c r="E449" s="90">
        <f>E447-E448</f>
        <v>62675042.242689639</v>
      </c>
      <c r="F449" s="101">
        <f>IF(VLOOKUP($D449,$C$5:$AU$511,3,)=0,0,(VLOOKUP($D449,$C$5:$AU$511,4,)/VLOOKUP($D449,$C$5:$AU$511,3,))*$E449)</f>
        <v>44493549.220917962</v>
      </c>
      <c r="G449" s="67">
        <f>IF(VLOOKUP($D449,$C$5:$AU$511,3,)=0,0,(VLOOKUP($D449,$C$5:$AU$511,5,)/VLOOKUP($D449,$C$5:$AU$511,3,))*$E449)</f>
        <v>39184.230519801262</v>
      </c>
      <c r="H449" s="67">
        <f>IF(VLOOKUP($D449,$C$5:$AU$511,3,)=0,0,(VLOOKUP($D449,$C$5:$AU$511,6,)/VLOOKUP($D449,$C$5:$AU$511,3,))*$E449)</f>
        <v>1611708.6959750422</v>
      </c>
      <c r="I449" s="67">
        <f>IF(VLOOKUP($D449,$C$5:$AU$511,3,)=0,0,(VLOOKUP($D449,$C$5:$AU$511,7,)/VLOOKUP($D449,$C$5:$AU$511,3,))*$E449)</f>
        <v>3240237.2745644893</v>
      </c>
      <c r="J449" s="67">
        <f>IF(VLOOKUP($D449,$C$5:$AU$511,3,)=0,0,(VLOOKUP($D449,$C$5:$AU$511,8,)/VLOOKUP($D449,$C$5:$AU$511,3,))*$E449)</f>
        <v>4685168.566776121</v>
      </c>
      <c r="K449" s="67">
        <f>IF(VLOOKUP($D449,$C$5:$AU$511,3,)=0,0,(VLOOKUP($D449,$C$5:$AU$511,9,)/VLOOKUP($D449,$C$5:$AU$511,3,))*$E449)</f>
        <v>6738467.5186515059</v>
      </c>
      <c r="L449" s="67">
        <f>IF(VLOOKUP($D449,$C$5:$AU$511,3,)=0,0,(VLOOKUP($D449,$C$5:$AU$511,10,)/VLOOKUP($D449,$C$5:$AU$511,3,))*$E449)</f>
        <v>1766808.0104770791</v>
      </c>
      <c r="M449" s="67">
        <f>IF(VLOOKUP($D449,$C$5:$AU$511,3,)=0,0,(VLOOKUP($D449,$C$5:$AU$511,11,)/VLOOKUP($D449,$C$5:$AU$511,3,))*$E449)</f>
        <v>99918.724807654318</v>
      </c>
      <c r="N449" s="67">
        <f>IF(VLOOKUP($D449,$C$5:$AU$511,3,)=0,0,(VLOOKUP($D449,$C$5:$AU$511,12,)/VLOOKUP($D449,$C$5:$AU$511,3,))*$E449)</f>
        <v>0</v>
      </c>
      <c r="O449" s="67">
        <f>IF(VLOOKUP($D449,$C$5:$AU$511,3,)=0,0,(VLOOKUP($D449,$C$5:$AU$511,13,)/VLOOKUP($D449,$C$5:$AU$511,3,))*$E449)</f>
        <v>0</v>
      </c>
      <c r="P449" s="67">
        <f>IF(VLOOKUP($D449,$C$5:$AU$511,3,)=0,0,(VLOOKUP($D449,$C$5:$AU$511,14,)/VLOOKUP($D449,$C$5:$AU$511,3,))*$E449)</f>
        <v>0</v>
      </c>
      <c r="Q449" s="67">
        <f>IF(VLOOKUP($D449,$C$5:$AU$511,3,)=0,0,(VLOOKUP($D449,$C$5:$AU$511,15,)/VLOOKUP($D449,$C$5:$AU$511,3,))*$E449)</f>
        <v>0</v>
      </c>
      <c r="R449" s="67">
        <f>IF(VLOOKUP($D449,$C$5:$AU$511,3,)=0,0,(VLOOKUP($D449,$C$5:$AU$511,16,)/VLOOKUP($D449,$C$5:$AU$511,3,))*$E449)</f>
        <v>0</v>
      </c>
      <c r="S449" s="67">
        <f>IF(VLOOKUP($D449,$C$5:$AU$511,3,)=0,0,(VLOOKUP($D449,$C$5:$AU$511,17,)/VLOOKUP($D449,$C$5:$AU$511,3,))*$E449)</f>
        <v>0</v>
      </c>
      <c r="T449" s="67">
        <f>IF(VLOOKUP($D449,$C$5:$AU$511,3,)=0,0,(VLOOKUP($D449,$C$5:$AU$511,18,)/VLOOKUP($D449,$C$5:$AU$511,3,))*$E449)</f>
        <v>0</v>
      </c>
      <c r="U449" s="67">
        <f>IF(VLOOKUP($D449,$C$5:$AU$511,3,)=0,0,(VLOOKUP($D449,$C$5:$AU$511,19,)/VLOOKUP($D449,$C$5:$AU$511,3,))*$E449)</f>
        <v>0</v>
      </c>
      <c r="V449" s="67">
        <f>IF(VLOOKUP($D449,$C$5:$AU$511,3,)=0,0,(VLOOKUP($D449,$C$5:$AU$511,20,)/VLOOKUP($D449,$C$5:$AU$511,3,))*$E449)</f>
        <v>0</v>
      </c>
      <c r="W449" s="67">
        <f>IF(VLOOKUP($D449,$C$5:$AU$511,3,)=0,0,(VLOOKUP($D449,$C$5:$AU$511,21,)/VLOOKUP($D449,$C$5:$AU$511,3,))*$E449)</f>
        <v>0</v>
      </c>
      <c r="X449" s="67">
        <f>IF(VLOOKUP($D449,$C$5:$AU$511,3,)=0,0,(VLOOKUP($D449,$C$5:$AU$511,22,)/VLOOKUP($D449,$C$5:$AU$511,3,))*$E449)</f>
        <v>0</v>
      </c>
      <c r="Y449" s="67">
        <f>IF(VLOOKUP($D449,$C$5:$AU$511,3,)=0,0,(VLOOKUP($D449,$C$5:$AU$511,23,)/VLOOKUP($D449,$C$5:$AU$511,3,))*$E449)</f>
        <v>0</v>
      </c>
      <c r="Z449" s="67">
        <f>IF(VLOOKUP($D449,$C$5:$AU$511,3,)=0,0,(VLOOKUP($D449,$C$5:$AU$511,24,)/VLOOKUP($D449,$C$5:$AU$511,3,))*$E449)</f>
        <v>0</v>
      </c>
      <c r="AA449" s="67">
        <f>IF(VLOOKUP($D449,$C$5:$AU$511,3,)=0,0,(VLOOKUP($D449,$C$5:$AU$511,25,)/VLOOKUP($D449,$C$5:$AU$511,3,))*$E449)</f>
        <v>0</v>
      </c>
      <c r="AB449" s="67">
        <f>IF(VLOOKUP($D449,$C$5:$AU$511,3,)=0,0,(VLOOKUP($D449,$C$5:$AU$511,26,)/VLOOKUP($D449,$C$5:$AU$511,3,))*$E449)</f>
        <v>0</v>
      </c>
      <c r="AC449" s="67">
        <f>IF(VLOOKUP($D449,$C$5:$AU$511,3,)=0,0,(VLOOKUP($D449,$C$5:$AU$511,27,)/VLOOKUP($D449,$C$5:$AU$511,3,))*$E449)</f>
        <v>0</v>
      </c>
      <c r="AD449" s="67">
        <f>IF(VLOOKUP($D449,$C$5:$AU$511,3,)=0,0,(VLOOKUP($D449,$C$5:$AU$511,28,)/VLOOKUP($D449,$C$5:$AU$511,3,))*$E449)</f>
        <v>0</v>
      </c>
      <c r="AE449" s="67">
        <f>IF(VLOOKUP($D449,$C$5:$AU$511,3,)=0,0,(VLOOKUP($D449,$C$5:$AU$511,29,)/VLOOKUP($D449,$C$5:$AU$511,3,))*$E449)</f>
        <v>0</v>
      </c>
      <c r="AF449" s="67">
        <f>IF(VLOOKUP($D449,$C$5:$AU$511,3,)=0,0,(VLOOKUP($D449,$C$5:$AU$511,30,)/VLOOKUP($D449,$C$5:$AU$511,3,))*$E449)</f>
        <v>0</v>
      </c>
      <c r="AG449" s="90">
        <f>SUM(F449:AF449)</f>
        <v>62675042.242689662</v>
      </c>
      <c r="AH449" s="28" t="str">
        <f t="shared" si="216"/>
        <v>ok</v>
      </c>
    </row>
    <row r="450" spans="1:34" x14ac:dyDescent="0.25">
      <c r="A450" s="14" t="s">
        <v>605</v>
      </c>
      <c r="C450" s="14" t="s">
        <v>608</v>
      </c>
      <c r="E450" s="90">
        <f t="shared" ref="E450:AF450" si="217">E448+E449</f>
        <v>62675042.242689639</v>
      </c>
      <c r="F450" s="199">
        <f t="shared" si="217"/>
        <v>44493549.220917962</v>
      </c>
      <c r="G450" s="90">
        <f t="shared" si="217"/>
        <v>39184.230519801262</v>
      </c>
      <c r="H450" s="90">
        <f t="shared" si="217"/>
        <v>1611708.6959750422</v>
      </c>
      <c r="I450" s="90">
        <f t="shared" si="217"/>
        <v>3240237.2745644893</v>
      </c>
      <c r="J450" s="90">
        <f t="shared" si="217"/>
        <v>4685168.566776121</v>
      </c>
      <c r="K450" s="90">
        <f t="shared" si="217"/>
        <v>6738467.5186515059</v>
      </c>
      <c r="L450" s="90">
        <f t="shared" si="217"/>
        <v>1766808.0104770791</v>
      </c>
      <c r="M450" s="90">
        <f t="shared" si="217"/>
        <v>99918.724807654318</v>
      </c>
      <c r="N450" s="90">
        <f t="shared" si="217"/>
        <v>0</v>
      </c>
      <c r="O450" s="90">
        <f t="shared" si="217"/>
        <v>0</v>
      </c>
      <c r="P450" s="90">
        <f>P448+P449</f>
        <v>0</v>
      </c>
      <c r="Q450" s="90">
        <f t="shared" si="217"/>
        <v>0</v>
      </c>
      <c r="R450" s="90">
        <f t="shared" si="217"/>
        <v>0</v>
      </c>
      <c r="S450" s="90">
        <f t="shared" si="217"/>
        <v>0</v>
      </c>
      <c r="T450" s="90">
        <f t="shared" si="217"/>
        <v>0</v>
      </c>
      <c r="U450" s="90">
        <f t="shared" si="217"/>
        <v>0</v>
      </c>
      <c r="V450" s="90">
        <f t="shared" si="217"/>
        <v>0</v>
      </c>
      <c r="W450" s="90">
        <f t="shared" si="217"/>
        <v>0</v>
      </c>
      <c r="X450" s="90">
        <f t="shared" si="217"/>
        <v>0</v>
      </c>
      <c r="Y450" s="90">
        <f t="shared" si="217"/>
        <v>0</v>
      </c>
      <c r="Z450" s="90">
        <f t="shared" si="217"/>
        <v>0</v>
      </c>
      <c r="AA450" s="90">
        <f t="shared" si="217"/>
        <v>0</v>
      </c>
      <c r="AB450" s="90">
        <f t="shared" si="217"/>
        <v>0</v>
      </c>
      <c r="AC450" s="90">
        <f t="shared" si="217"/>
        <v>0</v>
      </c>
      <c r="AD450" s="90">
        <f t="shared" si="217"/>
        <v>0</v>
      </c>
      <c r="AE450" s="90">
        <f t="shared" si="217"/>
        <v>0</v>
      </c>
      <c r="AF450" s="90">
        <f t="shared" si="217"/>
        <v>0</v>
      </c>
      <c r="AG450" s="90">
        <f>SUM(F450:AF450)</f>
        <v>62675042.242689662</v>
      </c>
      <c r="AH450" s="28" t="str">
        <f t="shared" si="216"/>
        <v>ok</v>
      </c>
    </row>
    <row r="451" spans="1:34" x14ac:dyDescent="0.25">
      <c r="A451" s="14" t="s">
        <v>634</v>
      </c>
      <c r="C451" s="14" t="s">
        <v>607</v>
      </c>
      <c r="D451" s="14" t="s">
        <v>608</v>
      </c>
      <c r="E451" s="49">
        <v>1</v>
      </c>
      <c r="F451" s="98">
        <f>IF(VLOOKUP($D451,$C$5:$AU$511,3,)=0,0,(VLOOKUP($D451,$C$5:$AU$511,4,)/VLOOKUP($D451,$C$5:$AU$511,3,))*$E451)</f>
        <v>0.70990856374105837</v>
      </c>
      <c r="G451" s="98">
        <f>IF(VLOOKUP($D451,$C$5:$AU$511,3,)=0,0,(VLOOKUP($D451,$C$5:$AU$511,5,)/VLOOKUP($D451,$C$5:$AU$511,3,))*$E451)</f>
        <v>6.2519671495509324E-4</v>
      </c>
      <c r="H451" s="98">
        <f>IF(VLOOKUP($D451,$C$5:$AU$511,3,)=0,0,(VLOOKUP($D451,$C$5:$AU$511,6,)/VLOOKUP($D451,$C$5:$AU$511,3,))*$E451)</f>
        <v>2.5715318862238667E-2</v>
      </c>
      <c r="I451" s="98">
        <f>IF(VLOOKUP($D451,$C$5:$AU$511,3,)=0,0,(VLOOKUP($D451,$C$5:$AU$511,7,)/VLOOKUP($D451,$C$5:$AU$511,3,))*$E451)</f>
        <v>5.1699004238683663E-2</v>
      </c>
      <c r="J451" s="98">
        <f>IF(VLOOKUP($D451,$C$5:$AU$511,3,)=0,0,(VLOOKUP($D451,$C$5:$AU$511,8,)/VLOOKUP($D451,$C$5:$AU$511,3,))*$E451)</f>
        <v>7.4753337199746278E-2</v>
      </c>
      <c r="K451" s="98">
        <f>IF(VLOOKUP($D451,$C$5:$AU$511,3,)=0,0,(VLOOKUP($D451,$C$5:$AU$511,9,)/VLOOKUP($D451,$C$5:$AU$511,3,))*$E451)</f>
        <v>0.10751436740256007</v>
      </c>
      <c r="L451" s="98">
        <f>IF(VLOOKUP($D451,$C$5:$AU$511,3,)=0,0,(VLOOKUP($D451,$C$5:$AU$511,10,)/VLOOKUP($D451,$C$5:$AU$511,3,))*$E451)</f>
        <v>2.8189977178406416E-2</v>
      </c>
      <c r="M451" s="98">
        <f>IF(VLOOKUP($D451,$C$5:$AU$511,3,)=0,0,(VLOOKUP($D451,$C$5:$AU$511,11,)/VLOOKUP($D451,$C$5:$AU$511,3,))*$E451)</f>
        <v>1.5942346623517233E-3</v>
      </c>
      <c r="N451" s="98">
        <f>IF(VLOOKUP($D451,$C$5:$AU$511,3,)=0,0,(VLOOKUP($D451,$C$5:$AU$511,12,)/VLOOKUP($D451,$C$5:$AU$511,3,))*$E451)</f>
        <v>0</v>
      </c>
      <c r="O451" s="98">
        <f>IF(VLOOKUP($D451,$C$5:$AU$511,3,)=0,0,(VLOOKUP($D451,$C$5:$AU$511,13,)/VLOOKUP($D451,$C$5:$AU$511,3,))*$E451)</f>
        <v>0</v>
      </c>
      <c r="P451" s="98">
        <f>IF(VLOOKUP($D451,$C$5:$AU$511,3,)=0,0,(VLOOKUP($D451,$C$5:$AU$511,14,)/VLOOKUP($D451,$C$5:$AU$511,3,))*$E451)</f>
        <v>0</v>
      </c>
      <c r="Q451" s="98">
        <f>IF(VLOOKUP($D451,$C$5:$AU$511,3,)=0,0,(VLOOKUP($D451,$C$5:$AU$511,15,)/VLOOKUP($D451,$C$5:$AU$511,3,))*$E451)</f>
        <v>0</v>
      </c>
      <c r="R451" s="98">
        <f>IF(VLOOKUP($D451,$C$5:$AU$511,3,)=0,0,(VLOOKUP($D451,$C$5:$AU$511,16,)/VLOOKUP($D451,$C$5:$AU$511,3,))*$E451)</f>
        <v>0</v>
      </c>
      <c r="S451" s="98">
        <f>IF(VLOOKUP($D451,$C$5:$AU$511,3,)=0,0,(VLOOKUP($D451,$C$5:$AU$511,17,)/VLOOKUP($D451,$C$5:$AU$511,3,))*$E451)</f>
        <v>0</v>
      </c>
      <c r="T451" s="98">
        <f>IF(VLOOKUP($D451,$C$5:$AU$511,3,)=0,0,(VLOOKUP($D451,$C$5:$AU$511,18,)/VLOOKUP($D451,$C$5:$AU$511,3,))*$E451)</f>
        <v>0</v>
      </c>
      <c r="U451" s="98">
        <f>IF(VLOOKUP($D451,$C$5:$AU$511,3,)=0,0,(VLOOKUP($D451,$C$5:$AU$511,19,)/VLOOKUP($D451,$C$5:$AU$511,3,))*$E451)</f>
        <v>0</v>
      </c>
      <c r="V451" s="98">
        <f>IF(VLOOKUP($D451,$C$5:$AU$511,3,)=0,0,(VLOOKUP($D451,$C$5:$AU$511,20,)/VLOOKUP($D451,$C$5:$AU$511,3,))*$E451)</f>
        <v>0</v>
      </c>
      <c r="W451" s="98">
        <f>IF(VLOOKUP($D451,$C$5:$AU$511,3,)=0,0,(VLOOKUP($D451,$C$5:$AU$511,21,)/VLOOKUP($D451,$C$5:$AU$511,3,))*$E451)</f>
        <v>0</v>
      </c>
      <c r="X451" s="98">
        <f>IF(VLOOKUP($D451,$C$5:$AU$511,3,)=0,0,(VLOOKUP($D451,$C$5:$AU$511,22,)/VLOOKUP($D451,$C$5:$AU$511,3,))*$E451)</f>
        <v>0</v>
      </c>
      <c r="Y451" s="98">
        <f>IF(VLOOKUP($D451,$C$5:$AU$511,3,)=0,0,(VLOOKUP($D451,$C$5:$AU$511,23,)/VLOOKUP($D451,$C$5:$AU$511,3,))*$E451)</f>
        <v>0</v>
      </c>
      <c r="Z451" s="98">
        <f>IF(VLOOKUP($D451,$C$5:$AU$511,3,)=0,0,(VLOOKUP($D451,$C$5:$AU$511,24,)/VLOOKUP($D451,$C$5:$AU$511,3,))*$E451)</f>
        <v>0</v>
      </c>
      <c r="AA451" s="98">
        <f>IF(VLOOKUP($D451,$C$5:$AU$511,3,)=0,0,(VLOOKUP($D451,$C$5:$AU$511,25,)/VLOOKUP($D451,$C$5:$AU$511,3,))*$E451)</f>
        <v>0</v>
      </c>
      <c r="AB451" s="98">
        <f>IF(VLOOKUP($D451,$C$5:$AU$511,3,)=0,0,(VLOOKUP($D451,$C$5:$AU$511,26,)/VLOOKUP($D451,$C$5:$AU$511,3,))*$E451)</f>
        <v>0</v>
      </c>
      <c r="AC451" s="98">
        <f>IF(VLOOKUP($D451,$C$5:$AU$511,3,)=0,0,(VLOOKUP($D451,$C$5:$AU$511,27,)/VLOOKUP($D451,$C$5:$AU$511,3,))*$E451)</f>
        <v>0</v>
      </c>
      <c r="AD451" s="98">
        <f>IF(VLOOKUP($D451,$C$5:$AU$511,3,)=0,0,(VLOOKUP($D451,$C$5:$AU$511,28,)/VLOOKUP($D451,$C$5:$AU$511,3,))*$E451)</f>
        <v>0</v>
      </c>
      <c r="AE451" s="98">
        <f>IF(VLOOKUP($D451,$C$5:$AU$511,3,)=0,0,(VLOOKUP($D451,$C$5:$AU$511,29,)/VLOOKUP($D451,$C$5:$AU$511,3,))*$E451)</f>
        <v>0</v>
      </c>
      <c r="AF451" s="98">
        <f>IF(VLOOKUP($D451,$C$5:$AU$511,3,)=0,0,(VLOOKUP($D451,$C$5:$AU$511,30,)/VLOOKUP($D451,$C$5:$AU$511,3,))*$E451)</f>
        <v>0</v>
      </c>
      <c r="AG451" s="98">
        <f>SUM(F451:AF451)</f>
        <v>1.0000000000000002</v>
      </c>
      <c r="AH451" s="28" t="str">
        <f t="shared" si="216"/>
        <v>ok</v>
      </c>
    </row>
    <row r="453" spans="1:34" x14ac:dyDescent="0.25">
      <c r="A453" s="14" t="s">
        <v>602</v>
      </c>
      <c r="C453" s="14" t="s">
        <v>626</v>
      </c>
      <c r="E453" s="50">
        <f>E446</f>
        <v>2314155.8287592698</v>
      </c>
      <c r="F453" s="48">
        <f>F446</f>
        <v>1642839.0406674917</v>
      </c>
      <c r="G453" s="50">
        <f t="shared" ref="G453:Q453" si="218">G446</f>
        <v>1446.8026220344768</v>
      </c>
      <c r="H453" s="50">
        <f t="shared" si="218"/>
        <v>59509.255033452806</v>
      </c>
      <c r="I453" s="50">
        <f t="shared" si="218"/>
        <v>119639.552</v>
      </c>
      <c r="J453" s="50">
        <f t="shared" si="218"/>
        <v>172990.87100000001</v>
      </c>
      <c r="K453" s="50">
        <f t="shared" si="218"/>
        <v>248805</v>
      </c>
      <c r="L453" s="50">
        <f t="shared" si="218"/>
        <v>65236</v>
      </c>
      <c r="M453" s="50">
        <f t="shared" si="218"/>
        <v>3689.3074362913071</v>
      </c>
      <c r="N453" s="50">
        <f t="shared" si="218"/>
        <v>0</v>
      </c>
      <c r="O453" s="50">
        <f t="shared" si="218"/>
        <v>0</v>
      </c>
      <c r="P453" s="50">
        <f t="shared" si="218"/>
        <v>0</v>
      </c>
      <c r="Q453" s="50">
        <f t="shared" si="218"/>
        <v>0</v>
      </c>
      <c r="R453" s="50">
        <f>R446</f>
        <v>0</v>
      </c>
      <c r="S453" s="50">
        <f>S446</f>
        <v>0</v>
      </c>
      <c r="T453" s="50">
        <f>T446</f>
        <v>0</v>
      </c>
      <c r="U453" s="50">
        <f t="shared" ref="U453:AF453" si="219">U446</f>
        <v>0</v>
      </c>
      <c r="V453" s="50">
        <f t="shared" si="219"/>
        <v>0</v>
      </c>
      <c r="W453" s="50">
        <f t="shared" si="219"/>
        <v>0</v>
      </c>
      <c r="X453" s="50">
        <f t="shared" si="219"/>
        <v>0</v>
      </c>
      <c r="Y453" s="50">
        <f t="shared" si="219"/>
        <v>0</v>
      </c>
      <c r="Z453" s="50">
        <f t="shared" si="219"/>
        <v>0</v>
      </c>
      <c r="AA453" s="50">
        <f t="shared" si="219"/>
        <v>0</v>
      </c>
      <c r="AB453" s="50">
        <f t="shared" si="219"/>
        <v>0</v>
      </c>
      <c r="AC453" s="50">
        <f t="shared" si="219"/>
        <v>0</v>
      </c>
      <c r="AD453" s="50">
        <f t="shared" si="219"/>
        <v>0</v>
      </c>
      <c r="AE453" s="50">
        <f t="shared" si="219"/>
        <v>0</v>
      </c>
      <c r="AF453" s="50">
        <f t="shared" si="219"/>
        <v>0</v>
      </c>
      <c r="AG453" s="50">
        <f>SUM(F453:AF453)</f>
        <v>2314155.8287592698</v>
      </c>
      <c r="AH453" s="28" t="str">
        <f t="shared" ref="AH453:AH458" si="220">IF(ABS(E453-AG453)&lt;0.01,"ok","err")</f>
        <v>ok</v>
      </c>
    </row>
    <row r="454" spans="1:34" x14ac:dyDescent="0.25">
      <c r="A454" s="14" t="s">
        <v>603</v>
      </c>
      <c r="E454" s="90">
        <f>E447</f>
        <v>62675042.242689639</v>
      </c>
      <c r="AG454" s="90">
        <f>E454</f>
        <v>62675042.242689639</v>
      </c>
      <c r="AH454" s="28" t="str">
        <f t="shared" si="220"/>
        <v>ok</v>
      </c>
    </row>
    <row r="455" spans="1:34" x14ac:dyDescent="0.25">
      <c r="A455" s="14" t="s">
        <v>594</v>
      </c>
      <c r="E455" s="67"/>
      <c r="M455" s="50">
        <v>0</v>
      </c>
      <c r="N455" s="50">
        <v>0</v>
      </c>
      <c r="P455" s="50"/>
      <c r="Q455" s="102"/>
      <c r="R455" s="14">
        <v>0</v>
      </c>
      <c r="S455" s="14">
        <v>0</v>
      </c>
      <c r="AA455" s="67">
        <v>0</v>
      </c>
      <c r="AB455" s="67">
        <v>0</v>
      </c>
      <c r="AC455" s="67">
        <v>0</v>
      </c>
      <c r="AD455" s="90">
        <f>AD448</f>
        <v>0</v>
      </c>
      <c r="AE455" s="67">
        <v>0</v>
      </c>
      <c r="AG455" s="90">
        <f>SUM(F455:AF455)</f>
        <v>0</v>
      </c>
      <c r="AH455" s="28" t="str">
        <f t="shared" si="220"/>
        <v>ok</v>
      </c>
    </row>
    <row r="456" spans="1:34" x14ac:dyDescent="0.25">
      <c r="A456" s="14" t="s">
        <v>604</v>
      </c>
      <c r="D456" s="14" t="s">
        <v>626</v>
      </c>
      <c r="E456" s="90">
        <f>E454-E455</f>
        <v>62675042.242689639</v>
      </c>
      <c r="F456" s="101">
        <f>IF(VLOOKUP($D456,$C$5:$AU$511,3,)=0,0,(VLOOKUP($D456,$C$5:$AU$511,4,)/VLOOKUP($D456,$C$5:$AU$511,3,))*$E456)</f>
        <v>44493549.220917962</v>
      </c>
      <c r="G456" s="67">
        <f>IF(VLOOKUP($D456,$C$5:$AU$511,3,)=0,0,(VLOOKUP($D456,$C$5:$AU$511,5,)/VLOOKUP($D456,$C$5:$AU$511,3,))*$E456)</f>
        <v>39184.230519801262</v>
      </c>
      <c r="H456" s="67">
        <f>IF(VLOOKUP($D456,$C$5:$AU$511,3,)=0,0,(VLOOKUP($D456,$C$5:$AU$511,6,)/VLOOKUP($D456,$C$5:$AU$511,3,))*$E456)</f>
        <v>1611708.6959750422</v>
      </c>
      <c r="I456" s="67">
        <f>IF(VLOOKUP($D456,$C$5:$AU$511,3,)=0,0,(VLOOKUP($D456,$C$5:$AU$511,7,)/VLOOKUP($D456,$C$5:$AU$511,3,))*$E456)</f>
        <v>3240237.2745644893</v>
      </c>
      <c r="J456" s="67">
        <f>IF(VLOOKUP($D456,$C$5:$AU$511,3,)=0,0,(VLOOKUP($D456,$C$5:$AU$511,8,)/VLOOKUP($D456,$C$5:$AU$511,3,))*$E456)</f>
        <v>4685168.566776121</v>
      </c>
      <c r="K456" s="67">
        <f>IF(VLOOKUP($D456,$C$5:$AU$511,3,)=0,0,(VLOOKUP($D456,$C$5:$AU$511,9,)/VLOOKUP($D456,$C$5:$AU$511,3,))*$E456)</f>
        <v>6738467.5186515059</v>
      </c>
      <c r="L456" s="67">
        <f>IF(VLOOKUP($D456,$C$5:$AU$511,3,)=0,0,(VLOOKUP($D456,$C$5:$AU$511,10,)/VLOOKUP($D456,$C$5:$AU$511,3,))*$E456)</f>
        <v>1766808.0104770791</v>
      </c>
      <c r="M456" s="67">
        <f>IF(VLOOKUP($D456,$C$5:$AU$511,3,)=0,0,(VLOOKUP($D456,$C$5:$AU$511,11,)/VLOOKUP($D456,$C$5:$AU$511,3,))*$E456)</f>
        <v>99918.724807654318</v>
      </c>
      <c r="N456" s="67">
        <f>IF(VLOOKUP($D456,$C$5:$AU$511,3,)=0,0,(VLOOKUP($D456,$C$5:$AU$511,12,)/VLOOKUP($D456,$C$5:$AU$511,3,))*$E456)</f>
        <v>0</v>
      </c>
      <c r="O456" s="67">
        <f>IF(VLOOKUP($D456,$C$5:$AU$511,3,)=0,0,(VLOOKUP($D456,$C$5:$AU$511,13,)/VLOOKUP($D456,$C$5:$AU$511,3,))*$E456)</f>
        <v>0</v>
      </c>
      <c r="P456" s="67">
        <f>IF(VLOOKUP($D456,$C$5:$AU$511,3,)=0,0,(VLOOKUP($D456,$C$5:$AU$511,14,)/VLOOKUP($D456,$C$5:$AU$511,3,))*$E456)</f>
        <v>0</v>
      </c>
      <c r="Q456" s="67">
        <f>IF(VLOOKUP($D456,$C$5:$AU$511,3,)=0,0,(VLOOKUP($D456,$C$5:$AU$511,15,)/VLOOKUP($D456,$C$5:$AU$511,3,))*$E456)</f>
        <v>0</v>
      </c>
      <c r="R456" s="67">
        <f>IF(VLOOKUP($D456,$C$5:$AU$511,3,)=0,0,(VLOOKUP($D456,$C$5:$AU$511,16,)/VLOOKUP($D456,$C$5:$AU$511,3,))*$E456)</f>
        <v>0</v>
      </c>
      <c r="S456" s="67">
        <f>IF(VLOOKUP($D456,$C$5:$AU$511,3,)=0,0,(VLOOKUP($D456,$C$5:$AU$511,17,)/VLOOKUP($D456,$C$5:$AU$511,3,))*$E456)</f>
        <v>0</v>
      </c>
      <c r="T456" s="67">
        <f>IF(VLOOKUP($D456,$C$5:$AU$511,3,)=0,0,(VLOOKUP($D456,$C$5:$AU$511,18,)/VLOOKUP($D456,$C$5:$AU$511,3,))*$E456)</f>
        <v>0</v>
      </c>
      <c r="U456" s="67">
        <f>IF(VLOOKUP($D456,$C$5:$AU$511,3,)=0,0,(VLOOKUP($D456,$C$5:$AU$511,19,)/VLOOKUP($D456,$C$5:$AU$511,3,))*$E456)</f>
        <v>0</v>
      </c>
      <c r="V456" s="67">
        <f>IF(VLOOKUP($D456,$C$5:$AU$511,3,)=0,0,(VLOOKUP($D456,$C$5:$AU$511,20,)/VLOOKUP($D456,$C$5:$AU$511,3,))*$E456)</f>
        <v>0</v>
      </c>
      <c r="W456" s="67">
        <f>IF(VLOOKUP($D456,$C$5:$AU$511,3,)=0,0,(VLOOKUP($D456,$C$5:$AU$511,21,)/VLOOKUP($D456,$C$5:$AU$511,3,))*$E456)</f>
        <v>0</v>
      </c>
      <c r="X456" s="67">
        <f>IF(VLOOKUP($D456,$C$5:$AU$511,3,)=0,0,(VLOOKUP($D456,$C$5:$AU$511,22,)/VLOOKUP($D456,$C$5:$AU$511,3,))*$E456)</f>
        <v>0</v>
      </c>
      <c r="Y456" s="67">
        <f>IF(VLOOKUP($D456,$C$5:$AU$511,3,)=0,0,(VLOOKUP($D456,$C$5:$AU$511,23,)/VLOOKUP($D456,$C$5:$AU$511,3,))*$E456)</f>
        <v>0</v>
      </c>
      <c r="Z456" s="67">
        <f>IF(VLOOKUP($D456,$C$5:$AU$511,3,)=0,0,(VLOOKUP($D456,$C$5:$AU$511,24,)/VLOOKUP($D456,$C$5:$AU$511,3,))*$E456)</f>
        <v>0</v>
      </c>
      <c r="AA456" s="67">
        <f>IF(VLOOKUP($D456,$C$5:$AU$511,3,)=0,0,(VLOOKUP($D456,$C$5:$AU$511,25,)/VLOOKUP($D456,$C$5:$AU$511,3,))*$E456)</f>
        <v>0</v>
      </c>
      <c r="AB456" s="67">
        <f>IF(VLOOKUP($D456,$C$5:$AU$511,3,)=0,0,(VLOOKUP($D456,$C$5:$AU$511,26,)/VLOOKUP($D456,$C$5:$AU$511,3,))*$E456)</f>
        <v>0</v>
      </c>
      <c r="AC456" s="67">
        <f>IF(VLOOKUP($D456,$C$5:$AU$511,3,)=0,0,(VLOOKUP($D456,$C$5:$AU$511,27,)/VLOOKUP($D456,$C$5:$AU$511,3,))*$E456)</f>
        <v>0</v>
      </c>
      <c r="AD456" s="67">
        <f>IF(VLOOKUP($D456,$C$5:$AU$511,3,)=0,0,(VLOOKUP($D456,$C$5:$AU$511,28,)/VLOOKUP($D456,$C$5:$AU$511,3,))*$E456)</f>
        <v>0</v>
      </c>
      <c r="AE456" s="67">
        <f>IF(VLOOKUP($D456,$C$5:$AU$511,3,)=0,0,(VLOOKUP($D456,$C$5:$AU$511,29,)/VLOOKUP($D456,$C$5:$AU$511,3,))*$E456)</f>
        <v>0</v>
      </c>
      <c r="AF456" s="67">
        <f>IF(VLOOKUP($D456,$C$5:$AU$511,3,)=0,0,(VLOOKUP($D456,$C$5:$AU$511,30,)/VLOOKUP($D456,$C$5:$AU$511,3,))*$E456)</f>
        <v>0</v>
      </c>
      <c r="AG456" s="90">
        <f>SUM(F456:AF456)</f>
        <v>62675042.242689662</v>
      </c>
      <c r="AH456" s="28" t="str">
        <f t="shared" si="220"/>
        <v>ok</v>
      </c>
    </row>
    <row r="457" spans="1:34" x14ac:dyDescent="0.25">
      <c r="A457" s="14" t="s">
        <v>605</v>
      </c>
      <c r="C457" s="14" t="s">
        <v>627</v>
      </c>
      <c r="E457" s="90">
        <f t="shared" ref="E457:AF457" si="221">E455+E456</f>
        <v>62675042.242689639</v>
      </c>
      <c r="F457" s="199">
        <f t="shared" si="221"/>
        <v>44493549.220917962</v>
      </c>
      <c r="G457" s="90">
        <f t="shared" si="221"/>
        <v>39184.230519801262</v>
      </c>
      <c r="H457" s="90">
        <f t="shared" si="221"/>
        <v>1611708.6959750422</v>
      </c>
      <c r="I457" s="90">
        <f t="shared" si="221"/>
        <v>3240237.2745644893</v>
      </c>
      <c r="J457" s="90">
        <f t="shared" si="221"/>
        <v>4685168.566776121</v>
      </c>
      <c r="K457" s="90">
        <f t="shared" si="221"/>
        <v>6738467.5186515059</v>
      </c>
      <c r="L457" s="90">
        <f t="shared" si="221"/>
        <v>1766808.0104770791</v>
      </c>
      <c r="M457" s="90">
        <f t="shared" si="221"/>
        <v>99918.724807654318</v>
      </c>
      <c r="N457" s="90">
        <f t="shared" si="221"/>
        <v>0</v>
      </c>
      <c r="O457" s="90">
        <f t="shared" si="221"/>
        <v>0</v>
      </c>
      <c r="P457" s="90">
        <f t="shared" si="221"/>
        <v>0</v>
      </c>
      <c r="Q457" s="90">
        <f t="shared" si="221"/>
        <v>0</v>
      </c>
      <c r="R457" s="90">
        <f t="shared" si="221"/>
        <v>0</v>
      </c>
      <c r="S457" s="90">
        <f t="shared" si="221"/>
        <v>0</v>
      </c>
      <c r="T457" s="90">
        <f t="shared" si="221"/>
        <v>0</v>
      </c>
      <c r="U457" s="90">
        <f t="shared" si="221"/>
        <v>0</v>
      </c>
      <c r="V457" s="90">
        <f t="shared" si="221"/>
        <v>0</v>
      </c>
      <c r="W457" s="90">
        <f t="shared" si="221"/>
        <v>0</v>
      </c>
      <c r="X457" s="90">
        <f t="shared" si="221"/>
        <v>0</v>
      </c>
      <c r="Y457" s="90">
        <f t="shared" si="221"/>
        <v>0</v>
      </c>
      <c r="Z457" s="90">
        <f t="shared" si="221"/>
        <v>0</v>
      </c>
      <c r="AA457" s="90">
        <f t="shared" si="221"/>
        <v>0</v>
      </c>
      <c r="AB457" s="90">
        <f t="shared" si="221"/>
        <v>0</v>
      </c>
      <c r="AC457" s="90">
        <f t="shared" si="221"/>
        <v>0</v>
      </c>
      <c r="AD457" s="90">
        <f t="shared" si="221"/>
        <v>0</v>
      </c>
      <c r="AE457" s="90">
        <f t="shared" si="221"/>
        <v>0</v>
      </c>
      <c r="AF457" s="90">
        <f t="shared" si="221"/>
        <v>0</v>
      </c>
      <c r="AG457" s="90">
        <f>SUM(F457:AF457)</f>
        <v>62675042.242689662</v>
      </c>
      <c r="AH457" s="28" t="str">
        <f t="shared" si="220"/>
        <v>ok</v>
      </c>
    </row>
    <row r="458" spans="1:34" x14ac:dyDescent="0.25">
      <c r="A458" s="14" t="s">
        <v>633</v>
      </c>
      <c r="C458" s="14" t="s">
        <v>628</v>
      </c>
      <c r="D458" s="14" t="s">
        <v>627</v>
      </c>
      <c r="E458" s="49">
        <v>1</v>
      </c>
      <c r="F458" s="98">
        <f>IF(VLOOKUP($D458,$C$5:$AU$511,3,)=0,0,(VLOOKUP($D458,$C$5:$AU$511,4,)/VLOOKUP($D458,$C$5:$AU$511,3,))*$E458)</f>
        <v>0.70990856374105837</v>
      </c>
      <c r="G458" s="98">
        <f>IF(VLOOKUP($D458,$C$5:$AU$511,3,)=0,0,(VLOOKUP($D458,$C$5:$AU$511,5,)/VLOOKUP($D458,$C$5:$AU$511,3,))*$E458)</f>
        <v>6.2519671495509324E-4</v>
      </c>
      <c r="H458" s="98">
        <f>IF(VLOOKUP($D458,$C$5:$AU$511,3,)=0,0,(VLOOKUP($D458,$C$5:$AU$511,6,)/VLOOKUP($D458,$C$5:$AU$511,3,))*$E458)</f>
        <v>2.5715318862238667E-2</v>
      </c>
      <c r="I458" s="98">
        <f>IF(VLOOKUP($D458,$C$5:$AU$511,3,)=0,0,(VLOOKUP($D458,$C$5:$AU$511,7,)/VLOOKUP($D458,$C$5:$AU$511,3,))*$E458)</f>
        <v>5.1699004238683663E-2</v>
      </c>
      <c r="J458" s="98">
        <f>IF(VLOOKUP($D458,$C$5:$AU$511,3,)=0,0,(VLOOKUP($D458,$C$5:$AU$511,8,)/VLOOKUP($D458,$C$5:$AU$511,3,))*$E458)</f>
        <v>7.4753337199746278E-2</v>
      </c>
      <c r="K458" s="98">
        <f>IF(VLOOKUP($D458,$C$5:$AU$511,3,)=0,0,(VLOOKUP($D458,$C$5:$AU$511,9,)/VLOOKUP($D458,$C$5:$AU$511,3,))*$E458)</f>
        <v>0.10751436740256007</v>
      </c>
      <c r="L458" s="98">
        <f>IF(VLOOKUP($D458,$C$5:$AU$511,3,)=0,0,(VLOOKUP($D458,$C$5:$AU$511,10,)/VLOOKUP($D458,$C$5:$AU$511,3,))*$E458)</f>
        <v>2.8189977178406416E-2</v>
      </c>
      <c r="M458" s="98">
        <f>IF(VLOOKUP($D458,$C$5:$AU$511,3,)=0,0,(VLOOKUP($D458,$C$5:$AU$511,11,)/VLOOKUP($D458,$C$5:$AU$511,3,))*$E458)</f>
        <v>1.5942346623517233E-3</v>
      </c>
      <c r="N458" s="98">
        <f>IF(VLOOKUP($D458,$C$5:$AU$511,3,)=0,0,(VLOOKUP($D458,$C$5:$AU$511,12,)/VLOOKUP($D458,$C$5:$AU$511,3,))*$E458)</f>
        <v>0</v>
      </c>
      <c r="O458" s="98">
        <f>IF(VLOOKUP($D458,$C$5:$AU$511,3,)=0,0,(VLOOKUP($D458,$C$5:$AU$511,13,)/VLOOKUP($D458,$C$5:$AU$511,3,))*$E458)</f>
        <v>0</v>
      </c>
      <c r="P458" s="98">
        <f>IF(VLOOKUP($D458,$C$5:$AU$511,3,)=0,0,(VLOOKUP($D458,$C$5:$AU$511,14,)/VLOOKUP($D458,$C$5:$AU$511,3,))*$E458)</f>
        <v>0</v>
      </c>
      <c r="Q458" s="98">
        <f>IF(VLOOKUP($D458,$C$5:$AU$511,3,)=0,0,(VLOOKUP($D458,$C$5:$AU$511,15,)/VLOOKUP($D458,$C$5:$AU$511,3,))*$E458)</f>
        <v>0</v>
      </c>
      <c r="R458" s="98">
        <f>IF(VLOOKUP($D458,$C$5:$AU$511,3,)=0,0,(VLOOKUP($D458,$C$5:$AU$511,16,)/VLOOKUP($D458,$C$5:$AU$511,3,))*$E458)</f>
        <v>0</v>
      </c>
      <c r="S458" s="98">
        <f>IF(VLOOKUP($D458,$C$5:$AU$511,3,)=0,0,(VLOOKUP($D458,$C$5:$AU$511,17,)/VLOOKUP($D458,$C$5:$AU$511,3,))*$E458)</f>
        <v>0</v>
      </c>
      <c r="T458" s="98">
        <f>IF(VLOOKUP($D458,$C$5:$AU$511,3,)=0,0,(VLOOKUP($D458,$C$5:$AU$511,18,)/VLOOKUP($D458,$C$5:$AU$511,3,))*$E458)</f>
        <v>0</v>
      </c>
      <c r="U458" s="98">
        <f>IF(VLOOKUP($D458,$C$5:$AU$511,3,)=0,0,(VLOOKUP($D458,$C$5:$AU$511,19,)/VLOOKUP($D458,$C$5:$AU$511,3,))*$E458)</f>
        <v>0</v>
      </c>
      <c r="V458" s="98">
        <f>IF(VLOOKUP($D458,$C$5:$AU$511,3,)=0,0,(VLOOKUP($D458,$C$5:$AU$511,20,)/VLOOKUP($D458,$C$5:$AU$511,3,))*$E458)</f>
        <v>0</v>
      </c>
      <c r="W458" s="98">
        <f>IF(VLOOKUP($D458,$C$5:$AU$511,3,)=0,0,(VLOOKUP($D458,$C$5:$AU$511,21,)/VLOOKUP($D458,$C$5:$AU$511,3,))*$E458)</f>
        <v>0</v>
      </c>
      <c r="X458" s="98">
        <f>IF(VLOOKUP($D458,$C$5:$AU$511,3,)=0,0,(VLOOKUP($D458,$C$5:$AU$511,22,)/VLOOKUP($D458,$C$5:$AU$511,3,))*$E458)</f>
        <v>0</v>
      </c>
      <c r="Y458" s="98">
        <f>IF(VLOOKUP($D458,$C$5:$AU$511,3,)=0,0,(VLOOKUP($D458,$C$5:$AU$511,23,)/VLOOKUP($D458,$C$5:$AU$511,3,))*$E458)</f>
        <v>0</v>
      </c>
      <c r="Z458" s="98">
        <f>IF(VLOOKUP($D458,$C$5:$AU$511,3,)=0,0,(VLOOKUP($D458,$C$5:$AU$511,24,)/VLOOKUP($D458,$C$5:$AU$511,3,))*$E458)</f>
        <v>0</v>
      </c>
      <c r="AA458" s="98">
        <f>IF(VLOOKUP($D458,$C$5:$AU$511,3,)=0,0,(VLOOKUP($D458,$C$5:$AU$511,25,)/VLOOKUP($D458,$C$5:$AU$511,3,))*$E458)</f>
        <v>0</v>
      </c>
      <c r="AB458" s="98">
        <f>IF(VLOOKUP($D458,$C$5:$AU$511,3,)=0,0,(VLOOKUP($D458,$C$5:$AU$511,26,)/VLOOKUP($D458,$C$5:$AU$511,3,))*$E458)</f>
        <v>0</v>
      </c>
      <c r="AC458" s="98">
        <f>IF(VLOOKUP($D458,$C$5:$AU$511,3,)=0,0,(VLOOKUP($D458,$C$5:$AU$511,27,)/VLOOKUP($D458,$C$5:$AU$511,3,))*$E458)</f>
        <v>0</v>
      </c>
      <c r="AD458" s="98">
        <f>IF(VLOOKUP($D458,$C$5:$AU$511,3,)=0,0,(VLOOKUP($D458,$C$5:$AU$511,28,)/VLOOKUP($D458,$C$5:$AU$511,3,))*$E458)</f>
        <v>0</v>
      </c>
      <c r="AE458" s="98">
        <f>IF(VLOOKUP($D458,$C$5:$AU$511,3,)=0,0,(VLOOKUP($D458,$C$5:$AU$511,29,)/VLOOKUP($D458,$C$5:$AU$511,3,))*$E458)</f>
        <v>0</v>
      </c>
      <c r="AF458" s="98">
        <f>IF(VLOOKUP($D458,$C$5:$AU$511,3,)=0,0,(VLOOKUP($D458,$C$5:$AU$511,30,)/VLOOKUP($D458,$C$5:$AU$511,3,))*$E458)</f>
        <v>0</v>
      </c>
      <c r="AG458" s="98">
        <f>SUM(F458:AF458)</f>
        <v>1.0000000000000002</v>
      </c>
      <c r="AH458" s="28" t="str">
        <f t="shared" si="220"/>
        <v>ok</v>
      </c>
    </row>
    <row r="460" spans="1:34" x14ac:dyDescent="0.25">
      <c r="A460" s="14" t="s">
        <v>609</v>
      </c>
      <c r="C460" s="14" t="s">
        <v>613</v>
      </c>
      <c r="E460" s="50">
        <f>E439</f>
        <v>1049933.0004534973</v>
      </c>
      <c r="F460" s="50">
        <f t="shared" ref="F460:S460" si="222">F439</f>
        <v>671010.22087557742</v>
      </c>
      <c r="G460" s="50">
        <f t="shared" si="222"/>
        <v>0</v>
      </c>
      <c r="H460" s="50">
        <f t="shared" si="222"/>
        <v>47662.78827538318</v>
      </c>
      <c r="I460" s="50">
        <f t="shared" si="222"/>
        <v>96393.596490449301</v>
      </c>
      <c r="J460" s="50">
        <f t="shared" si="222"/>
        <v>77845.891950000005</v>
      </c>
      <c r="K460" s="50">
        <f t="shared" si="222"/>
        <v>124402.5</v>
      </c>
      <c r="L460" s="50">
        <f t="shared" si="222"/>
        <v>32618</v>
      </c>
      <c r="M460" s="50">
        <f t="shared" si="222"/>
        <v>0</v>
      </c>
      <c r="N460" s="50">
        <f t="shared" si="222"/>
        <v>0</v>
      </c>
      <c r="O460" s="50">
        <f t="shared" si="222"/>
        <v>0</v>
      </c>
      <c r="P460" s="50">
        <f t="shared" si="222"/>
        <v>0</v>
      </c>
      <c r="Q460" s="50">
        <f t="shared" si="222"/>
        <v>0</v>
      </c>
      <c r="R460" s="50">
        <f t="shared" si="222"/>
        <v>0</v>
      </c>
      <c r="S460" s="50">
        <f t="shared" si="222"/>
        <v>0</v>
      </c>
      <c r="T460" s="50">
        <f t="shared" ref="T460:Y460" si="223">T427</f>
        <v>0</v>
      </c>
      <c r="U460" s="50">
        <f t="shared" si="223"/>
        <v>0</v>
      </c>
      <c r="V460" s="50">
        <f t="shared" si="223"/>
        <v>0</v>
      </c>
      <c r="W460" s="50">
        <f t="shared" si="223"/>
        <v>0</v>
      </c>
      <c r="X460" s="50">
        <f t="shared" si="223"/>
        <v>0</v>
      </c>
      <c r="Y460" s="50">
        <f t="shared" si="223"/>
        <v>0</v>
      </c>
      <c r="Z460" s="50">
        <f>Z427</f>
        <v>0</v>
      </c>
      <c r="AA460" s="50">
        <f>AA427</f>
        <v>0</v>
      </c>
      <c r="AB460" s="50">
        <f>AB427</f>
        <v>0</v>
      </c>
      <c r="AC460" s="50">
        <f>AC427</f>
        <v>0</v>
      </c>
      <c r="AD460" s="50">
        <v>0</v>
      </c>
      <c r="AE460" s="50">
        <v>0</v>
      </c>
      <c r="AF460" s="50">
        <f>AF427</f>
        <v>0</v>
      </c>
      <c r="AG460" s="90">
        <f>SUM(F460:AF460)</f>
        <v>1049932.9975914098</v>
      </c>
      <c r="AH460" s="28" t="str">
        <f t="shared" ref="AH460:AH465" si="224">IF(ABS(E460-AG460)&lt;0.01,"ok","err")</f>
        <v>ok</v>
      </c>
    </row>
    <row r="461" spans="1:34" x14ac:dyDescent="0.25">
      <c r="A461" s="14" t="s">
        <v>610</v>
      </c>
      <c r="E461" s="90">
        <f>'Func &amp; Classif'!M56</f>
        <v>922418.64</v>
      </c>
      <c r="AG461" s="90">
        <f>E461</f>
        <v>922418.64</v>
      </c>
      <c r="AH461" s="28" t="str">
        <f t="shared" si="224"/>
        <v>ok</v>
      </c>
    </row>
    <row r="462" spans="1:34" x14ac:dyDescent="0.25">
      <c r="A462" s="14" t="s">
        <v>594</v>
      </c>
      <c r="E462" s="50"/>
      <c r="F462" s="50">
        <v>0</v>
      </c>
      <c r="G462" s="50">
        <v>0</v>
      </c>
      <c r="H462" s="50">
        <v>0</v>
      </c>
      <c r="I462" s="50">
        <v>0</v>
      </c>
      <c r="J462" s="50">
        <v>0</v>
      </c>
      <c r="K462" s="50">
        <v>0</v>
      </c>
      <c r="L462" s="50">
        <v>0</v>
      </c>
      <c r="M462" s="50">
        <v>0</v>
      </c>
      <c r="N462" s="50">
        <v>0</v>
      </c>
      <c r="O462" s="67"/>
      <c r="P462" s="50"/>
      <c r="Q462" s="14">
        <v>0</v>
      </c>
      <c r="R462" s="14">
        <v>0</v>
      </c>
      <c r="S462" s="14">
        <v>0</v>
      </c>
      <c r="AG462" s="90">
        <f>SUM(F462:AF462)</f>
        <v>0</v>
      </c>
      <c r="AH462" s="28" t="str">
        <f t="shared" si="224"/>
        <v>ok</v>
      </c>
    </row>
    <row r="463" spans="1:34" x14ac:dyDescent="0.25">
      <c r="A463" s="14" t="s">
        <v>611</v>
      </c>
      <c r="D463" s="14" t="s">
        <v>613</v>
      </c>
      <c r="E463" s="90">
        <f>E461-E462</f>
        <v>922418.64</v>
      </c>
      <c r="F463" s="67">
        <f>IF(VLOOKUP($D463,$C$5:$AU$511,3,)=0,0,(VLOOKUP($D463,$C$5:$AU$511,4,)/VLOOKUP($D463,$C$5:$AU$511,3,))*$E463)</f>
        <v>589516.0311170388</v>
      </c>
      <c r="G463" s="67">
        <f>IF(VLOOKUP($D463,$C$5:$AU$511,3,)=0,0,(VLOOKUP($D463,$C$5:$AU$511,5,)/VLOOKUP($D463,$C$5:$AU$511,3,))*$E463)</f>
        <v>0</v>
      </c>
      <c r="H463" s="67">
        <f>IF(VLOOKUP($D463,$C$5:$AU$511,3,)=0,0,(VLOOKUP($D463,$C$5:$AU$511,6,)/VLOOKUP($D463,$C$5:$AU$511,3,))*$E463)</f>
        <v>41874.142750629886</v>
      </c>
      <c r="I463" s="67">
        <f>IF(VLOOKUP($D463,$C$5:$AU$511,3,)=0,0,(VLOOKUP($D463,$C$5:$AU$511,7,)/VLOOKUP($D463,$C$5:$AU$511,3,))*$E463)</f>
        <v>84686.594421762042</v>
      </c>
      <c r="J463" s="67">
        <f>IF(VLOOKUP($D463,$C$5:$AU$511,3,)=0,0,(VLOOKUP($D463,$C$5:$AU$511,8,)/VLOOKUP($D463,$C$5:$AU$511,3,))*$E463)</f>
        <v>68391.508554441651</v>
      </c>
      <c r="K463" s="67">
        <f>IF(VLOOKUP($D463,$C$5:$AU$511,3,)=0,0,(VLOOKUP($D463,$C$5:$AU$511,9,)/VLOOKUP($D463,$C$5:$AU$511,3,))*$E463)</f>
        <v>109293.81666547823</v>
      </c>
      <c r="L463" s="67">
        <f>IF(VLOOKUP($D463,$C$5:$AU$511,3,)=0,0,(VLOOKUP($D463,$C$5:$AU$511,10,)/VLOOKUP($D463,$C$5:$AU$511,3,))*$E463)</f>
        <v>28656.543976162608</v>
      </c>
      <c r="M463" s="67">
        <f>IF(VLOOKUP($D463,$C$5:$AU$511,3,)=0,0,(VLOOKUP($D463,$C$5:$AU$511,11,)/VLOOKUP($D463,$C$5:$AU$511,3,))*$E463)</f>
        <v>0</v>
      </c>
      <c r="N463" s="67">
        <f>IF(VLOOKUP($D463,$C$5:$AU$511,3,)=0,0,(VLOOKUP($D463,$C$5:$AU$511,12,)/VLOOKUP($D463,$C$5:$AU$511,3,))*$E463)</f>
        <v>0</v>
      </c>
      <c r="O463" s="67">
        <f>IF(VLOOKUP($D463,$C$5:$AU$511,3,)=0,0,(VLOOKUP($D463,$C$5:$AU$511,13,)/VLOOKUP($D463,$C$5:$AU$511,3,))*$E463)</f>
        <v>0</v>
      </c>
      <c r="P463" s="67">
        <f>IF(VLOOKUP($D463,$C$5:$AU$511,3,)=0,0,(VLOOKUP($D463,$C$5:$AU$511,14,)/VLOOKUP($D463,$C$5:$AU$511,3,))*$E463)</f>
        <v>0</v>
      </c>
      <c r="Q463" s="67">
        <f>IF(VLOOKUP($D463,$C$5:$AU$511,3,)=0,0,(VLOOKUP($D463,$C$5:$AU$511,15,)/VLOOKUP($D463,$C$5:$AU$511,3,))*$E463)</f>
        <v>0</v>
      </c>
      <c r="R463" s="67">
        <f>IF(VLOOKUP($D463,$C$5:$AU$511,3,)=0,0,(VLOOKUP($D463,$C$5:$AU$511,16,)/VLOOKUP($D463,$C$5:$AU$511,3,))*$E463)</f>
        <v>0</v>
      </c>
      <c r="S463" s="67">
        <f>IF(VLOOKUP($D463,$C$5:$AU$511,3,)=0,0,(VLOOKUP($D463,$C$5:$AU$511,17,)/VLOOKUP($D463,$C$5:$AU$511,3,))*$E463)</f>
        <v>0</v>
      </c>
      <c r="T463" s="67">
        <f>IF(VLOOKUP($D463,$C$5:$AU$511,3,)=0,0,(VLOOKUP($D463,$C$5:$AU$511,18,)/VLOOKUP($D463,$C$5:$AU$511,3,))*$E463)</f>
        <v>0</v>
      </c>
      <c r="U463" s="67">
        <f>IF(VLOOKUP($D463,$C$5:$AU$511,3,)=0,0,(VLOOKUP($D463,$C$5:$AU$511,19,)/VLOOKUP($D463,$C$5:$AU$511,3,))*$E463)</f>
        <v>0</v>
      </c>
      <c r="V463" s="67">
        <f>IF(VLOOKUP($D463,$C$5:$AU$511,3,)=0,0,(VLOOKUP($D463,$C$5:$AU$511,20,)/VLOOKUP($D463,$C$5:$AU$511,3,))*$E463)</f>
        <v>0</v>
      </c>
      <c r="W463" s="67">
        <f>IF(VLOOKUP($D463,$C$5:$AU$511,3,)=0,0,(VLOOKUP($D463,$C$5:$AU$511,21,)/VLOOKUP($D463,$C$5:$AU$511,3,))*$E463)</f>
        <v>0</v>
      </c>
      <c r="X463" s="67">
        <f>IF(VLOOKUP($D463,$C$5:$AU$511,3,)=0,0,(VLOOKUP($D463,$C$5:$AU$511,22,)/VLOOKUP($D463,$C$5:$AU$511,3,))*$E463)</f>
        <v>0</v>
      </c>
      <c r="Y463" s="67">
        <f>IF(VLOOKUP($D463,$C$5:$AU$511,3,)=0,0,(VLOOKUP($D463,$C$5:$AU$511,23,)/VLOOKUP($D463,$C$5:$AU$511,3,))*$E463)</f>
        <v>0</v>
      </c>
      <c r="Z463" s="67">
        <f>IF(VLOOKUP($D463,$C$5:$AU$511,3,)=0,0,(VLOOKUP($D463,$C$5:$AU$511,24,)/VLOOKUP($D463,$C$5:$AU$511,3,))*$E463)</f>
        <v>0</v>
      </c>
      <c r="AA463" s="67">
        <f>IF(VLOOKUP($D463,$C$5:$AU$511,3,)=0,0,(VLOOKUP($D463,$C$5:$AU$511,25,)/VLOOKUP($D463,$C$5:$AU$511,3,))*$E463)</f>
        <v>0</v>
      </c>
      <c r="AB463" s="67">
        <f>IF(VLOOKUP($D463,$C$5:$AU$511,3,)=0,0,(VLOOKUP($D463,$C$5:$AU$511,26,)/VLOOKUP($D463,$C$5:$AU$511,3,))*$E463)</f>
        <v>0</v>
      </c>
      <c r="AC463" s="67">
        <f>IF(VLOOKUP($D463,$C$5:$AU$511,3,)=0,0,(VLOOKUP($D463,$C$5:$AU$511,27,)/VLOOKUP($D463,$C$5:$AU$511,3,))*$E463)</f>
        <v>0</v>
      </c>
      <c r="AD463" s="67">
        <f>IF(VLOOKUP($D463,$C$5:$AU$511,3,)=0,0,(VLOOKUP($D463,$C$5:$AU$511,28,)/VLOOKUP($D463,$C$5:$AU$511,3,))*$E463)</f>
        <v>0</v>
      </c>
      <c r="AE463" s="67">
        <f>IF(VLOOKUP($D463,$C$5:$AU$511,3,)=0,0,(VLOOKUP($D463,$C$5:$AU$511,29,)/VLOOKUP($D463,$C$5:$AU$511,3,))*$E463)</f>
        <v>0</v>
      </c>
      <c r="AF463" s="67">
        <f>IF(VLOOKUP($D463,$C$5:$AU$511,3,)=0,0,(VLOOKUP($D463,$C$5:$AU$511,30,)/VLOOKUP($D463,$C$5:$AU$511,3,))*$E463)</f>
        <v>0</v>
      </c>
      <c r="AG463" s="90">
        <f>SUM(F463:AF463)</f>
        <v>922418.63748551323</v>
      </c>
      <c r="AH463" s="28" t="str">
        <f t="shared" si="224"/>
        <v>ok</v>
      </c>
    </row>
    <row r="464" spans="1:34" x14ac:dyDescent="0.25">
      <c r="A464" s="14" t="s">
        <v>612</v>
      </c>
      <c r="C464" s="14" t="s">
        <v>614</v>
      </c>
      <c r="E464" s="90">
        <f t="shared" ref="E464:AF464" si="225">E462+E463</f>
        <v>922418.64</v>
      </c>
      <c r="F464" s="90">
        <f t="shared" si="225"/>
        <v>589516.0311170388</v>
      </c>
      <c r="G464" s="90">
        <f t="shared" si="225"/>
        <v>0</v>
      </c>
      <c r="H464" s="90">
        <f t="shared" si="225"/>
        <v>41874.142750629886</v>
      </c>
      <c r="I464" s="90">
        <f t="shared" si="225"/>
        <v>84686.594421762042</v>
      </c>
      <c r="J464" s="90">
        <f t="shared" si="225"/>
        <v>68391.508554441651</v>
      </c>
      <c r="K464" s="90">
        <f t="shared" si="225"/>
        <v>109293.81666547823</v>
      </c>
      <c r="L464" s="90">
        <f t="shared" si="225"/>
        <v>28656.543976162608</v>
      </c>
      <c r="M464" s="90">
        <f t="shared" si="225"/>
        <v>0</v>
      </c>
      <c r="N464" s="90">
        <f t="shared" si="225"/>
        <v>0</v>
      </c>
      <c r="O464" s="90">
        <f t="shared" si="225"/>
        <v>0</v>
      </c>
      <c r="P464" s="90">
        <f t="shared" si="225"/>
        <v>0</v>
      </c>
      <c r="Q464" s="90">
        <f t="shared" si="225"/>
        <v>0</v>
      </c>
      <c r="R464" s="90">
        <f t="shared" si="225"/>
        <v>0</v>
      </c>
      <c r="S464" s="90">
        <f t="shared" si="225"/>
        <v>0</v>
      </c>
      <c r="T464" s="90">
        <f t="shared" si="225"/>
        <v>0</v>
      </c>
      <c r="U464" s="90">
        <f t="shared" si="225"/>
        <v>0</v>
      </c>
      <c r="V464" s="90">
        <f t="shared" si="225"/>
        <v>0</v>
      </c>
      <c r="W464" s="90">
        <f t="shared" si="225"/>
        <v>0</v>
      </c>
      <c r="X464" s="90">
        <f t="shared" si="225"/>
        <v>0</v>
      </c>
      <c r="Y464" s="90">
        <f t="shared" si="225"/>
        <v>0</v>
      </c>
      <c r="Z464" s="90">
        <f t="shared" si="225"/>
        <v>0</v>
      </c>
      <c r="AA464" s="90">
        <f t="shared" si="225"/>
        <v>0</v>
      </c>
      <c r="AB464" s="90">
        <f t="shared" si="225"/>
        <v>0</v>
      </c>
      <c r="AC464" s="90">
        <f t="shared" si="225"/>
        <v>0</v>
      </c>
      <c r="AD464" s="90">
        <f t="shared" si="225"/>
        <v>0</v>
      </c>
      <c r="AE464" s="90">
        <f t="shared" si="225"/>
        <v>0</v>
      </c>
      <c r="AF464" s="90">
        <f t="shared" si="225"/>
        <v>0</v>
      </c>
      <c r="AG464" s="90">
        <f>SUM(F464:AF464)</f>
        <v>922418.63748551323</v>
      </c>
      <c r="AH464" s="28" t="str">
        <f t="shared" si="224"/>
        <v>ok</v>
      </c>
    </row>
    <row r="465" spans="1:34" x14ac:dyDescent="0.25">
      <c r="A465" s="14" t="s">
        <v>635</v>
      </c>
      <c r="C465" s="14" t="s">
        <v>615</v>
      </c>
      <c r="D465" s="14" t="s">
        <v>614</v>
      </c>
      <c r="E465" s="49">
        <v>1</v>
      </c>
      <c r="F465" s="98">
        <f>IF(VLOOKUP($D465,$C$5:$AU$511,3,)=0,0,(VLOOKUP($D465,$C$5:$AU$511,4,)/VLOOKUP($D465,$C$5:$AU$511,3,))*$E465)</f>
        <v>0.63909813348637312</v>
      </c>
      <c r="G465" s="98">
        <f>IF(VLOOKUP($D465,$C$5:$AU$511,3,)=0,0,(VLOOKUP($D465,$C$5:$AU$511,5,)/VLOOKUP($D465,$C$5:$AU$511,3,))*$E465)</f>
        <v>0</v>
      </c>
      <c r="H465" s="98">
        <f>IF(VLOOKUP($D465,$C$5:$AU$511,3,)=0,0,(VLOOKUP($D465,$C$5:$AU$511,6,)/VLOOKUP($D465,$C$5:$AU$511,3,))*$E465)</f>
        <v>4.5396028370187622E-2</v>
      </c>
      <c r="I465" s="98">
        <f>IF(VLOOKUP($D465,$C$5:$AU$511,3,)=0,0,(VLOOKUP($D465,$C$5:$AU$511,7,)/VLOOKUP($D465,$C$5:$AU$511,3,))*$E465)</f>
        <v>9.1809283496007893E-2</v>
      </c>
      <c r="J465" s="98">
        <f>IF(VLOOKUP($D465,$C$5:$AU$511,3,)=0,0,(VLOOKUP($D465,$C$5:$AU$511,8,)/VLOOKUP($D465,$C$5:$AU$511,3,))*$E465)</f>
        <v>7.414367575490631E-2</v>
      </c>
      <c r="K465" s="98">
        <f>IF(VLOOKUP($D465,$C$5:$AU$511,3,)=0,0,(VLOOKUP($D465,$C$5:$AU$511,9,)/VLOOKUP($D465,$C$5:$AU$511,3,))*$E465)</f>
        <v>0.11848613192105292</v>
      </c>
      <c r="L465" s="98">
        <f>IF(VLOOKUP($D465,$C$5:$AU$511,3,)=0,0,(VLOOKUP($D465,$C$5:$AU$511,10,)/VLOOKUP($D465,$C$5:$AU$511,3,))*$E465)</f>
        <v>3.1066744245500728E-2</v>
      </c>
      <c r="M465" s="98">
        <f>IF(VLOOKUP($D465,$C$5:$AU$511,3,)=0,0,(VLOOKUP($D465,$C$5:$AU$511,11,)/VLOOKUP($D465,$C$5:$AU$511,3,))*$E465)</f>
        <v>0</v>
      </c>
      <c r="N465" s="98">
        <f>IF(VLOOKUP($D465,$C$5:$AU$511,3,)=0,0,(VLOOKUP($D465,$C$5:$AU$511,12,)/VLOOKUP($D465,$C$5:$AU$511,3,))*$E465)</f>
        <v>0</v>
      </c>
      <c r="O465" s="98">
        <f>IF(VLOOKUP($D465,$C$5:$AU$511,3,)=0,0,(VLOOKUP($D465,$C$5:$AU$511,13,)/VLOOKUP($D465,$C$5:$AU$511,3,))*$E465)</f>
        <v>0</v>
      </c>
      <c r="P465" s="98">
        <f>IF(VLOOKUP($D465,$C$5:$AU$511,3,)=0,0,(VLOOKUP($D465,$C$5:$AU$511,14,)/VLOOKUP($D465,$C$5:$AU$511,3,))*$E465)</f>
        <v>0</v>
      </c>
      <c r="Q465" s="98">
        <f>IF(VLOOKUP($D465,$C$5:$AU$511,3,)=0,0,(VLOOKUP($D465,$C$5:$AU$511,15,)/VLOOKUP($D465,$C$5:$AU$511,3,))*$E465)</f>
        <v>0</v>
      </c>
      <c r="R465" s="98">
        <f>IF(VLOOKUP($D465,$C$5:$AU$511,3,)=0,0,(VLOOKUP($D465,$C$5:$AU$511,16,)/VLOOKUP($D465,$C$5:$AU$511,3,))*$E465)</f>
        <v>0</v>
      </c>
      <c r="S465" s="98">
        <f>IF(VLOOKUP($D465,$C$5:$AU$511,3,)=0,0,(VLOOKUP($D465,$C$5:$AU$511,17,)/VLOOKUP($D465,$C$5:$AU$511,3,))*$E465)</f>
        <v>0</v>
      </c>
      <c r="T465" s="98">
        <f>IF(VLOOKUP($D465,$C$5:$AU$511,3,)=0,0,(VLOOKUP($D465,$C$5:$AU$511,18,)/VLOOKUP($D465,$C$5:$AU$511,3,))*$E465)</f>
        <v>0</v>
      </c>
      <c r="U465" s="98">
        <f>IF(VLOOKUP($D465,$C$5:$AU$511,3,)=0,0,(VLOOKUP($D465,$C$5:$AU$511,19,)/VLOOKUP($D465,$C$5:$AU$511,3,))*$E465)</f>
        <v>0</v>
      </c>
      <c r="V465" s="98">
        <f>IF(VLOOKUP($D465,$C$5:$AU$511,3,)=0,0,(VLOOKUP($D465,$C$5:$AU$511,20,)/VLOOKUP($D465,$C$5:$AU$511,3,))*$E465)</f>
        <v>0</v>
      </c>
      <c r="W465" s="98">
        <f>IF(VLOOKUP($D465,$C$5:$AU$511,3,)=0,0,(VLOOKUP($D465,$C$5:$AU$511,21,)/VLOOKUP($D465,$C$5:$AU$511,3,))*$E465)</f>
        <v>0</v>
      </c>
      <c r="X465" s="98">
        <f>IF(VLOOKUP($D465,$C$5:$AU$511,3,)=0,0,(VLOOKUP($D465,$C$5:$AU$511,22,)/VLOOKUP($D465,$C$5:$AU$511,3,))*$E465)</f>
        <v>0</v>
      </c>
      <c r="Y465" s="98">
        <f>IF(VLOOKUP($D465,$C$5:$AU$511,3,)=0,0,(VLOOKUP($D465,$C$5:$AU$511,23,)/VLOOKUP($D465,$C$5:$AU$511,3,))*$E465)</f>
        <v>0</v>
      </c>
      <c r="Z465" s="98">
        <f>IF(VLOOKUP($D465,$C$5:$AU$511,3,)=0,0,(VLOOKUP($D465,$C$5:$AU$511,24,)/VLOOKUP($D465,$C$5:$AU$511,3,))*$E465)</f>
        <v>0</v>
      </c>
      <c r="AA465" s="98">
        <f>IF(VLOOKUP($D465,$C$5:$AU$511,3,)=0,0,(VLOOKUP($D465,$C$5:$AU$511,25,)/VLOOKUP($D465,$C$5:$AU$511,3,))*$E465)</f>
        <v>0</v>
      </c>
      <c r="AB465" s="98">
        <f>IF(VLOOKUP($D465,$C$5:$AU$511,3,)=0,0,(VLOOKUP($D465,$C$5:$AU$511,26,)/VLOOKUP($D465,$C$5:$AU$511,3,))*$E465)</f>
        <v>0</v>
      </c>
      <c r="AC465" s="98">
        <f>IF(VLOOKUP($D465,$C$5:$AU$511,3,)=0,0,(VLOOKUP($D465,$C$5:$AU$511,27,)/VLOOKUP($D465,$C$5:$AU$511,3,))*$E465)</f>
        <v>0</v>
      </c>
      <c r="AD465" s="98">
        <f>IF(VLOOKUP($D465,$C$5:$AU$511,3,)=0,0,(VLOOKUP($D465,$C$5:$AU$511,28,)/VLOOKUP($D465,$C$5:$AU$511,3,))*$E465)</f>
        <v>0</v>
      </c>
      <c r="AE465" s="98">
        <f>IF(VLOOKUP($D465,$C$5:$AU$511,3,)=0,0,(VLOOKUP($D465,$C$5:$AU$511,29,)/VLOOKUP($D465,$C$5:$AU$511,3,))*$E465)</f>
        <v>0</v>
      </c>
      <c r="AF465" s="98">
        <f>IF(VLOOKUP($D465,$C$5:$AU$511,3,)=0,0,(VLOOKUP($D465,$C$5:$AU$511,30,)/VLOOKUP($D465,$C$5:$AU$511,3,))*$E465)</f>
        <v>0</v>
      </c>
      <c r="AG465" s="98">
        <f>SUM(F465:AF465)</f>
        <v>0.99999999727402866</v>
      </c>
      <c r="AH465" s="28" t="str">
        <f t="shared" si="224"/>
        <v>ok</v>
      </c>
    </row>
    <row r="467" spans="1:34" x14ac:dyDescent="0.25">
      <c r="A467" s="14" t="s">
        <v>609</v>
      </c>
      <c r="C467" s="14" t="s">
        <v>629</v>
      </c>
      <c r="E467" s="67">
        <f>E460</f>
        <v>1049933.0004534973</v>
      </c>
      <c r="F467" s="50">
        <f>F460</f>
        <v>671010.22087557742</v>
      </c>
      <c r="G467" s="50">
        <f t="shared" ref="G467:AF467" si="226">G460</f>
        <v>0</v>
      </c>
      <c r="H467" s="50">
        <f t="shared" si="226"/>
        <v>47662.78827538318</v>
      </c>
      <c r="I467" s="50">
        <f t="shared" si="226"/>
        <v>96393.596490449301</v>
      </c>
      <c r="J467" s="50">
        <f t="shared" si="226"/>
        <v>77845.891950000005</v>
      </c>
      <c r="K467" s="50">
        <f t="shared" si="226"/>
        <v>124402.5</v>
      </c>
      <c r="L467" s="50">
        <f t="shared" si="226"/>
        <v>32618</v>
      </c>
      <c r="M467" s="50">
        <f t="shared" si="226"/>
        <v>0</v>
      </c>
      <c r="N467" s="50">
        <f t="shared" si="226"/>
        <v>0</v>
      </c>
      <c r="O467" s="50">
        <f t="shared" si="226"/>
        <v>0</v>
      </c>
      <c r="P467" s="50">
        <f t="shared" si="226"/>
        <v>0</v>
      </c>
      <c r="Q467" s="50">
        <f t="shared" si="226"/>
        <v>0</v>
      </c>
      <c r="R467" s="50">
        <f t="shared" si="226"/>
        <v>0</v>
      </c>
      <c r="S467" s="50">
        <f t="shared" si="226"/>
        <v>0</v>
      </c>
      <c r="T467" s="50">
        <f t="shared" si="226"/>
        <v>0</v>
      </c>
      <c r="U467" s="50">
        <f t="shared" si="226"/>
        <v>0</v>
      </c>
      <c r="V467" s="50">
        <f t="shared" si="226"/>
        <v>0</v>
      </c>
      <c r="W467" s="50">
        <f t="shared" si="226"/>
        <v>0</v>
      </c>
      <c r="X467" s="50">
        <f t="shared" si="226"/>
        <v>0</v>
      </c>
      <c r="Y467" s="50">
        <f t="shared" si="226"/>
        <v>0</v>
      </c>
      <c r="Z467" s="50">
        <f t="shared" si="226"/>
        <v>0</v>
      </c>
      <c r="AA467" s="50">
        <f t="shared" si="226"/>
        <v>0</v>
      </c>
      <c r="AB467" s="50">
        <f t="shared" si="226"/>
        <v>0</v>
      </c>
      <c r="AC467" s="50">
        <f t="shared" si="226"/>
        <v>0</v>
      </c>
      <c r="AD467" s="50">
        <f t="shared" si="226"/>
        <v>0</v>
      </c>
      <c r="AE467" s="50">
        <f t="shared" si="226"/>
        <v>0</v>
      </c>
      <c r="AF467" s="50">
        <f t="shared" si="226"/>
        <v>0</v>
      </c>
      <c r="AG467" s="90">
        <f>SUM(F467:AF467)</f>
        <v>1049932.9975914098</v>
      </c>
      <c r="AH467" s="28" t="str">
        <f t="shared" ref="AH467:AH472" si="227">IF(ABS(E467-AG467)&lt;0.01,"ok","err")</f>
        <v>ok</v>
      </c>
    </row>
    <row r="468" spans="1:34" x14ac:dyDescent="0.25">
      <c r="A468" s="14" t="s">
        <v>610</v>
      </c>
      <c r="E468" s="90">
        <f>E461</f>
        <v>922418.64</v>
      </c>
      <c r="AG468" s="90">
        <f>E468</f>
        <v>922418.64</v>
      </c>
      <c r="AH468" s="28" t="str">
        <f t="shared" si="227"/>
        <v>ok</v>
      </c>
    </row>
    <row r="469" spans="1:34" x14ac:dyDescent="0.25">
      <c r="A469" s="14" t="s">
        <v>594</v>
      </c>
      <c r="E469" s="50"/>
      <c r="M469" s="50">
        <v>0</v>
      </c>
      <c r="N469" s="50">
        <v>0</v>
      </c>
      <c r="O469" s="50"/>
      <c r="P469" s="50"/>
      <c r="Q469" s="14">
        <v>0</v>
      </c>
      <c r="R469" s="14">
        <v>0</v>
      </c>
      <c r="S469" s="14">
        <v>0</v>
      </c>
      <c r="AD469" s="67">
        <v>0</v>
      </c>
      <c r="AE469" s="67"/>
      <c r="AG469" s="90">
        <f>SUM(F469:AF469)</f>
        <v>0</v>
      </c>
      <c r="AH469" s="28" t="str">
        <f t="shared" si="227"/>
        <v>ok</v>
      </c>
    </row>
    <row r="470" spans="1:34" x14ac:dyDescent="0.25">
      <c r="A470" s="14" t="s">
        <v>611</v>
      </c>
      <c r="D470" s="14" t="s">
        <v>629</v>
      </c>
      <c r="E470" s="90">
        <f>E468-E469</f>
        <v>922418.64</v>
      </c>
      <c r="F470" s="67">
        <f>IF(VLOOKUP($D470,$C$5:$AU$511,3,)=0,0,(VLOOKUP($D470,$C$5:$AU$511,4,)/VLOOKUP($D470,$C$5:$AU$511,3,))*$E470)</f>
        <v>589516.0311170388</v>
      </c>
      <c r="G470" s="67">
        <f>IF(VLOOKUP($D470,$C$5:$AU$511,3,)=0,0,(VLOOKUP($D470,$C$5:$AU$511,5,)/VLOOKUP($D470,$C$5:$AU$511,3,))*$E470)</f>
        <v>0</v>
      </c>
      <c r="H470" s="67">
        <f>IF(VLOOKUP($D470,$C$5:$AU$511,3,)=0,0,(VLOOKUP($D470,$C$5:$AU$511,6,)/VLOOKUP($D470,$C$5:$AU$511,3,))*$E470)</f>
        <v>41874.142750629886</v>
      </c>
      <c r="I470" s="67">
        <f>IF(VLOOKUP($D470,$C$5:$AU$511,3,)=0,0,(VLOOKUP($D470,$C$5:$AU$511,7,)/VLOOKUP($D470,$C$5:$AU$511,3,))*$E470)</f>
        <v>84686.594421762042</v>
      </c>
      <c r="J470" s="67">
        <f>IF(VLOOKUP($D470,$C$5:$AU$511,3,)=0,0,(VLOOKUP($D470,$C$5:$AU$511,8,)/VLOOKUP($D470,$C$5:$AU$511,3,))*$E470)</f>
        <v>68391.508554441651</v>
      </c>
      <c r="K470" s="67">
        <f>IF(VLOOKUP($D470,$C$5:$AU$511,3,)=0,0,(VLOOKUP($D470,$C$5:$AU$511,9,)/VLOOKUP($D470,$C$5:$AU$511,3,))*$E470)</f>
        <v>109293.81666547823</v>
      </c>
      <c r="L470" s="67">
        <f>IF(VLOOKUP($D470,$C$5:$AU$511,3,)=0,0,(VLOOKUP($D470,$C$5:$AU$511,10,)/VLOOKUP($D470,$C$5:$AU$511,3,))*$E470)</f>
        <v>28656.543976162608</v>
      </c>
      <c r="M470" s="67">
        <f>IF(VLOOKUP($D470,$C$5:$AU$511,3,)=0,0,(VLOOKUP($D470,$C$5:$AU$511,11,)/VLOOKUP($D470,$C$5:$AU$511,3,))*$E470)</f>
        <v>0</v>
      </c>
      <c r="N470" s="67">
        <f>IF(VLOOKUP($D470,$C$5:$AU$511,3,)=0,0,(VLOOKUP($D470,$C$5:$AU$511,12,)/VLOOKUP($D470,$C$5:$AU$511,3,))*$E470)</f>
        <v>0</v>
      </c>
      <c r="O470" s="67">
        <f>IF(VLOOKUP($D470,$C$5:$AU$511,3,)=0,0,(VLOOKUP($D470,$C$5:$AU$511,13,)/VLOOKUP($D470,$C$5:$AU$511,3,))*$E470)</f>
        <v>0</v>
      </c>
      <c r="P470" s="67">
        <f>IF(VLOOKUP($D470,$C$5:$AU$511,3,)=0,0,(VLOOKUP($D470,$C$5:$AU$511,14,)/VLOOKUP($D470,$C$5:$AU$511,3,))*$E470)</f>
        <v>0</v>
      </c>
      <c r="Q470" s="67">
        <f>IF(VLOOKUP($D470,$C$5:$AU$511,3,)=0,0,(VLOOKUP($D470,$C$5:$AU$511,15,)/VLOOKUP($D470,$C$5:$AU$511,3,))*$E470)</f>
        <v>0</v>
      </c>
      <c r="R470" s="67">
        <f>IF(VLOOKUP($D470,$C$5:$AU$511,3,)=0,0,(VLOOKUP($D470,$C$5:$AU$511,16,)/VLOOKUP($D470,$C$5:$AU$511,3,))*$E470)</f>
        <v>0</v>
      </c>
      <c r="S470" s="67">
        <f>IF(VLOOKUP($D470,$C$5:$AU$511,3,)=0,0,(VLOOKUP($D470,$C$5:$AU$511,17,)/VLOOKUP($D470,$C$5:$AU$511,3,))*$E470)</f>
        <v>0</v>
      </c>
      <c r="T470" s="67">
        <f>IF(VLOOKUP($D470,$C$5:$AU$511,3,)=0,0,(VLOOKUP($D470,$C$5:$AU$511,18,)/VLOOKUP($D470,$C$5:$AU$511,3,))*$E470)</f>
        <v>0</v>
      </c>
      <c r="U470" s="67">
        <f>IF(VLOOKUP($D470,$C$5:$AU$511,3,)=0,0,(VLOOKUP($D470,$C$5:$AU$511,19,)/VLOOKUP($D470,$C$5:$AU$511,3,))*$E470)</f>
        <v>0</v>
      </c>
      <c r="V470" s="67">
        <f>IF(VLOOKUP($D470,$C$5:$AU$511,3,)=0,0,(VLOOKUP($D470,$C$5:$AU$511,20,)/VLOOKUP($D470,$C$5:$AU$511,3,))*$E470)</f>
        <v>0</v>
      </c>
      <c r="W470" s="67">
        <f>IF(VLOOKUP($D470,$C$5:$AU$511,3,)=0,0,(VLOOKUP($D470,$C$5:$AU$511,21,)/VLOOKUP($D470,$C$5:$AU$511,3,))*$E470)</f>
        <v>0</v>
      </c>
      <c r="X470" s="67">
        <f>IF(VLOOKUP($D470,$C$5:$AU$511,3,)=0,0,(VLOOKUP($D470,$C$5:$AU$511,22,)/VLOOKUP($D470,$C$5:$AU$511,3,))*$E470)</f>
        <v>0</v>
      </c>
      <c r="Y470" s="67">
        <f>IF(VLOOKUP($D470,$C$5:$AU$511,3,)=0,0,(VLOOKUP($D470,$C$5:$AU$511,23,)/VLOOKUP($D470,$C$5:$AU$511,3,))*$E470)</f>
        <v>0</v>
      </c>
      <c r="Z470" s="67">
        <f>IF(VLOOKUP($D470,$C$5:$AU$511,3,)=0,0,(VLOOKUP($D470,$C$5:$AU$511,24,)/VLOOKUP($D470,$C$5:$AU$511,3,))*$E470)</f>
        <v>0</v>
      </c>
      <c r="AA470" s="67">
        <f>IF(VLOOKUP($D470,$C$5:$AU$511,3,)=0,0,(VLOOKUP($D470,$C$5:$AU$511,25,)/VLOOKUP($D470,$C$5:$AU$511,3,))*$E470)</f>
        <v>0</v>
      </c>
      <c r="AB470" s="67">
        <f>IF(VLOOKUP($D470,$C$5:$AU$511,3,)=0,0,(VLOOKUP($D470,$C$5:$AU$511,26,)/VLOOKUP($D470,$C$5:$AU$511,3,))*$E470)</f>
        <v>0</v>
      </c>
      <c r="AC470" s="67">
        <f>IF(VLOOKUP($D470,$C$5:$AU$511,3,)=0,0,(VLOOKUP($D470,$C$5:$AU$511,27,)/VLOOKUP($D470,$C$5:$AU$511,3,))*$E470)</f>
        <v>0</v>
      </c>
      <c r="AD470" s="67">
        <f>IF(VLOOKUP($D470,$C$5:$AU$511,3,)=0,0,(VLOOKUP($D470,$C$5:$AU$511,28,)/VLOOKUP($D470,$C$5:$AU$511,3,))*$E470)</f>
        <v>0</v>
      </c>
      <c r="AE470" s="67">
        <f>IF(VLOOKUP($D470,$C$5:$AU$511,3,)=0,0,(VLOOKUP($D470,$C$5:$AU$511,29,)/VLOOKUP($D470,$C$5:$AU$511,3,))*$E470)</f>
        <v>0</v>
      </c>
      <c r="AF470" s="67">
        <f>IF(VLOOKUP($D470,$C$5:$AU$511,3,)=0,0,(VLOOKUP($D470,$C$5:$AU$511,30,)/VLOOKUP($D470,$C$5:$AU$511,3,))*$E470)</f>
        <v>0</v>
      </c>
      <c r="AG470" s="90">
        <f>SUM(F470:AF470)</f>
        <v>922418.63748551323</v>
      </c>
      <c r="AH470" s="28" t="str">
        <f t="shared" si="227"/>
        <v>ok</v>
      </c>
    </row>
    <row r="471" spans="1:34" x14ac:dyDescent="0.25">
      <c r="A471" s="14" t="s">
        <v>612</v>
      </c>
      <c r="C471" s="14" t="s">
        <v>630</v>
      </c>
      <c r="E471" s="90">
        <f t="shared" ref="E471:AF471" si="228">E469+E470</f>
        <v>922418.64</v>
      </c>
      <c r="F471" s="90">
        <f t="shared" si="228"/>
        <v>589516.0311170388</v>
      </c>
      <c r="G471" s="90">
        <f t="shared" si="228"/>
        <v>0</v>
      </c>
      <c r="H471" s="90">
        <f t="shared" si="228"/>
        <v>41874.142750629886</v>
      </c>
      <c r="I471" s="90">
        <f t="shared" si="228"/>
        <v>84686.594421762042</v>
      </c>
      <c r="J471" s="90">
        <f t="shared" si="228"/>
        <v>68391.508554441651</v>
      </c>
      <c r="K471" s="90">
        <f t="shared" si="228"/>
        <v>109293.81666547823</v>
      </c>
      <c r="L471" s="90">
        <f t="shared" si="228"/>
        <v>28656.543976162608</v>
      </c>
      <c r="M471" s="90">
        <f t="shared" si="228"/>
        <v>0</v>
      </c>
      <c r="N471" s="90">
        <f t="shared" si="228"/>
        <v>0</v>
      </c>
      <c r="O471" s="90">
        <f t="shared" si="228"/>
        <v>0</v>
      </c>
      <c r="P471" s="90">
        <f t="shared" si="228"/>
        <v>0</v>
      </c>
      <c r="Q471" s="90">
        <f t="shared" si="228"/>
        <v>0</v>
      </c>
      <c r="R471" s="90">
        <f t="shared" si="228"/>
        <v>0</v>
      </c>
      <c r="S471" s="90">
        <f t="shared" si="228"/>
        <v>0</v>
      </c>
      <c r="T471" s="90">
        <f t="shared" si="228"/>
        <v>0</v>
      </c>
      <c r="U471" s="90">
        <f t="shared" si="228"/>
        <v>0</v>
      </c>
      <c r="V471" s="90">
        <f t="shared" si="228"/>
        <v>0</v>
      </c>
      <c r="W471" s="90">
        <f t="shared" si="228"/>
        <v>0</v>
      </c>
      <c r="X471" s="90">
        <f t="shared" si="228"/>
        <v>0</v>
      </c>
      <c r="Y471" s="90">
        <f t="shared" si="228"/>
        <v>0</v>
      </c>
      <c r="Z471" s="90">
        <f t="shared" si="228"/>
        <v>0</v>
      </c>
      <c r="AA471" s="90">
        <f t="shared" si="228"/>
        <v>0</v>
      </c>
      <c r="AB471" s="90">
        <f t="shared" si="228"/>
        <v>0</v>
      </c>
      <c r="AC471" s="90">
        <f t="shared" si="228"/>
        <v>0</v>
      </c>
      <c r="AD471" s="90">
        <f t="shared" si="228"/>
        <v>0</v>
      </c>
      <c r="AE471" s="90">
        <f t="shared" si="228"/>
        <v>0</v>
      </c>
      <c r="AF471" s="90">
        <f t="shared" si="228"/>
        <v>0</v>
      </c>
      <c r="AG471" s="90">
        <f>SUM(F471:AF471)</f>
        <v>922418.63748551323</v>
      </c>
      <c r="AH471" s="28" t="str">
        <f t="shared" si="227"/>
        <v>ok</v>
      </c>
    </row>
    <row r="472" spans="1:34" x14ac:dyDescent="0.25">
      <c r="A472" s="14" t="s">
        <v>636</v>
      </c>
      <c r="C472" s="14" t="s">
        <v>631</v>
      </c>
      <c r="D472" s="14" t="s">
        <v>630</v>
      </c>
      <c r="E472" s="49">
        <v>1</v>
      </c>
      <c r="F472" s="98">
        <f>IF(VLOOKUP($D472,$C$5:$AU$511,3,)=0,0,(VLOOKUP($D472,$C$5:$AU$511,4,)/VLOOKUP($D472,$C$5:$AU$511,3,))*$E472)</f>
        <v>0.63909813348637312</v>
      </c>
      <c r="G472" s="98">
        <f>IF(VLOOKUP($D472,$C$5:$AU$511,3,)=0,0,(VLOOKUP($D472,$C$5:$AU$511,5,)/VLOOKUP($D472,$C$5:$AU$511,3,))*$E472)</f>
        <v>0</v>
      </c>
      <c r="H472" s="98">
        <f>IF(VLOOKUP($D472,$C$5:$AU$511,3,)=0,0,(VLOOKUP($D472,$C$5:$AU$511,6,)/VLOOKUP($D472,$C$5:$AU$511,3,))*$E472)</f>
        <v>4.5396028370187622E-2</v>
      </c>
      <c r="I472" s="98">
        <f>IF(VLOOKUP($D472,$C$5:$AU$511,3,)=0,0,(VLOOKUP($D472,$C$5:$AU$511,7,)/VLOOKUP($D472,$C$5:$AU$511,3,))*$E472)</f>
        <v>9.1809283496007893E-2</v>
      </c>
      <c r="J472" s="98">
        <f>IF(VLOOKUP($D472,$C$5:$AU$511,3,)=0,0,(VLOOKUP($D472,$C$5:$AU$511,8,)/VLOOKUP($D472,$C$5:$AU$511,3,))*$E472)</f>
        <v>7.414367575490631E-2</v>
      </c>
      <c r="K472" s="98">
        <f>IF(VLOOKUP($D472,$C$5:$AU$511,3,)=0,0,(VLOOKUP($D472,$C$5:$AU$511,9,)/VLOOKUP($D472,$C$5:$AU$511,3,))*$E472)</f>
        <v>0.11848613192105292</v>
      </c>
      <c r="L472" s="98">
        <f>IF(VLOOKUP($D472,$C$5:$AU$511,3,)=0,0,(VLOOKUP($D472,$C$5:$AU$511,10,)/VLOOKUP($D472,$C$5:$AU$511,3,))*$E472)</f>
        <v>3.1066744245500728E-2</v>
      </c>
      <c r="M472" s="98">
        <f>IF(VLOOKUP($D472,$C$5:$AU$511,3,)=0,0,(VLOOKUP($D472,$C$5:$AU$511,11,)/VLOOKUP($D472,$C$5:$AU$511,3,))*$E472)</f>
        <v>0</v>
      </c>
      <c r="N472" s="98">
        <f>IF(VLOOKUP($D472,$C$5:$AU$511,3,)=0,0,(VLOOKUP($D472,$C$5:$AU$511,12,)/VLOOKUP($D472,$C$5:$AU$511,3,))*$E472)</f>
        <v>0</v>
      </c>
      <c r="O472" s="98">
        <f>IF(VLOOKUP($D472,$C$5:$AU$511,3,)=0,0,(VLOOKUP($D472,$C$5:$AU$511,13,)/VLOOKUP($D472,$C$5:$AU$511,3,))*$E472)</f>
        <v>0</v>
      </c>
      <c r="P472" s="98">
        <f>IF(VLOOKUP($D472,$C$5:$AU$511,3,)=0,0,(VLOOKUP($D472,$C$5:$AU$511,14,)/VLOOKUP($D472,$C$5:$AU$511,3,))*$E472)</f>
        <v>0</v>
      </c>
      <c r="Q472" s="98">
        <f>IF(VLOOKUP($D472,$C$5:$AU$511,3,)=0,0,(VLOOKUP($D472,$C$5:$AU$511,15,)/VLOOKUP($D472,$C$5:$AU$511,3,))*$E472)</f>
        <v>0</v>
      </c>
      <c r="R472" s="98">
        <f>IF(VLOOKUP($D472,$C$5:$AU$511,3,)=0,0,(VLOOKUP($D472,$C$5:$AU$511,16,)/VLOOKUP($D472,$C$5:$AU$511,3,))*$E472)</f>
        <v>0</v>
      </c>
      <c r="S472" s="98">
        <f>IF(VLOOKUP($D472,$C$5:$AU$511,3,)=0,0,(VLOOKUP($D472,$C$5:$AU$511,17,)/VLOOKUP($D472,$C$5:$AU$511,3,))*$E472)</f>
        <v>0</v>
      </c>
      <c r="T472" s="98">
        <f>IF(VLOOKUP($D472,$C$5:$AU$511,3,)=0,0,(VLOOKUP($D472,$C$5:$AU$511,18,)/VLOOKUP($D472,$C$5:$AU$511,3,))*$E472)</f>
        <v>0</v>
      </c>
      <c r="U472" s="98">
        <f>IF(VLOOKUP($D472,$C$5:$AU$511,3,)=0,0,(VLOOKUP($D472,$C$5:$AU$511,19,)/VLOOKUP($D472,$C$5:$AU$511,3,))*$E472)</f>
        <v>0</v>
      </c>
      <c r="V472" s="98">
        <f>IF(VLOOKUP($D472,$C$5:$AU$511,3,)=0,0,(VLOOKUP($D472,$C$5:$AU$511,20,)/VLOOKUP($D472,$C$5:$AU$511,3,))*$E472)</f>
        <v>0</v>
      </c>
      <c r="W472" s="98">
        <f>IF(VLOOKUP($D472,$C$5:$AU$511,3,)=0,0,(VLOOKUP($D472,$C$5:$AU$511,21,)/VLOOKUP($D472,$C$5:$AU$511,3,))*$E472)</f>
        <v>0</v>
      </c>
      <c r="X472" s="98">
        <f>IF(VLOOKUP($D472,$C$5:$AU$511,3,)=0,0,(VLOOKUP($D472,$C$5:$AU$511,22,)/VLOOKUP($D472,$C$5:$AU$511,3,))*$E472)</f>
        <v>0</v>
      </c>
      <c r="Y472" s="98">
        <f>IF(VLOOKUP($D472,$C$5:$AU$511,3,)=0,0,(VLOOKUP($D472,$C$5:$AU$511,23,)/VLOOKUP($D472,$C$5:$AU$511,3,))*$E472)</f>
        <v>0</v>
      </c>
      <c r="Z472" s="98">
        <f>IF(VLOOKUP($D472,$C$5:$AU$511,3,)=0,0,(VLOOKUP($D472,$C$5:$AU$511,24,)/VLOOKUP($D472,$C$5:$AU$511,3,))*$E472)</f>
        <v>0</v>
      </c>
      <c r="AA472" s="98">
        <f>IF(VLOOKUP($D472,$C$5:$AU$511,3,)=0,0,(VLOOKUP($D472,$C$5:$AU$511,25,)/VLOOKUP($D472,$C$5:$AU$511,3,))*$E472)</f>
        <v>0</v>
      </c>
      <c r="AB472" s="98">
        <f>IF(VLOOKUP($D472,$C$5:$AU$511,3,)=0,0,(VLOOKUP($D472,$C$5:$AU$511,26,)/VLOOKUP($D472,$C$5:$AU$511,3,))*$E472)</f>
        <v>0</v>
      </c>
      <c r="AC472" s="98">
        <f>IF(VLOOKUP($D472,$C$5:$AU$511,3,)=0,0,(VLOOKUP($D472,$C$5:$AU$511,27,)/VLOOKUP($D472,$C$5:$AU$511,3,))*$E472)</f>
        <v>0</v>
      </c>
      <c r="AD472" s="98">
        <f>IF(VLOOKUP($D472,$C$5:$AU$511,3,)=0,0,(VLOOKUP($D472,$C$5:$AU$511,28,)/VLOOKUP($D472,$C$5:$AU$511,3,))*$E472)</f>
        <v>0</v>
      </c>
      <c r="AE472" s="98">
        <f>IF(VLOOKUP($D472,$C$5:$AU$511,3,)=0,0,(VLOOKUP($D472,$C$5:$AU$511,29,)/VLOOKUP($D472,$C$5:$AU$511,3,))*$E472)</f>
        <v>0</v>
      </c>
      <c r="AF472" s="98">
        <f>IF(VLOOKUP($D472,$C$5:$AU$511,3,)=0,0,(VLOOKUP($D472,$C$5:$AU$511,30,)/VLOOKUP($D472,$C$5:$AU$511,3,))*$E472)</f>
        <v>0</v>
      </c>
      <c r="AG472" s="98">
        <f>SUM(F472:AF472)</f>
        <v>0.99999999727402866</v>
      </c>
      <c r="AH472" s="28" t="str">
        <f t="shared" si="227"/>
        <v>ok</v>
      </c>
    </row>
    <row r="474" spans="1:34" x14ac:dyDescent="0.25">
      <c r="A474" s="26" t="s">
        <v>899</v>
      </c>
    </row>
    <row r="476" spans="1:34" x14ac:dyDescent="0.25">
      <c r="A476" s="14" t="s">
        <v>620</v>
      </c>
      <c r="C476" s="14" t="s">
        <v>621</v>
      </c>
      <c r="E476" s="50">
        <f>E446</f>
        <v>2314155.8287592698</v>
      </c>
      <c r="F476" s="50">
        <f t="shared" ref="F476:AF476" si="229">F446</f>
        <v>1642839.0406674917</v>
      </c>
      <c r="G476" s="50">
        <f t="shared" si="229"/>
        <v>1446.8026220344768</v>
      </c>
      <c r="H476" s="50">
        <f t="shared" si="229"/>
        <v>59509.255033452806</v>
      </c>
      <c r="I476" s="50">
        <f t="shared" si="229"/>
        <v>119639.552</v>
      </c>
      <c r="J476" s="50">
        <f t="shared" si="229"/>
        <v>172990.87100000001</v>
      </c>
      <c r="K476" s="50">
        <f t="shared" si="229"/>
        <v>248805</v>
      </c>
      <c r="L476" s="50">
        <f t="shared" si="229"/>
        <v>65236</v>
      </c>
      <c r="M476" s="50">
        <f t="shared" si="229"/>
        <v>3689.3074362913071</v>
      </c>
      <c r="N476" s="50">
        <f t="shared" si="229"/>
        <v>0</v>
      </c>
      <c r="O476" s="50">
        <f t="shared" si="229"/>
        <v>0</v>
      </c>
      <c r="P476" s="50">
        <f t="shared" si="229"/>
        <v>0</v>
      </c>
      <c r="Q476" s="50">
        <f t="shared" si="229"/>
        <v>0</v>
      </c>
      <c r="R476" s="50">
        <f t="shared" si="229"/>
        <v>0</v>
      </c>
      <c r="S476" s="50">
        <f t="shared" si="229"/>
        <v>0</v>
      </c>
      <c r="T476" s="50">
        <f t="shared" si="229"/>
        <v>0</v>
      </c>
      <c r="U476" s="50">
        <f t="shared" si="229"/>
        <v>0</v>
      </c>
      <c r="V476" s="50">
        <f t="shared" si="229"/>
        <v>0</v>
      </c>
      <c r="W476" s="50">
        <f t="shared" si="229"/>
        <v>0</v>
      </c>
      <c r="X476" s="50">
        <f t="shared" si="229"/>
        <v>0</v>
      </c>
      <c r="Y476" s="50">
        <f t="shared" si="229"/>
        <v>0</v>
      </c>
      <c r="Z476" s="50">
        <f t="shared" si="229"/>
        <v>0</v>
      </c>
      <c r="AA476" s="50">
        <f t="shared" si="229"/>
        <v>0</v>
      </c>
      <c r="AB476" s="50">
        <f t="shared" si="229"/>
        <v>0</v>
      </c>
      <c r="AC476" s="50">
        <f t="shared" si="229"/>
        <v>0</v>
      </c>
      <c r="AD476" s="50">
        <f t="shared" si="229"/>
        <v>0</v>
      </c>
      <c r="AE476" s="50">
        <f t="shared" si="229"/>
        <v>0</v>
      </c>
      <c r="AF476" s="50">
        <f t="shared" si="229"/>
        <v>0</v>
      </c>
      <c r="AG476" s="90">
        <f>SUM(F476:AF476)</f>
        <v>2314155.8287592698</v>
      </c>
      <c r="AH476" s="28" t="str">
        <f>IF(ABS(E476-AG476)&lt;0.01,"ok","err")</f>
        <v>ok</v>
      </c>
    </row>
    <row r="477" spans="1:34" x14ac:dyDescent="0.25">
      <c r="A477" s="14" t="s">
        <v>619</v>
      </c>
      <c r="C477" s="14" t="s">
        <v>618</v>
      </c>
      <c r="D477" s="14" t="s">
        <v>621</v>
      </c>
      <c r="E477" s="49">
        <v>1</v>
      </c>
      <c r="F477" s="98">
        <f>IF(VLOOKUP($D477,$C$5:$AU$511,3,)=0,0,(VLOOKUP($D477,$C$5:$AU$511,4,)/VLOOKUP($D477,$C$5:$AU$511,3,))*$E477)</f>
        <v>0.70990856374105837</v>
      </c>
      <c r="G477" s="98">
        <f>IF(VLOOKUP($D477,$C$5:$AU$511,3,)=0,0,(VLOOKUP($D477,$C$5:$AU$511,5,)/VLOOKUP($D477,$C$5:$AU$511,3,))*$E477)</f>
        <v>6.2519671495509324E-4</v>
      </c>
      <c r="H477" s="98">
        <f>IF(VLOOKUP($D477,$C$5:$AU$511,3,)=0,0,(VLOOKUP($D477,$C$5:$AU$511,6,)/VLOOKUP($D477,$C$5:$AU$511,3,))*$E477)</f>
        <v>2.5715318862238667E-2</v>
      </c>
      <c r="I477" s="98">
        <f>IF(VLOOKUP($D477,$C$5:$AU$511,3,)=0,0,(VLOOKUP($D477,$C$5:$AU$511,7,)/VLOOKUP($D477,$C$5:$AU$511,3,))*$E477)</f>
        <v>5.1699004238683663E-2</v>
      </c>
      <c r="J477" s="98">
        <f>IF(VLOOKUP($D477,$C$5:$AU$511,3,)=0,0,(VLOOKUP($D477,$C$5:$AU$511,8,)/VLOOKUP($D477,$C$5:$AU$511,3,))*$E477)</f>
        <v>7.4753337199746278E-2</v>
      </c>
      <c r="K477" s="98">
        <f>IF(VLOOKUP($D477,$C$5:$AU$511,3,)=0,0,(VLOOKUP($D477,$C$5:$AU$511,9,)/VLOOKUP($D477,$C$5:$AU$511,3,))*$E477)</f>
        <v>0.10751436740256007</v>
      </c>
      <c r="L477" s="98">
        <f>IF(VLOOKUP($D477,$C$5:$AU$511,3,)=0,0,(VLOOKUP($D477,$C$5:$AU$511,10,)/VLOOKUP($D477,$C$5:$AU$511,3,))*$E477)</f>
        <v>2.8189977178406416E-2</v>
      </c>
      <c r="M477" s="98">
        <f>IF(VLOOKUP($D477,$C$5:$AU$511,3,)=0,0,(VLOOKUP($D477,$C$5:$AU$511,11,)/VLOOKUP($D477,$C$5:$AU$511,3,))*$E477)</f>
        <v>1.5942346623517233E-3</v>
      </c>
      <c r="N477" s="98">
        <f>IF(VLOOKUP($D477,$C$5:$AU$511,3,)=0,0,(VLOOKUP($D477,$C$5:$AU$511,12,)/VLOOKUP($D477,$C$5:$AU$511,3,))*$E477)</f>
        <v>0</v>
      </c>
      <c r="O477" s="98">
        <f>IF(VLOOKUP($D477,$C$5:$AU$511,3,)=0,0,(VLOOKUP($D477,$C$5:$AU$511,13,)/VLOOKUP($D477,$C$5:$AU$511,3,))*$E477)</f>
        <v>0</v>
      </c>
      <c r="P477" s="98">
        <f>IF(VLOOKUP($D477,$C$5:$AU$511,3,)=0,0,(VLOOKUP($D477,$C$5:$AU$511,14,)/VLOOKUP($D477,$C$5:$AU$511,3,))*$E477)</f>
        <v>0</v>
      </c>
      <c r="Q477" s="98">
        <f>IF(VLOOKUP($D477,$C$5:$AU$511,3,)=0,0,(VLOOKUP($D477,$C$5:$AU$511,15,)/VLOOKUP($D477,$C$5:$AU$511,3,))*$E477)</f>
        <v>0</v>
      </c>
      <c r="R477" s="98">
        <f>IF(VLOOKUP($D477,$C$5:$AU$511,3,)=0,0,(VLOOKUP($D477,$C$5:$AU$511,16,)/VLOOKUP($D477,$C$5:$AU$511,3,))*$E477)</f>
        <v>0</v>
      </c>
      <c r="S477" s="98">
        <f>IF(VLOOKUP($D477,$C$5:$AU$511,3,)=0,0,(VLOOKUP($D477,$C$5:$AU$511,17,)/VLOOKUP($D477,$C$5:$AU$511,3,))*$E477)</f>
        <v>0</v>
      </c>
      <c r="T477" s="98">
        <f>IF(VLOOKUP($D477,$C$5:$AU$511,3,)=0,0,(VLOOKUP($D477,$C$5:$AU$511,18,)/VLOOKUP($D477,$C$5:$AU$511,3,))*$E477)</f>
        <v>0</v>
      </c>
      <c r="U477" s="98">
        <f>IF(VLOOKUP($D477,$C$5:$AU$511,3,)=0,0,(VLOOKUP($D477,$C$5:$AU$511,19,)/VLOOKUP($D477,$C$5:$AU$511,3,))*$E477)</f>
        <v>0</v>
      </c>
      <c r="V477" s="98">
        <f>IF(VLOOKUP($D477,$C$5:$AU$511,3,)=0,0,(VLOOKUP($D477,$C$5:$AU$511,20,)/VLOOKUP($D477,$C$5:$AU$511,3,))*$E477)</f>
        <v>0</v>
      </c>
      <c r="W477" s="98">
        <f>IF(VLOOKUP($D477,$C$5:$AU$511,3,)=0,0,(VLOOKUP($D477,$C$5:$AU$511,21,)/VLOOKUP($D477,$C$5:$AU$511,3,))*$E477)</f>
        <v>0</v>
      </c>
      <c r="X477" s="98">
        <f>IF(VLOOKUP($D477,$C$5:$AU$511,3,)=0,0,(VLOOKUP($D477,$C$5:$AU$511,22,)/VLOOKUP($D477,$C$5:$AU$511,3,))*$E477)</f>
        <v>0</v>
      </c>
      <c r="Y477" s="98">
        <f>IF(VLOOKUP($D477,$C$5:$AU$511,3,)=0,0,(VLOOKUP($D477,$C$5:$AU$511,23,)/VLOOKUP($D477,$C$5:$AU$511,3,))*$E477)</f>
        <v>0</v>
      </c>
      <c r="Z477" s="98">
        <f>IF(VLOOKUP($D477,$C$5:$AU$511,3,)=0,0,(VLOOKUP($D477,$C$5:$AU$511,24,)/VLOOKUP($D477,$C$5:$AU$511,3,))*$E477)</f>
        <v>0</v>
      </c>
      <c r="AA477" s="98">
        <f>IF(VLOOKUP($D477,$C$5:$AU$511,3,)=0,0,(VLOOKUP($D477,$C$5:$AU$511,25,)/VLOOKUP($D477,$C$5:$AU$511,3,))*$E477)</f>
        <v>0</v>
      </c>
      <c r="AB477" s="98">
        <f>IF(VLOOKUP($D477,$C$5:$AU$511,3,)=0,0,(VLOOKUP($D477,$C$5:$AU$511,26,)/VLOOKUP($D477,$C$5:$AU$511,3,))*$E477)</f>
        <v>0</v>
      </c>
      <c r="AC477" s="98">
        <f>IF(VLOOKUP($D477,$C$5:$AU$511,3,)=0,0,(VLOOKUP($D477,$C$5:$AU$511,27,)/VLOOKUP($D477,$C$5:$AU$511,3,))*$E477)</f>
        <v>0</v>
      </c>
      <c r="AD477" s="98">
        <f>IF(VLOOKUP($D477,$C$5:$AU$511,3,)=0,0,(VLOOKUP($D477,$C$5:$AU$511,28,)/VLOOKUP($D477,$C$5:$AU$511,3,))*$E477)</f>
        <v>0</v>
      </c>
      <c r="AE477" s="98">
        <f>IF(VLOOKUP($D477,$C$5:$AU$511,3,)=0,0,(VLOOKUP($D477,$C$5:$AU$511,29,)/VLOOKUP($D477,$C$5:$AU$511,3,))*$E477)</f>
        <v>0</v>
      </c>
      <c r="AF477" s="98">
        <f>IF(VLOOKUP($D477,$C$5:$AU$511,3,)=0,0,(VLOOKUP($D477,$C$5:$AU$511,30,)/VLOOKUP($D477,$C$5:$AU$511,3,))*$E477)</f>
        <v>0</v>
      </c>
      <c r="AG477" s="98">
        <f>SUM(F477:AF477)</f>
        <v>1.0000000000000002</v>
      </c>
      <c r="AH477" s="28" t="str">
        <f>IF(ABS(E477-AG477)&lt;0.01,"ok","err")</f>
        <v>ok</v>
      </c>
    </row>
    <row r="479" spans="1:34" x14ac:dyDescent="0.25">
      <c r="A479" s="14" t="s">
        <v>650</v>
      </c>
      <c r="C479" s="14" t="s">
        <v>657</v>
      </c>
      <c r="E479" s="50">
        <v>892912.49759140983</v>
      </c>
      <c r="F479" s="50">
        <f t="shared" ref="F479:Y479" si="230">F426</f>
        <v>671010.22087557742</v>
      </c>
      <c r="G479" s="50">
        <f t="shared" si="230"/>
        <v>0</v>
      </c>
      <c r="H479" s="50">
        <f t="shared" si="230"/>
        <v>47662.78827538318</v>
      </c>
      <c r="I479" s="50">
        <f t="shared" si="230"/>
        <v>96393.596490449301</v>
      </c>
      <c r="J479" s="50">
        <f t="shared" si="230"/>
        <v>77845.891950000005</v>
      </c>
      <c r="K479" s="50"/>
      <c r="L479" s="50"/>
      <c r="M479" s="50">
        <f t="shared" si="230"/>
        <v>0</v>
      </c>
      <c r="N479" s="50">
        <f t="shared" si="230"/>
        <v>0</v>
      </c>
      <c r="O479" s="50">
        <f t="shared" si="230"/>
        <v>0</v>
      </c>
      <c r="P479" s="50">
        <f t="shared" si="230"/>
        <v>0</v>
      </c>
      <c r="Q479" s="50">
        <f t="shared" si="230"/>
        <v>0</v>
      </c>
      <c r="R479" s="50">
        <f t="shared" si="230"/>
        <v>0</v>
      </c>
      <c r="S479" s="50">
        <f t="shared" si="230"/>
        <v>0</v>
      </c>
      <c r="T479" s="50">
        <f t="shared" si="230"/>
        <v>0</v>
      </c>
      <c r="U479" s="50">
        <f t="shared" si="230"/>
        <v>0</v>
      </c>
      <c r="V479" s="50">
        <f t="shared" si="230"/>
        <v>0</v>
      </c>
      <c r="W479" s="50">
        <f t="shared" si="230"/>
        <v>0</v>
      </c>
      <c r="X479" s="50">
        <f t="shared" si="230"/>
        <v>0</v>
      </c>
      <c r="Y479" s="50">
        <f t="shared" si="230"/>
        <v>0</v>
      </c>
      <c r="Z479" s="50">
        <f>Z426</f>
        <v>0</v>
      </c>
      <c r="AA479" s="50">
        <v>0</v>
      </c>
      <c r="AB479" s="50">
        <v>0</v>
      </c>
      <c r="AC479" s="50">
        <v>0</v>
      </c>
      <c r="AD479" s="50">
        <v>0</v>
      </c>
      <c r="AE479" s="50">
        <v>0</v>
      </c>
      <c r="AF479" s="50">
        <f>AF426</f>
        <v>0</v>
      </c>
      <c r="AG479" s="90">
        <f>SUM(F479:AF479)</f>
        <v>892912.49759140983</v>
      </c>
      <c r="AH479" s="28" t="str">
        <f t="shared" ref="AH479:AH484" si="231">IF(ABS(E479-AG479)&lt;0.01,"ok","err")</f>
        <v>ok</v>
      </c>
    </row>
    <row r="480" spans="1:34" x14ac:dyDescent="0.25">
      <c r="A480" s="14" t="s">
        <v>651</v>
      </c>
      <c r="E480" s="90">
        <f>E123</f>
        <v>9006886.8765010126</v>
      </c>
      <c r="AG480" s="90">
        <f>E480</f>
        <v>9006886.8765010126</v>
      </c>
      <c r="AH480" s="28" t="str">
        <f t="shared" si="231"/>
        <v>ok</v>
      </c>
    </row>
    <row r="481" spans="1:41" x14ac:dyDescent="0.25">
      <c r="A481" s="14" t="s">
        <v>594</v>
      </c>
      <c r="E481" s="67">
        <v>3052666</v>
      </c>
      <c r="H481" s="50"/>
      <c r="I481" s="50"/>
      <c r="J481" s="50"/>
      <c r="K481" s="50">
        <f>('Purchased Power'!O18+'Purchased Power'!O21)*(K426/(K426+L426))</f>
        <v>2418533.1346225492</v>
      </c>
      <c r="L481" s="50">
        <f>('Purchased Power'!O18+'Purchased Power'!O21)*(L426/(K426+L426))</f>
        <v>634132.86537745071</v>
      </c>
      <c r="M481" s="50"/>
      <c r="N481" s="50">
        <v>0</v>
      </c>
      <c r="O481" s="48">
        <v>0</v>
      </c>
      <c r="P481" s="48">
        <v>0</v>
      </c>
      <c r="Q481" s="48">
        <v>0</v>
      </c>
      <c r="R481" s="50">
        <v>0</v>
      </c>
      <c r="S481" s="14">
        <v>0</v>
      </c>
      <c r="Y481" s="50">
        <v>0</v>
      </c>
      <c r="AA481" s="48">
        <v>0</v>
      </c>
      <c r="AB481" s="50">
        <v>0</v>
      </c>
      <c r="AC481" s="50">
        <v>0</v>
      </c>
      <c r="AD481" s="48">
        <v>0</v>
      </c>
      <c r="AE481" s="48"/>
      <c r="AG481" s="90">
        <f>SUM(F481:AF481)</f>
        <v>3052666</v>
      </c>
      <c r="AH481" s="28" t="str">
        <f t="shared" si="231"/>
        <v>ok</v>
      </c>
    </row>
    <row r="482" spans="1:41" x14ac:dyDescent="0.25">
      <c r="A482" s="14" t="s">
        <v>652</v>
      </c>
      <c r="D482" s="14" t="s">
        <v>657</v>
      </c>
      <c r="E482" s="90">
        <f>E480-E481</f>
        <v>5954220.8765010126</v>
      </c>
      <c r="F482" s="67">
        <f>IF(VLOOKUP($D482,$C$5:$AU$511,3,)=0,0,(VLOOKUP($D482,$C$5:$AU$511,4,)/VLOOKUP($D482,$C$5:$AU$511,3,))*$E482)</f>
        <v>4474506.8259881809</v>
      </c>
      <c r="G482" s="67">
        <f>IF(VLOOKUP($D482,$C$5:$AU$511,3,)=0,0,(VLOOKUP($D482,$C$5:$AU$511,5,)/VLOOKUP($D482,$C$5:$AU$511,3,))*$E482)</f>
        <v>0</v>
      </c>
      <c r="H482" s="67">
        <f>IF(VLOOKUP($D482,$C$5:$AU$511,3,)=0,0,(VLOOKUP($D482,$C$5:$AU$511,6,)/VLOOKUP($D482,$C$5:$AU$511,3,))*$E482)</f>
        <v>317830.43662963336</v>
      </c>
      <c r="I482" s="67">
        <f>IF(VLOOKUP($D482,$C$5:$AU$511,3,)=0,0,(VLOOKUP($D482,$C$5:$AU$511,7,)/VLOOKUP($D482,$C$5:$AU$511,3,))*$E482)</f>
        <v>642782.76553710271</v>
      </c>
      <c r="J482" s="67">
        <f>IF(VLOOKUP($D482,$C$5:$AU$511,3,)=0,0,(VLOOKUP($D482,$C$5:$AU$511,8,)/VLOOKUP($D482,$C$5:$AU$511,3,))*$E482)</f>
        <v>519100.84834609588</v>
      </c>
      <c r="K482" s="67">
        <f>IF(VLOOKUP($D482,$C$5:$AU$511,3,)=0,0,(VLOOKUP($D482,$C$5:$AU$511,9,)/VLOOKUP($D482,$C$5:$AU$511,3,))*$E482)</f>
        <v>0</v>
      </c>
      <c r="L482" s="67">
        <f>IF(VLOOKUP($D482,$C$5:$AU$511,3,)=0,0,(VLOOKUP($D482,$C$5:$AU$511,10,)/VLOOKUP($D482,$C$5:$AU$511,3,))*$E482)</f>
        <v>0</v>
      </c>
      <c r="M482" s="67">
        <f>IF(VLOOKUP($D482,$C$5:$AU$511,3,)=0,0,(VLOOKUP($D482,$C$5:$AU$511,11,)/VLOOKUP($D482,$C$5:$AU$511,3,))*$E482)</f>
        <v>0</v>
      </c>
      <c r="N482" s="67">
        <f>IF(VLOOKUP($D482,$C$5:$AU$511,3,)=0,0,(VLOOKUP($D482,$C$5:$AU$511,12,)/VLOOKUP($D482,$C$5:$AU$511,3,))*$E482)</f>
        <v>0</v>
      </c>
      <c r="O482" s="67">
        <f>IF(VLOOKUP($D482,$C$5:$AU$511,3,)=0,0,(VLOOKUP($D482,$C$5:$AU$511,13,)/VLOOKUP($D482,$C$5:$AU$511,3,))*$E482)</f>
        <v>0</v>
      </c>
      <c r="P482" s="67">
        <f>IF(VLOOKUP($D482,$C$5:$AU$511,3,)=0,0,(VLOOKUP($D482,$C$5:$AU$511,14,)/VLOOKUP($D482,$C$5:$AU$511,3,))*$E482)</f>
        <v>0</v>
      </c>
      <c r="Q482" s="67">
        <f>IF(VLOOKUP($D482,$C$5:$AU$511,3,)=0,0,(VLOOKUP($D482,$C$5:$AU$511,15,)/VLOOKUP($D482,$C$5:$AU$511,3,))*$E482)</f>
        <v>0</v>
      </c>
      <c r="R482" s="67">
        <f>IF(VLOOKUP($D482,$C$5:$AU$511,3,)=0,0,(VLOOKUP($D482,$C$5:$AU$511,16,)/VLOOKUP($D482,$C$5:$AU$511,3,))*$E482)</f>
        <v>0</v>
      </c>
      <c r="S482" s="67">
        <f>IF(VLOOKUP($D482,$C$5:$AU$511,3,)=0,0,(VLOOKUP($D482,$C$5:$AU$511,17,)/VLOOKUP($D482,$C$5:$AU$511,3,))*$E482)</f>
        <v>0</v>
      </c>
      <c r="T482" s="67">
        <f>IF(VLOOKUP($D482,$C$5:$AU$511,3,)=0,0,(VLOOKUP($D482,$C$5:$AU$511,18,)/VLOOKUP($D482,$C$5:$AU$511,3,))*$E482)</f>
        <v>0</v>
      </c>
      <c r="U482" s="67">
        <f>IF(VLOOKUP($D482,$C$5:$AU$511,3,)=0,0,(VLOOKUP($D482,$C$5:$AU$511,19,)/VLOOKUP($D482,$C$5:$AU$511,3,))*$E482)</f>
        <v>0</v>
      </c>
      <c r="V482" s="67">
        <f>IF(VLOOKUP($D482,$C$5:$AU$511,3,)=0,0,(VLOOKUP($D482,$C$5:$AU$511,20,)/VLOOKUP($D482,$C$5:$AU$511,3,))*$E482)</f>
        <v>0</v>
      </c>
      <c r="W482" s="67">
        <f>IF(VLOOKUP($D482,$C$5:$AU$511,3,)=0,0,(VLOOKUP($D482,$C$5:$AU$511,21,)/VLOOKUP($D482,$C$5:$AU$511,3,))*$E482)</f>
        <v>0</v>
      </c>
      <c r="X482" s="67">
        <f>IF(VLOOKUP($D482,$C$5:$AU$511,3,)=0,0,(VLOOKUP($D482,$C$5:$AU$511,22,)/VLOOKUP($D482,$C$5:$AU$511,3,))*$E482)</f>
        <v>0</v>
      </c>
      <c r="Y482" s="67">
        <f>IF(VLOOKUP($D482,$C$5:$AU$511,3,)=0,0,(VLOOKUP($D482,$C$5:$AU$511,23,)/VLOOKUP($D482,$C$5:$AU$511,3,))*$E482)</f>
        <v>0</v>
      </c>
      <c r="Z482" s="67">
        <f>IF(VLOOKUP($D482,$C$5:$AU$511,3,)=0,0,(VLOOKUP($D482,$C$5:$AU$511,24,)/VLOOKUP($D482,$C$5:$AU$511,3,))*$E482)</f>
        <v>0</v>
      </c>
      <c r="AA482" s="67">
        <f>IF(VLOOKUP($D482,$C$5:$AU$511,3,)=0,0,(VLOOKUP($D482,$C$5:$AU$511,25,)/VLOOKUP($D482,$C$5:$AU$511,3,))*$E482)</f>
        <v>0</v>
      </c>
      <c r="AB482" s="67">
        <f>IF(VLOOKUP($D482,$C$5:$AU$511,3,)=0,0,(VLOOKUP($D482,$C$5:$AU$511,26,)/VLOOKUP($D482,$C$5:$AU$511,3,))*$E482)</f>
        <v>0</v>
      </c>
      <c r="AC482" s="67">
        <f>IF(VLOOKUP($D482,$C$5:$AU$511,3,)=0,0,(VLOOKUP($D482,$C$5:$AU$511,27,)/VLOOKUP($D482,$C$5:$AU$511,3,))*$E482)</f>
        <v>0</v>
      </c>
      <c r="AD482" s="67">
        <f>IF(VLOOKUP($D482,$C$5:$AU$511,3,)=0,0,(VLOOKUP($D482,$C$5:$AU$511,28,)/VLOOKUP($D482,$C$5:$AU$511,3,))*$E482)</f>
        <v>0</v>
      </c>
      <c r="AE482" s="67">
        <f>IF(VLOOKUP($D482,$C$5:$AU$511,3,)=0,0,(VLOOKUP($D482,$C$5:$AU$511,29,)/VLOOKUP($D482,$C$5:$AU$511,3,))*$E482)</f>
        <v>0</v>
      </c>
      <c r="AF482" s="67">
        <f>IF(VLOOKUP($D482,$C$5:$AU$511,3,)=0,0,(VLOOKUP($D482,$C$5:$AU$511,30,)/VLOOKUP($D482,$C$5:$AU$511,3,))*$E482)</f>
        <v>0</v>
      </c>
      <c r="AG482" s="90">
        <f>SUM(F482:AF482)</f>
        <v>5954220.8765010126</v>
      </c>
      <c r="AH482" s="28" t="str">
        <f t="shared" si="231"/>
        <v>ok</v>
      </c>
    </row>
    <row r="483" spans="1:41" x14ac:dyDescent="0.25">
      <c r="A483" s="14" t="s">
        <v>653</v>
      </c>
      <c r="C483" s="14" t="s">
        <v>655</v>
      </c>
      <c r="E483" s="90">
        <f t="shared" ref="E483:AF483" si="232">E481+E482</f>
        <v>9006886.8765010126</v>
      </c>
      <c r="F483" s="90">
        <f t="shared" si="232"/>
        <v>4474506.8259881809</v>
      </c>
      <c r="G483" s="90">
        <f t="shared" si="232"/>
        <v>0</v>
      </c>
      <c r="H483" s="90">
        <f t="shared" si="232"/>
        <v>317830.43662963336</v>
      </c>
      <c r="I483" s="90">
        <f t="shared" si="232"/>
        <v>642782.76553710271</v>
      </c>
      <c r="J483" s="90">
        <f t="shared" si="232"/>
        <v>519100.84834609588</v>
      </c>
      <c r="K483" s="90">
        <f t="shared" ref="K483" si="233">K481+K482</f>
        <v>2418533.1346225492</v>
      </c>
      <c r="L483" s="90">
        <f t="shared" ref="L483" si="234">L481+L482</f>
        <v>634132.86537745071</v>
      </c>
      <c r="M483" s="90">
        <f t="shared" si="232"/>
        <v>0</v>
      </c>
      <c r="N483" s="90">
        <f t="shared" si="232"/>
        <v>0</v>
      </c>
      <c r="O483" s="90">
        <f t="shared" si="232"/>
        <v>0</v>
      </c>
      <c r="P483" s="90">
        <f t="shared" si="232"/>
        <v>0</v>
      </c>
      <c r="Q483" s="90">
        <f t="shared" si="232"/>
        <v>0</v>
      </c>
      <c r="R483" s="90">
        <f t="shared" si="232"/>
        <v>0</v>
      </c>
      <c r="S483" s="90">
        <f t="shared" si="232"/>
        <v>0</v>
      </c>
      <c r="T483" s="90">
        <f t="shared" si="232"/>
        <v>0</v>
      </c>
      <c r="U483" s="90">
        <f t="shared" si="232"/>
        <v>0</v>
      </c>
      <c r="V483" s="90">
        <f t="shared" si="232"/>
        <v>0</v>
      </c>
      <c r="W483" s="90">
        <f t="shared" si="232"/>
        <v>0</v>
      </c>
      <c r="X483" s="90">
        <f t="shared" si="232"/>
        <v>0</v>
      </c>
      <c r="Y483" s="90">
        <f t="shared" si="232"/>
        <v>0</v>
      </c>
      <c r="Z483" s="90">
        <f t="shared" si="232"/>
        <v>0</v>
      </c>
      <c r="AA483" s="90">
        <f t="shared" si="232"/>
        <v>0</v>
      </c>
      <c r="AB483" s="90">
        <f t="shared" si="232"/>
        <v>0</v>
      </c>
      <c r="AC483" s="90">
        <f t="shared" si="232"/>
        <v>0</v>
      </c>
      <c r="AD483" s="90">
        <f t="shared" si="232"/>
        <v>0</v>
      </c>
      <c r="AE483" s="90">
        <f t="shared" si="232"/>
        <v>0</v>
      </c>
      <c r="AF483" s="90">
        <f t="shared" si="232"/>
        <v>0</v>
      </c>
      <c r="AG483" s="90">
        <f>SUM(F483:AF483)</f>
        <v>9006886.8765010126</v>
      </c>
      <c r="AH483" s="28" t="str">
        <f t="shared" si="231"/>
        <v>ok</v>
      </c>
    </row>
    <row r="484" spans="1:41" x14ac:dyDescent="0.25">
      <c r="A484" s="14" t="s">
        <v>654</v>
      </c>
      <c r="C484" s="14" t="s">
        <v>656</v>
      </c>
      <c r="D484" s="14" t="s">
        <v>655</v>
      </c>
      <c r="E484" s="49">
        <v>1</v>
      </c>
      <c r="F484" s="98">
        <f>IF(VLOOKUP($D484,$C$5:$AU$511,3,)=0,0,(VLOOKUP($D484,$C$5:$AU$511,4,)/VLOOKUP($D484,$C$5:$AU$511,3,))*$E484)</f>
        <v>0.49678727926095961</v>
      </c>
      <c r="G484" s="98">
        <f>IF(VLOOKUP($D484,$C$5:$AU$511,3,)=0,0,(VLOOKUP($D484,$C$5:$AU$511,5,)/VLOOKUP($D484,$C$5:$AU$511,3,))*$E484)</f>
        <v>0</v>
      </c>
      <c r="H484" s="98">
        <f>IF(VLOOKUP($D484,$C$5:$AU$511,3,)=0,0,(VLOOKUP($D484,$C$5:$AU$511,6,)/VLOOKUP($D484,$C$5:$AU$511,3,))*$E484)</f>
        <v>3.5287490671039035E-2</v>
      </c>
      <c r="I484" s="98">
        <f>IF(VLOOKUP($D484,$C$5:$AU$511,3,)=0,0,(VLOOKUP($D484,$C$5:$AU$511,7,)/VLOOKUP($D484,$C$5:$AU$511,3,))*$E484)</f>
        <v>7.1365697643447079E-2</v>
      </c>
      <c r="J484" s="98">
        <f>IF(VLOOKUP($D484,$C$5:$AU$511,3,)=0,0,(VLOOKUP($D484,$C$5:$AU$511,8,)/VLOOKUP($D484,$C$5:$AU$511,3,))*$E484)</f>
        <v>5.7633770187614002E-2</v>
      </c>
      <c r="K484" s="98">
        <f>IF(VLOOKUP($D484,$C$5:$AU$511,3,)=0,0,(VLOOKUP($D484,$C$5:$AU$511,9,)/VLOOKUP($D484,$C$5:$AU$511,3,))*$E484)</f>
        <v>0.2685204297316654</v>
      </c>
      <c r="L484" s="98">
        <f>IF(VLOOKUP($D484,$C$5:$AU$511,3,)=0,0,(VLOOKUP($D484,$C$5:$AU$511,10,)/VLOOKUP($D484,$C$5:$AU$511,3,))*$E484)</f>
        <v>7.0405332505274906E-2</v>
      </c>
      <c r="M484" s="98">
        <f>IF(VLOOKUP($D484,$C$5:$AU$511,3,)=0,0,(VLOOKUP($D484,$C$5:$AU$511,11,)/VLOOKUP($D484,$C$5:$AU$511,3,))*$E484)</f>
        <v>0</v>
      </c>
      <c r="N484" s="98">
        <f>IF(VLOOKUP($D484,$C$5:$AU$511,3,)=0,0,(VLOOKUP($D484,$C$5:$AU$511,12,)/VLOOKUP($D484,$C$5:$AU$511,3,))*$E484)</f>
        <v>0</v>
      </c>
      <c r="O484" s="98">
        <f>IF(VLOOKUP($D484,$C$5:$AU$511,3,)=0,0,(VLOOKUP($D484,$C$5:$AU$511,13,)/VLOOKUP($D484,$C$5:$AU$511,3,))*$E484)</f>
        <v>0</v>
      </c>
      <c r="P484" s="98">
        <f>IF(VLOOKUP($D484,$C$5:$AU$511,3,)=0,0,(VLOOKUP($D484,$C$5:$AU$511,14,)/VLOOKUP($D484,$C$5:$AU$511,3,))*$E484)</f>
        <v>0</v>
      </c>
      <c r="Q484" s="98">
        <f>IF(VLOOKUP($D484,$C$5:$AU$511,3,)=0,0,(VLOOKUP($D484,$C$5:$AU$511,15,)/VLOOKUP($D484,$C$5:$AU$511,3,))*$E484)</f>
        <v>0</v>
      </c>
      <c r="R484" s="98">
        <f>IF(VLOOKUP($D484,$C$5:$AU$511,3,)=0,0,(VLOOKUP($D484,$C$5:$AU$511,16,)/VLOOKUP($D484,$C$5:$AU$511,3,))*$E484)</f>
        <v>0</v>
      </c>
      <c r="S484" s="98">
        <f>IF(VLOOKUP($D484,$C$5:$AU$511,3,)=0,0,(VLOOKUP($D484,$C$5:$AU$511,17,)/VLOOKUP($D484,$C$5:$AU$511,3,))*$E484)</f>
        <v>0</v>
      </c>
      <c r="T484" s="98">
        <f>IF(VLOOKUP($D484,$C$5:$AU$511,3,)=0,0,(VLOOKUP($D484,$C$5:$AU$511,18,)/VLOOKUP($D484,$C$5:$AU$511,3,))*$E484)</f>
        <v>0</v>
      </c>
      <c r="U484" s="98">
        <f>IF(VLOOKUP($D484,$C$5:$AU$511,3,)=0,0,(VLOOKUP($D484,$C$5:$AU$511,19,)/VLOOKUP($D484,$C$5:$AU$511,3,))*$E484)</f>
        <v>0</v>
      </c>
      <c r="V484" s="98">
        <f>IF(VLOOKUP($D484,$C$5:$AU$511,3,)=0,0,(VLOOKUP($D484,$C$5:$AU$511,20,)/VLOOKUP($D484,$C$5:$AU$511,3,))*$E484)</f>
        <v>0</v>
      </c>
      <c r="W484" s="98">
        <f>IF(VLOOKUP($D484,$C$5:$AU$511,3,)=0,0,(VLOOKUP($D484,$C$5:$AU$511,21,)/VLOOKUP($D484,$C$5:$AU$511,3,))*$E484)</f>
        <v>0</v>
      </c>
      <c r="X484" s="98">
        <f>IF(VLOOKUP($D484,$C$5:$AU$511,3,)=0,0,(VLOOKUP($D484,$C$5:$AU$511,22,)/VLOOKUP($D484,$C$5:$AU$511,3,))*$E484)</f>
        <v>0</v>
      </c>
      <c r="Y484" s="98">
        <f>IF(VLOOKUP($D484,$C$5:$AU$511,3,)=0,0,(VLOOKUP($D484,$C$5:$AU$511,23,)/VLOOKUP($D484,$C$5:$AU$511,3,))*$E484)</f>
        <v>0</v>
      </c>
      <c r="Z484" s="98">
        <f>IF(VLOOKUP($D484,$C$5:$AU$511,3,)=0,0,(VLOOKUP($D484,$C$5:$AU$511,24,)/VLOOKUP($D484,$C$5:$AU$511,3,))*$E484)</f>
        <v>0</v>
      </c>
      <c r="AA484" s="98">
        <f>IF(VLOOKUP($D484,$C$5:$AU$511,3,)=0,0,(VLOOKUP($D484,$C$5:$AU$511,25,)/VLOOKUP($D484,$C$5:$AU$511,3,))*$E484)</f>
        <v>0</v>
      </c>
      <c r="AB484" s="98">
        <f>IF(VLOOKUP($D484,$C$5:$AU$511,3,)=0,0,(VLOOKUP($D484,$C$5:$AU$511,26,)/VLOOKUP($D484,$C$5:$AU$511,3,))*$E484)</f>
        <v>0</v>
      </c>
      <c r="AC484" s="98">
        <f>IF(VLOOKUP($D484,$C$5:$AU$511,3,)=0,0,(VLOOKUP($D484,$C$5:$AU$511,27,)/VLOOKUP($D484,$C$5:$AU$511,3,))*$E484)</f>
        <v>0</v>
      </c>
      <c r="AD484" s="98">
        <f>IF(VLOOKUP($D484,$C$5:$AU$511,3,)=0,0,(VLOOKUP($D484,$C$5:$AU$511,28,)/VLOOKUP($D484,$C$5:$AU$511,3,))*$E484)</f>
        <v>0</v>
      </c>
      <c r="AE484" s="98">
        <f>IF(VLOOKUP($D484,$C$5:$AU$511,3,)=0,0,(VLOOKUP($D484,$C$5:$AU$511,29,)/VLOOKUP($D484,$C$5:$AU$511,3,))*$E484)</f>
        <v>0</v>
      </c>
      <c r="AF484" s="98">
        <f>IF(VLOOKUP($D484,$C$5:$AU$511,3,)=0,0,(VLOOKUP($D484,$C$5:$AU$511,30,)/VLOOKUP($D484,$C$5:$AU$511,3,))*$E484)</f>
        <v>0</v>
      </c>
      <c r="AG484" s="98">
        <f>SUM(F484:AF484)</f>
        <v>1</v>
      </c>
      <c r="AH484" s="28" t="str">
        <f t="shared" si="231"/>
        <v>ok</v>
      </c>
    </row>
    <row r="485" spans="1:41" x14ac:dyDescent="0.25">
      <c r="E485" s="49"/>
      <c r="F485" s="98"/>
      <c r="G485" s="98"/>
      <c r="H485" s="98"/>
      <c r="I485" s="98"/>
      <c r="J485" s="98"/>
      <c r="K485" s="98"/>
      <c r="L485" s="98"/>
      <c r="M485" s="98"/>
      <c r="N485" s="98"/>
      <c r="O485" s="98"/>
      <c r="P485" s="98"/>
      <c r="Q485" s="98"/>
      <c r="R485" s="98"/>
      <c r="S485" s="98"/>
      <c r="T485" s="98"/>
      <c r="U485" s="98"/>
      <c r="V485" s="98"/>
      <c r="W485" s="98"/>
      <c r="X485" s="98"/>
      <c r="Y485" s="98"/>
      <c r="Z485" s="98"/>
      <c r="AA485" s="98"/>
      <c r="AB485" s="98"/>
      <c r="AC485" s="98"/>
      <c r="AD485" s="98"/>
      <c r="AE485" s="98"/>
      <c r="AF485" s="98"/>
      <c r="AG485" s="98"/>
      <c r="AH485" s="28"/>
    </row>
    <row r="486" spans="1:41" x14ac:dyDescent="0.25">
      <c r="A486" s="14" t="s">
        <v>658</v>
      </c>
      <c r="C486" s="14" t="s">
        <v>663</v>
      </c>
      <c r="E486" s="50">
        <v>331547578</v>
      </c>
      <c r="F486" s="50">
        <f t="shared" ref="F486:AF486" si="235">F413</f>
        <v>215297067</v>
      </c>
      <c r="G486" s="50">
        <f t="shared" si="235"/>
        <v>188379</v>
      </c>
      <c r="H486" s="50">
        <f t="shared" si="235"/>
        <v>15282197</v>
      </c>
      <c r="I486" s="50">
        <f t="shared" si="235"/>
        <v>37399613</v>
      </c>
      <c r="J486" s="50">
        <f t="shared" si="235"/>
        <v>61631409</v>
      </c>
      <c r="K486" s="50"/>
      <c r="L486" s="50"/>
      <c r="M486" s="50">
        <f t="shared" si="235"/>
        <v>1748913</v>
      </c>
      <c r="N486" s="50">
        <f t="shared" si="235"/>
        <v>0</v>
      </c>
      <c r="O486" s="50">
        <f t="shared" si="235"/>
        <v>0</v>
      </c>
      <c r="P486" s="50">
        <f t="shared" si="235"/>
        <v>0</v>
      </c>
      <c r="Q486" s="50">
        <f t="shared" si="235"/>
        <v>0</v>
      </c>
      <c r="R486" s="50">
        <f t="shared" si="235"/>
        <v>0</v>
      </c>
      <c r="S486" s="50">
        <f>S413</f>
        <v>0</v>
      </c>
      <c r="T486" s="50">
        <f>T413</f>
        <v>0</v>
      </c>
      <c r="U486" s="50">
        <f t="shared" si="235"/>
        <v>0</v>
      </c>
      <c r="V486" s="50">
        <f t="shared" si="235"/>
        <v>0</v>
      </c>
      <c r="W486" s="50">
        <f t="shared" si="235"/>
        <v>0</v>
      </c>
      <c r="X486" s="50">
        <f t="shared" si="235"/>
        <v>0</v>
      </c>
      <c r="Y486" s="50">
        <f t="shared" si="235"/>
        <v>0</v>
      </c>
      <c r="Z486" s="50">
        <f t="shared" si="235"/>
        <v>0</v>
      </c>
      <c r="AA486" s="50">
        <v>0</v>
      </c>
      <c r="AB486" s="50">
        <v>0</v>
      </c>
      <c r="AC486" s="50">
        <v>0</v>
      </c>
      <c r="AD486" s="50">
        <v>0</v>
      </c>
      <c r="AE486" s="50">
        <v>0</v>
      </c>
      <c r="AF486" s="50">
        <f t="shared" si="235"/>
        <v>0</v>
      </c>
      <c r="AG486" s="90">
        <f>SUM(F486:AF486)</f>
        <v>331547578</v>
      </c>
      <c r="AH486" s="28" t="str">
        <f t="shared" ref="AH486:AH491" si="236">IF(ABS(E486-AG486)&lt;0.01,"ok","err")</f>
        <v>ok</v>
      </c>
    </row>
    <row r="487" spans="1:41" x14ac:dyDescent="0.25">
      <c r="A487" s="14" t="s">
        <v>659</v>
      </c>
      <c r="E487" s="90">
        <f>E124</f>
        <v>32964492.123498984</v>
      </c>
      <c r="AG487" s="90">
        <f>E487</f>
        <v>32964492.123498984</v>
      </c>
      <c r="AH487" s="28" t="str">
        <f t="shared" si="236"/>
        <v>ok</v>
      </c>
    </row>
    <row r="488" spans="1:41" x14ac:dyDescent="0.25">
      <c r="A488" s="14" t="s">
        <v>594</v>
      </c>
      <c r="E488" s="67">
        <v>7543082</v>
      </c>
      <c r="F488" s="50">
        <v>0</v>
      </c>
      <c r="G488" s="50">
        <v>0</v>
      </c>
      <c r="H488" s="50"/>
      <c r="I488" s="50"/>
      <c r="J488" s="50"/>
      <c r="K488" s="50">
        <f>('Purchased Power'!O19+'Purchased Power'!O20)*(K413/(K413+L413))</f>
        <v>5808488.7759340769</v>
      </c>
      <c r="L488" s="50">
        <f>('Purchased Power'!O19+'Purchased Power'!O20)*(L413/(K413+L413))</f>
        <v>1734593.2240659231</v>
      </c>
      <c r="M488" s="50">
        <v>0</v>
      </c>
      <c r="N488" s="50">
        <v>0</v>
      </c>
      <c r="O488" s="50">
        <v>0</v>
      </c>
      <c r="P488" s="50">
        <v>0</v>
      </c>
      <c r="Q488" s="50">
        <v>0</v>
      </c>
      <c r="R488" s="50">
        <v>0</v>
      </c>
      <c r="S488" s="50">
        <v>0</v>
      </c>
      <c r="T488" s="50"/>
      <c r="U488" s="50"/>
      <c r="V488" s="50"/>
      <c r="W488" s="50"/>
      <c r="X488" s="50"/>
      <c r="Y488" s="50">
        <v>0</v>
      </c>
      <c r="Z488" s="50"/>
      <c r="AA488" s="50">
        <v>0</v>
      </c>
      <c r="AB488" s="50">
        <v>0</v>
      </c>
      <c r="AC488" s="50">
        <v>0</v>
      </c>
      <c r="AD488" s="50">
        <v>0</v>
      </c>
      <c r="AE488" s="50"/>
      <c r="AF488" s="50"/>
      <c r="AG488" s="90">
        <f>SUM(F488:AF488)</f>
        <v>7543082</v>
      </c>
      <c r="AH488" s="28" t="str">
        <f t="shared" si="236"/>
        <v>ok</v>
      </c>
    </row>
    <row r="489" spans="1:41" x14ac:dyDescent="0.25">
      <c r="A489" s="14" t="s">
        <v>660</v>
      </c>
      <c r="D489" s="14" t="s">
        <v>663</v>
      </c>
      <c r="E489" s="90">
        <f>E487-E488</f>
        <v>25421410.123498984</v>
      </c>
      <c r="F489" s="67">
        <f>IF(VLOOKUP($D489,$C$5:$AU$511,3,)=0,0,(VLOOKUP($D489,$C$5:$AU$511,4,)/VLOOKUP($D489,$C$5:$AU$511,3,))*$E489)</f>
        <v>16507902.339716198</v>
      </c>
      <c r="G489" s="67">
        <f>IF(VLOOKUP($D489,$C$5:$AU$511,3,)=0,0,(VLOOKUP($D489,$C$5:$AU$511,5,)/VLOOKUP($D489,$C$5:$AU$511,3,))*$E489)</f>
        <v>14443.959586562311</v>
      </c>
      <c r="H489" s="67">
        <f>IF(VLOOKUP($D489,$C$5:$AU$511,3,)=0,0,(VLOOKUP($D489,$C$5:$AU$511,6,)/VLOOKUP($D489,$C$5:$AU$511,3,))*$E489)</f>
        <v>1171762.4356318049</v>
      </c>
      <c r="I489" s="67">
        <f>IF(VLOOKUP($D489,$C$5:$AU$511,3,)=0,0,(VLOOKUP($D489,$C$5:$AU$511,7,)/VLOOKUP($D489,$C$5:$AU$511,3,))*$E489)</f>
        <v>2867615.2794370409</v>
      </c>
      <c r="J489" s="67">
        <f>IF(VLOOKUP($D489,$C$5:$AU$511,3,)=0,0,(VLOOKUP($D489,$C$5:$AU$511,8,)/VLOOKUP($D489,$C$5:$AU$511,3,))*$E489)</f>
        <v>4725588.2070660349</v>
      </c>
      <c r="K489" s="67">
        <f>IF(VLOOKUP($D489,$C$5:$AU$511,3,)=0,0,(VLOOKUP($D489,$C$5:$AU$511,9,)/VLOOKUP($D489,$C$5:$AU$511,3,))*$E489)</f>
        <v>0</v>
      </c>
      <c r="L489" s="67">
        <f>IF(VLOOKUP($D489,$C$5:$AU$511,3,)=0,0,(VLOOKUP($D489,$C$5:$AU$511,10,)/VLOOKUP($D489,$C$5:$AU$511,3,))*$E489)</f>
        <v>0</v>
      </c>
      <c r="M489" s="67">
        <f>IF(VLOOKUP($D489,$C$5:$AU$511,3,)=0,0,(VLOOKUP($D489,$C$5:$AU$511,11,)/VLOOKUP($D489,$C$5:$AU$511,3,))*$E489)</f>
        <v>134097.90206134148</v>
      </c>
      <c r="N489" s="67">
        <f>IF(VLOOKUP($D489,$C$5:$AU$511,3,)=0,0,(VLOOKUP($D489,$C$5:$AU$511,12,)/VLOOKUP($D489,$C$5:$AU$511,3,))*$E489)</f>
        <v>0</v>
      </c>
      <c r="O489" s="67">
        <f>IF(VLOOKUP($D489,$C$5:$AU$511,3,)=0,0,(VLOOKUP($D489,$C$5:$AU$511,13,)/VLOOKUP($D489,$C$5:$AU$511,3,))*$E489)</f>
        <v>0</v>
      </c>
      <c r="P489" s="67">
        <f>IF(VLOOKUP($D489,$C$5:$AU$511,3,)=0,0,(VLOOKUP($D489,$C$5:$AU$511,14,)/VLOOKUP($D489,$C$5:$AU$511,3,))*$E489)</f>
        <v>0</v>
      </c>
      <c r="Q489" s="67">
        <f>IF(VLOOKUP($D489,$C$5:$AU$511,3,)=0,0,(VLOOKUP($D489,$C$5:$AU$511,15,)/VLOOKUP($D489,$C$5:$AU$511,3,))*$E489)</f>
        <v>0</v>
      </c>
      <c r="R489" s="67">
        <f>IF(VLOOKUP($D489,$C$5:$AU$511,3,)=0,0,(VLOOKUP($D489,$C$5:$AU$511,16,)/VLOOKUP($D489,$C$5:$AU$511,3,))*$E489)</f>
        <v>0</v>
      </c>
      <c r="S489" s="67">
        <f>IF(VLOOKUP($D489,$C$5:$AU$511,3,)=0,0,(VLOOKUP($D489,$C$5:$AU$511,17,)/VLOOKUP($D489,$C$5:$AU$511,3,))*$E489)</f>
        <v>0</v>
      </c>
      <c r="T489" s="67">
        <f>IF(VLOOKUP($D489,$C$5:$AU$511,3,)=0,0,(VLOOKUP($D489,$C$5:$AU$511,18,)/VLOOKUP($D489,$C$5:$AU$511,3,))*$E489)</f>
        <v>0</v>
      </c>
      <c r="U489" s="67">
        <f>IF(VLOOKUP($D489,$C$5:$AU$511,3,)=0,0,(VLOOKUP($D489,$C$5:$AU$511,19,)/VLOOKUP($D489,$C$5:$AU$511,3,))*$E489)</f>
        <v>0</v>
      </c>
      <c r="V489" s="67">
        <f>IF(VLOOKUP($D489,$C$5:$AU$511,3,)=0,0,(VLOOKUP($D489,$C$5:$AU$511,20,)/VLOOKUP($D489,$C$5:$AU$511,3,))*$E489)</f>
        <v>0</v>
      </c>
      <c r="W489" s="67">
        <f>IF(VLOOKUP($D489,$C$5:$AU$511,3,)=0,0,(VLOOKUP($D489,$C$5:$AU$511,21,)/VLOOKUP($D489,$C$5:$AU$511,3,))*$E489)</f>
        <v>0</v>
      </c>
      <c r="X489" s="67">
        <f>IF(VLOOKUP($D489,$C$5:$AU$511,3,)=0,0,(VLOOKUP($D489,$C$5:$AU$511,22,)/VLOOKUP($D489,$C$5:$AU$511,3,))*$E489)</f>
        <v>0</v>
      </c>
      <c r="Y489" s="67">
        <f>IF(VLOOKUP($D489,$C$5:$AU$511,3,)=0,0,(VLOOKUP($D489,$C$5:$AU$511,23,)/VLOOKUP($D489,$C$5:$AU$511,3,))*$E489)</f>
        <v>0</v>
      </c>
      <c r="Z489" s="67">
        <f>IF(VLOOKUP($D489,$C$5:$AU$511,3,)=0,0,(VLOOKUP($D489,$C$5:$AU$511,24,)/VLOOKUP($D489,$C$5:$AU$511,3,))*$E489)</f>
        <v>0</v>
      </c>
      <c r="AA489" s="67">
        <f>IF(VLOOKUP($D489,$C$5:$AU$511,3,)=0,0,(VLOOKUP($D489,$C$5:$AU$511,25,)/VLOOKUP($D489,$C$5:$AU$511,3,))*$E489)</f>
        <v>0</v>
      </c>
      <c r="AB489" s="67">
        <f>IF(VLOOKUP($D489,$C$5:$AU$511,3,)=0,0,(VLOOKUP($D489,$C$5:$AU$511,26,)/VLOOKUP($D489,$C$5:$AU$511,3,))*$E489)</f>
        <v>0</v>
      </c>
      <c r="AC489" s="67">
        <f>IF(VLOOKUP($D489,$C$5:$AU$511,3,)=0,0,(VLOOKUP($D489,$C$5:$AU$511,27,)/VLOOKUP($D489,$C$5:$AU$511,3,))*$E489)</f>
        <v>0</v>
      </c>
      <c r="AD489" s="67">
        <f>IF(VLOOKUP($D489,$C$5:$AU$511,3,)=0,0,(VLOOKUP($D489,$C$5:$AU$511,28,)/VLOOKUP($D489,$C$5:$AU$511,3,))*$E489)</f>
        <v>0</v>
      </c>
      <c r="AE489" s="67">
        <f>IF(VLOOKUP($D489,$C$5:$AU$511,3,)=0,0,(VLOOKUP($D489,$C$5:$AU$511,29,)/VLOOKUP($D489,$C$5:$AU$511,3,))*$E489)</f>
        <v>0</v>
      </c>
      <c r="AF489" s="67">
        <f>IF(VLOOKUP($D489,$C$5:$AU$511,3,)=0,0,(VLOOKUP($D489,$C$5:$AU$511,30,)/VLOOKUP($D489,$C$5:$AU$511,3,))*$E489)</f>
        <v>0</v>
      </c>
      <c r="AG489" s="90">
        <f>SUM(F489:AF489)</f>
        <v>25421410.123498984</v>
      </c>
      <c r="AH489" s="28" t="str">
        <f t="shared" si="236"/>
        <v>ok</v>
      </c>
    </row>
    <row r="490" spans="1:41" x14ac:dyDescent="0.25">
      <c r="A490" s="14" t="s">
        <v>661</v>
      </c>
      <c r="C490" s="14" t="s">
        <v>664</v>
      </c>
      <c r="E490" s="90">
        <f t="shared" ref="E490:AF490" si="237">E488+E489</f>
        <v>32964492.123498984</v>
      </c>
      <c r="F490" s="90">
        <f t="shared" si="237"/>
        <v>16507902.339716198</v>
      </c>
      <c r="G490" s="90">
        <f t="shared" si="237"/>
        <v>14443.959586562311</v>
      </c>
      <c r="H490" s="90">
        <f t="shared" si="237"/>
        <v>1171762.4356318049</v>
      </c>
      <c r="I490" s="90">
        <f t="shared" si="237"/>
        <v>2867615.2794370409</v>
      </c>
      <c r="J490" s="90">
        <f t="shared" si="237"/>
        <v>4725588.2070660349</v>
      </c>
      <c r="K490" s="90">
        <f t="shared" ref="K490" si="238">K488+K489</f>
        <v>5808488.7759340769</v>
      </c>
      <c r="L490" s="90">
        <f t="shared" si="237"/>
        <v>1734593.2240659231</v>
      </c>
      <c r="M490" s="90">
        <f t="shared" si="237"/>
        <v>134097.90206134148</v>
      </c>
      <c r="N490" s="90">
        <f t="shared" si="237"/>
        <v>0</v>
      </c>
      <c r="O490" s="90">
        <f t="shared" si="237"/>
        <v>0</v>
      </c>
      <c r="P490" s="90">
        <f t="shared" si="237"/>
        <v>0</v>
      </c>
      <c r="Q490" s="90">
        <f t="shared" si="237"/>
        <v>0</v>
      </c>
      <c r="R490" s="90">
        <f t="shared" si="237"/>
        <v>0</v>
      </c>
      <c r="S490" s="90">
        <f t="shared" si="237"/>
        <v>0</v>
      </c>
      <c r="T490" s="90">
        <f t="shared" si="237"/>
        <v>0</v>
      </c>
      <c r="U490" s="90">
        <f t="shared" si="237"/>
        <v>0</v>
      </c>
      <c r="V490" s="90">
        <f t="shared" si="237"/>
        <v>0</v>
      </c>
      <c r="W490" s="90">
        <f t="shared" si="237"/>
        <v>0</v>
      </c>
      <c r="X490" s="90">
        <f t="shared" si="237"/>
        <v>0</v>
      </c>
      <c r="Y490" s="90">
        <f t="shared" si="237"/>
        <v>0</v>
      </c>
      <c r="Z490" s="90">
        <f t="shared" si="237"/>
        <v>0</v>
      </c>
      <c r="AA490" s="90">
        <f t="shared" si="237"/>
        <v>0</v>
      </c>
      <c r="AB490" s="90">
        <f t="shared" si="237"/>
        <v>0</v>
      </c>
      <c r="AC490" s="90">
        <f t="shared" si="237"/>
        <v>0</v>
      </c>
      <c r="AD490" s="90">
        <f t="shared" si="237"/>
        <v>0</v>
      </c>
      <c r="AE490" s="90">
        <f t="shared" si="237"/>
        <v>0</v>
      </c>
      <c r="AF490" s="90">
        <f t="shared" si="237"/>
        <v>0</v>
      </c>
      <c r="AG490" s="90">
        <f>SUM(F490:AF490)</f>
        <v>32964492.123498984</v>
      </c>
      <c r="AH490" s="28" t="str">
        <f t="shared" si="236"/>
        <v>ok</v>
      </c>
    </row>
    <row r="491" spans="1:41" x14ac:dyDescent="0.25">
      <c r="A491" s="14" t="s">
        <v>662</v>
      </c>
      <c r="C491" s="14" t="s">
        <v>665</v>
      </c>
      <c r="D491" s="14" t="s">
        <v>664</v>
      </c>
      <c r="E491" s="49">
        <v>1</v>
      </c>
      <c r="F491" s="98">
        <f>IF(VLOOKUP($D491,$C$5:$AU$511,3,)=0,0,(VLOOKUP($D491,$C$5:$AU$511,4,)/VLOOKUP($D491,$C$5:$AU$511,3,))*$E491)</f>
        <v>0.50077830041702409</v>
      </c>
      <c r="G491" s="98">
        <f>IF(VLOOKUP($D491,$C$5:$AU$511,3,)=0,0,(VLOOKUP($D491,$C$5:$AU$511,5,)/VLOOKUP($D491,$C$5:$AU$511,3,))*$E491)</f>
        <v>4.3816721132693641E-4</v>
      </c>
      <c r="H491" s="98">
        <f>IF(VLOOKUP($D491,$C$5:$AU$511,3,)=0,0,(VLOOKUP($D491,$C$5:$AU$511,6,)/VLOOKUP($D491,$C$5:$AU$511,3,))*$E491)</f>
        <v>3.5546200173261738E-2</v>
      </c>
      <c r="I491" s="98">
        <f>IF(VLOOKUP($D491,$C$5:$AU$511,3,)=0,0,(VLOOKUP($D491,$C$5:$AU$511,7,)/VLOOKUP($D491,$C$5:$AU$511,3,))*$E491)</f>
        <v>8.6991034738036807E-2</v>
      </c>
      <c r="J491" s="98">
        <f>IF(VLOOKUP($D491,$C$5:$AU$511,3,)=0,0,(VLOOKUP($D491,$C$5:$AU$511,8,)/VLOOKUP($D491,$C$5:$AU$511,3,))*$E491)</f>
        <v>0.14335389088847403</v>
      </c>
      <c r="K491" s="98">
        <f>IF(VLOOKUP($D491,$C$5:$AU$511,3,)=0,0,(VLOOKUP($D491,$C$5:$AU$511,9,)/VLOOKUP($D491,$C$5:$AU$511,3,))*$E491)</f>
        <v>0.17620440667409684</v>
      </c>
      <c r="L491" s="98">
        <f>IF(VLOOKUP($D491,$C$5:$AU$511,3,)=0,0,(VLOOKUP($D491,$C$5:$AU$511,10,)/VLOOKUP($D491,$C$5:$AU$511,3,))*$E491)</f>
        <v>5.2620050009185654E-2</v>
      </c>
      <c r="M491" s="98">
        <f>IF(VLOOKUP($D491,$C$5:$AU$511,3,)=0,0,(VLOOKUP($D491,$C$5:$AU$511,11,)/VLOOKUP($D491,$C$5:$AU$511,3,))*$E491)</f>
        <v>4.0679498885938786E-3</v>
      </c>
      <c r="N491" s="98">
        <f>IF(VLOOKUP($D491,$C$5:$AU$511,3,)=0,0,(VLOOKUP($D491,$C$5:$AU$511,12,)/VLOOKUP($D491,$C$5:$AU$511,3,))*$E491)</f>
        <v>0</v>
      </c>
      <c r="O491" s="98">
        <f>IF(VLOOKUP($D491,$C$5:$AU$511,3,)=0,0,(VLOOKUP($D491,$C$5:$AU$511,13,)/VLOOKUP($D491,$C$5:$AU$511,3,))*$E491)</f>
        <v>0</v>
      </c>
      <c r="P491" s="98">
        <f>IF(VLOOKUP($D491,$C$5:$AU$511,3,)=0,0,(VLOOKUP($D491,$C$5:$AU$511,14,)/VLOOKUP($D491,$C$5:$AU$511,3,))*$E491)</f>
        <v>0</v>
      </c>
      <c r="Q491" s="98">
        <f>IF(VLOOKUP($D491,$C$5:$AU$511,3,)=0,0,(VLOOKUP($D491,$C$5:$AU$511,15,)/VLOOKUP($D491,$C$5:$AU$511,3,))*$E491)</f>
        <v>0</v>
      </c>
      <c r="R491" s="98">
        <f>IF(VLOOKUP($D491,$C$5:$AU$511,3,)=0,0,(VLOOKUP($D491,$C$5:$AU$511,16,)/VLOOKUP($D491,$C$5:$AU$511,3,))*$E491)</f>
        <v>0</v>
      </c>
      <c r="S491" s="98">
        <f>IF(VLOOKUP($D491,$C$5:$AU$511,3,)=0,0,(VLOOKUP($D491,$C$5:$AU$511,17,)/VLOOKUP($D491,$C$5:$AU$511,3,))*$E491)</f>
        <v>0</v>
      </c>
      <c r="T491" s="98">
        <f>IF(VLOOKUP($D491,$C$5:$AU$511,3,)=0,0,(VLOOKUP($D491,$C$5:$AU$511,18,)/VLOOKUP($D491,$C$5:$AU$511,3,))*$E491)</f>
        <v>0</v>
      </c>
      <c r="U491" s="98">
        <f>IF(VLOOKUP($D491,$C$5:$AU$511,3,)=0,0,(VLOOKUP($D491,$C$5:$AU$511,19,)/VLOOKUP($D491,$C$5:$AU$511,3,))*$E491)</f>
        <v>0</v>
      </c>
      <c r="V491" s="98">
        <f>IF(VLOOKUP($D491,$C$5:$AU$511,3,)=0,0,(VLOOKUP($D491,$C$5:$AU$511,20,)/VLOOKUP($D491,$C$5:$AU$511,3,))*$E491)</f>
        <v>0</v>
      </c>
      <c r="W491" s="98">
        <f>IF(VLOOKUP($D491,$C$5:$AU$511,3,)=0,0,(VLOOKUP($D491,$C$5:$AU$511,21,)/VLOOKUP($D491,$C$5:$AU$511,3,))*$E491)</f>
        <v>0</v>
      </c>
      <c r="X491" s="98">
        <f>IF(VLOOKUP($D491,$C$5:$AU$511,3,)=0,0,(VLOOKUP($D491,$C$5:$AU$511,22,)/VLOOKUP($D491,$C$5:$AU$511,3,))*$E491)</f>
        <v>0</v>
      </c>
      <c r="Y491" s="98">
        <f>IF(VLOOKUP($D491,$C$5:$AU$511,3,)=0,0,(VLOOKUP($D491,$C$5:$AU$511,23,)/VLOOKUP($D491,$C$5:$AU$511,3,))*$E491)</f>
        <v>0</v>
      </c>
      <c r="Z491" s="98">
        <f>IF(VLOOKUP($D491,$C$5:$AU$511,3,)=0,0,(VLOOKUP($D491,$C$5:$AU$511,24,)/VLOOKUP($D491,$C$5:$AU$511,3,))*$E491)</f>
        <v>0</v>
      </c>
      <c r="AA491" s="98">
        <f>IF(VLOOKUP($D491,$C$5:$AU$511,3,)=0,0,(VLOOKUP($D491,$C$5:$AU$511,25,)/VLOOKUP($D491,$C$5:$AU$511,3,))*$E491)</f>
        <v>0</v>
      </c>
      <c r="AB491" s="98">
        <f>IF(VLOOKUP($D491,$C$5:$AU$511,3,)=0,0,(VLOOKUP($D491,$C$5:$AU$511,26,)/VLOOKUP($D491,$C$5:$AU$511,3,))*$E491)</f>
        <v>0</v>
      </c>
      <c r="AC491" s="98">
        <f>IF(VLOOKUP($D491,$C$5:$AU$511,3,)=0,0,(VLOOKUP($D491,$C$5:$AU$511,27,)/VLOOKUP($D491,$C$5:$AU$511,3,))*$E491)</f>
        <v>0</v>
      </c>
      <c r="AD491" s="98">
        <f>IF(VLOOKUP($D491,$C$5:$AU$511,3,)=0,0,(VLOOKUP($D491,$C$5:$AU$511,28,)/VLOOKUP($D491,$C$5:$AU$511,3,))*$E491)</f>
        <v>0</v>
      </c>
      <c r="AE491" s="98">
        <f>IF(VLOOKUP($D491,$C$5:$AU$511,3,)=0,0,(VLOOKUP($D491,$C$5:$AU$511,29,)/VLOOKUP($D491,$C$5:$AU$511,3,))*$E491)</f>
        <v>0</v>
      </c>
      <c r="AF491" s="98">
        <f>IF(VLOOKUP($D491,$C$5:$AU$511,3,)=0,0,(VLOOKUP($D491,$C$5:$AU$511,30,)/VLOOKUP($D491,$C$5:$AU$511,3,))*$E491)</f>
        <v>0</v>
      </c>
      <c r="AG491" s="98">
        <f>SUM(F491:AF491)</f>
        <v>1</v>
      </c>
      <c r="AH491" s="28" t="str">
        <f t="shared" si="236"/>
        <v>ok</v>
      </c>
    </row>
    <row r="492" spans="1:41" x14ac:dyDescent="0.25">
      <c r="E492" s="49"/>
      <c r="F492" s="98"/>
      <c r="G492" s="98"/>
      <c r="H492" s="98"/>
      <c r="I492" s="98"/>
      <c r="J492" s="98"/>
      <c r="K492" s="98"/>
      <c r="L492" s="98"/>
      <c r="M492" s="98"/>
      <c r="N492" s="98"/>
      <c r="O492" s="98"/>
      <c r="P492" s="98"/>
      <c r="Q492" s="98"/>
      <c r="R492" s="98"/>
      <c r="S492" s="98"/>
      <c r="T492" s="98"/>
      <c r="U492" s="98"/>
      <c r="V492" s="98"/>
      <c r="W492" s="98"/>
      <c r="X492" s="98"/>
      <c r="Y492" s="98"/>
      <c r="Z492" s="98"/>
      <c r="AA492" s="98"/>
      <c r="AB492" s="98"/>
      <c r="AC492" s="98"/>
      <c r="AD492" s="98"/>
      <c r="AE492" s="98"/>
      <c r="AF492" s="98"/>
      <c r="AG492" s="98"/>
      <c r="AH492" s="28"/>
    </row>
    <row r="493" spans="1:41" x14ac:dyDescent="0.25">
      <c r="A493" s="13" t="s">
        <v>325</v>
      </c>
    </row>
    <row r="494" spans="1:41" x14ac:dyDescent="0.25">
      <c r="AJ494" s="32"/>
      <c r="AK494" s="191"/>
      <c r="AL494" s="32"/>
      <c r="AM494" s="32"/>
      <c r="AN494" s="32"/>
      <c r="AO494" s="32"/>
    </row>
    <row r="495" spans="1:41" x14ac:dyDescent="0.25">
      <c r="A495" s="14" t="s">
        <v>644</v>
      </c>
      <c r="D495" s="48">
        <f>E495/(E495+E496)</f>
        <v>0.2145959244393903</v>
      </c>
      <c r="E495" s="90">
        <f t="shared" ref="E495:R495" si="239">E123+E199+E237+E275</f>
        <v>9006886.8765010126</v>
      </c>
      <c r="F495" s="90">
        <f t="shared" si="239"/>
        <v>4474506.8259881809</v>
      </c>
      <c r="G495" s="90">
        <f t="shared" si="239"/>
        <v>0</v>
      </c>
      <c r="H495" s="90">
        <f t="shared" si="239"/>
        <v>317830.43662963342</v>
      </c>
      <c r="I495" s="90">
        <f t="shared" si="239"/>
        <v>642782.76553710271</v>
      </c>
      <c r="J495" s="90">
        <f t="shared" si="239"/>
        <v>519100.84834609588</v>
      </c>
      <c r="K495" s="90">
        <f t="shared" si="239"/>
        <v>2418533.1346225496</v>
      </c>
      <c r="L495" s="90">
        <f t="shared" si="239"/>
        <v>634132.86537745071</v>
      </c>
      <c r="M495" s="90">
        <f t="shared" si="239"/>
        <v>0</v>
      </c>
      <c r="N495" s="90">
        <f t="shared" si="239"/>
        <v>0</v>
      </c>
      <c r="O495" s="90">
        <f t="shared" si="239"/>
        <v>0</v>
      </c>
      <c r="P495" s="90">
        <f t="shared" si="239"/>
        <v>0</v>
      </c>
      <c r="Q495" s="90">
        <f t="shared" si="239"/>
        <v>0</v>
      </c>
      <c r="R495" s="90">
        <f t="shared" si="239"/>
        <v>0</v>
      </c>
      <c r="S495" s="90">
        <f t="shared" ref="S495:AF495" si="240">S123</f>
        <v>0</v>
      </c>
      <c r="T495" s="90">
        <f t="shared" si="240"/>
        <v>0</v>
      </c>
      <c r="U495" s="90">
        <f t="shared" si="240"/>
        <v>0</v>
      </c>
      <c r="V495" s="90">
        <f t="shared" si="240"/>
        <v>0</v>
      </c>
      <c r="W495" s="90">
        <f t="shared" si="240"/>
        <v>0</v>
      </c>
      <c r="X495" s="90">
        <f t="shared" si="240"/>
        <v>0</v>
      </c>
      <c r="Y495" s="90">
        <f t="shared" si="240"/>
        <v>0</v>
      </c>
      <c r="Z495" s="90">
        <f t="shared" si="240"/>
        <v>0</v>
      </c>
      <c r="AA495" s="90">
        <f t="shared" si="240"/>
        <v>0</v>
      </c>
      <c r="AB495" s="90">
        <f t="shared" si="240"/>
        <v>0</v>
      </c>
      <c r="AC495" s="90">
        <f t="shared" si="240"/>
        <v>0</v>
      </c>
      <c r="AD495" s="90">
        <f t="shared" si="240"/>
        <v>0</v>
      </c>
      <c r="AE495" s="90">
        <f t="shared" si="240"/>
        <v>0</v>
      </c>
      <c r="AF495" s="90">
        <f t="shared" si="240"/>
        <v>0</v>
      </c>
      <c r="AG495" s="90">
        <f>SUM(F495:AF495)</f>
        <v>9006886.8765010126</v>
      </c>
      <c r="AH495" s="28" t="str">
        <f t="shared" ref="AH495:AH500" si="241">IF(ABS(E495-AG495)&lt;0.01,"ok","err")</f>
        <v>ok</v>
      </c>
      <c r="AJ495" s="192"/>
      <c r="AK495" s="192"/>
      <c r="AL495" s="192"/>
      <c r="AM495" s="192"/>
      <c r="AN495" s="192"/>
      <c r="AO495" s="192"/>
    </row>
    <row r="496" spans="1:41" x14ac:dyDescent="0.25">
      <c r="A496" s="14" t="s">
        <v>645</v>
      </c>
      <c r="D496" s="48">
        <f>1-D495</f>
        <v>0.78540407556060976</v>
      </c>
      <c r="E496" s="90">
        <f t="shared" ref="E496:R496" si="242">E124+E200+E238+E276</f>
        <v>32964492.123498984</v>
      </c>
      <c r="F496" s="90">
        <f t="shared" si="242"/>
        <v>16507902.339716198</v>
      </c>
      <c r="G496" s="90">
        <f t="shared" si="242"/>
        <v>14443.959586562311</v>
      </c>
      <c r="H496" s="90">
        <f t="shared" si="242"/>
        <v>1171762.4356318049</v>
      </c>
      <c r="I496" s="90">
        <f t="shared" si="242"/>
        <v>2867615.2794370409</v>
      </c>
      <c r="J496" s="90">
        <f t="shared" si="242"/>
        <v>4725588.2070660349</v>
      </c>
      <c r="K496" s="90">
        <f t="shared" si="242"/>
        <v>5808488.7759340769</v>
      </c>
      <c r="L496" s="90">
        <f t="shared" si="242"/>
        <v>1734593.2240659231</v>
      </c>
      <c r="M496" s="90">
        <f t="shared" si="242"/>
        <v>134097.90206134148</v>
      </c>
      <c r="N496" s="90">
        <f t="shared" si="242"/>
        <v>0</v>
      </c>
      <c r="O496" s="90">
        <f t="shared" si="242"/>
        <v>0</v>
      </c>
      <c r="P496" s="90">
        <f t="shared" si="242"/>
        <v>0</v>
      </c>
      <c r="Q496" s="90">
        <f t="shared" si="242"/>
        <v>0</v>
      </c>
      <c r="R496" s="90">
        <f t="shared" si="242"/>
        <v>0</v>
      </c>
      <c r="S496" s="90">
        <f t="shared" ref="S496:AF496" si="243">S124</f>
        <v>0</v>
      </c>
      <c r="T496" s="90">
        <f t="shared" si="243"/>
        <v>0</v>
      </c>
      <c r="U496" s="90">
        <f t="shared" si="243"/>
        <v>0</v>
      </c>
      <c r="V496" s="90">
        <f t="shared" si="243"/>
        <v>0</v>
      </c>
      <c r="W496" s="90">
        <f t="shared" si="243"/>
        <v>0</v>
      </c>
      <c r="X496" s="90">
        <f t="shared" si="243"/>
        <v>0</v>
      </c>
      <c r="Y496" s="90">
        <f t="shared" si="243"/>
        <v>0</v>
      </c>
      <c r="Z496" s="90">
        <f t="shared" si="243"/>
        <v>0</v>
      </c>
      <c r="AA496" s="90">
        <f t="shared" si="243"/>
        <v>0</v>
      </c>
      <c r="AB496" s="90">
        <f t="shared" si="243"/>
        <v>0</v>
      </c>
      <c r="AC496" s="90">
        <f t="shared" si="243"/>
        <v>0</v>
      </c>
      <c r="AD496" s="90">
        <f t="shared" si="243"/>
        <v>0</v>
      </c>
      <c r="AE496" s="90">
        <f t="shared" si="243"/>
        <v>0</v>
      </c>
      <c r="AF496" s="90">
        <f t="shared" si="243"/>
        <v>0</v>
      </c>
      <c r="AG496" s="90">
        <f>SUM(F496:AF496)</f>
        <v>32964492.123498984</v>
      </c>
      <c r="AH496" s="28" t="str">
        <f t="shared" si="241"/>
        <v>ok</v>
      </c>
      <c r="AJ496" s="192"/>
      <c r="AK496" s="192"/>
      <c r="AL496" s="192"/>
      <c r="AM496" s="192"/>
      <c r="AN496" s="192"/>
      <c r="AO496" s="192"/>
    </row>
    <row r="497" spans="1:41" x14ac:dyDescent="0.25">
      <c r="A497" s="14" t="s">
        <v>889</v>
      </c>
      <c r="E497" s="90">
        <f t="shared" ref="E497:R497" si="244">E128+E204+E242+E280</f>
        <v>0</v>
      </c>
      <c r="F497" s="90">
        <f t="shared" si="244"/>
        <v>0</v>
      </c>
      <c r="G497" s="90">
        <f t="shared" si="244"/>
        <v>0</v>
      </c>
      <c r="H497" s="90">
        <f t="shared" si="244"/>
        <v>0</v>
      </c>
      <c r="I497" s="90">
        <f t="shared" si="244"/>
        <v>0</v>
      </c>
      <c r="J497" s="90">
        <f t="shared" si="244"/>
        <v>0</v>
      </c>
      <c r="K497" s="90">
        <f t="shared" si="244"/>
        <v>0</v>
      </c>
      <c r="L497" s="90">
        <f t="shared" si="244"/>
        <v>0</v>
      </c>
      <c r="M497" s="90">
        <f t="shared" si="244"/>
        <v>0</v>
      </c>
      <c r="N497" s="90">
        <f t="shared" si="244"/>
        <v>0</v>
      </c>
      <c r="O497" s="90">
        <f t="shared" si="244"/>
        <v>0</v>
      </c>
      <c r="P497" s="90">
        <f t="shared" si="244"/>
        <v>0</v>
      </c>
      <c r="Q497" s="90">
        <f t="shared" si="244"/>
        <v>0</v>
      </c>
      <c r="R497" s="90">
        <f t="shared" si="244"/>
        <v>0</v>
      </c>
      <c r="S497" s="90"/>
      <c r="T497" s="90"/>
      <c r="U497" s="90"/>
      <c r="V497" s="90"/>
      <c r="W497" s="90"/>
      <c r="X497" s="90"/>
      <c r="Y497" s="90"/>
      <c r="Z497" s="90"/>
      <c r="AA497" s="90"/>
      <c r="AB497" s="90"/>
      <c r="AC497" s="90"/>
      <c r="AD497" s="90"/>
      <c r="AE497" s="90"/>
      <c r="AF497" s="90"/>
      <c r="AG497" s="90">
        <f>SUM(F497:AF497)</f>
        <v>0</v>
      </c>
      <c r="AH497" s="28" t="str">
        <f t="shared" si="241"/>
        <v>ok</v>
      </c>
      <c r="AJ497" s="192"/>
      <c r="AK497" s="192"/>
      <c r="AL497" s="192"/>
      <c r="AM497" s="192"/>
      <c r="AN497" s="192"/>
      <c r="AO497" s="192"/>
    </row>
    <row r="498" spans="1:41" x14ac:dyDescent="0.25">
      <c r="A498" s="14" t="s">
        <v>646</v>
      </c>
      <c r="D498" s="203">
        <f>E498/(E498+E499)</f>
        <v>0.58547522192305856</v>
      </c>
      <c r="E498" s="90">
        <f t="shared" ref="E498:AG498" si="245">E131+E134+E139+E207+E210+E215+E245+E248+E253+E283+E286+E291</f>
        <v>6393047.0257805139</v>
      </c>
      <c r="F498" s="90">
        <f t="shared" si="245"/>
        <v>4535400.4642890804</v>
      </c>
      <c r="G498" s="90">
        <f t="shared" si="245"/>
        <v>3969.7325938068921</v>
      </c>
      <c r="H498" s="90">
        <f t="shared" si="245"/>
        <v>165254.8294458965</v>
      </c>
      <c r="I498" s="90">
        <f t="shared" si="245"/>
        <v>332257.89411220187</v>
      </c>
      <c r="J498" s="90">
        <f t="shared" si="245"/>
        <v>477875.09601721627</v>
      </c>
      <c r="K498" s="90">
        <f t="shared" si="245"/>
        <v>687821.38628010347</v>
      </c>
      <c r="L498" s="90">
        <f t="shared" si="245"/>
        <v>180344.9125032408</v>
      </c>
      <c r="M498" s="90">
        <f t="shared" si="245"/>
        <v>10122.710420461724</v>
      </c>
      <c r="N498" s="90">
        <f t="shared" si="245"/>
        <v>0</v>
      </c>
      <c r="O498" s="90">
        <f t="shared" si="245"/>
        <v>0</v>
      </c>
      <c r="P498" s="90">
        <f t="shared" si="245"/>
        <v>0</v>
      </c>
      <c r="Q498" s="90">
        <f t="shared" si="245"/>
        <v>0</v>
      </c>
      <c r="R498" s="90">
        <f t="shared" si="245"/>
        <v>0</v>
      </c>
      <c r="S498" s="90">
        <f t="shared" si="245"/>
        <v>0</v>
      </c>
      <c r="T498" s="90">
        <f t="shared" si="245"/>
        <v>0</v>
      </c>
      <c r="U498" s="90">
        <f t="shared" si="245"/>
        <v>0</v>
      </c>
      <c r="V498" s="90">
        <f t="shared" si="245"/>
        <v>0</v>
      </c>
      <c r="W498" s="90">
        <f t="shared" si="245"/>
        <v>0</v>
      </c>
      <c r="X498" s="90">
        <f t="shared" si="245"/>
        <v>0</v>
      </c>
      <c r="Y498" s="90">
        <f t="shared" si="245"/>
        <v>0</v>
      </c>
      <c r="Z498" s="90">
        <f t="shared" si="245"/>
        <v>0</v>
      </c>
      <c r="AA498" s="90">
        <f t="shared" si="245"/>
        <v>0</v>
      </c>
      <c r="AB498" s="90">
        <f t="shared" si="245"/>
        <v>0</v>
      </c>
      <c r="AC498" s="90">
        <f t="shared" si="245"/>
        <v>0</v>
      </c>
      <c r="AD498" s="90">
        <f t="shared" si="245"/>
        <v>0</v>
      </c>
      <c r="AE498" s="90">
        <f t="shared" si="245"/>
        <v>0</v>
      </c>
      <c r="AF498" s="90">
        <f t="shared" si="245"/>
        <v>0</v>
      </c>
      <c r="AG498" s="90">
        <f t="shared" si="245"/>
        <v>6393047.0256620096</v>
      </c>
      <c r="AH498" s="28" t="str">
        <f t="shared" si="241"/>
        <v>ok</v>
      </c>
      <c r="AJ498" s="192"/>
      <c r="AK498" s="192"/>
      <c r="AL498" s="192"/>
      <c r="AM498" s="192"/>
      <c r="AN498" s="192"/>
      <c r="AO498" s="192"/>
    </row>
    <row r="499" spans="1:41" x14ac:dyDescent="0.25">
      <c r="A499" s="14" t="s">
        <v>647</v>
      </c>
      <c r="D499" s="203">
        <f>E499/(E498+E499)</f>
        <v>0.41452477807694155</v>
      </c>
      <c r="E499" s="67">
        <f t="shared" ref="E499:AD499" si="246">E135+E140+E144+E147+E150+E153+E211+E216+E220+E223+E226+E229+E249+E254+E258+E261+E264+E267+E287+E292+E296+E299+E302+E305</f>
        <v>4526368.1542194868</v>
      </c>
      <c r="F499" s="67">
        <f t="shared" si="246"/>
        <v>3180365.6102712848</v>
      </c>
      <c r="G499" s="67">
        <f t="shared" si="246"/>
        <v>4292.1292899133687</v>
      </c>
      <c r="H499" s="67">
        <f t="shared" si="246"/>
        <v>199256.992606502</v>
      </c>
      <c r="I499" s="67">
        <f t="shared" si="246"/>
        <v>935158.92032025417</v>
      </c>
      <c r="J499" s="67">
        <f t="shared" si="246"/>
        <v>34423.49239490382</v>
      </c>
      <c r="K499" s="67">
        <f t="shared" si="246"/>
        <v>2455.7233546574771</v>
      </c>
      <c r="L499" s="67">
        <f t="shared" si="246"/>
        <v>175.40881104696265</v>
      </c>
      <c r="M499" s="67">
        <f t="shared" si="246"/>
        <v>170239.87717092558</v>
      </c>
      <c r="N499" s="67">
        <f t="shared" si="246"/>
        <v>0</v>
      </c>
      <c r="O499" s="67">
        <f t="shared" si="246"/>
        <v>0</v>
      </c>
      <c r="P499" s="67">
        <f t="shared" si="246"/>
        <v>0</v>
      </c>
      <c r="Q499" s="67">
        <f t="shared" si="246"/>
        <v>0</v>
      </c>
      <c r="R499" s="67">
        <f t="shared" si="246"/>
        <v>0</v>
      </c>
      <c r="S499" s="67">
        <f t="shared" si="246"/>
        <v>0</v>
      </c>
      <c r="T499" s="67">
        <f t="shared" si="246"/>
        <v>0</v>
      </c>
      <c r="U499" s="67">
        <f t="shared" si="246"/>
        <v>0</v>
      </c>
      <c r="V499" s="67">
        <f t="shared" si="246"/>
        <v>0</v>
      </c>
      <c r="W499" s="67">
        <f t="shared" si="246"/>
        <v>0</v>
      </c>
      <c r="X499" s="67">
        <f t="shared" si="246"/>
        <v>0</v>
      </c>
      <c r="Y499" s="67">
        <f t="shared" si="246"/>
        <v>0</v>
      </c>
      <c r="Z499" s="67">
        <f t="shared" si="246"/>
        <v>0</v>
      </c>
      <c r="AA499" s="67">
        <f t="shared" si="246"/>
        <v>0</v>
      </c>
      <c r="AB499" s="67">
        <f t="shared" si="246"/>
        <v>0</v>
      </c>
      <c r="AC499" s="67">
        <f t="shared" si="246"/>
        <v>0</v>
      </c>
      <c r="AD499" s="67">
        <f t="shared" si="246"/>
        <v>0</v>
      </c>
      <c r="AE499" s="67"/>
      <c r="AF499" s="67">
        <f>AF135+AF140+AF144+AF147+AF150+AF153+AF211+AF216+AF220+AF223+AF226+AF229+AF249+AF254+AF258+AF261+AF264+AF267+AF287+AF292+AF296+AF299+AF302+AF305</f>
        <v>0</v>
      </c>
      <c r="AG499" s="90">
        <f>SUM(F499:AF499)</f>
        <v>4526368.1542194877</v>
      </c>
      <c r="AH499" s="28" t="str">
        <f t="shared" si="241"/>
        <v>ok</v>
      </c>
      <c r="AJ499" s="192"/>
      <c r="AK499" s="192"/>
      <c r="AL499" s="192"/>
      <c r="AM499" s="192"/>
      <c r="AN499" s="192"/>
      <c r="AO499" s="192"/>
    </row>
    <row r="500" spans="1:41" x14ac:dyDescent="0.25">
      <c r="A500" s="14" t="s">
        <v>0</v>
      </c>
      <c r="D500" s="31"/>
      <c r="E500" s="190">
        <f>SUM(E495:E499)</f>
        <v>52890794.18</v>
      </c>
      <c r="F500" s="190">
        <f t="shared" ref="F500:R500" si="247">SUM(F495:F499)</f>
        <v>28698175.240264744</v>
      </c>
      <c r="G500" s="190">
        <f t="shared" si="247"/>
        <v>22705.821470282572</v>
      </c>
      <c r="H500" s="190">
        <f t="shared" si="247"/>
        <v>1854104.6943138367</v>
      </c>
      <c r="I500" s="190">
        <f t="shared" si="247"/>
        <v>4777814.8594065998</v>
      </c>
      <c r="J500" s="190">
        <f t="shared" si="247"/>
        <v>5756987.6438242504</v>
      </c>
      <c r="K500" s="190">
        <f t="shared" si="247"/>
        <v>8917299.0201913882</v>
      </c>
      <c r="L500" s="190">
        <f t="shared" si="247"/>
        <v>2549246.4107576613</v>
      </c>
      <c r="M500" s="190">
        <f t="shared" si="247"/>
        <v>314460.48965272878</v>
      </c>
      <c r="N500" s="190">
        <f t="shared" si="247"/>
        <v>0</v>
      </c>
      <c r="O500" s="190">
        <f t="shared" si="247"/>
        <v>0</v>
      </c>
      <c r="P500" s="190">
        <f t="shared" si="247"/>
        <v>0</v>
      </c>
      <c r="Q500" s="190">
        <f t="shared" si="247"/>
        <v>0</v>
      </c>
      <c r="R500" s="190">
        <f t="shared" si="247"/>
        <v>0</v>
      </c>
      <c r="S500" s="190">
        <f t="shared" ref="S500:AG500" si="248">SUM(S495:S499)</f>
        <v>0</v>
      </c>
      <c r="T500" s="190">
        <f t="shared" si="248"/>
        <v>0</v>
      </c>
      <c r="U500" s="190">
        <f t="shared" si="248"/>
        <v>0</v>
      </c>
      <c r="V500" s="190">
        <f t="shared" si="248"/>
        <v>0</v>
      </c>
      <c r="W500" s="190">
        <f t="shared" si="248"/>
        <v>0</v>
      </c>
      <c r="X500" s="190">
        <f t="shared" si="248"/>
        <v>0</v>
      </c>
      <c r="Y500" s="190">
        <f t="shared" si="248"/>
        <v>0</v>
      </c>
      <c r="Z500" s="190">
        <f t="shared" si="248"/>
        <v>0</v>
      </c>
      <c r="AA500" s="190">
        <f t="shared" si="248"/>
        <v>0</v>
      </c>
      <c r="AB500" s="190">
        <f t="shared" si="248"/>
        <v>0</v>
      </c>
      <c r="AC500" s="190">
        <f t="shared" si="248"/>
        <v>0</v>
      </c>
      <c r="AD500" s="190">
        <f t="shared" si="248"/>
        <v>0</v>
      </c>
      <c r="AE500" s="190">
        <f t="shared" si="248"/>
        <v>0</v>
      </c>
      <c r="AF500" s="190">
        <f t="shared" si="248"/>
        <v>0</v>
      </c>
      <c r="AG500" s="190">
        <f t="shared" si="248"/>
        <v>52890794.179881498</v>
      </c>
      <c r="AH500" s="28" t="str">
        <f t="shared" si="241"/>
        <v>ok</v>
      </c>
      <c r="AJ500" s="192"/>
      <c r="AK500" s="192"/>
      <c r="AL500" s="192"/>
      <c r="AM500" s="192"/>
      <c r="AN500" s="192"/>
      <c r="AO500" s="192"/>
    </row>
    <row r="502" spans="1:41" x14ac:dyDescent="0.25">
      <c r="A502" s="13" t="s">
        <v>696</v>
      </c>
      <c r="E502" s="90"/>
    </row>
    <row r="503" spans="1:41" x14ac:dyDescent="0.25">
      <c r="AJ503" s="32"/>
      <c r="AK503" s="191"/>
      <c r="AL503" s="32"/>
      <c r="AM503" s="32"/>
      <c r="AN503" s="32"/>
      <c r="AO503" s="32"/>
    </row>
    <row r="504" spans="1:41" x14ac:dyDescent="0.25">
      <c r="A504" s="14" t="s">
        <v>644</v>
      </c>
      <c r="D504" s="90"/>
      <c r="E504" s="90">
        <f>E495</f>
        <v>9006886.8765010126</v>
      </c>
      <c r="F504" s="90">
        <f t="shared" ref="F504:M504" si="249">F495</f>
        <v>4474506.8259881809</v>
      </c>
      <c r="G504" s="90">
        <f t="shared" si="249"/>
        <v>0</v>
      </c>
      <c r="H504" s="90">
        <f t="shared" si="249"/>
        <v>317830.43662963342</v>
      </c>
      <c r="I504" s="90">
        <f t="shared" si="249"/>
        <v>642782.76553710271</v>
      </c>
      <c r="J504" s="90">
        <f t="shared" si="249"/>
        <v>519100.84834609588</v>
      </c>
      <c r="K504" s="90">
        <f t="shared" si="249"/>
        <v>2418533.1346225496</v>
      </c>
      <c r="L504" s="90">
        <f t="shared" si="249"/>
        <v>634132.86537745071</v>
      </c>
      <c r="M504" s="90">
        <f t="shared" si="249"/>
        <v>0</v>
      </c>
      <c r="N504" s="90">
        <f>N495+(N359*$D$495)</f>
        <v>0</v>
      </c>
      <c r="O504" s="90">
        <f t="shared" ref="O504:AF504" si="250">O495+(O359*$D$495)</f>
        <v>0</v>
      </c>
      <c r="P504" s="90">
        <f t="shared" si="250"/>
        <v>0</v>
      </c>
      <c r="Q504" s="90">
        <f t="shared" si="250"/>
        <v>0</v>
      </c>
      <c r="R504" s="90">
        <f t="shared" si="250"/>
        <v>0</v>
      </c>
      <c r="S504" s="90">
        <f t="shared" si="250"/>
        <v>0</v>
      </c>
      <c r="T504" s="90">
        <f t="shared" si="250"/>
        <v>0</v>
      </c>
      <c r="U504" s="90">
        <f t="shared" si="250"/>
        <v>0</v>
      </c>
      <c r="V504" s="90">
        <f t="shared" si="250"/>
        <v>0</v>
      </c>
      <c r="W504" s="90">
        <f t="shared" si="250"/>
        <v>0</v>
      </c>
      <c r="X504" s="90">
        <f t="shared" si="250"/>
        <v>0</v>
      </c>
      <c r="Y504" s="90">
        <f t="shared" si="250"/>
        <v>0</v>
      </c>
      <c r="Z504" s="90">
        <f t="shared" si="250"/>
        <v>0</v>
      </c>
      <c r="AA504" s="90">
        <f t="shared" si="250"/>
        <v>0</v>
      </c>
      <c r="AB504" s="90">
        <f t="shared" si="250"/>
        <v>0</v>
      </c>
      <c r="AC504" s="90">
        <f t="shared" si="250"/>
        <v>0</v>
      </c>
      <c r="AD504" s="90">
        <f t="shared" si="250"/>
        <v>0</v>
      </c>
      <c r="AE504" s="90">
        <f t="shared" si="250"/>
        <v>0</v>
      </c>
      <c r="AF504" s="90">
        <f t="shared" si="250"/>
        <v>0</v>
      </c>
      <c r="AG504" s="90">
        <f t="shared" ref="AG504" si="251">SUM(F504:AF504)</f>
        <v>9006886.8765010126</v>
      </c>
      <c r="AH504" s="28" t="str">
        <f t="shared" ref="AH504" si="252">IF(ABS(E504-AG504)&lt;0.01,"ok","err")</f>
        <v>ok</v>
      </c>
      <c r="AJ504" s="192"/>
      <c r="AK504" s="192"/>
      <c r="AL504" s="192"/>
      <c r="AM504" s="192"/>
      <c r="AN504" s="192"/>
      <c r="AO504" s="192"/>
    </row>
    <row r="505" spans="1:41" x14ac:dyDescent="0.25">
      <c r="A505" s="14" t="s">
        <v>645</v>
      </c>
      <c r="D505" s="90"/>
      <c r="E505" s="90">
        <f>E496+E358+E359+E366</f>
        <v>21421152.730950914</v>
      </c>
      <c r="F505" s="90">
        <f t="shared" ref="F505:M505" si="253">F496+F358+F359+F366</f>
        <v>11056910.760290897</v>
      </c>
      <c r="G505" s="90">
        <f t="shared" si="253"/>
        <v>14970.153479014007</v>
      </c>
      <c r="H505" s="90">
        <f t="shared" si="253"/>
        <v>742714.04519788967</v>
      </c>
      <c r="I505" s="90">
        <f t="shared" si="253"/>
        <v>1901364.5199364519</v>
      </c>
      <c r="J505" s="90">
        <f t="shared" si="253"/>
        <v>3373652.6138292067</v>
      </c>
      <c r="K505" s="90">
        <f t="shared" si="253"/>
        <v>3285665.5988885546</v>
      </c>
      <c r="L505" s="90">
        <f t="shared" si="253"/>
        <v>990674.43885823572</v>
      </c>
      <c r="M505" s="90">
        <f t="shared" si="253"/>
        <v>55200.600470663281</v>
      </c>
      <c r="N505" s="90">
        <f>N496+N358+N366+(N359*$D$496)</f>
        <v>0</v>
      </c>
      <c r="O505" s="90">
        <f t="shared" ref="O505:AF505" si="254">O496+O358+O366+(O359*$D$496)</f>
        <v>0</v>
      </c>
      <c r="P505" s="90">
        <f t="shared" si="254"/>
        <v>0</v>
      </c>
      <c r="Q505" s="90">
        <f t="shared" si="254"/>
        <v>0</v>
      </c>
      <c r="R505" s="90">
        <f t="shared" si="254"/>
        <v>0</v>
      </c>
      <c r="S505" s="90">
        <f t="shared" si="254"/>
        <v>0</v>
      </c>
      <c r="T505" s="90">
        <f t="shared" si="254"/>
        <v>0</v>
      </c>
      <c r="U505" s="90">
        <f t="shared" si="254"/>
        <v>0</v>
      </c>
      <c r="V505" s="90">
        <f t="shared" si="254"/>
        <v>0</v>
      </c>
      <c r="W505" s="90">
        <f t="shared" si="254"/>
        <v>0</v>
      </c>
      <c r="X505" s="90">
        <f t="shared" si="254"/>
        <v>0</v>
      </c>
      <c r="Y505" s="90">
        <f t="shared" si="254"/>
        <v>0</v>
      </c>
      <c r="Z505" s="90">
        <f t="shared" si="254"/>
        <v>0</v>
      </c>
      <c r="AA505" s="90">
        <f t="shared" si="254"/>
        <v>0</v>
      </c>
      <c r="AB505" s="90">
        <f t="shared" si="254"/>
        <v>0</v>
      </c>
      <c r="AC505" s="90">
        <f t="shared" si="254"/>
        <v>0</v>
      </c>
      <c r="AD505" s="90">
        <f t="shared" si="254"/>
        <v>0</v>
      </c>
      <c r="AE505" s="90">
        <f t="shared" si="254"/>
        <v>0</v>
      </c>
      <c r="AF505" s="90">
        <f t="shared" si="254"/>
        <v>0</v>
      </c>
      <c r="AG505" s="90">
        <f t="shared" ref="AG505:AG509" si="255">SUM(F505:AF505)</f>
        <v>21421152.730950911</v>
      </c>
      <c r="AH505" s="28" t="str">
        <f t="shared" ref="AH505:AH509" si="256">IF(ABS(E505-AG505)&lt;0.01,"ok","err")</f>
        <v>ok</v>
      </c>
      <c r="AJ505" s="192"/>
      <c r="AK505" s="192"/>
      <c r="AL505" s="192"/>
      <c r="AM505" s="192"/>
      <c r="AN505" s="192"/>
      <c r="AO505" s="192"/>
    </row>
    <row r="506" spans="1:41" x14ac:dyDescent="0.25">
      <c r="A506" s="14" t="s">
        <v>889</v>
      </c>
      <c r="D506" s="90"/>
      <c r="E506" s="90">
        <f t="shared" ref="E506" si="257">E497</f>
        <v>0</v>
      </c>
      <c r="F506" s="90">
        <f t="shared" ref="F506:M506" si="258">F497</f>
        <v>0</v>
      </c>
      <c r="G506" s="90">
        <f t="shared" si="258"/>
        <v>0</v>
      </c>
      <c r="H506" s="90">
        <f t="shared" si="258"/>
        <v>0</v>
      </c>
      <c r="I506" s="90">
        <f t="shared" si="258"/>
        <v>0</v>
      </c>
      <c r="J506" s="90">
        <f t="shared" si="258"/>
        <v>0</v>
      </c>
      <c r="K506" s="90">
        <f t="shared" si="258"/>
        <v>0</v>
      </c>
      <c r="L506" s="90">
        <f t="shared" si="258"/>
        <v>0</v>
      </c>
      <c r="M506" s="90">
        <f t="shared" si="258"/>
        <v>0</v>
      </c>
      <c r="N506" s="90">
        <f t="shared" ref="N506:O506" si="259">N497</f>
        <v>0</v>
      </c>
      <c r="O506" s="90">
        <f t="shared" si="259"/>
        <v>0</v>
      </c>
      <c r="P506" s="90">
        <f t="shared" ref="P506:AF506" si="260">P497</f>
        <v>0</v>
      </c>
      <c r="Q506" s="90">
        <f t="shared" si="260"/>
        <v>0</v>
      </c>
      <c r="R506" s="90">
        <f t="shared" si="260"/>
        <v>0</v>
      </c>
      <c r="S506" s="90">
        <f t="shared" si="260"/>
        <v>0</v>
      </c>
      <c r="T506" s="90">
        <f t="shared" si="260"/>
        <v>0</v>
      </c>
      <c r="U506" s="90">
        <f t="shared" si="260"/>
        <v>0</v>
      </c>
      <c r="V506" s="90">
        <f t="shared" si="260"/>
        <v>0</v>
      </c>
      <c r="W506" s="90">
        <f t="shared" si="260"/>
        <v>0</v>
      </c>
      <c r="X506" s="90">
        <f t="shared" si="260"/>
        <v>0</v>
      </c>
      <c r="Y506" s="90">
        <f t="shared" si="260"/>
        <v>0</v>
      </c>
      <c r="Z506" s="90">
        <f t="shared" si="260"/>
        <v>0</v>
      </c>
      <c r="AA506" s="90">
        <f t="shared" si="260"/>
        <v>0</v>
      </c>
      <c r="AB506" s="90">
        <f t="shared" si="260"/>
        <v>0</v>
      </c>
      <c r="AC506" s="90">
        <f t="shared" si="260"/>
        <v>0</v>
      </c>
      <c r="AD506" s="90">
        <f t="shared" si="260"/>
        <v>0</v>
      </c>
      <c r="AE506" s="90">
        <f t="shared" si="260"/>
        <v>0</v>
      </c>
      <c r="AF506" s="90">
        <f t="shared" si="260"/>
        <v>0</v>
      </c>
      <c r="AG506" s="90">
        <f t="shared" si="255"/>
        <v>0</v>
      </c>
      <c r="AH506" s="28" t="str">
        <f t="shared" si="256"/>
        <v>ok</v>
      </c>
      <c r="AJ506" s="192"/>
      <c r="AK506" s="192"/>
      <c r="AL506" s="192"/>
      <c r="AM506" s="192"/>
      <c r="AN506" s="192"/>
      <c r="AO506" s="192"/>
    </row>
    <row r="507" spans="1:41" x14ac:dyDescent="0.25">
      <c r="A507" s="14" t="s">
        <v>646</v>
      </c>
      <c r="D507" s="90"/>
      <c r="E507" s="90">
        <f t="shared" ref="E507:N507" si="261">E498+E370+(E360+E361+E362+E363+E364+E367+E368+E369)*$D$498</f>
        <v>6797469.4997195108</v>
      </c>
      <c r="F507" s="90">
        <f t="shared" si="261"/>
        <v>4824284.1301833838</v>
      </c>
      <c r="G507" s="90">
        <f t="shared" si="261"/>
        <v>4222.0780731071654</v>
      </c>
      <c r="H507" s="90">
        <f t="shared" si="261"/>
        <v>175567.91590278476</v>
      </c>
      <c r="I507" s="90">
        <f t="shared" si="261"/>
        <v>352002.14229556971</v>
      </c>
      <c r="J507" s="90">
        <f t="shared" si="261"/>
        <v>508654.03771071479</v>
      </c>
      <c r="K507" s="90">
        <f t="shared" si="261"/>
        <v>732342.79743366886</v>
      </c>
      <c r="L507" s="90">
        <f t="shared" si="261"/>
        <v>192018.33199197345</v>
      </c>
      <c r="M507" s="90">
        <f t="shared" si="261"/>
        <v>8378.0660115601313</v>
      </c>
      <c r="N507" s="90">
        <f t="shared" si="261"/>
        <v>0</v>
      </c>
      <c r="O507" s="90">
        <f t="shared" ref="O507:AF507" si="262">O498+O370+(O360+O361+O362+O363+O364+O367+O368+O369)*$D$498</f>
        <v>0</v>
      </c>
      <c r="P507" s="90">
        <f t="shared" si="262"/>
        <v>0</v>
      </c>
      <c r="Q507" s="90">
        <f t="shared" si="262"/>
        <v>0</v>
      </c>
      <c r="R507" s="90">
        <f t="shared" si="262"/>
        <v>0</v>
      </c>
      <c r="S507" s="90">
        <f t="shared" si="262"/>
        <v>0</v>
      </c>
      <c r="T507" s="90">
        <f t="shared" si="262"/>
        <v>0</v>
      </c>
      <c r="U507" s="90">
        <f t="shared" si="262"/>
        <v>0</v>
      </c>
      <c r="V507" s="90">
        <f t="shared" si="262"/>
        <v>0</v>
      </c>
      <c r="W507" s="90">
        <f t="shared" si="262"/>
        <v>0</v>
      </c>
      <c r="X507" s="90">
        <f t="shared" si="262"/>
        <v>0</v>
      </c>
      <c r="Y507" s="90">
        <f t="shared" si="262"/>
        <v>0</v>
      </c>
      <c r="Z507" s="90">
        <f t="shared" si="262"/>
        <v>0</v>
      </c>
      <c r="AA507" s="90">
        <f t="shared" si="262"/>
        <v>0</v>
      </c>
      <c r="AB507" s="90">
        <f t="shared" si="262"/>
        <v>0</v>
      </c>
      <c r="AC507" s="90">
        <f t="shared" si="262"/>
        <v>0</v>
      </c>
      <c r="AD507" s="90">
        <f t="shared" si="262"/>
        <v>0</v>
      </c>
      <c r="AE507" s="90">
        <f t="shared" si="262"/>
        <v>0</v>
      </c>
      <c r="AF507" s="90">
        <f t="shared" si="262"/>
        <v>0</v>
      </c>
      <c r="AG507" s="90">
        <f t="shared" si="255"/>
        <v>6797469.499602763</v>
      </c>
      <c r="AH507" s="28" t="str">
        <f t="shared" si="256"/>
        <v>ok</v>
      </c>
      <c r="AJ507" s="192"/>
      <c r="AK507" s="192"/>
      <c r="AL507" s="192"/>
      <c r="AM507" s="192"/>
      <c r="AN507" s="192"/>
      <c r="AO507" s="192"/>
    </row>
    <row r="508" spans="1:41" x14ac:dyDescent="0.25">
      <c r="A508" s="14" t="s">
        <v>647</v>
      </c>
      <c r="D508" s="90"/>
      <c r="E508" s="90">
        <f>E499+(E360+E361+E362+E363+E364+E367+E368+E369)*$D$499</f>
        <v>4500875.022032382</v>
      </c>
      <c r="F508" s="90">
        <f>F499+(F360+F361+F362+F363+F364+F367+F368+F369)*$D$499</f>
        <v>3163528.5700219409</v>
      </c>
      <c r="G508" s="90">
        <f t="shared" ref="G508:M508" si="263">G499+(G360+G361+G362+G363+G364+G367+G368+G369)*$D$499</f>
        <v>4275.8383893514365</v>
      </c>
      <c r="H508" s="90">
        <f t="shared" si="263"/>
        <v>198539.99672818222</v>
      </c>
      <c r="I508" s="90">
        <f t="shared" si="263"/>
        <v>933016.82859245001</v>
      </c>
      <c r="J508" s="90">
        <f t="shared" si="263"/>
        <v>32905.08804916012</v>
      </c>
      <c r="K508" s="90">
        <f>K499+(K360+K361+K362+K363+K364+K367+K368+K369)*$D$499-400</f>
        <v>51.31092876087996</v>
      </c>
      <c r="L508" s="90">
        <f>L499+(L360+L361+L362+L363+L364+L367+L368+L369)*$D$499+400</f>
        <v>49.875371018423039</v>
      </c>
      <c r="M508" s="90">
        <f t="shared" si="263"/>
        <v>168507.51395276416</v>
      </c>
      <c r="N508" s="90">
        <f>N499+(N360+N361+N362+N363+N364+N367+N368+N369)*$D$499</f>
        <v>0</v>
      </c>
      <c r="O508" s="90">
        <f t="shared" ref="O508:AF508" si="264">O499+(O360+O361+O362+O363+O364+O367+O368+O369)*$D$499</f>
        <v>0</v>
      </c>
      <c r="P508" s="90">
        <f t="shared" si="264"/>
        <v>0</v>
      </c>
      <c r="Q508" s="90">
        <f t="shared" si="264"/>
        <v>0</v>
      </c>
      <c r="R508" s="90">
        <f t="shared" si="264"/>
        <v>0</v>
      </c>
      <c r="S508" s="90">
        <f t="shared" si="264"/>
        <v>0</v>
      </c>
      <c r="T508" s="90">
        <f t="shared" si="264"/>
        <v>0</v>
      </c>
      <c r="U508" s="90">
        <f t="shared" si="264"/>
        <v>0</v>
      </c>
      <c r="V508" s="90">
        <f t="shared" si="264"/>
        <v>0</v>
      </c>
      <c r="W508" s="90">
        <f t="shared" si="264"/>
        <v>0</v>
      </c>
      <c r="X508" s="90">
        <f t="shared" si="264"/>
        <v>0</v>
      </c>
      <c r="Y508" s="90">
        <f t="shared" si="264"/>
        <v>0</v>
      </c>
      <c r="Z508" s="90">
        <f t="shared" si="264"/>
        <v>0</v>
      </c>
      <c r="AA508" s="90">
        <f t="shared" si="264"/>
        <v>0</v>
      </c>
      <c r="AB508" s="90">
        <f t="shared" si="264"/>
        <v>0</v>
      </c>
      <c r="AC508" s="90">
        <f t="shared" si="264"/>
        <v>0</v>
      </c>
      <c r="AD508" s="90">
        <f t="shared" si="264"/>
        <v>0</v>
      </c>
      <c r="AE508" s="90">
        <f t="shared" si="264"/>
        <v>0</v>
      </c>
      <c r="AF508" s="90">
        <f t="shared" si="264"/>
        <v>0</v>
      </c>
      <c r="AG508" s="90">
        <f t="shared" si="255"/>
        <v>4500875.0220336281</v>
      </c>
      <c r="AH508" s="28" t="str">
        <f t="shared" si="256"/>
        <v>ok</v>
      </c>
      <c r="AJ508" s="192"/>
      <c r="AK508" s="192"/>
      <c r="AL508" s="192"/>
      <c r="AM508" s="192"/>
      <c r="AN508" s="192"/>
      <c r="AO508" s="192"/>
    </row>
    <row r="509" spans="1:41" x14ac:dyDescent="0.25">
      <c r="A509" s="14" t="s">
        <v>0</v>
      </c>
      <c r="E509" s="190">
        <f>SUM(E504:E508)</f>
        <v>41726384.129203819</v>
      </c>
      <c r="F509" s="190">
        <f t="shared" ref="F509:AF509" si="265">SUM(F504:F508)</f>
        <v>23519230.286484405</v>
      </c>
      <c r="G509" s="190">
        <f t="shared" si="265"/>
        <v>23468.069941472608</v>
      </c>
      <c r="H509" s="190">
        <f t="shared" si="265"/>
        <v>1434652.3944584902</v>
      </c>
      <c r="I509" s="190">
        <f t="shared" si="265"/>
        <v>3829166.2563615739</v>
      </c>
      <c r="J509" s="190">
        <f t="shared" si="265"/>
        <v>4434312.5879351776</v>
      </c>
      <c r="K509" s="190">
        <f t="shared" si="265"/>
        <v>6436592.841873534</v>
      </c>
      <c r="L509" s="190">
        <f t="shared" si="265"/>
        <v>1816875.5115986783</v>
      </c>
      <c r="M509" s="190">
        <f t="shared" si="265"/>
        <v>232086.18043498759</v>
      </c>
      <c r="N509" s="190">
        <f t="shared" si="265"/>
        <v>0</v>
      </c>
      <c r="O509" s="190">
        <f t="shared" si="265"/>
        <v>0</v>
      </c>
      <c r="P509" s="190">
        <f t="shared" si="265"/>
        <v>0</v>
      </c>
      <c r="Q509" s="190">
        <f t="shared" si="265"/>
        <v>0</v>
      </c>
      <c r="R509" s="190">
        <f t="shared" si="265"/>
        <v>0</v>
      </c>
      <c r="S509" s="90">
        <f t="shared" si="265"/>
        <v>0</v>
      </c>
      <c r="T509" s="90">
        <f t="shared" si="265"/>
        <v>0</v>
      </c>
      <c r="U509" s="90">
        <f t="shared" si="265"/>
        <v>0</v>
      </c>
      <c r="V509" s="90">
        <f t="shared" si="265"/>
        <v>0</v>
      </c>
      <c r="W509" s="90">
        <f t="shared" si="265"/>
        <v>0</v>
      </c>
      <c r="X509" s="90">
        <f t="shared" si="265"/>
        <v>0</v>
      </c>
      <c r="Y509" s="90">
        <f t="shared" si="265"/>
        <v>0</v>
      </c>
      <c r="Z509" s="90">
        <f t="shared" si="265"/>
        <v>0</v>
      </c>
      <c r="AA509" s="90">
        <f t="shared" si="265"/>
        <v>0</v>
      </c>
      <c r="AB509" s="90">
        <f t="shared" si="265"/>
        <v>0</v>
      </c>
      <c r="AC509" s="90">
        <f t="shared" si="265"/>
        <v>0</v>
      </c>
      <c r="AD509" s="90">
        <f t="shared" si="265"/>
        <v>0</v>
      </c>
      <c r="AE509" s="90">
        <f t="shared" si="265"/>
        <v>0</v>
      </c>
      <c r="AF509" s="90">
        <f t="shared" si="265"/>
        <v>0</v>
      </c>
      <c r="AG509" s="90">
        <f t="shared" si="255"/>
        <v>41726384.12908832</v>
      </c>
      <c r="AH509" s="28" t="str">
        <f t="shared" si="256"/>
        <v>ok</v>
      </c>
      <c r="AJ509" s="192"/>
      <c r="AK509" s="192"/>
      <c r="AL509" s="192"/>
      <c r="AM509" s="192"/>
      <c r="AN509" s="192"/>
      <c r="AO509" s="192"/>
    </row>
    <row r="510" spans="1:41" x14ac:dyDescent="0.25">
      <c r="D510" s="50" t="s">
        <v>1041</v>
      </c>
      <c r="E510" s="90">
        <f>E509-E500</f>
        <v>-11164410.050796181</v>
      </c>
      <c r="F510" s="90"/>
    </row>
    <row r="511" spans="1:41" x14ac:dyDescent="0.25">
      <c r="A511" s="13" t="s">
        <v>76</v>
      </c>
      <c r="D511" s="14" t="s">
        <v>1042</v>
      </c>
      <c r="E511" s="204">
        <f>E510-E375</f>
        <v>0</v>
      </c>
      <c r="F511" s="90"/>
      <c r="G511" s="90"/>
      <c r="H511" s="90"/>
      <c r="I511" s="90"/>
      <c r="J511" s="90"/>
      <c r="K511" s="90"/>
    </row>
    <row r="513" spans="1:34" x14ac:dyDescent="0.25">
      <c r="A513" s="14" t="s">
        <v>891</v>
      </c>
      <c r="E513" s="90">
        <f t="shared" ref="E513:R513" si="266">E85</f>
        <v>0</v>
      </c>
      <c r="F513" s="90">
        <f t="shared" si="266"/>
        <v>0</v>
      </c>
      <c r="G513" s="90">
        <f t="shared" si="266"/>
        <v>0</v>
      </c>
      <c r="H513" s="90">
        <f t="shared" si="266"/>
        <v>0</v>
      </c>
      <c r="I513" s="90">
        <f t="shared" si="266"/>
        <v>0</v>
      </c>
      <c r="J513" s="90">
        <f t="shared" si="266"/>
        <v>0</v>
      </c>
      <c r="K513" s="90">
        <f t="shared" si="266"/>
        <v>0</v>
      </c>
      <c r="L513" s="90">
        <f t="shared" si="266"/>
        <v>0</v>
      </c>
      <c r="M513" s="90">
        <f t="shared" si="266"/>
        <v>0</v>
      </c>
      <c r="N513" s="90">
        <f t="shared" si="266"/>
        <v>0</v>
      </c>
      <c r="O513" s="90">
        <f t="shared" si="266"/>
        <v>0</v>
      </c>
      <c r="P513" s="90">
        <f t="shared" si="266"/>
        <v>0</v>
      </c>
      <c r="Q513" s="90">
        <f t="shared" si="266"/>
        <v>0</v>
      </c>
      <c r="R513" s="90">
        <f t="shared" si="266"/>
        <v>0</v>
      </c>
      <c r="AG513" s="90">
        <f t="shared" ref="AG513:AG518" si="267">SUM(F513:AF513)</f>
        <v>0</v>
      </c>
      <c r="AH513" s="28" t="str">
        <f t="shared" ref="AH513:AH518" si="268">IF(ABS(E513-AG513)&lt;0.01,"ok","err")</f>
        <v>ok</v>
      </c>
    </row>
    <row r="514" spans="1:34" x14ac:dyDescent="0.25">
      <c r="A514" s="14" t="s">
        <v>892</v>
      </c>
      <c r="E514" s="90">
        <f t="shared" ref="E514:R514" si="269">E86</f>
        <v>0</v>
      </c>
      <c r="F514" s="90">
        <f t="shared" si="269"/>
        <v>0</v>
      </c>
      <c r="G514" s="90">
        <f t="shared" si="269"/>
        <v>0</v>
      </c>
      <c r="H514" s="90">
        <f t="shared" si="269"/>
        <v>0</v>
      </c>
      <c r="I514" s="90">
        <f t="shared" si="269"/>
        <v>0</v>
      </c>
      <c r="J514" s="90">
        <f t="shared" si="269"/>
        <v>0</v>
      </c>
      <c r="K514" s="90">
        <f t="shared" si="269"/>
        <v>0</v>
      </c>
      <c r="L514" s="90">
        <f t="shared" si="269"/>
        <v>0</v>
      </c>
      <c r="M514" s="90">
        <f t="shared" si="269"/>
        <v>0</v>
      </c>
      <c r="N514" s="90">
        <f t="shared" si="269"/>
        <v>0</v>
      </c>
      <c r="O514" s="90">
        <f t="shared" si="269"/>
        <v>0</v>
      </c>
      <c r="P514" s="90">
        <f t="shared" si="269"/>
        <v>0</v>
      </c>
      <c r="Q514" s="90">
        <f t="shared" si="269"/>
        <v>0</v>
      </c>
      <c r="R514" s="90">
        <f t="shared" si="269"/>
        <v>0</v>
      </c>
      <c r="AG514" s="90">
        <f t="shared" si="267"/>
        <v>0</v>
      </c>
      <c r="AH514" s="28" t="str">
        <f t="shared" si="268"/>
        <v>ok</v>
      </c>
    </row>
    <row r="515" spans="1:34" x14ac:dyDescent="0.25">
      <c r="A515" s="14" t="s">
        <v>889</v>
      </c>
      <c r="E515" s="90">
        <f t="shared" ref="E515:R515" si="270">E90</f>
        <v>0</v>
      </c>
      <c r="F515" s="90">
        <f t="shared" si="270"/>
        <v>0</v>
      </c>
      <c r="G515" s="90">
        <f t="shared" si="270"/>
        <v>0</v>
      </c>
      <c r="H515" s="90">
        <f t="shared" si="270"/>
        <v>0</v>
      </c>
      <c r="I515" s="90">
        <f t="shared" si="270"/>
        <v>0</v>
      </c>
      <c r="J515" s="90">
        <f t="shared" si="270"/>
        <v>0</v>
      </c>
      <c r="K515" s="90">
        <f t="shared" si="270"/>
        <v>0</v>
      </c>
      <c r="L515" s="90">
        <f t="shared" si="270"/>
        <v>0</v>
      </c>
      <c r="M515" s="90">
        <f t="shared" si="270"/>
        <v>0</v>
      </c>
      <c r="N515" s="90">
        <f t="shared" si="270"/>
        <v>0</v>
      </c>
      <c r="O515" s="90">
        <f t="shared" si="270"/>
        <v>0</v>
      </c>
      <c r="P515" s="90">
        <f t="shared" si="270"/>
        <v>0</v>
      </c>
      <c r="Q515" s="90">
        <f t="shared" si="270"/>
        <v>0</v>
      </c>
      <c r="R515" s="90">
        <f t="shared" si="270"/>
        <v>0</v>
      </c>
      <c r="AG515" s="90">
        <f t="shared" si="267"/>
        <v>0</v>
      </c>
      <c r="AH515" s="28" t="str">
        <f t="shared" si="268"/>
        <v>ok</v>
      </c>
    </row>
    <row r="516" spans="1:34" x14ac:dyDescent="0.25">
      <c r="A516" s="14" t="s">
        <v>646</v>
      </c>
      <c r="E516" s="90">
        <f t="shared" ref="E516:AF516" si="271">E93+E96+E101</f>
        <v>52962615.336534575</v>
      </c>
      <c r="F516" s="90">
        <f t="shared" si="271"/>
        <v>37544655.63041646</v>
      </c>
      <c r="G516" s="90">
        <f t="shared" si="271"/>
        <v>32635.644333784632</v>
      </c>
      <c r="H516" s="90">
        <f t="shared" si="271"/>
        <v>1376947.5217548131</v>
      </c>
      <c r="I516" s="90">
        <f t="shared" si="271"/>
        <v>2768679.0781270405</v>
      </c>
      <c r="J516" s="90">
        <f t="shared" si="271"/>
        <v>3958667.6725391885</v>
      </c>
      <c r="K516" s="90">
        <f t="shared" si="271"/>
        <v>5702602.7245260635</v>
      </c>
      <c r="L516" s="90">
        <f t="shared" si="271"/>
        <v>1495207.0550719732</v>
      </c>
      <c r="M516" s="90">
        <f t="shared" si="271"/>
        <v>83220.007688042984</v>
      </c>
      <c r="N516" s="90">
        <f t="shared" si="271"/>
        <v>0</v>
      </c>
      <c r="O516" s="90">
        <f t="shared" si="271"/>
        <v>0</v>
      </c>
      <c r="P516" s="90">
        <f t="shared" si="271"/>
        <v>0</v>
      </c>
      <c r="Q516" s="90">
        <f t="shared" si="271"/>
        <v>0</v>
      </c>
      <c r="R516" s="90">
        <f t="shared" si="271"/>
        <v>0</v>
      </c>
      <c r="S516" s="90">
        <f t="shared" si="271"/>
        <v>0</v>
      </c>
      <c r="T516" s="90">
        <f t="shared" si="271"/>
        <v>0</v>
      </c>
      <c r="U516" s="90">
        <f t="shared" si="271"/>
        <v>0</v>
      </c>
      <c r="V516" s="90">
        <f t="shared" si="271"/>
        <v>0</v>
      </c>
      <c r="W516" s="90">
        <f t="shared" si="271"/>
        <v>0</v>
      </c>
      <c r="X516" s="90">
        <f t="shared" si="271"/>
        <v>0</v>
      </c>
      <c r="Y516" s="90">
        <f t="shared" si="271"/>
        <v>0</v>
      </c>
      <c r="Z516" s="90">
        <f t="shared" si="271"/>
        <v>0</v>
      </c>
      <c r="AA516" s="90">
        <f t="shared" si="271"/>
        <v>0</v>
      </c>
      <c r="AB516" s="90">
        <f t="shared" si="271"/>
        <v>0</v>
      </c>
      <c r="AC516" s="90">
        <f t="shared" si="271"/>
        <v>0</v>
      </c>
      <c r="AD516" s="90">
        <f t="shared" si="271"/>
        <v>0</v>
      </c>
      <c r="AE516" s="90">
        <f t="shared" si="271"/>
        <v>0</v>
      </c>
      <c r="AF516" s="90">
        <f t="shared" si="271"/>
        <v>0</v>
      </c>
      <c r="AG516" s="90">
        <f t="shared" si="267"/>
        <v>52962615.334457375</v>
      </c>
      <c r="AH516" s="28" t="str">
        <f t="shared" si="268"/>
        <v>ok</v>
      </c>
    </row>
    <row r="517" spans="1:34" x14ac:dyDescent="0.25">
      <c r="A517" s="14" t="s">
        <v>647</v>
      </c>
      <c r="E517" s="67">
        <f t="shared" ref="E517:AD517" si="272">E97+E102+E106+E109+E112+E115</f>
        <v>37600268.543273121</v>
      </c>
      <c r="F517" s="67">
        <f t="shared" si="272"/>
        <v>25256012.549423091</v>
      </c>
      <c r="G517" s="67">
        <f t="shared" si="272"/>
        <v>34084.782850029558</v>
      </c>
      <c r="H517" s="67">
        <f t="shared" si="272"/>
        <v>1582345.4666901815</v>
      </c>
      <c r="I517" s="67">
        <f t="shared" si="272"/>
        <v>7485001.3302052077</v>
      </c>
      <c r="J517" s="67">
        <f t="shared" si="272"/>
        <v>338460.57231687126</v>
      </c>
      <c r="K517" s="67">
        <f t="shared" si="272"/>
        <v>17258.553197475801</v>
      </c>
      <c r="L517" s="67">
        <f t="shared" si="272"/>
        <v>1232.7537998196997</v>
      </c>
      <c r="M517" s="67">
        <f t="shared" si="272"/>
        <v>2885872.5347904493</v>
      </c>
      <c r="N517" s="67">
        <f t="shared" si="272"/>
        <v>0</v>
      </c>
      <c r="O517" s="67">
        <f t="shared" si="272"/>
        <v>0</v>
      </c>
      <c r="P517" s="67">
        <f t="shared" si="272"/>
        <v>0</v>
      </c>
      <c r="Q517" s="67">
        <f t="shared" si="272"/>
        <v>0</v>
      </c>
      <c r="R517" s="67">
        <f t="shared" si="272"/>
        <v>0</v>
      </c>
      <c r="S517" s="67">
        <f t="shared" si="272"/>
        <v>0</v>
      </c>
      <c r="T517" s="67">
        <f t="shared" si="272"/>
        <v>0</v>
      </c>
      <c r="U517" s="67">
        <f t="shared" si="272"/>
        <v>0</v>
      </c>
      <c r="V517" s="67">
        <f t="shared" si="272"/>
        <v>0</v>
      </c>
      <c r="W517" s="67">
        <f t="shared" si="272"/>
        <v>0</v>
      </c>
      <c r="X517" s="67">
        <f t="shared" si="272"/>
        <v>0</v>
      </c>
      <c r="Y517" s="67">
        <f t="shared" si="272"/>
        <v>0</v>
      </c>
      <c r="Z517" s="67">
        <f t="shared" si="272"/>
        <v>0</v>
      </c>
      <c r="AA517" s="67">
        <f t="shared" si="272"/>
        <v>0</v>
      </c>
      <c r="AB517" s="67">
        <f t="shared" si="272"/>
        <v>0</v>
      </c>
      <c r="AC517" s="67">
        <f t="shared" si="272"/>
        <v>0</v>
      </c>
      <c r="AD517" s="67">
        <f t="shared" si="272"/>
        <v>0</v>
      </c>
      <c r="AE517" s="67"/>
      <c r="AF517" s="67">
        <f>AF97+AF102+AF106+AF109+AF112+AF115</f>
        <v>0</v>
      </c>
      <c r="AG517" s="90">
        <f t="shared" si="267"/>
        <v>37600268.543273121</v>
      </c>
      <c r="AH517" s="28" t="str">
        <f t="shared" si="268"/>
        <v>ok</v>
      </c>
    </row>
    <row r="518" spans="1:34" x14ac:dyDescent="0.25">
      <c r="A518" s="14" t="s">
        <v>0</v>
      </c>
      <c r="E518" s="190">
        <f>SUM(E513:E517)</f>
        <v>90562883.879807696</v>
      </c>
      <c r="F518" s="190">
        <f t="shared" ref="F518:R518" si="273">SUM(F513:F517)</f>
        <v>62800668.179839551</v>
      </c>
      <c r="G518" s="190">
        <f t="shared" si="273"/>
        <v>66720.427183814187</v>
      </c>
      <c r="H518" s="190">
        <f t="shared" si="273"/>
        <v>2959292.9884449947</v>
      </c>
      <c r="I518" s="190">
        <f t="shared" si="273"/>
        <v>10253680.408332247</v>
      </c>
      <c r="J518" s="190">
        <f t="shared" si="273"/>
        <v>4297128.2448560596</v>
      </c>
      <c r="K518" s="190">
        <f t="shared" si="273"/>
        <v>5719861.2777235396</v>
      </c>
      <c r="L518" s="190">
        <f t="shared" si="273"/>
        <v>1496439.8088717929</v>
      </c>
      <c r="M518" s="190">
        <f t="shared" si="273"/>
        <v>2969092.5424784925</v>
      </c>
      <c r="N518" s="190">
        <f t="shared" si="273"/>
        <v>0</v>
      </c>
      <c r="O518" s="190">
        <f t="shared" si="273"/>
        <v>0</v>
      </c>
      <c r="P518" s="190">
        <f t="shared" si="273"/>
        <v>0</v>
      </c>
      <c r="Q518" s="190">
        <f t="shared" si="273"/>
        <v>0</v>
      </c>
      <c r="R518" s="190">
        <f t="shared" si="273"/>
        <v>0</v>
      </c>
      <c r="S518" s="205"/>
      <c r="T518" s="205"/>
      <c r="U518" s="205"/>
      <c r="V518" s="205"/>
      <c r="W518" s="205"/>
      <c r="X518" s="205"/>
      <c r="Y518" s="205"/>
      <c r="Z518" s="205"/>
      <c r="AA518" s="205"/>
      <c r="AB518" s="205"/>
      <c r="AC518" s="205"/>
      <c r="AD518" s="205"/>
      <c r="AE518" s="205"/>
      <c r="AF518" s="205"/>
      <c r="AG518" s="190">
        <f t="shared" si="267"/>
        <v>90562883.877730474</v>
      </c>
      <c r="AH518" s="28" t="str">
        <f t="shared" si="268"/>
        <v>ok</v>
      </c>
    </row>
    <row r="521" spans="1:34" x14ac:dyDescent="0.25">
      <c r="A521" s="13" t="s">
        <v>759</v>
      </c>
      <c r="C521" s="143">
        <v>4.9363206087046127E-2</v>
      </c>
      <c r="R521" s="46"/>
    </row>
    <row r="522" spans="1:34" x14ac:dyDescent="0.25">
      <c r="A522" s="14" t="s">
        <v>891</v>
      </c>
      <c r="E522" s="90">
        <f>E504+(E513*$C$521)</f>
        <v>9006886.8765010126</v>
      </c>
      <c r="F522" s="90">
        <f t="shared" ref="F522:R522" si="274">F504+(F513*$C$521)</f>
        <v>4474506.8259881809</v>
      </c>
      <c r="G522" s="90">
        <f t="shared" si="274"/>
        <v>0</v>
      </c>
      <c r="H522" s="90">
        <f t="shared" si="274"/>
        <v>317830.43662963342</v>
      </c>
      <c r="I522" s="90">
        <f t="shared" si="274"/>
        <v>642782.76553710271</v>
      </c>
      <c r="J522" s="90">
        <f t="shared" si="274"/>
        <v>519100.84834609588</v>
      </c>
      <c r="K522" s="90">
        <f t="shared" si="274"/>
        <v>2418533.1346225496</v>
      </c>
      <c r="L522" s="90">
        <f t="shared" si="274"/>
        <v>634132.86537745071</v>
      </c>
      <c r="M522" s="90">
        <f t="shared" si="274"/>
        <v>0</v>
      </c>
      <c r="N522" s="90">
        <f t="shared" si="274"/>
        <v>0</v>
      </c>
      <c r="O522" s="90">
        <f t="shared" si="274"/>
        <v>0</v>
      </c>
      <c r="P522" s="90">
        <f t="shared" si="274"/>
        <v>0</v>
      </c>
      <c r="Q522" s="90">
        <f t="shared" si="274"/>
        <v>0</v>
      </c>
      <c r="R522" s="90">
        <f t="shared" si="274"/>
        <v>0</v>
      </c>
      <c r="S522" s="14">
        <f>S504</f>
        <v>0</v>
      </c>
    </row>
    <row r="523" spans="1:34" x14ac:dyDescent="0.25">
      <c r="A523" s="14" t="s">
        <v>892</v>
      </c>
      <c r="E523" s="90">
        <f>E505+(E514*$C$521)</f>
        <v>21421152.730950914</v>
      </c>
      <c r="F523" s="90">
        <f t="shared" ref="F523:R523" si="275">F505+(F514*$C$521)</f>
        <v>11056910.760290897</v>
      </c>
      <c r="G523" s="90">
        <f t="shared" si="275"/>
        <v>14970.153479014007</v>
      </c>
      <c r="H523" s="90">
        <f t="shared" si="275"/>
        <v>742714.04519788967</v>
      </c>
      <c r="I523" s="90">
        <f t="shared" si="275"/>
        <v>1901364.5199364519</v>
      </c>
      <c r="J523" s="90">
        <f t="shared" si="275"/>
        <v>3373652.6138292067</v>
      </c>
      <c r="K523" s="90">
        <f t="shared" si="275"/>
        <v>3285665.5988885546</v>
      </c>
      <c r="L523" s="90">
        <f t="shared" si="275"/>
        <v>990674.43885823572</v>
      </c>
      <c r="M523" s="90">
        <f t="shared" si="275"/>
        <v>55200.600470663281</v>
      </c>
      <c r="N523" s="90">
        <f t="shared" si="275"/>
        <v>0</v>
      </c>
      <c r="O523" s="90">
        <f t="shared" si="275"/>
        <v>0</v>
      </c>
      <c r="P523" s="90">
        <f t="shared" si="275"/>
        <v>0</v>
      </c>
      <c r="Q523" s="90">
        <f t="shared" si="275"/>
        <v>0</v>
      </c>
      <c r="R523" s="90">
        <f t="shared" si="275"/>
        <v>0</v>
      </c>
      <c r="S523" s="14">
        <f>S505</f>
        <v>0</v>
      </c>
    </row>
    <row r="524" spans="1:34" x14ac:dyDescent="0.25">
      <c r="A524" s="14" t="s">
        <v>889</v>
      </c>
      <c r="E524" s="90">
        <f>E506+(E515*$C$521)</f>
        <v>0</v>
      </c>
      <c r="F524" s="90">
        <f t="shared" ref="F524:R524" si="276">F506+(F515*$C$521)</f>
        <v>0</v>
      </c>
      <c r="G524" s="90">
        <f t="shared" si="276"/>
        <v>0</v>
      </c>
      <c r="H524" s="90">
        <f t="shared" si="276"/>
        <v>0</v>
      </c>
      <c r="I524" s="90">
        <f t="shared" si="276"/>
        <v>0</v>
      </c>
      <c r="J524" s="90">
        <f t="shared" si="276"/>
        <v>0</v>
      </c>
      <c r="K524" s="90">
        <f t="shared" si="276"/>
        <v>0</v>
      </c>
      <c r="L524" s="90">
        <f t="shared" si="276"/>
        <v>0</v>
      </c>
      <c r="M524" s="90">
        <f t="shared" si="276"/>
        <v>0</v>
      </c>
      <c r="N524" s="90">
        <f t="shared" si="276"/>
        <v>0</v>
      </c>
      <c r="O524" s="90">
        <f t="shared" si="276"/>
        <v>0</v>
      </c>
      <c r="P524" s="90">
        <f t="shared" si="276"/>
        <v>0</v>
      </c>
      <c r="Q524" s="90">
        <f t="shared" si="276"/>
        <v>0</v>
      </c>
      <c r="R524" s="90">
        <f t="shared" si="276"/>
        <v>0</v>
      </c>
    </row>
    <row r="525" spans="1:34" x14ac:dyDescent="0.25">
      <c r="A525" s="14" t="s">
        <v>646</v>
      </c>
      <c r="E525" s="90">
        <f>E507+(E516*$C$521)</f>
        <v>9411873.9954858162</v>
      </c>
      <c r="F525" s="90">
        <f t="shared" ref="F525:R525" si="277">F507+(F516*$C$521)</f>
        <v>6677608.703534808</v>
      </c>
      <c r="G525" s="90">
        <f t="shared" si="277"/>
        <v>5833.078110139315</v>
      </c>
      <c r="H525" s="90">
        <f t="shared" si="277"/>
        <v>243538.46019021503</v>
      </c>
      <c r="I525" s="90">
        <f t="shared" si="277"/>
        <v>488673.01821804768</v>
      </c>
      <c r="J525" s="90">
        <f t="shared" si="277"/>
        <v>704066.56586039392</v>
      </c>
      <c r="K525" s="90">
        <f t="shared" si="277"/>
        <v>1013841.5509569997</v>
      </c>
      <c r="L525" s="90">
        <f t="shared" si="277"/>
        <v>265826.54599429661</v>
      </c>
      <c r="M525" s="90">
        <f t="shared" si="277"/>
        <v>12486.072401630561</v>
      </c>
      <c r="N525" s="90">
        <f t="shared" si="277"/>
        <v>0</v>
      </c>
      <c r="O525" s="90">
        <f t="shared" si="277"/>
        <v>0</v>
      </c>
      <c r="P525" s="90">
        <f t="shared" si="277"/>
        <v>0</v>
      </c>
      <c r="Q525" s="90">
        <f t="shared" si="277"/>
        <v>0</v>
      </c>
      <c r="R525" s="90">
        <f t="shared" si="277"/>
        <v>0</v>
      </c>
      <c r="S525" s="14">
        <f>S507+(S517*$C$521)</f>
        <v>0</v>
      </c>
    </row>
    <row r="526" spans="1:34" x14ac:dyDescent="0.25">
      <c r="A526" s="14" t="s">
        <v>647</v>
      </c>
      <c r="E526" s="90">
        <f>E508+(E517*$C$521)</f>
        <v>6356944.827062251</v>
      </c>
      <c r="F526" s="90">
        <f t="shared" ref="F526:R526" si="278">F508+(F517*$C$521)</f>
        <v>4410246.3224361362</v>
      </c>
      <c r="G526" s="90">
        <f t="shared" si="278"/>
        <v>5958.3725496096613</v>
      </c>
      <c r="H526" s="90">
        <f t="shared" si="278"/>
        <v>276649.64210131281</v>
      </c>
      <c r="I526" s="90">
        <f t="shared" si="278"/>
        <v>1302500.491817184</v>
      </c>
      <c r="J526" s="90">
        <f t="shared" si="278"/>
        <v>49612.587032777417</v>
      </c>
      <c r="K526" s="90">
        <f t="shared" si="278"/>
        <v>903.2484470121268</v>
      </c>
      <c r="L526" s="90">
        <f t="shared" si="278"/>
        <v>110.72805089351209</v>
      </c>
      <c r="M526" s="90">
        <f t="shared" si="278"/>
        <v>310963.43462857127</v>
      </c>
      <c r="N526" s="90">
        <f t="shared" si="278"/>
        <v>0</v>
      </c>
      <c r="O526" s="90">
        <f t="shared" si="278"/>
        <v>0</v>
      </c>
      <c r="P526" s="90">
        <f t="shared" si="278"/>
        <v>0</v>
      </c>
      <c r="Q526" s="90">
        <f t="shared" si="278"/>
        <v>0</v>
      </c>
      <c r="R526" s="90">
        <f t="shared" si="278"/>
        <v>0</v>
      </c>
      <c r="S526" s="14">
        <f>S508+(S518*$C$521)</f>
        <v>0</v>
      </c>
    </row>
    <row r="527" spans="1:34" x14ac:dyDescent="0.25">
      <c r="A527" s="14" t="s">
        <v>0</v>
      </c>
      <c r="C527" s="50"/>
      <c r="E527" s="190">
        <f>SUM(E522:E526)</f>
        <v>46196858.429999992</v>
      </c>
      <c r="F527" s="190">
        <f t="shared" ref="F527:R527" si="279">SUM(F522:F526)</f>
        <v>26619272.612250019</v>
      </c>
      <c r="G527" s="190">
        <f t="shared" si="279"/>
        <v>26761.604138762981</v>
      </c>
      <c r="H527" s="190">
        <f t="shared" si="279"/>
        <v>1580732.584119051</v>
      </c>
      <c r="I527" s="190">
        <f t="shared" si="279"/>
        <v>4335320.7955087861</v>
      </c>
      <c r="J527" s="190">
        <f t="shared" si="279"/>
        <v>4646432.6150684739</v>
      </c>
      <c r="K527" s="190">
        <f t="shared" si="279"/>
        <v>6718943.5329151163</v>
      </c>
      <c r="L527" s="190">
        <f t="shared" si="279"/>
        <v>1890744.5782808766</v>
      </c>
      <c r="M527" s="190">
        <f t="shared" si="279"/>
        <v>378650.10750086512</v>
      </c>
      <c r="N527" s="190">
        <f t="shared" si="279"/>
        <v>0</v>
      </c>
      <c r="O527" s="190">
        <f t="shared" si="279"/>
        <v>0</v>
      </c>
      <c r="P527" s="190">
        <f t="shared" si="279"/>
        <v>0</v>
      </c>
      <c r="Q527" s="190">
        <f t="shared" si="279"/>
        <v>0</v>
      </c>
      <c r="R527" s="190">
        <f t="shared" si="279"/>
        <v>0</v>
      </c>
      <c r="S527" s="14">
        <f>SUM(S522:S526)</f>
        <v>0</v>
      </c>
    </row>
    <row r="528" spans="1:34" ht="13.8" x14ac:dyDescent="0.25">
      <c r="D528" s="206" t="s">
        <v>1105</v>
      </c>
      <c r="E528" s="90">
        <v>46196858.43</v>
      </c>
    </row>
    <row r="529" spans="1:32" ht="13.8" x14ac:dyDescent="0.25">
      <c r="D529" s="206" t="s">
        <v>1106</v>
      </c>
      <c r="E529" s="90">
        <f>E528-E527</f>
        <v>0</v>
      </c>
    </row>
    <row r="530" spans="1:32" x14ac:dyDescent="0.25">
      <c r="E530" s="90"/>
    </row>
    <row r="531" spans="1:32" x14ac:dyDescent="0.25">
      <c r="A531" s="13" t="s">
        <v>648</v>
      </c>
    </row>
    <row r="533" spans="1:32" x14ac:dyDescent="0.25">
      <c r="A533" s="14" t="s">
        <v>995</v>
      </c>
      <c r="F533" s="98">
        <f t="shared" ref="F533:H536" si="280">F504/F$413</f>
        <v>2.0782943717427331E-2</v>
      </c>
      <c r="G533" s="98">
        <f t="shared" si="280"/>
        <v>0</v>
      </c>
      <c r="H533" s="98">
        <f t="shared" si="280"/>
        <v>2.0797430934153868E-2</v>
      </c>
      <c r="I533" s="98">
        <f t="shared" ref="I533" si="281">I504/I$413</f>
        <v>1.718688280376331E-2</v>
      </c>
      <c r="J533" s="48">
        <f>J504/J$428</f>
        <v>3.0007412838917715</v>
      </c>
      <c r="K533" s="48">
        <f>K504/K$428</f>
        <v>9.7205969921124957</v>
      </c>
      <c r="L533" s="48">
        <f>L504/L$428</f>
        <v>9.720596992112494</v>
      </c>
      <c r="M533" s="98"/>
      <c r="N533" s="98" t="e">
        <f>N504/N$413</f>
        <v>#DIV/0!</v>
      </c>
      <c r="O533" s="98" t="e">
        <f>O504/O$413</f>
        <v>#DIV/0!</v>
      </c>
      <c r="P533" s="98" t="e">
        <f>P504/P$413</f>
        <v>#DIV/0!</v>
      </c>
      <c r="Q533" s="98" t="e">
        <f>Q504/Q$413</f>
        <v>#DIV/0!</v>
      </c>
      <c r="R533" s="48" t="e">
        <f>R504/R$428</f>
        <v>#DIV/0!</v>
      </c>
      <c r="S533" s="48" t="e">
        <f>S504/S$413</f>
        <v>#DIV/0!</v>
      </c>
      <c r="T533" s="48">
        <f>T495/1251.6</f>
        <v>0</v>
      </c>
      <c r="U533" s="48" t="e">
        <f>U495/U416</f>
        <v>#DIV/0!</v>
      </c>
      <c r="V533" s="48" t="e">
        <f>V495/V416</f>
        <v>#DIV/0!</v>
      </c>
      <c r="W533" s="48" t="e">
        <f>W495/W416</f>
        <v>#DIV/0!</v>
      </c>
      <c r="X533" s="98" t="e">
        <f>X495/X413</f>
        <v>#DIV/0!</v>
      </c>
      <c r="Y533" s="48" t="e">
        <f>Y495/Y416</f>
        <v>#DIV/0!</v>
      </c>
      <c r="Z533" s="207">
        <f>Z495/3624.9</f>
        <v>0</v>
      </c>
      <c r="AA533" s="89">
        <f>AA495/9725.8</f>
        <v>0</v>
      </c>
      <c r="AB533" s="89">
        <f>AB495/12443</f>
        <v>0</v>
      </c>
      <c r="AC533" s="89">
        <f>AC495/9726</f>
        <v>0</v>
      </c>
      <c r="AD533" s="89">
        <f>AD495/10680</f>
        <v>0</v>
      </c>
      <c r="AE533" s="89"/>
      <c r="AF533" s="89"/>
    </row>
    <row r="534" spans="1:32" x14ac:dyDescent="0.25">
      <c r="A534" s="14" t="s">
        <v>893</v>
      </c>
      <c r="F534" s="98">
        <f t="shared" si="280"/>
        <v>5.1356532229446937E-2</v>
      </c>
      <c r="G534" s="98">
        <f t="shared" si="280"/>
        <v>7.9468271298892168E-2</v>
      </c>
      <c r="H534" s="98">
        <f t="shared" si="280"/>
        <v>4.8599952297296634E-2</v>
      </c>
      <c r="I534" s="98">
        <f t="shared" ref="I534" si="282">I505/I$413</f>
        <v>5.0839149590570683E-2</v>
      </c>
      <c r="J534" s="98">
        <f t="shared" ref="J534:K534" si="283">J505/J$413</f>
        <v>5.4739177126864109E-2</v>
      </c>
      <c r="K534" s="98">
        <f t="shared" si="283"/>
        <v>2.8731613930236096E-2</v>
      </c>
      <c r="L534" s="98">
        <f t="shared" ref="L534" si="284">L505/L$413</f>
        <v>2.9009024708767168E-2</v>
      </c>
      <c r="M534" s="98"/>
      <c r="N534" s="98" t="e">
        <f t="shared" ref="N534:S534" si="285">N505/N$413</f>
        <v>#DIV/0!</v>
      </c>
      <c r="O534" s="98" t="e">
        <f t="shared" si="285"/>
        <v>#DIV/0!</v>
      </c>
      <c r="P534" s="98" t="e">
        <f t="shared" si="285"/>
        <v>#DIV/0!</v>
      </c>
      <c r="Q534" s="98" t="e">
        <f t="shared" si="285"/>
        <v>#DIV/0!</v>
      </c>
      <c r="R534" s="98" t="e">
        <f t="shared" si="285"/>
        <v>#DIV/0!</v>
      </c>
      <c r="S534" s="48" t="e">
        <f t="shared" si="285"/>
        <v>#DIV/0!</v>
      </c>
      <c r="T534" s="48" t="e">
        <f>T496/T$413</f>
        <v>#DIV/0!</v>
      </c>
      <c r="U534" s="48" t="e">
        <f>U496/U$416</f>
        <v>#DIV/0!</v>
      </c>
      <c r="V534" s="48" t="e">
        <f>V496/V$416</f>
        <v>#DIV/0!</v>
      </c>
      <c r="W534" s="48" t="e">
        <f>W496/W$416</f>
        <v>#DIV/0!</v>
      </c>
      <c r="X534" s="98" t="e">
        <f>X496/X$413</f>
        <v>#DIV/0!</v>
      </c>
      <c r="Y534" s="48" t="e">
        <f>Y496/Y$416</f>
        <v>#DIV/0!</v>
      </c>
      <c r="Z534" s="14" t="e">
        <f>Z496/Z$413</f>
        <v>#DIV/0!</v>
      </c>
      <c r="AA534" s="14" t="e">
        <f>AA496/AA$413</f>
        <v>#DIV/0!</v>
      </c>
      <c r="AB534" s="14" t="e">
        <f>AB496/AB$413</f>
        <v>#DIV/0!</v>
      </c>
      <c r="AC534" s="14" t="e">
        <f>AC496/AC$413</f>
        <v>#DIV/0!</v>
      </c>
      <c r="AD534" s="14" t="e">
        <f>AD496/AD$413</f>
        <v>#DIV/0!</v>
      </c>
    </row>
    <row r="535" spans="1:32" x14ac:dyDescent="0.25">
      <c r="A535" s="14" t="s">
        <v>996</v>
      </c>
      <c r="F535" s="98">
        <f t="shared" si="280"/>
        <v>0</v>
      </c>
      <c r="G535" s="98">
        <f t="shared" si="280"/>
        <v>0</v>
      </c>
      <c r="H535" s="98">
        <f t="shared" si="280"/>
        <v>0</v>
      </c>
      <c r="I535" s="98">
        <f t="shared" ref="I535" si="286">I506/I$413</f>
        <v>0</v>
      </c>
      <c r="J535" s="48">
        <f t="shared" ref="J535:K535" si="287">J506/J$428</f>
        <v>0</v>
      </c>
      <c r="K535" s="48">
        <f t="shared" si="287"/>
        <v>0</v>
      </c>
      <c r="L535" s="48">
        <f t="shared" ref="L535" si="288">L506/L$428</f>
        <v>0</v>
      </c>
      <c r="M535" s="98"/>
      <c r="N535" s="98" t="e">
        <f t="shared" ref="N535:Q535" si="289">N506/N$413</f>
        <v>#DIV/0!</v>
      </c>
      <c r="O535" s="98" t="e">
        <f t="shared" si="289"/>
        <v>#DIV/0!</v>
      </c>
      <c r="P535" s="98" t="e">
        <f t="shared" si="289"/>
        <v>#DIV/0!</v>
      </c>
      <c r="Q535" s="98" t="e">
        <f t="shared" si="289"/>
        <v>#DIV/0!</v>
      </c>
      <c r="R535" s="48" t="e">
        <f>R506/R$428</f>
        <v>#DIV/0!</v>
      </c>
      <c r="S535" s="48"/>
      <c r="T535" s="48"/>
      <c r="U535" s="48"/>
      <c r="V535" s="48"/>
      <c r="W535" s="48"/>
      <c r="X535" s="98"/>
      <c r="Y535" s="48"/>
    </row>
    <row r="536" spans="1:32" x14ac:dyDescent="0.25">
      <c r="A536" s="14" t="s">
        <v>997</v>
      </c>
      <c r="F536" s="98">
        <f t="shared" si="280"/>
        <v>2.2407570142065073E-2</v>
      </c>
      <c r="G536" s="98">
        <f t="shared" si="280"/>
        <v>2.2412679083693859E-2</v>
      </c>
      <c r="H536" s="98">
        <f t="shared" si="280"/>
        <v>1.1488395019563271E-2</v>
      </c>
      <c r="I536" s="98">
        <f t="shared" ref="I536" si="290">I507/I$413</f>
        <v>9.4119193772291103E-3</v>
      </c>
      <c r="J536" s="48">
        <f t="shared" ref="J536:K536" si="291">J507/J$428</f>
        <v>2.9403519085739198</v>
      </c>
      <c r="K536" s="48">
        <f t="shared" si="291"/>
        <v>2.9434408369352258</v>
      </c>
      <c r="L536" s="48">
        <f t="shared" ref="L536" si="292">L507/L$428</f>
        <v>2.9434412286463525</v>
      </c>
      <c r="M536" s="98"/>
      <c r="N536" s="98" t="e">
        <f>N507/N$413</f>
        <v>#DIV/0!</v>
      </c>
      <c r="O536" s="98" t="e">
        <f>O507/O$413</f>
        <v>#DIV/0!</v>
      </c>
      <c r="P536" s="98" t="e">
        <f>P507/P$413</f>
        <v>#DIV/0!</v>
      </c>
      <c r="Q536" s="98" t="e">
        <f>Q507/Q$413</f>
        <v>#DIV/0!</v>
      </c>
      <c r="R536" s="48" t="e">
        <f>R507/R$428</f>
        <v>#DIV/0!</v>
      </c>
      <c r="S536" s="48" t="e">
        <f>S507/S$413</f>
        <v>#DIV/0!</v>
      </c>
      <c r="T536" s="48">
        <f>T498/1251.6</f>
        <v>0</v>
      </c>
      <c r="U536" s="48" t="e">
        <f>U498/U416</f>
        <v>#DIV/0!</v>
      </c>
      <c r="V536" s="48" t="e">
        <f>V498/V416</f>
        <v>#DIV/0!</v>
      </c>
      <c r="W536" s="48" t="e">
        <f>W498/W416</f>
        <v>#DIV/0!</v>
      </c>
      <c r="X536" s="98" t="e">
        <f>X498/X413</f>
        <v>#DIV/0!</v>
      </c>
      <c r="Y536" s="48" t="e">
        <f>Y498/Y416</f>
        <v>#DIV/0!</v>
      </c>
      <c r="Z536" s="207">
        <f>Z498/12877</f>
        <v>0</v>
      </c>
      <c r="AA536" s="89">
        <f>AA498/11922</f>
        <v>0</v>
      </c>
      <c r="AB536" s="89">
        <f>AB498/14745</f>
        <v>0</v>
      </c>
      <c r="AC536" s="89">
        <f>AC498/10526</f>
        <v>0</v>
      </c>
      <c r="AD536" s="89">
        <f>AD498/11459</f>
        <v>0</v>
      </c>
      <c r="AE536" s="89"/>
      <c r="AF536" s="89"/>
    </row>
    <row r="537" spans="1:32" s="48" customFormat="1" x14ac:dyDescent="0.25">
      <c r="A537" s="48" t="s">
        <v>894</v>
      </c>
      <c r="F537" s="48">
        <f t="shared" ref="F537:S537" si="293">F508/F416</f>
        <v>20.330507181786839</v>
      </c>
      <c r="G537" s="48">
        <f t="shared" ref="G537:H537" si="294">G508/G416</f>
        <v>20.361135187387791</v>
      </c>
      <c r="H537" s="48">
        <f t="shared" si="294"/>
        <v>20.365165322410732</v>
      </c>
      <c r="I537" s="48">
        <f t="shared" ref="I537" si="295">I508/I416</f>
        <v>20.701504961003995</v>
      </c>
      <c r="J537" s="48">
        <f t="shared" ref="J537:K537" si="296">J508/J416</f>
        <v>44.768827277768871</v>
      </c>
      <c r="K537" s="48">
        <f t="shared" si="296"/>
        <v>0.30542219500523787</v>
      </c>
      <c r="L537" s="48">
        <f>L508/L416</f>
        <v>4.1562809182019196</v>
      </c>
      <c r="N537" s="48" t="e">
        <f t="shared" si="293"/>
        <v>#DIV/0!</v>
      </c>
      <c r="O537" s="48" t="e">
        <f t="shared" si="293"/>
        <v>#DIV/0!</v>
      </c>
      <c r="P537" s="48" t="e">
        <f t="shared" si="293"/>
        <v>#DIV/0!</v>
      </c>
      <c r="Q537" s="48" t="e">
        <f t="shared" si="293"/>
        <v>#DIV/0!</v>
      </c>
      <c r="R537" s="48" t="e">
        <f t="shared" si="293"/>
        <v>#DIV/0!</v>
      </c>
      <c r="S537" s="48" t="e">
        <f t="shared" si="293"/>
        <v>#DIV/0!</v>
      </c>
      <c r="T537" s="48" t="e">
        <f t="shared" ref="T537:AD537" si="297">T499/T416</f>
        <v>#DIV/0!</v>
      </c>
      <c r="U537" s="48" t="e">
        <f t="shared" si="297"/>
        <v>#DIV/0!</v>
      </c>
      <c r="V537" s="48" t="e">
        <f t="shared" si="297"/>
        <v>#DIV/0!</v>
      </c>
      <c r="W537" s="48" t="e">
        <f t="shared" si="297"/>
        <v>#DIV/0!</v>
      </c>
      <c r="X537" s="48" t="e">
        <f t="shared" si="297"/>
        <v>#DIV/0!</v>
      </c>
      <c r="Y537" s="48" t="e">
        <f t="shared" si="297"/>
        <v>#DIV/0!</v>
      </c>
      <c r="Z537" s="48" t="e">
        <f t="shared" si="297"/>
        <v>#DIV/0!</v>
      </c>
      <c r="AA537" s="48" t="e">
        <f t="shared" si="297"/>
        <v>#DIV/0!</v>
      </c>
      <c r="AB537" s="48" t="e">
        <f t="shared" si="297"/>
        <v>#DIV/0!</v>
      </c>
      <c r="AC537" s="48" t="e">
        <f t="shared" si="297"/>
        <v>#DIV/0!</v>
      </c>
      <c r="AD537" s="48" t="e">
        <f t="shared" si="297"/>
        <v>#DIV/0!</v>
      </c>
    </row>
    <row r="540" spans="1:32" x14ac:dyDescent="0.25">
      <c r="A540" s="13" t="s">
        <v>649</v>
      </c>
    </row>
    <row r="541" spans="1:32" x14ac:dyDescent="0.25">
      <c r="A541" s="13"/>
    </row>
    <row r="542" spans="1:32" x14ac:dyDescent="0.25">
      <c r="A542" s="14" t="s">
        <v>995</v>
      </c>
      <c r="F542" s="98">
        <f t="shared" ref="F542:H545" si="298">F513/F$413</f>
        <v>0</v>
      </c>
      <c r="G542" s="98">
        <f t="shared" si="298"/>
        <v>0</v>
      </c>
      <c r="H542" s="98">
        <f t="shared" si="298"/>
        <v>0</v>
      </c>
      <c r="I542" s="98">
        <f t="shared" ref="I542" si="299">I513/I$413</f>
        <v>0</v>
      </c>
      <c r="J542" s="48">
        <f>J513/J$428</f>
        <v>0</v>
      </c>
      <c r="K542" s="48">
        <f>K513/K$428</f>
        <v>0</v>
      </c>
      <c r="L542" s="48">
        <f>L513/L$428</f>
        <v>0</v>
      </c>
      <c r="M542" s="98"/>
      <c r="N542" s="98" t="e">
        <f t="shared" ref="N542:Q542" si="300">N513/N$413</f>
        <v>#DIV/0!</v>
      </c>
      <c r="O542" s="98" t="e">
        <f t="shared" si="300"/>
        <v>#DIV/0!</v>
      </c>
      <c r="P542" s="98" t="e">
        <f t="shared" si="300"/>
        <v>#DIV/0!</v>
      </c>
      <c r="Q542" s="98" t="e">
        <f t="shared" si="300"/>
        <v>#DIV/0!</v>
      </c>
      <c r="R542" s="48" t="e">
        <f>R513/R$428</f>
        <v>#DIV/0!</v>
      </c>
    </row>
    <row r="543" spans="1:32" x14ac:dyDescent="0.25">
      <c r="A543" s="14" t="s">
        <v>893</v>
      </c>
      <c r="F543" s="98">
        <f t="shared" si="298"/>
        <v>0</v>
      </c>
      <c r="G543" s="98">
        <f t="shared" si="298"/>
        <v>0</v>
      </c>
      <c r="H543" s="98">
        <f t="shared" si="298"/>
        <v>0</v>
      </c>
      <c r="I543" s="98">
        <f t="shared" ref="I543" si="301">I514/I$413</f>
        <v>0</v>
      </c>
      <c r="J543" s="98">
        <f>J514/J$413</f>
        <v>0</v>
      </c>
      <c r="K543" s="98">
        <f>K514/K$413</f>
        <v>0</v>
      </c>
      <c r="L543" s="98">
        <f>L514/L$413</f>
        <v>0</v>
      </c>
      <c r="M543" s="98"/>
      <c r="N543" s="98" t="e">
        <f t="shared" ref="N543:Q543" si="302">N514/N$413</f>
        <v>#DIV/0!</v>
      </c>
      <c r="O543" s="98" t="e">
        <f t="shared" si="302"/>
        <v>#DIV/0!</v>
      </c>
      <c r="P543" s="98" t="e">
        <f t="shared" si="302"/>
        <v>#DIV/0!</v>
      </c>
      <c r="Q543" s="98" t="e">
        <f t="shared" si="302"/>
        <v>#DIV/0!</v>
      </c>
      <c r="R543" s="98" t="e">
        <f>R514/R$413</f>
        <v>#DIV/0!</v>
      </c>
    </row>
    <row r="544" spans="1:32" x14ac:dyDescent="0.25">
      <c r="A544" s="14" t="s">
        <v>996</v>
      </c>
      <c r="F544" s="98">
        <f t="shared" si="298"/>
        <v>0</v>
      </c>
      <c r="G544" s="98">
        <f t="shared" si="298"/>
        <v>0</v>
      </c>
      <c r="H544" s="98">
        <f t="shared" si="298"/>
        <v>0</v>
      </c>
      <c r="I544" s="98">
        <f t="shared" ref="I544" si="303">I515/I$413</f>
        <v>0</v>
      </c>
      <c r="J544" s="48">
        <f t="shared" ref="J544:K544" si="304">J515/J$428</f>
        <v>0</v>
      </c>
      <c r="K544" s="48">
        <f t="shared" si="304"/>
        <v>0</v>
      </c>
      <c r="L544" s="48">
        <f t="shared" ref="L544" si="305">L515/L$428</f>
        <v>0</v>
      </c>
      <c r="M544" s="98"/>
      <c r="N544" s="98" t="e">
        <f t="shared" ref="N544:Q544" si="306">N515/N$413</f>
        <v>#DIV/0!</v>
      </c>
      <c r="O544" s="98" t="e">
        <f t="shared" si="306"/>
        <v>#DIV/0!</v>
      </c>
      <c r="P544" s="98" t="e">
        <f t="shared" si="306"/>
        <v>#DIV/0!</v>
      </c>
      <c r="Q544" s="98" t="e">
        <f t="shared" si="306"/>
        <v>#DIV/0!</v>
      </c>
      <c r="R544" s="48" t="e">
        <f>R515/R$428</f>
        <v>#DIV/0!</v>
      </c>
    </row>
    <row r="545" spans="1:37" x14ac:dyDescent="0.25">
      <c r="A545" s="14" t="s">
        <v>997</v>
      </c>
      <c r="F545" s="98">
        <f t="shared" si="298"/>
        <v>0.174385355795007</v>
      </c>
      <c r="G545" s="98">
        <f t="shared" si="298"/>
        <v>0.17324459909960574</v>
      </c>
      <c r="H545" s="98">
        <f t="shared" si="298"/>
        <v>9.0101411580731039E-2</v>
      </c>
      <c r="I545" s="98">
        <f t="shared" ref="I545" si="307">I516/I$413</f>
        <v>7.4029618384742119E-2</v>
      </c>
      <c r="J545" s="48">
        <f t="shared" ref="J545:K545" si="308">J516/J$428</f>
        <v>22.883679639598949</v>
      </c>
      <c r="K545" s="48">
        <f t="shared" si="308"/>
        <v>22.919968346801969</v>
      </c>
      <c r="L545" s="48">
        <f t="shared" ref="L545" si="309">L516/L$428</f>
        <v>22.919968346801969</v>
      </c>
      <c r="M545" s="98"/>
      <c r="N545" s="98" t="e">
        <f t="shared" ref="N545:Q545" si="310">N516/N$413</f>
        <v>#DIV/0!</v>
      </c>
      <c r="O545" s="98" t="e">
        <f t="shared" si="310"/>
        <v>#DIV/0!</v>
      </c>
      <c r="P545" s="98" t="e">
        <f t="shared" si="310"/>
        <v>#DIV/0!</v>
      </c>
      <c r="Q545" s="98" t="e">
        <f t="shared" si="310"/>
        <v>#DIV/0!</v>
      </c>
      <c r="R545" s="48" t="e">
        <f>R516/R$428</f>
        <v>#DIV/0!</v>
      </c>
      <c r="S545" s="48">
        <f>S516/5037.7</f>
        <v>0</v>
      </c>
      <c r="T545" s="48">
        <f>T516/1251.6</f>
        <v>0</v>
      </c>
      <c r="U545" s="48" t="e">
        <f>U516/U416</f>
        <v>#DIV/0!</v>
      </c>
      <c r="V545" s="48" t="e">
        <f>V516/V416</f>
        <v>#DIV/0!</v>
      </c>
      <c r="W545" s="48" t="e">
        <f>W516/W416</f>
        <v>#DIV/0!</v>
      </c>
      <c r="X545" s="48" t="e">
        <f>X516/X416</f>
        <v>#DIV/0!</v>
      </c>
      <c r="Y545" s="48" t="e">
        <f>Y516/Y416</f>
        <v>#DIV/0!</v>
      </c>
      <c r="Z545" s="208">
        <f>Z516/12877</f>
        <v>0</v>
      </c>
      <c r="AA545" s="89">
        <f>AA516/11922</f>
        <v>0</v>
      </c>
      <c r="AB545" s="89">
        <f>AB516/14745</f>
        <v>0</v>
      </c>
      <c r="AC545" s="89">
        <f>AC516/10526</f>
        <v>0</v>
      </c>
      <c r="AD545" s="89">
        <f>AD516/11459</f>
        <v>0</v>
      </c>
      <c r="AE545" s="89"/>
      <c r="AF545" s="89"/>
    </row>
    <row r="546" spans="1:37" x14ac:dyDescent="0.25">
      <c r="A546" s="14" t="s">
        <v>894</v>
      </c>
      <c r="F546" s="48">
        <f t="shared" ref="F546:K546" si="311">F517/F$416</f>
        <v>162.3084897620455</v>
      </c>
      <c r="G546" s="48">
        <f t="shared" si="311"/>
        <v>162.30848976204553</v>
      </c>
      <c r="H546" s="48">
        <f t="shared" si="311"/>
        <v>162.3084897620455</v>
      </c>
      <c r="I546" s="48">
        <f t="shared" ref="I546" si="312">I517/I$416</f>
        <v>166.07502396727773</v>
      </c>
      <c r="J546" s="48">
        <f t="shared" si="311"/>
        <v>460.49057458077721</v>
      </c>
      <c r="K546" s="48">
        <f t="shared" si="311"/>
        <v>102.72948331830834</v>
      </c>
      <c r="L546" s="48">
        <f t="shared" ref="L546" si="313">L517/L$416</f>
        <v>102.72948331830831</v>
      </c>
      <c r="M546" s="48"/>
      <c r="N546" s="48" t="e">
        <f t="shared" ref="N546:Q546" si="314">N517/N$416</f>
        <v>#DIV/0!</v>
      </c>
      <c r="O546" s="48" t="e">
        <f t="shared" si="314"/>
        <v>#DIV/0!</v>
      </c>
      <c r="P546" s="48" t="e">
        <f t="shared" si="314"/>
        <v>#DIV/0!</v>
      </c>
      <c r="Q546" s="48" t="e">
        <f t="shared" si="314"/>
        <v>#DIV/0!</v>
      </c>
      <c r="R546" s="48" t="e">
        <f>R517/R$416</f>
        <v>#DIV/0!</v>
      </c>
      <c r="S546" s="48" t="e">
        <f t="shared" ref="S546:AD546" si="315">S517/S$416</f>
        <v>#DIV/0!</v>
      </c>
      <c r="T546" s="48" t="e">
        <f t="shared" si="315"/>
        <v>#DIV/0!</v>
      </c>
      <c r="U546" s="48" t="e">
        <f t="shared" si="315"/>
        <v>#DIV/0!</v>
      </c>
      <c r="V546" s="48" t="e">
        <f t="shared" si="315"/>
        <v>#DIV/0!</v>
      </c>
      <c r="W546" s="48" t="e">
        <f t="shared" si="315"/>
        <v>#DIV/0!</v>
      </c>
      <c r="X546" s="48" t="e">
        <f t="shared" si="315"/>
        <v>#DIV/0!</v>
      </c>
      <c r="Y546" s="48" t="e">
        <f t="shared" si="315"/>
        <v>#DIV/0!</v>
      </c>
      <c r="Z546" s="209" t="e">
        <f t="shared" si="315"/>
        <v>#DIV/0!</v>
      </c>
      <c r="AA546" s="209" t="e">
        <f t="shared" si="315"/>
        <v>#DIV/0!</v>
      </c>
      <c r="AB546" s="209" t="e">
        <f t="shared" si="315"/>
        <v>#DIV/0!</v>
      </c>
      <c r="AC546" s="209" t="e">
        <f t="shared" si="315"/>
        <v>#DIV/0!</v>
      </c>
      <c r="AD546" s="209" t="e">
        <f t="shared" si="315"/>
        <v>#DIV/0!</v>
      </c>
      <c r="AE546" s="209"/>
      <c r="AF546" s="209"/>
    </row>
    <row r="549" spans="1:37" x14ac:dyDescent="0.25">
      <c r="A549" s="26" t="s">
        <v>666</v>
      </c>
      <c r="B549" s="103"/>
      <c r="C549" s="14" t="s">
        <v>900</v>
      </c>
      <c r="F549" s="47">
        <f t="shared" ref="F549:K549" si="316">F387</f>
        <v>1.7105978686236527E-2</v>
      </c>
      <c r="G549" s="47">
        <f t="shared" si="316"/>
        <v>-0.10990826370335359</v>
      </c>
      <c r="H549" s="47">
        <f t="shared" si="316"/>
        <v>7.3189433878902602E-2</v>
      </c>
      <c r="I549" s="47">
        <f t="shared" ref="I549" si="317">I387</f>
        <v>9.5978108885601668E-2</v>
      </c>
      <c r="J549" s="47">
        <f t="shared" si="316"/>
        <v>0.11726104822314903</v>
      </c>
      <c r="K549" s="47">
        <f t="shared" si="316"/>
        <v>0.21307592529338926</v>
      </c>
      <c r="L549" s="47">
        <f t="shared" ref="L549" si="318">L387</f>
        <v>0.10478044809074707</v>
      </c>
      <c r="M549" s="47"/>
      <c r="N549" s="47" t="e">
        <f t="shared" ref="N549:R549" si="319">N387</f>
        <v>#DIV/0!</v>
      </c>
      <c r="O549" s="47" t="e">
        <f t="shared" si="319"/>
        <v>#DIV/0!</v>
      </c>
      <c r="P549" s="47" t="e">
        <f t="shared" si="319"/>
        <v>#DIV/0!</v>
      </c>
      <c r="Q549" s="47" t="e">
        <f t="shared" si="319"/>
        <v>#DIV/0!</v>
      </c>
      <c r="R549" s="47" t="e">
        <f t="shared" si="319"/>
        <v>#DIV/0!</v>
      </c>
    </row>
    <row r="550" spans="1:37" x14ac:dyDescent="0.25">
      <c r="A550" s="13"/>
    </row>
    <row r="551" spans="1:37" x14ac:dyDescent="0.25">
      <c r="A551" s="13" t="s">
        <v>761</v>
      </c>
    </row>
    <row r="552" spans="1:37" x14ac:dyDescent="0.25">
      <c r="A552" s="14" t="s">
        <v>998</v>
      </c>
      <c r="F552" s="201">
        <f t="shared" ref="F552:K552" si="320">F533</f>
        <v>2.0782943717427331E-2</v>
      </c>
      <c r="G552" s="201">
        <f t="shared" si="320"/>
        <v>0</v>
      </c>
      <c r="H552" s="201">
        <f t="shared" si="320"/>
        <v>2.0797430934153868E-2</v>
      </c>
      <c r="I552" s="201">
        <f t="shared" ref="I552" si="321">I533</f>
        <v>1.718688280376331E-2</v>
      </c>
      <c r="J552" s="48">
        <f t="shared" si="320"/>
        <v>3.0007412838917715</v>
      </c>
      <c r="K552" s="48">
        <f t="shared" si="320"/>
        <v>9.7205969921124957</v>
      </c>
      <c r="L552" s="48">
        <f t="shared" ref="L552" si="322">L533</f>
        <v>9.720596992112494</v>
      </c>
      <c r="M552" s="201"/>
      <c r="N552" s="201" t="e">
        <f t="shared" ref="N552:S552" si="323">N533</f>
        <v>#DIV/0!</v>
      </c>
      <c r="O552" s="201" t="e">
        <f t="shared" si="323"/>
        <v>#DIV/0!</v>
      </c>
      <c r="P552" s="201" t="e">
        <f t="shared" si="323"/>
        <v>#DIV/0!</v>
      </c>
      <c r="Q552" s="201" t="e">
        <f t="shared" si="323"/>
        <v>#DIV/0!</v>
      </c>
      <c r="R552" s="48" t="e">
        <f>R533</f>
        <v>#DIV/0!</v>
      </c>
      <c r="S552" s="201" t="e">
        <f t="shared" si="323"/>
        <v>#DIV/0!</v>
      </c>
      <c r="T552" s="201" t="e">
        <f>#REF!</f>
        <v>#REF!</v>
      </c>
      <c r="U552" s="201" t="e">
        <f>#REF!</f>
        <v>#REF!</v>
      </c>
      <c r="V552" s="201" t="e">
        <f>#REF!</f>
        <v>#REF!</v>
      </c>
      <c r="W552" s="201" t="e">
        <f>#REF!</f>
        <v>#REF!</v>
      </c>
      <c r="X552" s="201" t="e">
        <f>#REF!</f>
        <v>#REF!</v>
      </c>
      <c r="Y552" s="201" t="e">
        <f>#REF!</f>
        <v>#REF!</v>
      </c>
      <c r="Z552" s="201" t="e">
        <f>#REF!</f>
        <v>#REF!</v>
      </c>
      <c r="AA552" s="201" t="e">
        <f>#REF!</f>
        <v>#REF!</v>
      </c>
      <c r="AB552" s="201" t="e">
        <f>#REF!</f>
        <v>#REF!</v>
      </c>
      <c r="AC552" s="201" t="e">
        <f>#REF!</f>
        <v>#REF!</v>
      </c>
      <c r="AD552" s="201" t="e">
        <f>#REF!</f>
        <v>#REF!</v>
      </c>
      <c r="AE552" s="201" t="e">
        <f>#REF!</f>
        <v>#REF!</v>
      </c>
      <c r="AF552" s="201" t="e">
        <f>#REF!</f>
        <v>#REF!</v>
      </c>
    </row>
    <row r="553" spans="1:37" x14ac:dyDescent="0.25">
      <c r="A553" s="14" t="s">
        <v>999</v>
      </c>
      <c r="F553" s="201">
        <f>(F513*F387)/F$413</f>
        <v>0</v>
      </c>
      <c r="G553" s="201">
        <f>(G513*G387)/G$413</f>
        <v>0</v>
      </c>
      <c r="H553" s="201">
        <f>(H513*H387)/H$413</f>
        <v>0</v>
      </c>
      <c r="I553" s="201">
        <f>(I513*I387)/I$413</f>
        <v>0</v>
      </c>
      <c r="J553" s="48">
        <f>(J513*J387)/J$428</f>
        <v>0</v>
      </c>
      <c r="K553" s="48">
        <f>(K513*K387)/K$428</f>
        <v>0</v>
      </c>
      <c r="L553" s="48">
        <f>(L513*L387)/L$428</f>
        <v>0</v>
      </c>
      <c r="M553" s="201"/>
      <c r="N553" s="201" t="e">
        <f>(N513*N387)/N$413</f>
        <v>#DIV/0!</v>
      </c>
      <c r="O553" s="201" t="e">
        <f>(O513*O387)/O$413</f>
        <v>#DIV/0!</v>
      </c>
      <c r="P553" s="201" t="e">
        <f>(P513*P387)/P$413</f>
        <v>#DIV/0!</v>
      </c>
      <c r="Q553" s="201" t="e">
        <f>(Q513*Q387)/Q$413</f>
        <v>#DIV/0!</v>
      </c>
      <c r="R553" s="48" t="e">
        <f>(R513*R387)/R$428</f>
        <v>#DIV/0!</v>
      </c>
      <c r="S553" s="201"/>
      <c r="T553" s="201"/>
      <c r="U553" s="201"/>
      <c r="V553" s="201"/>
      <c r="W553" s="201"/>
      <c r="X553" s="201"/>
      <c r="Y553" s="201"/>
      <c r="Z553" s="201"/>
      <c r="AA553" s="201"/>
      <c r="AB553" s="201"/>
      <c r="AC553" s="201"/>
      <c r="AD553" s="201"/>
      <c r="AE553" s="201"/>
      <c r="AF553" s="201"/>
    </row>
    <row r="554" spans="1:37" x14ac:dyDescent="0.25">
      <c r="A554" s="14" t="s">
        <v>895</v>
      </c>
      <c r="F554" s="201">
        <f t="shared" ref="F554:S554" si="324">F534</f>
        <v>5.1356532229446937E-2</v>
      </c>
      <c r="G554" s="201">
        <f t="shared" ref="G554:H554" si="325">G534</f>
        <v>7.9468271298892168E-2</v>
      </c>
      <c r="H554" s="201">
        <f t="shared" si="325"/>
        <v>4.8599952297296634E-2</v>
      </c>
      <c r="I554" s="201">
        <f t="shared" ref="I554" si="326">I534</f>
        <v>5.0839149590570683E-2</v>
      </c>
      <c r="J554" s="201">
        <f t="shared" ref="J554:K554" si="327">J534</f>
        <v>5.4739177126864109E-2</v>
      </c>
      <c r="K554" s="201">
        <f t="shared" si="327"/>
        <v>2.8731613930236096E-2</v>
      </c>
      <c r="L554" s="201">
        <f t="shared" ref="L554" si="328">L534</f>
        <v>2.9009024708767168E-2</v>
      </c>
      <c r="M554" s="201"/>
      <c r="N554" s="201" t="e">
        <f t="shared" si="324"/>
        <v>#DIV/0!</v>
      </c>
      <c r="O554" s="201" t="e">
        <f t="shared" si="324"/>
        <v>#DIV/0!</v>
      </c>
      <c r="P554" s="201" t="e">
        <f t="shared" si="324"/>
        <v>#DIV/0!</v>
      </c>
      <c r="Q554" s="201" t="e">
        <f t="shared" si="324"/>
        <v>#DIV/0!</v>
      </c>
      <c r="R554" s="201" t="e">
        <f t="shared" si="324"/>
        <v>#DIV/0!</v>
      </c>
      <c r="S554" s="201" t="e">
        <f t="shared" si="324"/>
        <v>#DIV/0!</v>
      </c>
      <c r="T554" s="201" t="e">
        <f>#REF!</f>
        <v>#REF!</v>
      </c>
      <c r="U554" s="201" t="e">
        <f>#REF!</f>
        <v>#REF!</v>
      </c>
      <c r="V554" s="201" t="e">
        <f>#REF!</f>
        <v>#REF!</v>
      </c>
      <c r="W554" s="201" t="e">
        <f>#REF!</f>
        <v>#REF!</v>
      </c>
      <c r="X554" s="201" t="e">
        <f>#REF!</f>
        <v>#REF!</v>
      </c>
      <c r="Y554" s="201" t="e">
        <f>#REF!</f>
        <v>#REF!</v>
      </c>
      <c r="Z554" s="201" t="e">
        <f>#REF!</f>
        <v>#REF!</v>
      </c>
      <c r="AA554" s="201" t="e">
        <f>#REF!</f>
        <v>#REF!</v>
      </c>
      <c r="AB554" s="201" t="e">
        <f>#REF!</f>
        <v>#REF!</v>
      </c>
      <c r="AC554" s="201" t="e">
        <f>#REF!</f>
        <v>#REF!</v>
      </c>
      <c r="AD554" s="201" t="e">
        <f>#REF!</f>
        <v>#REF!</v>
      </c>
      <c r="AE554" s="201" t="e">
        <f>#REF!</f>
        <v>#REF!</v>
      </c>
      <c r="AF554" s="201" t="e">
        <f>#REF!</f>
        <v>#REF!</v>
      </c>
    </row>
    <row r="555" spans="1:37" x14ac:dyDescent="0.25">
      <c r="A555" s="14" t="s">
        <v>896</v>
      </c>
      <c r="F555" s="201">
        <f t="shared" ref="F555:K555" si="329">(F514*F387)/F$413</f>
        <v>0</v>
      </c>
      <c r="G555" s="201">
        <f t="shared" si="329"/>
        <v>0</v>
      </c>
      <c r="H555" s="201">
        <f t="shared" si="329"/>
        <v>0</v>
      </c>
      <c r="I555" s="201">
        <f t="shared" ref="I555" si="330">(I514*I387)/I$413</f>
        <v>0</v>
      </c>
      <c r="J555" s="201">
        <f t="shared" si="329"/>
        <v>0</v>
      </c>
      <c r="K555" s="201">
        <f t="shared" si="329"/>
        <v>0</v>
      </c>
      <c r="L555" s="201">
        <f t="shared" ref="L555" si="331">(L514*L387)/L$413</f>
        <v>0</v>
      </c>
      <c r="M555" s="201"/>
      <c r="N555" s="201" t="e">
        <f t="shared" ref="N555:R555" si="332">(N514*N387)/N$413</f>
        <v>#DIV/0!</v>
      </c>
      <c r="O555" s="201" t="e">
        <f t="shared" si="332"/>
        <v>#DIV/0!</v>
      </c>
      <c r="P555" s="201" t="e">
        <f t="shared" si="332"/>
        <v>#DIV/0!</v>
      </c>
      <c r="Q555" s="201" t="e">
        <f t="shared" si="332"/>
        <v>#DIV/0!</v>
      </c>
      <c r="R555" s="201" t="e">
        <f t="shared" si="332"/>
        <v>#DIV/0!</v>
      </c>
      <c r="S555" s="201"/>
      <c r="T555" s="201"/>
      <c r="U555" s="201"/>
      <c r="V555" s="201"/>
      <c r="W555" s="201"/>
      <c r="X555" s="201"/>
      <c r="Y555" s="201"/>
      <c r="Z555" s="201"/>
      <c r="AA555" s="201"/>
      <c r="AB555" s="201"/>
      <c r="AC555" s="201"/>
      <c r="AD555" s="201"/>
      <c r="AE555" s="201"/>
      <c r="AF555" s="201"/>
    </row>
    <row r="556" spans="1:37" x14ac:dyDescent="0.25">
      <c r="F556" s="201"/>
      <c r="G556" s="201"/>
      <c r="H556" s="201"/>
      <c r="I556" s="201"/>
      <c r="J556" s="201"/>
      <c r="K556" s="201"/>
      <c r="L556" s="201"/>
      <c r="M556" s="201"/>
      <c r="N556" s="201"/>
      <c r="O556" s="201"/>
      <c r="P556" s="201"/>
      <c r="Q556" s="201"/>
      <c r="R556" s="201"/>
      <c r="S556" s="201"/>
      <c r="T556" s="201"/>
      <c r="U556" s="201"/>
      <c r="V556" s="201"/>
      <c r="W556" s="201"/>
      <c r="X556" s="201"/>
      <c r="Y556" s="201"/>
      <c r="Z556" s="201"/>
      <c r="AA556" s="201"/>
      <c r="AB556" s="201"/>
      <c r="AC556" s="201"/>
      <c r="AD556" s="201"/>
      <c r="AE556" s="201"/>
      <c r="AF556" s="201"/>
    </row>
    <row r="557" spans="1:37" x14ac:dyDescent="0.25">
      <c r="A557" s="13" t="s">
        <v>889</v>
      </c>
      <c r="F557" s="201"/>
      <c r="G557" s="201"/>
      <c r="H557" s="201"/>
      <c r="I557" s="201"/>
      <c r="J557" s="201"/>
      <c r="K557" s="201"/>
      <c r="L557" s="201"/>
      <c r="M557" s="201"/>
      <c r="N557" s="201"/>
      <c r="O557" s="201"/>
      <c r="P557" s="201"/>
      <c r="Q557" s="201"/>
      <c r="R557" s="201"/>
      <c r="S557" s="201"/>
      <c r="T557" s="201"/>
      <c r="U557" s="201"/>
      <c r="V557" s="201"/>
      <c r="W557" s="201"/>
      <c r="X557" s="201"/>
      <c r="Y557" s="201"/>
      <c r="Z557" s="201"/>
      <c r="AA557" s="201"/>
      <c r="AB557" s="201"/>
      <c r="AC557" s="201"/>
      <c r="AD557" s="201"/>
      <c r="AE557" s="201"/>
      <c r="AF557" s="201"/>
    </row>
    <row r="558" spans="1:37" x14ac:dyDescent="0.25">
      <c r="A558" s="14" t="s">
        <v>1000</v>
      </c>
      <c r="F558" s="201">
        <f t="shared" ref="F558:R558" si="333">F535</f>
        <v>0</v>
      </c>
      <c r="G558" s="201">
        <f t="shared" ref="G558:H558" si="334">G535</f>
        <v>0</v>
      </c>
      <c r="H558" s="201">
        <f t="shared" si="334"/>
        <v>0</v>
      </c>
      <c r="I558" s="201">
        <f t="shared" ref="I558" si="335">I535</f>
        <v>0</v>
      </c>
      <c r="J558" s="48">
        <f t="shared" ref="J558:K558" si="336">J535</f>
        <v>0</v>
      </c>
      <c r="K558" s="48">
        <f t="shared" si="336"/>
        <v>0</v>
      </c>
      <c r="L558" s="48">
        <f t="shared" ref="L558" si="337">L535</f>
        <v>0</v>
      </c>
      <c r="M558" s="201"/>
      <c r="N558" s="201" t="e">
        <f t="shared" si="333"/>
        <v>#DIV/0!</v>
      </c>
      <c r="O558" s="201" t="e">
        <f t="shared" si="333"/>
        <v>#DIV/0!</v>
      </c>
      <c r="P558" s="201" t="e">
        <f t="shared" si="333"/>
        <v>#DIV/0!</v>
      </c>
      <c r="Q558" s="201" t="e">
        <f t="shared" si="333"/>
        <v>#DIV/0!</v>
      </c>
      <c r="R558" s="48" t="e">
        <f t="shared" si="333"/>
        <v>#DIV/0!</v>
      </c>
      <c r="S558" s="201"/>
      <c r="T558" s="201"/>
      <c r="U558" s="201"/>
      <c r="V558" s="201"/>
      <c r="W558" s="201"/>
      <c r="X558" s="201"/>
      <c r="Y558" s="201"/>
      <c r="Z558" s="201"/>
      <c r="AA558" s="201"/>
      <c r="AB558" s="201"/>
      <c r="AC558" s="201"/>
      <c r="AD558" s="201"/>
      <c r="AE558" s="201"/>
      <c r="AF558" s="201"/>
    </row>
    <row r="559" spans="1:37" s="75" customFormat="1" ht="15" x14ac:dyDescent="0.25">
      <c r="A559" s="75" t="s">
        <v>1001</v>
      </c>
      <c r="E559" s="210"/>
      <c r="F559" s="211">
        <f>(F515*F387)/F$413</f>
        <v>0</v>
      </c>
      <c r="G559" s="211">
        <f>(G515*G387)/G$413</f>
        <v>0</v>
      </c>
      <c r="H559" s="211">
        <f>(H515*H387)/H$413</f>
        <v>0</v>
      </c>
      <c r="I559" s="211">
        <f>(I515*I387)/I$413</f>
        <v>0</v>
      </c>
      <c r="J559" s="144">
        <f>(J515*J387)/J$428</f>
        <v>0</v>
      </c>
      <c r="K559" s="144">
        <f>(K515*K387)/K$428</f>
        <v>0</v>
      </c>
      <c r="L559" s="144">
        <f>(L515*L387)/L$428</f>
        <v>0</v>
      </c>
      <c r="M559" s="211"/>
      <c r="N559" s="211" t="e">
        <f>(N515*N387)/N$413</f>
        <v>#DIV/0!</v>
      </c>
      <c r="O559" s="211" t="e">
        <f>(O515*O387)/O$413</f>
        <v>#DIV/0!</v>
      </c>
      <c r="P559" s="211" t="e">
        <f>(P515*P387)/P$413</f>
        <v>#DIV/0!</v>
      </c>
      <c r="Q559" s="211" t="e">
        <f>(Q515*Q387)/Q$413</f>
        <v>#DIV/0!</v>
      </c>
      <c r="R559" s="144" t="e">
        <f>(R515*R387)/R$428</f>
        <v>#DIV/0!</v>
      </c>
      <c r="AK559" s="78"/>
    </row>
    <row r="560" spans="1:37" x14ac:dyDescent="0.25">
      <c r="B560" s="14" t="s">
        <v>1002</v>
      </c>
      <c r="F560" s="212">
        <f>F559+F558</f>
        <v>0</v>
      </c>
      <c r="G560" s="212">
        <f>G559+G558</f>
        <v>0</v>
      </c>
      <c r="H560" s="212">
        <f>H559+H558</f>
        <v>0</v>
      </c>
      <c r="I560" s="212">
        <f>I559+I558</f>
        <v>0</v>
      </c>
      <c r="J560" s="48">
        <f t="shared" ref="J560:K560" si="338">J559+J558</f>
        <v>0</v>
      </c>
      <c r="K560" s="48">
        <f t="shared" si="338"/>
        <v>0</v>
      </c>
      <c r="L560" s="48">
        <f t="shared" ref="L560" si="339">L559+L558</f>
        <v>0</v>
      </c>
      <c r="M560" s="212"/>
      <c r="N560" s="212" t="e">
        <f t="shared" ref="N560:R560" si="340">N559+N558</f>
        <v>#DIV/0!</v>
      </c>
      <c r="O560" s="212" t="e">
        <f t="shared" si="340"/>
        <v>#DIV/0!</v>
      </c>
      <c r="P560" s="212" t="e">
        <f t="shared" si="340"/>
        <v>#DIV/0!</v>
      </c>
      <c r="Q560" s="212" t="e">
        <f t="shared" si="340"/>
        <v>#DIV/0!</v>
      </c>
      <c r="R560" s="48" t="e">
        <f t="shared" si="340"/>
        <v>#DIV/0!</v>
      </c>
    </row>
    <row r="561" spans="1:32" x14ac:dyDescent="0.25">
      <c r="P561" s="48"/>
    </row>
    <row r="562" spans="1:32" x14ac:dyDescent="0.25">
      <c r="A562" s="13" t="s">
        <v>667</v>
      </c>
      <c r="P562" s="48"/>
    </row>
    <row r="563" spans="1:32" x14ac:dyDescent="0.25">
      <c r="A563" s="14" t="s">
        <v>1003</v>
      </c>
      <c r="F563" s="201">
        <f t="shared" ref="F563:S563" si="341">F536</f>
        <v>2.2407570142065073E-2</v>
      </c>
      <c r="G563" s="201">
        <f t="shared" ref="G563:H563" si="342">G536</f>
        <v>2.2412679083693859E-2</v>
      </c>
      <c r="H563" s="201">
        <f t="shared" si="342"/>
        <v>1.1488395019563271E-2</v>
      </c>
      <c r="I563" s="201">
        <f t="shared" ref="I563" si="343">I536</f>
        <v>9.4119193772291103E-3</v>
      </c>
      <c r="J563" s="48">
        <f t="shared" ref="J563:K563" si="344">J536</f>
        <v>2.9403519085739198</v>
      </c>
      <c r="K563" s="48">
        <f t="shared" si="344"/>
        <v>2.9434408369352258</v>
      </c>
      <c r="L563" s="48">
        <f t="shared" ref="L563" si="345">L536</f>
        <v>2.9434412286463525</v>
      </c>
      <c r="M563" s="201"/>
      <c r="N563" s="201" t="e">
        <f t="shared" si="341"/>
        <v>#DIV/0!</v>
      </c>
      <c r="O563" s="201" t="e">
        <f t="shared" si="341"/>
        <v>#DIV/0!</v>
      </c>
      <c r="P563" s="201" t="e">
        <f t="shared" si="341"/>
        <v>#DIV/0!</v>
      </c>
      <c r="Q563" s="201" t="e">
        <f t="shared" si="341"/>
        <v>#DIV/0!</v>
      </c>
      <c r="R563" s="48" t="e">
        <f t="shared" si="341"/>
        <v>#DIV/0!</v>
      </c>
      <c r="S563" s="201" t="e">
        <f t="shared" si="341"/>
        <v>#DIV/0!</v>
      </c>
      <c r="T563" s="201" t="e">
        <f>#REF!</f>
        <v>#REF!</v>
      </c>
      <c r="U563" s="201" t="e">
        <f>#REF!</f>
        <v>#REF!</v>
      </c>
      <c r="V563" s="201" t="e">
        <f>#REF!</f>
        <v>#REF!</v>
      </c>
      <c r="W563" s="201" t="e">
        <f>#REF!</f>
        <v>#REF!</v>
      </c>
      <c r="X563" s="201" t="e">
        <f>#REF!</f>
        <v>#REF!</v>
      </c>
      <c r="Y563" s="201" t="e">
        <f>#REF!</f>
        <v>#REF!</v>
      </c>
      <c r="Z563" s="201" t="e">
        <f>#REF!</f>
        <v>#REF!</v>
      </c>
      <c r="AA563" s="201" t="e">
        <f>#REF!</f>
        <v>#REF!</v>
      </c>
      <c r="AB563" s="201" t="e">
        <f>#REF!</f>
        <v>#REF!</v>
      </c>
      <c r="AC563" s="201" t="e">
        <f>#REF!</f>
        <v>#REF!</v>
      </c>
      <c r="AD563" s="201" t="e">
        <f>#REF!</f>
        <v>#REF!</v>
      </c>
      <c r="AE563" s="201" t="e">
        <f>#REF!</f>
        <v>#REF!</v>
      </c>
      <c r="AF563" s="201" t="e">
        <f>#REF!</f>
        <v>#REF!</v>
      </c>
    </row>
    <row r="564" spans="1:32" ht="15" x14ac:dyDescent="0.4">
      <c r="A564" s="75" t="s">
        <v>1004</v>
      </c>
      <c r="E564" s="201"/>
      <c r="F564" s="213">
        <f>(F516*F387)/F$413</f>
        <v>2.9830321794211633E-3</v>
      </c>
      <c r="G564" s="213">
        <f>(G516*G387)/G$413</f>
        <v>-1.9041013083021242E-2</v>
      </c>
      <c r="H564" s="213">
        <f>(H516*H387)/H$413</f>
        <v>6.5944713052837039E-3</v>
      </c>
      <c r="I564" s="213">
        <f>(I516*I387)/I$413</f>
        <v>7.1052227740903192E-3</v>
      </c>
      <c r="J564" s="104">
        <f>(J516*J387)/J$428</f>
        <v>2.6833642617421058</v>
      </c>
      <c r="K564" s="104">
        <f>(K516*K387)/K$428</f>
        <v>4.8836934631900224</v>
      </c>
      <c r="L564" s="104">
        <f>(L516*L387)/L$428</f>
        <v>2.4015645536036496</v>
      </c>
      <c r="M564" s="213"/>
      <c r="N564" s="213" t="e">
        <f>(N516*N387)/N$413</f>
        <v>#DIV/0!</v>
      </c>
      <c r="O564" s="213" t="e">
        <f>(O516*O387)/O$413</f>
        <v>#DIV/0!</v>
      </c>
      <c r="P564" s="213" t="e">
        <f>(P516*P387)/P$413</f>
        <v>#DIV/0!</v>
      </c>
      <c r="Q564" s="213" t="e">
        <f>(Q516*Q387)/Q$413</f>
        <v>#DIV/0!</v>
      </c>
      <c r="R564" s="104" t="e">
        <f>(R516*R387)/R$428</f>
        <v>#DIV/0!</v>
      </c>
      <c r="S564" s="213" t="e">
        <f>(S516*S387)/S$413</f>
        <v>#DIV/0!</v>
      </c>
      <c r="T564" s="213" t="e">
        <f>(#REF!*T330)/1026.4</f>
        <v>#REF!</v>
      </c>
      <c r="U564" s="213" t="e">
        <f>(#REF!*U330)/11504</f>
        <v>#REF!</v>
      </c>
      <c r="V564" s="213" t="e">
        <f>(#REF!*V330)/7284</f>
        <v>#REF!</v>
      </c>
      <c r="W564" s="213" t="e">
        <f>(#REF!*W330)/320.47</f>
        <v>#REF!</v>
      </c>
      <c r="X564" s="213" t="e">
        <f>(#REF!*X330)/26669</f>
        <v>#REF!</v>
      </c>
      <c r="Y564" s="213" t="e">
        <f>(#REF!*Y330)/68503</f>
        <v>#REF!</v>
      </c>
      <c r="Z564" s="213" t="e">
        <f>(#REF!*Z330)/Z$413</f>
        <v>#REF!</v>
      </c>
      <c r="AA564" s="213" t="e">
        <f>(#REF!*AA330)/17492.7</f>
        <v>#REF!</v>
      </c>
      <c r="AB564" s="213" t="e">
        <f>(#REF!*AB330)/10846</f>
        <v>#REF!</v>
      </c>
      <c r="AC564" s="213" t="e">
        <f>(#REF!*AC330)/12274</f>
        <v>#REF!</v>
      </c>
      <c r="AD564" s="213" t="e">
        <f>(#REF!*AD330)/10405</f>
        <v>#REF!</v>
      </c>
      <c r="AE564" s="213" t="e">
        <f>(#REF!*AE330)/12044</f>
        <v>#REF!</v>
      </c>
      <c r="AF564" s="213" t="e">
        <f>(#REF!*#REF!)/AF$426/12</f>
        <v>#REF!</v>
      </c>
    </row>
    <row r="565" spans="1:32" x14ac:dyDescent="0.25">
      <c r="B565" s="14" t="s">
        <v>1005</v>
      </c>
      <c r="F565" s="201">
        <f>F563+F564</f>
        <v>2.5390602321486235E-2</v>
      </c>
      <c r="G565" s="201">
        <f>G563+G564</f>
        <v>3.3716660006726171E-3</v>
      </c>
      <c r="H565" s="201">
        <f>H563+H564</f>
        <v>1.8082866324846975E-2</v>
      </c>
      <c r="I565" s="201">
        <f>I563+I564</f>
        <v>1.6517142151319428E-2</v>
      </c>
      <c r="J565" s="48">
        <f t="shared" ref="J565:K565" si="346">J563+J564</f>
        <v>5.6237161703160261</v>
      </c>
      <c r="K565" s="48">
        <f t="shared" si="346"/>
        <v>7.8271343001252482</v>
      </c>
      <c r="L565" s="48">
        <f t="shared" ref="L565" si="347">L563+L564</f>
        <v>5.3450057822500021</v>
      </c>
      <c r="M565" s="201"/>
      <c r="N565" s="201" t="e">
        <f t="shared" ref="N565:AF565" si="348">N563+N564</f>
        <v>#DIV/0!</v>
      </c>
      <c r="O565" s="201" t="e">
        <f t="shared" si="348"/>
        <v>#DIV/0!</v>
      </c>
      <c r="P565" s="201" t="e">
        <f t="shared" si="348"/>
        <v>#DIV/0!</v>
      </c>
      <c r="Q565" s="201" t="e">
        <f t="shared" si="348"/>
        <v>#DIV/0!</v>
      </c>
      <c r="R565" s="48" t="e">
        <f t="shared" si="348"/>
        <v>#DIV/0!</v>
      </c>
      <c r="S565" s="201" t="e">
        <f t="shared" si="348"/>
        <v>#DIV/0!</v>
      </c>
      <c r="T565" s="201" t="e">
        <f t="shared" si="348"/>
        <v>#REF!</v>
      </c>
      <c r="U565" s="201" t="e">
        <f t="shared" si="348"/>
        <v>#REF!</v>
      </c>
      <c r="V565" s="201" t="e">
        <f t="shared" si="348"/>
        <v>#REF!</v>
      </c>
      <c r="W565" s="201" t="e">
        <f t="shared" si="348"/>
        <v>#REF!</v>
      </c>
      <c r="X565" s="201" t="e">
        <f t="shared" si="348"/>
        <v>#REF!</v>
      </c>
      <c r="Y565" s="201" t="e">
        <f t="shared" si="348"/>
        <v>#REF!</v>
      </c>
      <c r="Z565" s="201" t="e">
        <f t="shared" si="348"/>
        <v>#REF!</v>
      </c>
      <c r="AA565" s="201" t="e">
        <f t="shared" si="348"/>
        <v>#REF!</v>
      </c>
      <c r="AB565" s="201" t="e">
        <f t="shared" si="348"/>
        <v>#REF!</v>
      </c>
      <c r="AC565" s="201" t="e">
        <f t="shared" si="348"/>
        <v>#REF!</v>
      </c>
      <c r="AD565" s="201" t="e">
        <f t="shared" si="348"/>
        <v>#REF!</v>
      </c>
      <c r="AE565" s="201" t="e">
        <f t="shared" si="348"/>
        <v>#REF!</v>
      </c>
      <c r="AF565" s="201" t="e">
        <f t="shared" si="348"/>
        <v>#REF!</v>
      </c>
    </row>
    <row r="567" spans="1:32" x14ac:dyDescent="0.25">
      <c r="A567" s="13" t="s">
        <v>668</v>
      </c>
    </row>
    <row r="568" spans="1:32" x14ac:dyDescent="0.25">
      <c r="A568" s="14" t="s">
        <v>669</v>
      </c>
      <c r="F568" s="46">
        <f t="shared" ref="F568:S568" si="349">F537</f>
        <v>20.330507181786839</v>
      </c>
      <c r="G568" s="46">
        <f t="shared" ref="G568:H568" si="350">G537</f>
        <v>20.361135187387791</v>
      </c>
      <c r="H568" s="46">
        <f t="shared" si="350"/>
        <v>20.365165322410732</v>
      </c>
      <c r="I568" s="46">
        <f t="shared" ref="I568" si="351">I537</f>
        <v>20.701504961003995</v>
      </c>
      <c r="J568" s="46">
        <f t="shared" ref="J568:K568" si="352">J537</f>
        <v>44.768827277768871</v>
      </c>
      <c r="K568" s="46">
        <f t="shared" si="352"/>
        <v>0.30542219500523787</v>
      </c>
      <c r="L568" s="46">
        <f t="shared" ref="L568" si="353">L537</f>
        <v>4.1562809182019196</v>
      </c>
      <c r="M568" s="46"/>
      <c r="N568" s="46" t="e">
        <f t="shared" si="349"/>
        <v>#DIV/0!</v>
      </c>
      <c r="O568" s="46" t="e">
        <f t="shared" si="349"/>
        <v>#DIV/0!</v>
      </c>
      <c r="P568" s="46" t="e">
        <f t="shared" si="349"/>
        <v>#DIV/0!</v>
      </c>
      <c r="Q568" s="46" t="e">
        <f t="shared" si="349"/>
        <v>#DIV/0!</v>
      </c>
      <c r="R568" s="46" t="e">
        <f t="shared" si="349"/>
        <v>#DIV/0!</v>
      </c>
      <c r="S568" s="46" t="e">
        <f t="shared" si="349"/>
        <v>#DIV/0!</v>
      </c>
      <c r="T568" s="46" t="e">
        <f>#REF!</f>
        <v>#REF!</v>
      </c>
      <c r="U568" s="46" t="e">
        <f>#REF!</f>
        <v>#REF!</v>
      </c>
      <c r="V568" s="46" t="e">
        <f>#REF!</f>
        <v>#REF!</v>
      </c>
      <c r="W568" s="46" t="e">
        <f>#REF!</f>
        <v>#REF!</v>
      </c>
      <c r="X568" s="46" t="e">
        <f>#REF!</f>
        <v>#REF!</v>
      </c>
      <c r="Y568" s="46" t="e">
        <f>#REF!</f>
        <v>#REF!</v>
      </c>
      <c r="Z568" s="46" t="e">
        <f>#REF!</f>
        <v>#REF!</v>
      </c>
      <c r="AA568" s="46" t="e">
        <f>#REF!</f>
        <v>#REF!</v>
      </c>
      <c r="AB568" s="46" t="e">
        <f>#REF!</f>
        <v>#REF!</v>
      </c>
      <c r="AC568" s="46" t="e">
        <f>#REF!</f>
        <v>#REF!</v>
      </c>
      <c r="AD568" s="46" t="e">
        <f>#REF!</f>
        <v>#REF!</v>
      </c>
      <c r="AE568" s="46" t="e">
        <f>#REF!</f>
        <v>#REF!</v>
      </c>
      <c r="AF568" s="46" t="e">
        <f>#REF!</f>
        <v>#REF!</v>
      </c>
    </row>
    <row r="569" spans="1:32" ht="15" x14ac:dyDescent="0.4">
      <c r="A569" s="14" t="s">
        <v>670</v>
      </c>
      <c r="E569" s="46"/>
      <c r="F569" s="104">
        <f t="shared" ref="F569:K569" si="354">(F517*F387)/F416</f>
        <v>2.77644556646479</v>
      </c>
      <c r="G569" s="104">
        <f t="shared" si="354"/>
        <v>-17.839044294059963</v>
      </c>
      <c r="H569" s="104">
        <f t="shared" si="354"/>
        <v>11.879266479423769</v>
      </c>
      <c r="I569" s="104">
        <f t="shared" ref="I569" si="355">(I517*I387)/I416</f>
        <v>15.93956673351029</v>
      </c>
      <c r="J569" s="104">
        <f t="shared" si="354"/>
        <v>53.997607472222121</v>
      </c>
      <c r="K569" s="104">
        <f t="shared" si="354"/>
        <v>21.889179712960345</v>
      </c>
      <c r="L569" s="104">
        <f t="shared" ref="L569" si="356">(L517*L387)/L416</f>
        <v>10.76404129422327</v>
      </c>
      <c r="M569" s="104"/>
      <c r="N569" s="104" t="e">
        <f t="shared" ref="N569:S569" si="357">(N517*N387)/N416</f>
        <v>#DIV/0!</v>
      </c>
      <c r="O569" s="104" t="e">
        <f t="shared" si="357"/>
        <v>#DIV/0!</v>
      </c>
      <c r="P569" s="104" t="e">
        <f t="shared" si="357"/>
        <v>#DIV/0!</v>
      </c>
      <c r="Q569" s="104" t="e">
        <f t="shared" si="357"/>
        <v>#DIV/0!</v>
      </c>
      <c r="R569" s="104" t="e">
        <f t="shared" si="357"/>
        <v>#DIV/0!</v>
      </c>
      <c r="S569" s="104" t="e">
        <f t="shared" si="357"/>
        <v>#DIV/0!</v>
      </c>
      <c r="T569" s="104" t="e">
        <f>(#REF!*T330)/T416</f>
        <v>#REF!</v>
      </c>
      <c r="U569" s="104" t="e">
        <f>(#REF!*U330)/U416</f>
        <v>#REF!</v>
      </c>
      <c r="V569" s="104" t="e">
        <f>(#REF!*V330)/V416</f>
        <v>#REF!</v>
      </c>
      <c r="W569" s="104" t="e">
        <f>(#REF!*W330)/W416</f>
        <v>#REF!</v>
      </c>
      <c r="X569" s="104" t="e">
        <f>(#REF!*X330)/X416</f>
        <v>#REF!</v>
      </c>
      <c r="Y569" s="104" t="e">
        <f>(#REF!*Y330)/Y416</f>
        <v>#REF!</v>
      </c>
      <c r="Z569" s="104" t="e">
        <f>(#REF!*Z330)/Z416</f>
        <v>#REF!</v>
      </c>
      <c r="AA569" s="104" t="e">
        <f>(#REF!*AA330)/AA416</f>
        <v>#REF!</v>
      </c>
      <c r="AB569" s="104" t="e">
        <f>(#REF!*AB330)/AB416</f>
        <v>#REF!</v>
      </c>
      <c r="AC569" s="104" t="e">
        <f>(#REF!*AC330)/AC416</f>
        <v>#REF!</v>
      </c>
      <c r="AD569" s="104" t="e">
        <f>(#REF!*AD330)/AD416</f>
        <v>#REF!</v>
      </c>
      <c r="AE569" s="104" t="e">
        <f>(#REF!*AE330)/AE416</f>
        <v>#REF!</v>
      </c>
      <c r="AF569" s="104" t="e">
        <f>(#REF!*#REF!)/#REF!</f>
        <v>#REF!</v>
      </c>
    </row>
    <row r="570" spans="1:32" x14ac:dyDescent="0.25">
      <c r="B570" s="14" t="s">
        <v>671</v>
      </c>
      <c r="F570" s="46">
        <f>F568+F569</f>
        <v>23.106952748251629</v>
      </c>
      <c r="G570" s="46">
        <f>G568+G569</f>
        <v>2.5220908933278281</v>
      </c>
      <c r="H570" s="46">
        <f>H568+H569</f>
        <v>32.244431801834502</v>
      </c>
      <c r="I570" s="46">
        <f>I568+I569</f>
        <v>36.641071694514281</v>
      </c>
      <c r="J570" s="46">
        <f t="shared" ref="J570:K570" si="358">J568+J569</f>
        <v>98.766434749990992</v>
      </c>
      <c r="K570" s="46">
        <f t="shared" si="358"/>
        <v>22.194601907965584</v>
      </c>
      <c r="L570" s="46">
        <f t="shared" ref="L570" si="359">L568+L569</f>
        <v>14.920322212425191</v>
      </c>
      <c r="M570" s="46"/>
      <c r="N570" s="46" t="e">
        <f t="shared" ref="N570:AF570" si="360">N568+N569</f>
        <v>#DIV/0!</v>
      </c>
      <c r="O570" s="46" t="e">
        <f t="shared" si="360"/>
        <v>#DIV/0!</v>
      </c>
      <c r="P570" s="46" t="e">
        <f t="shared" si="360"/>
        <v>#DIV/0!</v>
      </c>
      <c r="Q570" s="46" t="e">
        <f t="shared" si="360"/>
        <v>#DIV/0!</v>
      </c>
      <c r="R570" s="46" t="e">
        <f t="shared" si="360"/>
        <v>#DIV/0!</v>
      </c>
      <c r="S570" s="46" t="e">
        <f t="shared" si="360"/>
        <v>#DIV/0!</v>
      </c>
      <c r="T570" s="46" t="e">
        <f t="shared" si="360"/>
        <v>#REF!</v>
      </c>
      <c r="U570" s="46" t="e">
        <f t="shared" si="360"/>
        <v>#REF!</v>
      </c>
      <c r="V570" s="46" t="e">
        <f t="shared" si="360"/>
        <v>#REF!</v>
      </c>
      <c r="W570" s="46" t="e">
        <f t="shared" si="360"/>
        <v>#REF!</v>
      </c>
      <c r="X570" s="46" t="e">
        <f t="shared" si="360"/>
        <v>#REF!</v>
      </c>
      <c r="Y570" s="46" t="e">
        <f t="shared" si="360"/>
        <v>#REF!</v>
      </c>
      <c r="Z570" s="46" t="e">
        <f t="shared" si="360"/>
        <v>#REF!</v>
      </c>
      <c r="AA570" s="46" t="e">
        <f t="shared" si="360"/>
        <v>#REF!</v>
      </c>
      <c r="AB570" s="46" t="e">
        <f t="shared" si="360"/>
        <v>#REF!</v>
      </c>
      <c r="AC570" s="46" t="e">
        <f t="shared" si="360"/>
        <v>#REF!</v>
      </c>
      <c r="AD570" s="46" t="e">
        <f t="shared" si="360"/>
        <v>#REF!</v>
      </c>
      <c r="AE570" s="46" t="e">
        <f t="shared" si="360"/>
        <v>#REF!</v>
      </c>
      <c r="AF570" s="46" t="e">
        <f t="shared" si="360"/>
        <v>#REF!</v>
      </c>
    </row>
    <row r="574" spans="1:32" x14ac:dyDescent="0.25">
      <c r="A574" s="26" t="s">
        <v>672</v>
      </c>
      <c r="B574" s="103"/>
      <c r="C574" s="214">
        <f>E387</f>
        <v>4.9340649176052263E-2</v>
      </c>
      <c r="F574" s="47">
        <f t="shared" ref="F574:R574" si="361">$C$574</f>
        <v>4.9340649176052263E-2</v>
      </c>
      <c r="G574" s="47">
        <f t="shared" si="361"/>
        <v>4.9340649176052263E-2</v>
      </c>
      <c r="H574" s="47">
        <f t="shared" si="361"/>
        <v>4.9340649176052263E-2</v>
      </c>
      <c r="I574" s="47">
        <f t="shared" si="361"/>
        <v>4.9340649176052263E-2</v>
      </c>
      <c r="J574" s="47">
        <f t="shared" si="361"/>
        <v>4.9340649176052263E-2</v>
      </c>
      <c r="K574" s="47">
        <f t="shared" si="361"/>
        <v>4.9340649176052263E-2</v>
      </c>
      <c r="L574" s="47">
        <f t="shared" si="361"/>
        <v>4.9340649176052263E-2</v>
      </c>
      <c r="M574" s="47"/>
      <c r="N574" s="47">
        <f t="shared" si="361"/>
        <v>4.9340649176052263E-2</v>
      </c>
      <c r="O574" s="47">
        <f t="shared" si="361"/>
        <v>4.9340649176052263E-2</v>
      </c>
      <c r="P574" s="47">
        <f t="shared" si="361"/>
        <v>4.9340649176052263E-2</v>
      </c>
      <c r="Q574" s="47">
        <f t="shared" si="361"/>
        <v>4.9340649176052263E-2</v>
      </c>
      <c r="R574" s="47">
        <f t="shared" si="361"/>
        <v>4.9340649176052263E-2</v>
      </c>
    </row>
    <row r="575" spans="1:32" x14ac:dyDescent="0.25">
      <c r="A575" s="13"/>
    </row>
    <row r="576" spans="1:32" x14ac:dyDescent="0.25">
      <c r="A576" s="13" t="s">
        <v>761</v>
      </c>
    </row>
    <row r="577" spans="1:37" x14ac:dyDescent="0.25">
      <c r="A577" s="14" t="s">
        <v>998</v>
      </c>
      <c r="F577" s="201">
        <f t="shared" ref="F577:K577" si="362">F552</f>
        <v>2.0782943717427331E-2</v>
      </c>
      <c r="G577" s="201">
        <f t="shared" si="362"/>
        <v>0</v>
      </c>
      <c r="H577" s="201">
        <f t="shared" si="362"/>
        <v>2.0797430934153868E-2</v>
      </c>
      <c r="I577" s="201">
        <f t="shared" ref="I577" si="363">I552</f>
        <v>1.718688280376331E-2</v>
      </c>
      <c r="J577" s="48">
        <f t="shared" si="362"/>
        <v>3.0007412838917715</v>
      </c>
      <c r="K577" s="48">
        <f t="shared" si="362"/>
        <v>9.7205969921124957</v>
      </c>
      <c r="L577" s="48">
        <f t="shared" ref="L577" si="364">L552</f>
        <v>9.720596992112494</v>
      </c>
      <c r="M577" s="201"/>
      <c r="N577" s="201" t="e">
        <f t="shared" ref="N577:Q577" si="365">N552</f>
        <v>#DIV/0!</v>
      </c>
      <c r="O577" s="201" t="e">
        <f t="shared" si="365"/>
        <v>#DIV/0!</v>
      </c>
      <c r="P577" s="201" t="e">
        <f t="shared" si="365"/>
        <v>#DIV/0!</v>
      </c>
      <c r="Q577" s="201" t="e">
        <f t="shared" si="365"/>
        <v>#DIV/0!</v>
      </c>
      <c r="R577" s="48" t="e">
        <f>R552</f>
        <v>#DIV/0!</v>
      </c>
      <c r="S577" s="201" t="e">
        <f t="shared" ref="S577:AE577" si="366">S533</f>
        <v>#DIV/0!</v>
      </c>
      <c r="T577" s="201">
        <f t="shared" si="366"/>
        <v>0</v>
      </c>
      <c r="U577" s="201" t="e">
        <f t="shared" si="366"/>
        <v>#DIV/0!</v>
      </c>
      <c r="V577" s="201" t="e">
        <f t="shared" si="366"/>
        <v>#DIV/0!</v>
      </c>
      <c r="W577" s="201" t="e">
        <f t="shared" si="366"/>
        <v>#DIV/0!</v>
      </c>
      <c r="X577" s="201" t="e">
        <f t="shared" si="366"/>
        <v>#DIV/0!</v>
      </c>
      <c r="Y577" s="201" t="e">
        <f t="shared" si="366"/>
        <v>#DIV/0!</v>
      </c>
      <c r="Z577" s="201">
        <f t="shared" si="366"/>
        <v>0</v>
      </c>
      <c r="AA577" s="201">
        <f t="shared" si="366"/>
        <v>0</v>
      </c>
      <c r="AB577" s="201">
        <f t="shared" si="366"/>
        <v>0</v>
      </c>
      <c r="AC577" s="201">
        <f t="shared" si="366"/>
        <v>0</v>
      </c>
      <c r="AD577" s="201">
        <f t="shared" si="366"/>
        <v>0</v>
      </c>
      <c r="AE577" s="201">
        <f t="shared" si="366"/>
        <v>0</v>
      </c>
      <c r="AF577" s="201" t="e">
        <f>#REF!</f>
        <v>#REF!</v>
      </c>
    </row>
    <row r="578" spans="1:37" x14ac:dyDescent="0.25">
      <c r="A578" s="14" t="s">
        <v>999</v>
      </c>
      <c r="E578" s="215"/>
      <c r="F578" s="201">
        <f>(F513*$E$387)/F$413</f>
        <v>0</v>
      </c>
      <c r="G578" s="201">
        <f>(G513*$E$387)/G$413</f>
        <v>0</v>
      </c>
      <c r="H578" s="201">
        <f>(H513*$E$387)/H$413</f>
        <v>0</v>
      </c>
      <c r="I578" s="201">
        <f>(I513*$E$387)/I$413</f>
        <v>0</v>
      </c>
      <c r="J578" s="48">
        <f>(J513*$E$387)/J$428</f>
        <v>0</v>
      </c>
      <c r="K578" s="48">
        <f>(K513*$E$387)/K$428</f>
        <v>0</v>
      </c>
      <c r="L578" s="48">
        <f>(L513*$E$387)/L$428</f>
        <v>0</v>
      </c>
      <c r="M578" s="201"/>
      <c r="N578" s="201" t="e">
        <f>(N513*$E$387)/N$413</f>
        <v>#DIV/0!</v>
      </c>
      <c r="O578" s="201" t="e">
        <f>(O513*$E$387)/O$413</f>
        <v>#DIV/0!</v>
      </c>
      <c r="P578" s="201" t="e">
        <f>(P513*$E$387)/P$413</f>
        <v>#DIV/0!</v>
      </c>
      <c r="Q578" s="201" t="e">
        <f>(Q513*$E$387)/Q$413</f>
        <v>#DIV/0!</v>
      </c>
      <c r="R578" s="48" t="e">
        <f>(R513*$E$387)/R$428</f>
        <v>#DIV/0!</v>
      </c>
      <c r="S578" s="201" t="e">
        <f t="shared" ref="S578:AE578" si="367">S534</f>
        <v>#DIV/0!</v>
      </c>
      <c r="T578" s="201" t="e">
        <f t="shared" si="367"/>
        <v>#DIV/0!</v>
      </c>
      <c r="U578" s="201" t="e">
        <f t="shared" si="367"/>
        <v>#DIV/0!</v>
      </c>
      <c r="V578" s="201" t="e">
        <f t="shared" si="367"/>
        <v>#DIV/0!</v>
      </c>
      <c r="W578" s="201" t="e">
        <f t="shared" si="367"/>
        <v>#DIV/0!</v>
      </c>
      <c r="X578" s="201" t="e">
        <f t="shared" si="367"/>
        <v>#DIV/0!</v>
      </c>
      <c r="Y578" s="201" t="e">
        <f t="shared" si="367"/>
        <v>#DIV/0!</v>
      </c>
      <c r="Z578" s="201" t="e">
        <f t="shared" si="367"/>
        <v>#DIV/0!</v>
      </c>
      <c r="AA578" s="201" t="e">
        <f t="shared" si="367"/>
        <v>#DIV/0!</v>
      </c>
      <c r="AB578" s="201" t="e">
        <f t="shared" si="367"/>
        <v>#DIV/0!</v>
      </c>
      <c r="AC578" s="201" t="e">
        <f t="shared" si="367"/>
        <v>#DIV/0!</v>
      </c>
      <c r="AD578" s="201" t="e">
        <f t="shared" si="367"/>
        <v>#DIV/0!</v>
      </c>
      <c r="AE578" s="201">
        <f t="shared" si="367"/>
        <v>0</v>
      </c>
      <c r="AF578" s="201" t="e">
        <f>#REF!</f>
        <v>#REF!</v>
      </c>
    </row>
    <row r="579" spans="1:37" x14ac:dyDescent="0.25">
      <c r="A579" s="14" t="s">
        <v>895</v>
      </c>
      <c r="F579" s="201">
        <f t="shared" ref="F579:K579" si="368">F554</f>
        <v>5.1356532229446937E-2</v>
      </c>
      <c r="G579" s="201">
        <f t="shared" si="368"/>
        <v>7.9468271298892168E-2</v>
      </c>
      <c r="H579" s="201">
        <f t="shared" si="368"/>
        <v>4.8599952297296634E-2</v>
      </c>
      <c r="I579" s="201">
        <f t="shared" ref="I579" si="369">I554</f>
        <v>5.0839149590570683E-2</v>
      </c>
      <c r="J579" s="201">
        <f t="shared" si="368"/>
        <v>5.4739177126864109E-2</v>
      </c>
      <c r="K579" s="201">
        <f t="shared" si="368"/>
        <v>2.8731613930236096E-2</v>
      </c>
      <c r="L579" s="201">
        <f t="shared" ref="L579" si="370">L554</f>
        <v>2.9009024708767168E-2</v>
      </c>
      <c r="M579" s="201"/>
      <c r="N579" s="201" t="e">
        <f t="shared" ref="N579:Q579" si="371">N554</f>
        <v>#DIV/0!</v>
      </c>
      <c r="O579" s="201" t="e">
        <f t="shared" si="371"/>
        <v>#DIV/0!</v>
      </c>
      <c r="P579" s="201" t="e">
        <f t="shared" si="371"/>
        <v>#DIV/0!</v>
      </c>
      <c r="Q579" s="201" t="e">
        <f t="shared" si="371"/>
        <v>#DIV/0!</v>
      </c>
      <c r="R579" s="201" t="e">
        <f>R554</f>
        <v>#DIV/0!</v>
      </c>
      <c r="S579" s="201">
        <f>S559</f>
        <v>0</v>
      </c>
      <c r="T579" s="201" t="e">
        <f>#REF!</f>
        <v>#REF!</v>
      </c>
      <c r="U579" s="201" t="e">
        <f>#REF!</f>
        <v>#REF!</v>
      </c>
      <c r="V579" s="201" t="e">
        <f>#REF!</f>
        <v>#REF!</v>
      </c>
      <c r="W579" s="201" t="e">
        <f>#REF!</f>
        <v>#REF!</v>
      </c>
      <c r="X579" s="201" t="e">
        <f>#REF!</f>
        <v>#REF!</v>
      </c>
      <c r="Y579" s="201" t="e">
        <f>#REF!</f>
        <v>#REF!</v>
      </c>
      <c r="Z579" s="201" t="e">
        <f>#REF!</f>
        <v>#REF!</v>
      </c>
      <c r="AA579" s="201" t="e">
        <f>#REF!</f>
        <v>#REF!</v>
      </c>
      <c r="AB579" s="201" t="e">
        <f>#REF!</f>
        <v>#REF!</v>
      </c>
      <c r="AC579" s="201" t="e">
        <f>#REF!</f>
        <v>#REF!</v>
      </c>
      <c r="AD579" s="201" t="e">
        <f>#REF!</f>
        <v>#REF!</v>
      </c>
      <c r="AE579" s="201" t="e">
        <f>#REF!</f>
        <v>#REF!</v>
      </c>
      <c r="AF579" s="201" t="e">
        <f>#REF!</f>
        <v>#REF!</v>
      </c>
    </row>
    <row r="580" spans="1:37" x14ac:dyDescent="0.25">
      <c r="A580" s="14" t="s">
        <v>896</v>
      </c>
      <c r="D580" s="201"/>
      <c r="F580" s="201">
        <f t="shared" ref="F580:K580" si="372">(F514*$E$387)/F$413</f>
        <v>0</v>
      </c>
      <c r="G580" s="201">
        <f t="shared" si="372"/>
        <v>0</v>
      </c>
      <c r="H580" s="201">
        <f t="shared" si="372"/>
        <v>0</v>
      </c>
      <c r="I580" s="201">
        <f t="shared" ref="I580" si="373">(I514*$E$387)/I$413</f>
        <v>0</v>
      </c>
      <c r="J580" s="49">
        <f t="shared" si="372"/>
        <v>0</v>
      </c>
      <c r="K580" s="49">
        <f t="shared" si="372"/>
        <v>0</v>
      </c>
      <c r="L580" s="49">
        <f t="shared" ref="L580" si="374">(L514*$E$387)/L$413</f>
        <v>0</v>
      </c>
      <c r="M580" s="201"/>
      <c r="N580" s="201" t="e">
        <f t="shared" ref="N580:R580" si="375">(N514*$E$387)/N$413</f>
        <v>#DIV/0!</v>
      </c>
      <c r="O580" s="201" t="e">
        <f t="shared" si="375"/>
        <v>#DIV/0!</v>
      </c>
      <c r="P580" s="201" t="e">
        <f t="shared" si="375"/>
        <v>#DIV/0!</v>
      </c>
      <c r="Q580" s="201" t="e">
        <f t="shared" si="375"/>
        <v>#DIV/0!</v>
      </c>
      <c r="R580" s="49" t="e">
        <f t="shared" si="375"/>
        <v>#DIV/0!</v>
      </c>
      <c r="S580" s="201"/>
      <c r="T580" s="201"/>
      <c r="U580" s="201"/>
      <c r="V580" s="201"/>
      <c r="W580" s="201"/>
      <c r="X580" s="201"/>
      <c r="Y580" s="201"/>
      <c r="Z580" s="201"/>
      <c r="AA580" s="201"/>
      <c r="AB580" s="201"/>
      <c r="AC580" s="201"/>
      <c r="AD580" s="201"/>
      <c r="AE580" s="201"/>
      <c r="AF580" s="201"/>
    </row>
    <row r="581" spans="1:37" x14ac:dyDescent="0.25">
      <c r="F581" s="201"/>
      <c r="G581" s="201"/>
      <c r="H581" s="201"/>
      <c r="I581" s="201"/>
      <c r="J581" s="201"/>
      <c r="K581" s="201"/>
      <c r="L581" s="201"/>
      <c r="M581" s="201"/>
      <c r="N581" s="201"/>
      <c r="O581" s="201"/>
      <c r="P581" s="201"/>
      <c r="Q581" s="201"/>
      <c r="R581" s="201"/>
      <c r="S581" s="201"/>
      <c r="T581" s="201"/>
      <c r="U581" s="201"/>
      <c r="V581" s="201"/>
      <c r="W581" s="201"/>
      <c r="X581" s="201"/>
      <c r="Y581" s="201"/>
      <c r="Z581" s="201"/>
      <c r="AA581" s="201"/>
      <c r="AB581" s="201"/>
      <c r="AC581" s="201"/>
      <c r="AD581" s="201"/>
      <c r="AE581" s="201"/>
      <c r="AF581" s="201"/>
    </row>
    <row r="582" spans="1:37" x14ac:dyDescent="0.25">
      <c r="A582" s="13" t="s">
        <v>889</v>
      </c>
      <c r="F582" s="201"/>
      <c r="G582" s="201"/>
      <c r="H582" s="201"/>
      <c r="I582" s="201"/>
      <c r="J582" s="201"/>
      <c r="K582" s="201"/>
      <c r="L582" s="201"/>
      <c r="M582" s="201"/>
      <c r="N582" s="201"/>
      <c r="O582" s="201"/>
      <c r="P582" s="201"/>
      <c r="Q582" s="201"/>
      <c r="R582" s="201"/>
      <c r="S582" s="201"/>
      <c r="T582" s="201"/>
      <c r="U582" s="201"/>
      <c r="V582" s="201"/>
      <c r="W582" s="201"/>
      <c r="X582" s="201"/>
      <c r="Y582" s="201"/>
      <c r="Z582" s="201"/>
      <c r="AA582" s="201"/>
      <c r="AB582" s="201"/>
      <c r="AC582" s="201"/>
      <c r="AD582" s="201"/>
      <c r="AE582" s="201"/>
      <c r="AF582" s="201"/>
    </row>
    <row r="583" spans="1:37" x14ac:dyDescent="0.25">
      <c r="A583" s="14" t="s">
        <v>1000</v>
      </c>
      <c r="F583" s="201">
        <f t="shared" ref="F583:K583" si="376">F558</f>
        <v>0</v>
      </c>
      <c r="G583" s="201">
        <f t="shared" si="376"/>
        <v>0</v>
      </c>
      <c r="H583" s="201">
        <f t="shared" si="376"/>
        <v>0</v>
      </c>
      <c r="I583" s="201">
        <f t="shared" ref="I583" si="377">I558</f>
        <v>0</v>
      </c>
      <c r="J583" s="48">
        <f t="shared" si="376"/>
        <v>0</v>
      </c>
      <c r="K583" s="48">
        <f t="shared" si="376"/>
        <v>0</v>
      </c>
      <c r="L583" s="48">
        <f t="shared" ref="L583" si="378">L558</f>
        <v>0</v>
      </c>
      <c r="M583" s="201"/>
      <c r="N583" s="201" t="e">
        <f t="shared" ref="N583:Q583" si="379">N558</f>
        <v>#DIV/0!</v>
      </c>
      <c r="O583" s="201" t="e">
        <f t="shared" si="379"/>
        <v>#DIV/0!</v>
      </c>
      <c r="P583" s="201" t="e">
        <f t="shared" si="379"/>
        <v>#DIV/0!</v>
      </c>
      <c r="Q583" s="201" t="e">
        <f t="shared" si="379"/>
        <v>#DIV/0!</v>
      </c>
      <c r="R583" s="48" t="e">
        <f>R558</f>
        <v>#DIV/0!</v>
      </c>
      <c r="S583" s="201"/>
      <c r="T583" s="201"/>
      <c r="U583" s="201"/>
      <c r="V583" s="201"/>
      <c r="W583" s="201"/>
      <c r="X583" s="201"/>
      <c r="Y583" s="201"/>
      <c r="Z583" s="201"/>
      <c r="AA583" s="201"/>
      <c r="AB583" s="201"/>
      <c r="AC583" s="201"/>
      <c r="AD583" s="201"/>
      <c r="AE583" s="201"/>
      <c r="AF583" s="201"/>
    </row>
    <row r="584" spans="1:37" s="75" customFormat="1" ht="15" x14ac:dyDescent="0.4">
      <c r="A584" s="75" t="s">
        <v>1001</v>
      </c>
      <c r="D584" s="210"/>
      <c r="F584" s="213">
        <f>(F515*$E$387)/F$413</f>
        <v>0</v>
      </c>
      <c r="G584" s="213">
        <f>(G515*$E$387)/G$413</f>
        <v>0</v>
      </c>
      <c r="H584" s="213">
        <f>(H515*$E$387)/H$413</f>
        <v>0</v>
      </c>
      <c r="I584" s="213">
        <f>(I515*$E$387)/I$413</f>
        <v>0</v>
      </c>
      <c r="J584" s="104">
        <f>(J515*$E$387)/J$428</f>
        <v>0</v>
      </c>
      <c r="K584" s="104">
        <f>(K515*$E$387)/K$428</f>
        <v>0</v>
      </c>
      <c r="L584" s="104">
        <f>(L515*$E$387)/L$428</f>
        <v>0</v>
      </c>
      <c r="M584" s="213"/>
      <c r="N584" s="213" t="e">
        <f>(N515*$E$387)/N$413</f>
        <v>#DIV/0!</v>
      </c>
      <c r="O584" s="213" t="e">
        <f>(O515*$E$387)/O$413</f>
        <v>#DIV/0!</v>
      </c>
      <c r="P584" s="213" t="e">
        <f>(P515*$E$387)/P$413</f>
        <v>#DIV/0!</v>
      </c>
      <c r="Q584" s="213" t="e">
        <f>(Q515*$E$387)/Q$413</f>
        <v>#DIV/0!</v>
      </c>
      <c r="R584" s="104" t="e">
        <f>(R515*$E$387)/R$428</f>
        <v>#DIV/0!</v>
      </c>
      <c r="AK584" s="78"/>
    </row>
    <row r="585" spans="1:37" x14ac:dyDescent="0.25">
      <c r="B585" s="14" t="s">
        <v>1002</v>
      </c>
      <c r="F585" s="201">
        <f>F583+F584</f>
        <v>0</v>
      </c>
      <c r="G585" s="201">
        <f>G583+G584</f>
        <v>0</v>
      </c>
      <c r="H585" s="201">
        <f>H583+H584</f>
        <v>0</v>
      </c>
      <c r="I585" s="201">
        <f>I583+I584</f>
        <v>0</v>
      </c>
      <c r="J585" s="48">
        <f t="shared" ref="J585:K585" si="380">J583+J584</f>
        <v>0</v>
      </c>
      <c r="K585" s="48">
        <f t="shared" si="380"/>
        <v>0</v>
      </c>
      <c r="L585" s="48">
        <f t="shared" ref="L585" si="381">L583+L584</f>
        <v>0</v>
      </c>
      <c r="M585" s="201"/>
      <c r="N585" s="201" t="e">
        <f t="shared" ref="N585:R585" si="382">N583+N584</f>
        <v>#DIV/0!</v>
      </c>
      <c r="O585" s="201" t="e">
        <f t="shared" si="382"/>
        <v>#DIV/0!</v>
      </c>
      <c r="P585" s="201" t="e">
        <f t="shared" si="382"/>
        <v>#DIV/0!</v>
      </c>
      <c r="Q585" s="201" t="e">
        <f t="shared" si="382"/>
        <v>#DIV/0!</v>
      </c>
      <c r="R585" s="48" t="e">
        <f t="shared" si="382"/>
        <v>#DIV/0!</v>
      </c>
    </row>
    <row r="586" spans="1:37" x14ac:dyDescent="0.25">
      <c r="P586" s="48"/>
    </row>
    <row r="587" spans="1:37" x14ac:dyDescent="0.25">
      <c r="A587" s="13" t="s">
        <v>667</v>
      </c>
      <c r="P587" s="48"/>
    </row>
    <row r="588" spans="1:37" x14ac:dyDescent="0.25">
      <c r="A588" s="14" t="s">
        <v>1003</v>
      </c>
      <c r="F588" s="201">
        <f t="shared" ref="F588:S588" si="383">F536</f>
        <v>2.2407570142065073E-2</v>
      </c>
      <c r="G588" s="201">
        <f t="shared" ref="G588:H588" si="384">G536</f>
        <v>2.2412679083693859E-2</v>
      </c>
      <c r="H588" s="201">
        <f t="shared" si="384"/>
        <v>1.1488395019563271E-2</v>
      </c>
      <c r="I588" s="201">
        <f t="shared" ref="I588" si="385">I536</f>
        <v>9.4119193772291103E-3</v>
      </c>
      <c r="J588" s="48">
        <f t="shared" ref="J588:K588" si="386">J536</f>
        <v>2.9403519085739198</v>
      </c>
      <c r="K588" s="48">
        <f t="shared" si="386"/>
        <v>2.9434408369352258</v>
      </c>
      <c r="L588" s="48">
        <f t="shared" ref="L588" si="387">L536</f>
        <v>2.9434412286463525</v>
      </c>
      <c r="M588" s="201"/>
      <c r="N588" s="201" t="e">
        <f t="shared" si="383"/>
        <v>#DIV/0!</v>
      </c>
      <c r="O588" s="201" t="e">
        <f t="shared" si="383"/>
        <v>#DIV/0!</v>
      </c>
      <c r="P588" s="201" t="e">
        <f t="shared" si="383"/>
        <v>#DIV/0!</v>
      </c>
      <c r="Q588" s="201" t="e">
        <f t="shared" si="383"/>
        <v>#DIV/0!</v>
      </c>
      <c r="R588" s="48" t="e">
        <f t="shared" si="383"/>
        <v>#DIV/0!</v>
      </c>
      <c r="S588" s="201" t="e">
        <f t="shared" si="383"/>
        <v>#DIV/0!</v>
      </c>
      <c r="T588" s="201" t="e">
        <f>#REF!</f>
        <v>#REF!</v>
      </c>
      <c r="U588" s="201" t="e">
        <f>#REF!</f>
        <v>#REF!</v>
      </c>
      <c r="V588" s="201" t="e">
        <f>#REF!</f>
        <v>#REF!</v>
      </c>
      <c r="W588" s="201" t="e">
        <f>#REF!</f>
        <v>#REF!</v>
      </c>
      <c r="X588" s="201" t="e">
        <f>#REF!</f>
        <v>#REF!</v>
      </c>
      <c r="Y588" s="201" t="e">
        <f>#REF!</f>
        <v>#REF!</v>
      </c>
      <c r="Z588" s="201" t="e">
        <f>#REF!</f>
        <v>#REF!</v>
      </c>
      <c r="AA588" s="201" t="e">
        <f>#REF!</f>
        <v>#REF!</v>
      </c>
      <c r="AB588" s="201" t="e">
        <f>#REF!</f>
        <v>#REF!</v>
      </c>
      <c r="AC588" s="201" t="e">
        <f>#REF!</f>
        <v>#REF!</v>
      </c>
      <c r="AD588" s="201" t="e">
        <f>#REF!</f>
        <v>#REF!</v>
      </c>
      <c r="AE588" s="201" t="e">
        <f>#REF!</f>
        <v>#REF!</v>
      </c>
      <c r="AF588" s="201" t="e">
        <f>#REF!</f>
        <v>#REF!</v>
      </c>
    </row>
    <row r="589" spans="1:37" ht="15" x14ac:dyDescent="0.4">
      <c r="A589" s="75" t="s">
        <v>1004</v>
      </c>
      <c r="D589" s="215"/>
      <c r="F589" s="213">
        <f>(F516*$E$387)/F413</f>
        <v>8.6042866617224937E-3</v>
      </c>
      <c r="G589" s="213">
        <f>(G516*$E$387)/G413</f>
        <v>8.5480009858194678E-3</v>
      </c>
      <c r="H589" s="213">
        <f>(H516*$E$387)/H413</f>
        <v>4.4456621390719427E-3</v>
      </c>
      <c r="I589" s="213">
        <f>(I516*$E$387)/I413</f>
        <v>3.6526694293585902E-3</v>
      </c>
      <c r="J589" s="104">
        <f>(J516*$E$387)/J428</f>
        <v>1.1290956089546218</v>
      </c>
      <c r="K589" s="104">
        <f>(K516*$E$387)/K428</f>
        <v>1.1308861173257783</v>
      </c>
      <c r="L589" s="104">
        <f>(L516*$E$387)/L428</f>
        <v>1.1308861173257785</v>
      </c>
      <c r="M589" s="213"/>
      <c r="N589" s="213" t="e">
        <f>(N516*$E$387)/N413</f>
        <v>#DIV/0!</v>
      </c>
      <c r="O589" s="213" t="e">
        <f>(O516*$E$387)/O413</f>
        <v>#DIV/0!</v>
      </c>
      <c r="P589" s="213" t="e">
        <f>(P516*$E$387)/P413</f>
        <v>#DIV/0!</v>
      </c>
      <c r="Q589" s="213" t="e">
        <f>(Q516*$E$387)/Q413</f>
        <v>#DIV/0!</v>
      </c>
      <c r="R589" s="104" t="e">
        <f>(R516*$E$387)/R428</f>
        <v>#DIV/0!</v>
      </c>
      <c r="S589" s="213" t="e">
        <f>(S516*$E$387)/S413</f>
        <v>#DIV/0!</v>
      </c>
      <c r="T589" s="213" t="e">
        <f>(#REF!*$E$330)/1026.4</f>
        <v>#REF!</v>
      </c>
      <c r="U589" s="213" t="e">
        <f>(#REF!*$E$330)/11504</f>
        <v>#REF!</v>
      </c>
      <c r="V589" s="213" t="e">
        <f>(#REF!*$E$330)/7284</f>
        <v>#REF!</v>
      </c>
      <c r="W589" s="213" t="e">
        <f>(#REF!*$E$330)/320.47</f>
        <v>#REF!</v>
      </c>
      <c r="X589" s="213" t="e">
        <f>(#REF!*$E$330)/26669</f>
        <v>#REF!</v>
      </c>
      <c r="Y589" s="213" t="e">
        <f>(#REF!*$E$330)/68503</f>
        <v>#REF!</v>
      </c>
      <c r="Z589" s="213" t="e">
        <f>(#REF!*$E$330)/Z413</f>
        <v>#REF!</v>
      </c>
      <c r="AA589" s="213" t="e">
        <f>(#REF!*$E$330)/17492.7</f>
        <v>#REF!</v>
      </c>
      <c r="AB589" s="213" t="e">
        <f>(#REF!*$E$330)/10846</f>
        <v>#REF!</v>
      </c>
      <c r="AC589" s="213" t="e">
        <f>(#REF!*$E$330)/12274</f>
        <v>#REF!</v>
      </c>
      <c r="AD589" s="213" t="e">
        <f>(#REF!*$E$330)/10405</f>
        <v>#REF!</v>
      </c>
      <c r="AE589" s="213" t="e">
        <f>(#REF!*$E$330)/120444</f>
        <v>#REF!</v>
      </c>
      <c r="AF589" s="213" t="e">
        <f>(#REF!*$E$330)/AF493/12</f>
        <v>#REF!</v>
      </c>
    </row>
    <row r="590" spans="1:37" x14ac:dyDescent="0.25">
      <c r="B590" s="14" t="s">
        <v>1005</v>
      </c>
      <c r="F590" s="201">
        <f t="shared" ref="F590:AF590" si="388">F588+F589</f>
        <v>3.1011856803787569E-2</v>
      </c>
      <c r="G590" s="201">
        <f t="shared" ref="G590:H590" si="389">G588+G589</f>
        <v>3.0960680069513326E-2</v>
      </c>
      <c r="H590" s="201">
        <f t="shared" si="389"/>
        <v>1.5934057158635214E-2</v>
      </c>
      <c r="I590" s="201">
        <f t="shared" ref="I590" si="390">I588+I589</f>
        <v>1.3064588806587701E-2</v>
      </c>
      <c r="J590" s="48">
        <f t="shared" ref="J590:K590" si="391">J588+J589</f>
        <v>4.0694475175285412</v>
      </c>
      <c r="K590" s="48">
        <f t="shared" si="391"/>
        <v>4.0743269542610037</v>
      </c>
      <c r="L590" s="48">
        <f t="shared" ref="L590" si="392">L588+L589</f>
        <v>4.0743273459721312</v>
      </c>
      <c r="M590" s="201"/>
      <c r="N590" s="201" t="e">
        <f t="shared" si="388"/>
        <v>#DIV/0!</v>
      </c>
      <c r="O590" s="201" t="e">
        <f t="shared" si="388"/>
        <v>#DIV/0!</v>
      </c>
      <c r="P590" s="201" t="e">
        <f t="shared" si="388"/>
        <v>#DIV/0!</v>
      </c>
      <c r="Q590" s="201" t="e">
        <f t="shared" si="388"/>
        <v>#DIV/0!</v>
      </c>
      <c r="R590" s="48" t="e">
        <f t="shared" si="388"/>
        <v>#DIV/0!</v>
      </c>
      <c r="S590" s="201" t="e">
        <f t="shared" si="388"/>
        <v>#DIV/0!</v>
      </c>
      <c r="T590" s="201" t="e">
        <f t="shared" si="388"/>
        <v>#REF!</v>
      </c>
      <c r="U590" s="201" t="e">
        <f t="shared" si="388"/>
        <v>#REF!</v>
      </c>
      <c r="V590" s="201" t="e">
        <f t="shared" si="388"/>
        <v>#REF!</v>
      </c>
      <c r="W590" s="201" t="e">
        <f t="shared" si="388"/>
        <v>#REF!</v>
      </c>
      <c r="X590" s="201" t="e">
        <f t="shared" si="388"/>
        <v>#REF!</v>
      </c>
      <c r="Y590" s="201" t="e">
        <f t="shared" si="388"/>
        <v>#REF!</v>
      </c>
      <c r="Z590" s="201" t="e">
        <f t="shared" si="388"/>
        <v>#REF!</v>
      </c>
      <c r="AA590" s="201" t="e">
        <f t="shared" si="388"/>
        <v>#REF!</v>
      </c>
      <c r="AB590" s="201" t="e">
        <f t="shared" si="388"/>
        <v>#REF!</v>
      </c>
      <c r="AC590" s="201" t="e">
        <f t="shared" si="388"/>
        <v>#REF!</v>
      </c>
      <c r="AD590" s="201" t="e">
        <f t="shared" si="388"/>
        <v>#REF!</v>
      </c>
      <c r="AE590" s="201" t="e">
        <f t="shared" si="388"/>
        <v>#REF!</v>
      </c>
      <c r="AF590" s="201" t="e">
        <f t="shared" si="388"/>
        <v>#REF!</v>
      </c>
    </row>
    <row r="592" spans="1:37" x14ac:dyDescent="0.25">
      <c r="A592" s="13" t="s">
        <v>668</v>
      </c>
    </row>
    <row r="593" spans="1:32" x14ac:dyDescent="0.25">
      <c r="A593" s="14" t="s">
        <v>669</v>
      </c>
      <c r="F593" s="46">
        <f t="shared" ref="F593:S593" si="393">F537</f>
        <v>20.330507181786839</v>
      </c>
      <c r="G593" s="46">
        <f t="shared" ref="G593:H593" si="394">G537</f>
        <v>20.361135187387791</v>
      </c>
      <c r="H593" s="46">
        <f t="shared" si="394"/>
        <v>20.365165322410732</v>
      </c>
      <c r="I593" s="46">
        <f t="shared" ref="I593" si="395">I537</f>
        <v>20.701504961003995</v>
      </c>
      <c r="J593" s="46">
        <f t="shared" ref="J593:K593" si="396">J537</f>
        <v>44.768827277768871</v>
      </c>
      <c r="K593" s="46">
        <f t="shared" si="396"/>
        <v>0.30542219500523787</v>
      </c>
      <c r="L593" s="46">
        <f t="shared" ref="L593" si="397">L537</f>
        <v>4.1562809182019196</v>
      </c>
      <c r="M593" s="46"/>
      <c r="N593" s="46" t="e">
        <f t="shared" si="393"/>
        <v>#DIV/0!</v>
      </c>
      <c r="O593" s="46" t="e">
        <f t="shared" si="393"/>
        <v>#DIV/0!</v>
      </c>
      <c r="P593" s="46" t="e">
        <f t="shared" si="393"/>
        <v>#DIV/0!</v>
      </c>
      <c r="Q593" s="46" t="e">
        <f t="shared" si="393"/>
        <v>#DIV/0!</v>
      </c>
      <c r="R593" s="46" t="e">
        <f t="shared" si="393"/>
        <v>#DIV/0!</v>
      </c>
      <c r="S593" s="46" t="e">
        <f t="shared" si="393"/>
        <v>#DIV/0!</v>
      </c>
      <c r="T593" s="46" t="e">
        <f>#REF!</f>
        <v>#REF!</v>
      </c>
      <c r="U593" s="46" t="e">
        <f>#REF!</f>
        <v>#REF!</v>
      </c>
      <c r="V593" s="46" t="e">
        <f>#REF!</f>
        <v>#REF!</v>
      </c>
      <c r="W593" s="46" t="e">
        <f>#REF!</f>
        <v>#REF!</v>
      </c>
      <c r="X593" s="46" t="e">
        <f>#REF!</f>
        <v>#REF!</v>
      </c>
      <c r="Y593" s="46" t="e">
        <f>#REF!</f>
        <v>#REF!</v>
      </c>
      <c r="Z593" s="46" t="e">
        <f>#REF!</f>
        <v>#REF!</v>
      </c>
      <c r="AA593" s="46" t="e">
        <f>#REF!</f>
        <v>#REF!</v>
      </c>
      <c r="AB593" s="46" t="e">
        <f>#REF!</f>
        <v>#REF!</v>
      </c>
      <c r="AC593" s="46" t="e">
        <f>#REF!</f>
        <v>#REF!</v>
      </c>
      <c r="AD593" s="46" t="e">
        <f>#REF!</f>
        <v>#REF!</v>
      </c>
      <c r="AE593" s="46" t="e">
        <f>#REF!</f>
        <v>#REF!</v>
      </c>
      <c r="AF593" s="46" t="e">
        <f>#REF!</f>
        <v>#REF!</v>
      </c>
    </row>
    <row r="594" spans="1:32" ht="15" x14ac:dyDescent="0.4">
      <c r="A594" s="14" t="s">
        <v>670</v>
      </c>
      <c r="D594" s="46"/>
      <c r="F594" s="104">
        <f t="shared" ref="F594:AF594" si="398">(F517*$E$387)/F416</f>
        <v>8.008406251643958</v>
      </c>
      <c r="G594" s="104">
        <f t="shared" ref="G594:H594" si="399">(G517*$E$387)/G416</f>
        <v>8.008406251643958</v>
      </c>
      <c r="H594" s="104">
        <f t="shared" si="399"/>
        <v>8.008406251643958</v>
      </c>
      <c r="I594" s="104">
        <f t="shared" ref="I594" si="400">(I517*$E$387)/I416</f>
        <v>8.1942494944739224</v>
      </c>
      <c r="J594" s="104">
        <f t="shared" ref="J594:K594" si="401">(J517*$E$387)/J416</f>
        <v>22.720903889268861</v>
      </c>
      <c r="K594" s="104">
        <f t="shared" si="401"/>
        <v>5.0687393964457659</v>
      </c>
      <c r="L594" s="104">
        <f t="shared" ref="L594" si="402">(L517*$E$387)/L416</f>
        <v>5.0687393964457632</v>
      </c>
      <c r="M594" s="104"/>
      <c r="N594" s="104" t="e">
        <f t="shared" si="398"/>
        <v>#DIV/0!</v>
      </c>
      <c r="O594" s="104" t="e">
        <f t="shared" si="398"/>
        <v>#DIV/0!</v>
      </c>
      <c r="P594" s="104" t="e">
        <f t="shared" si="398"/>
        <v>#DIV/0!</v>
      </c>
      <c r="Q594" s="104" t="e">
        <f t="shared" si="398"/>
        <v>#DIV/0!</v>
      </c>
      <c r="R594" s="104" t="e">
        <f t="shared" si="398"/>
        <v>#DIV/0!</v>
      </c>
      <c r="S594" s="104" t="e">
        <f t="shared" si="398"/>
        <v>#DIV/0!</v>
      </c>
      <c r="T594" s="104" t="e">
        <f t="shared" si="398"/>
        <v>#DIV/0!</v>
      </c>
      <c r="U594" s="104" t="e">
        <f t="shared" si="398"/>
        <v>#DIV/0!</v>
      </c>
      <c r="V594" s="104" t="e">
        <f t="shared" si="398"/>
        <v>#DIV/0!</v>
      </c>
      <c r="W594" s="104" t="e">
        <f t="shared" si="398"/>
        <v>#DIV/0!</v>
      </c>
      <c r="X594" s="104" t="e">
        <f t="shared" si="398"/>
        <v>#DIV/0!</v>
      </c>
      <c r="Y594" s="104" t="e">
        <f t="shared" si="398"/>
        <v>#DIV/0!</v>
      </c>
      <c r="Z594" s="104" t="e">
        <f t="shared" si="398"/>
        <v>#DIV/0!</v>
      </c>
      <c r="AA594" s="104" t="e">
        <f t="shared" si="398"/>
        <v>#DIV/0!</v>
      </c>
      <c r="AB594" s="104" t="e">
        <f t="shared" si="398"/>
        <v>#DIV/0!</v>
      </c>
      <c r="AC594" s="104" t="e">
        <f t="shared" si="398"/>
        <v>#DIV/0!</v>
      </c>
      <c r="AD594" s="104" t="e">
        <f t="shared" si="398"/>
        <v>#DIV/0!</v>
      </c>
      <c r="AE594" s="104" t="e">
        <f t="shared" si="398"/>
        <v>#DIV/0!</v>
      </c>
      <c r="AF594" s="104" t="e">
        <f t="shared" si="398"/>
        <v>#DIV/0!</v>
      </c>
    </row>
    <row r="595" spans="1:32" x14ac:dyDescent="0.25">
      <c r="B595" s="14" t="s">
        <v>671</v>
      </c>
      <c r="F595" s="46">
        <f t="shared" ref="F595:AF595" si="403">F593+F594</f>
        <v>28.338913433430797</v>
      </c>
      <c r="G595" s="46">
        <f t="shared" ref="G595:H595" si="404">G593+G594</f>
        <v>28.36954143903175</v>
      </c>
      <c r="H595" s="46">
        <f t="shared" si="404"/>
        <v>28.37357157405469</v>
      </c>
      <c r="I595" s="46">
        <f t="shared" ref="I595" si="405">I593+I594</f>
        <v>28.895754455477917</v>
      </c>
      <c r="J595" s="46">
        <f t="shared" ref="J595:K595" si="406">J593+J594</f>
        <v>67.489731167037732</v>
      </c>
      <c r="K595" s="46">
        <f t="shared" si="406"/>
        <v>5.3741615914510037</v>
      </c>
      <c r="L595" s="46">
        <f t="shared" ref="L595" si="407">L593+L594</f>
        <v>9.2250203146476828</v>
      </c>
      <c r="M595" s="46"/>
      <c r="N595" s="46" t="e">
        <f t="shared" si="403"/>
        <v>#DIV/0!</v>
      </c>
      <c r="O595" s="46" t="e">
        <f t="shared" si="403"/>
        <v>#DIV/0!</v>
      </c>
      <c r="P595" s="46" t="e">
        <f t="shared" si="403"/>
        <v>#DIV/0!</v>
      </c>
      <c r="Q595" s="46" t="e">
        <f t="shared" si="403"/>
        <v>#DIV/0!</v>
      </c>
      <c r="R595" s="46" t="e">
        <f t="shared" si="403"/>
        <v>#DIV/0!</v>
      </c>
      <c r="S595" s="46" t="e">
        <f t="shared" si="403"/>
        <v>#DIV/0!</v>
      </c>
      <c r="T595" s="46" t="e">
        <f t="shared" si="403"/>
        <v>#REF!</v>
      </c>
      <c r="U595" s="46" t="e">
        <f t="shared" si="403"/>
        <v>#REF!</v>
      </c>
      <c r="V595" s="46" t="e">
        <f t="shared" si="403"/>
        <v>#REF!</v>
      </c>
      <c r="W595" s="46" t="e">
        <f t="shared" si="403"/>
        <v>#REF!</v>
      </c>
      <c r="X595" s="46" t="e">
        <f t="shared" si="403"/>
        <v>#REF!</v>
      </c>
      <c r="Y595" s="46" t="e">
        <f t="shared" si="403"/>
        <v>#REF!</v>
      </c>
      <c r="Z595" s="46" t="e">
        <f t="shared" si="403"/>
        <v>#REF!</v>
      </c>
      <c r="AA595" s="46" t="e">
        <f t="shared" si="403"/>
        <v>#REF!</v>
      </c>
      <c r="AB595" s="46" t="e">
        <f t="shared" si="403"/>
        <v>#REF!</v>
      </c>
      <c r="AC595" s="46" t="e">
        <f t="shared" si="403"/>
        <v>#REF!</v>
      </c>
      <c r="AD595" s="46" t="e">
        <f t="shared" si="403"/>
        <v>#REF!</v>
      </c>
      <c r="AE595" s="46" t="e">
        <f t="shared" si="403"/>
        <v>#REF!</v>
      </c>
      <c r="AF595" s="46" t="e">
        <f t="shared" si="403"/>
        <v>#REF!</v>
      </c>
    </row>
    <row r="600" spans="1:32" x14ac:dyDescent="0.25">
      <c r="A600" s="26" t="s">
        <v>697</v>
      </c>
      <c r="C600" s="214">
        <f>C521</f>
        <v>4.9363206087046127E-2</v>
      </c>
      <c r="F600" s="68">
        <f>$C$521</f>
        <v>4.9363206087046127E-2</v>
      </c>
      <c r="G600" s="68">
        <f t="shared" ref="G600:S600" si="408">$C$521</f>
        <v>4.9363206087046127E-2</v>
      </c>
      <c r="H600" s="68">
        <f t="shared" si="408"/>
        <v>4.9363206087046127E-2</v>
      </c>
      <c r="I600" s="68">
        <f t="shared" si="408"/>
        <v>4.9363206087046127E-2</v>
      </c>
      <c r="J600" s="68">
        <f t="shared" si="408"/>
        <v>4.9363206087046127E-2</v>
      </c>
      <c r="K600" s="68">
        <f t="shared" si="408"/>
        <v>4.9363206087046127E-2</v>
      </c>
      <c r="L600" s="68">
        <f t="shared" si="408"/>
        <v>4.9363206087046127E-2</v>
      </c>
      <c r="M600" s="68"/>
      <c r="N600" s="68">
        <f t="shared" si="408"/>
        <v>4.9363206087046127E-2</v>
      </c>
      <c r="O600" s="68">
        <f t="shared" si="408"/>
        <v>4.9363206087046127E-2</v>
      </c>
      <c r="P600" s="68">
        <f t="shared" si="408"/>
        <v>4.9363206087046127E-2</v>
      </c>
      <c r="Q600" s="68">
        <f t="shared" si="408"/>
        <v>4.9363206087046127E-2</v>
      </c>
      <c r="R600" s="68">
        <f t="shared" si="408"/>
        <v>4.9363206087046127E-2</v>
      </c>
      <c r="S600" s="68">
        <f t="shared" si="408"/>
        <v>4.9363206087046127E-2</v>
      </c>
      <c r="T600" s="68">
        <v>0.2</v>
      </c>
      <c r="U600" s="68">
        <v>0.2</v>
      </c>
      <c r="V600" s="68">
        <v>0.08</v>
      </c>
      <c r="W600" s="68">
        <v>0.08</v>
      </c>
      <c r="X600" s="68">
        <v>0.2</v>
      </c>
      <c r="Y600" s="68">
        <v>0.08</v>
      </c>
      <c r="Z600" s="68">
        <v>0.08</v>
      </c>
      <c r="AA600" s="68">
        <v>0.08</v>
      </c>
      <c r="AB600" s="68">
        <v>0.08</v>
      </c>
      <c r="AC600" s="68">
        <v>0.08</v>
      </c>
      <c r="AD600" s="68">
        <v>0.08</v>
      </c>
      <c r="AE600" s="68">
        <v>0.08</v>
      </c>
      <c r="AF600" s="68">
        <v>0.08</v>
      </c>
    </row>
    <row r="601" spans="1:32" x14ac:dyDescent="0.25">
      <c r="A601" s="13"/>
    </row>
    <row r="602" spans="1:32" x14ac:dyDescent="0.25">
      <c r="A602" s="13" t="s">
        <v>761</v>
      </c>
    </row>
    <row r="603" spans="1:32" x14ac:dyDescent="0.25">
      <c r="A603" s="14" t="s">
        <v>998</v>
      </c>
      <c r="F603" s="201">
        <f t="shared" ref="F603:K603" si="409">F552</f>
        <v>2.0782943717427331E-2</v>
      </c>
      <c r="G603" s="201">
        <f t="shared" si="409"/>
        <v>0</v>
      </c>
      <c r="H603" s="201">
        <f t="shared" si="409"/>
        <v>2.0797430934153868E-2</v>
      </c>
      <c r="I603" s="201">
        <f t="shared" ref="I603" si="410">I552</f>
        <v>1.718688280376331E-2</v>
      </c>
      <c r="J603" s="48">
        <f t="shared" si="409"/>
        <v>3.0007412838917715</v>
      </c>
      <c r="K603" s="48">
        <f t="shared" si="409"/>
        <v>9.7205969921124957</v>
      </c>
      <c r="L603" s="48">
        <f t="shared" ref="L603" si="411">L552</f>
        <v>9.720596992112494</v>
      </c>
      <c r="M603" s="201"/>
      <c r="N603" s="201" t="e">
        <f t="shared" ref="N603:Q603" si="412">N552</f>
        <v>#DIV/0!</v>
      </c>
      <c r="O603" s="201" t="e">
        <f t="shared" si="412"/>
        <v>#DIV/0!</v>
      </c>
      <c r="P603" s="201" t="e">
        <f t="shared" si="412"/>
        <v>#DIV/0!</v>
      </c>
      <c r="Q603" s="201" t="e">
        <f t="shared" si="412"/>
        <v>#DIV/0!</v>
      </c>
      <c r="R603" s="48" t="e">
        <f>R552</f>
        <v>#DIV/0!</v>
      </c>
      <c r="S603" s="201" t="e">
        <f t="shared" ref="S603:AF603" si="413">S577</f>
        <v>#DIV/0!</v>
      </c>
      <c r="T603" s="201">
        <f t="shared" si="413"/>
        <v>0</v>
      </c>
      <c r="U603" s="201" t="e">
        <f t="shared" si="413"/>
        <v>#DIV/0!</v>
      </c>
      <c r="V603" s="201" t="e">
        <f t="shared" si="413"/>
        <v>#DIV/0!</v>
      </c>
      <c r="W603" s="201" t="e">
        <f t="shared" si="413"/>
        <v>#DIV/0!</v>
      </c>
      <c r="X603" s="201" t="e">
        <f t="shared" si="413"/>
        <v>#DIV/0!</v>
      </c>
      <c r="Y603" s="201" t="e">
        <f t="shared" si="413"/>
        <v>#DIV/0!</v>
      </c>
      <c r="Z603" s="201">
        <f t="shared" si="413"/>
        <v>0</v>
      </c>
      <c r="AA603" s="201">
        <f t="shared" si="413"/>
        <v>0</v>
      </c>
      <c r="AB603" s="201">
        <f t="shared" si="413"/>
        <v>0</v>
      </c>
      <c r="AC603" s="201">
        <f t="shared" si="413"/>
        <v>0</v>
      </c>
      <c r="AD603" s="201">
        <f t="shared" si="413"/>
        <v>0</v>
      </c>
      <c r="AE603" s="201">
        <f t="shared" si="413"/>
        <v>0</v>
      </c>
      <c r="AF603" s="201" t="e">
        <f t="shared" si="413"/>
        <v>#REF!</v>
      </c>
    </row>
    <row r="604" spans="1:32" x14ac:dyDescent="0.25">
      <c r="A604" s="14" t="s">
        <v>999</v>
      </c>
      <c r="D604" s="201"/>
      <c r="F604" s="201">
        <f>(F513*$C$521)/F$413</f>
        <v>0</v>
      </c>
      <c r="G604" s="201">
        <f>(G513*$C$521)/G$413</f>
        <v>0</v>
      </c>
      <c r="H604" s="201">
        <f>(H513*$C$521)/H$413</f>
        <v>0</v>
      </c>
      <c r="I604" s="201">
        <f>(I513*$C$521)/I$413</f>
        <v>0</v>
      </c>
      <c r="J604" s="48">
        <f>(J513*$C$521)/J$428</f>
        <v>0</v>
      </c>
      <c r="K604" s="48">
        <f>(K513*$C$521)/K$428</f>
        <v>0</v>
      </c>
      <c r="L604" s="48">
        <f>(L513*$C$521)/L$428</f>
        <v>0</v>
      </c>
      <c r="M604" s="201"/>
      <c r="N604" s="201" t="e">
        <f>(N513*$C$521)/N$413</f>
        <v>#DIV/0!</v>
      </c>
      <c r="O604" s="201" t="e">
        <f>(O513*$C$521)/O$413</f>
        <v>#DIV/0!</v>
      </c>
      <c r="P604" s="201" t="e">
        <f>(P513*$C$521)/P$413</f>
        <v>#DIV/0!</v>
      </c>
      <c r="Q604" s="201" t="e">
        <f>(Q513*$C$521)/Q$413</f>
        <v>#DIV/0!</v>
      </c>
      <c r="R604" s="48" t="e">
        <f>(R513*$C$521)/R$428</f>
        <v>#DIV/0!</v>
      </c>
      <c r="S604" s="201" t="e">
        <f t="shared" ref="S604:AF604" si="414">S578</f>
        <v>#DIV/0!</v>
      </c>
      <c r="T604" s="201" t="e">
        <f t="shared" si="414"/>
        <v>#DIV/0!</v>
      </c>
      <c r="U604" s="201" t="e">
        <f t="shared" si="414"/>
        <v>#DIV/0!</v>
      </c>
      <c r="V604" s="201" t="e">
        <f t="shared" si="414"/>
        <v>#DIV/0!</v>
      </c>
      <c r="W604" s="201" t="e">
        <f t="shared" si="414"/>
        <v>#DIV/0!</v>
      </c>
      <c r="X604" s="201" t="e">
        <f t="shared" si="414"/>
        <v>#DIV/0!</v>
      </c>
      <c r="Y604" s="201" t="e">
        <f t="shared" si="414"/>
        <v>#DIV/0!</v>
      </c>
      <c r="Z604" s="201" t="e">
        <f t="shared" si="414"/>
        <v>#DIV/0!</v>
      </c>
      <c r="AA604" s="201" t="e">
        <f t="shared" si="414"/>
        <v>#DIV/0!</v>
      </c>
      <c r="AB604" s="201" t="e">
        <f t="shared" si="414"/>
        <v>#DIV/0!</v>
      </c>
      <c r="AC604" s="201" t="e">
        <f t="shared" si="414"/>
        <v>#DIV/0!</v>
      </c>
      <c r="AD604" s="201" t="e">
        <f t="shared" si="414"/>
        <v>#DIV/0!</v>
      </c>
      <c r="AE604" s="201">
        <f t="shared" si="414"/>
        <v>0</v>
      </c>
      <c r="AF604" s="201" t="e">
        <f t="shared" si="414"/>
        <v>#REF!</v>
      </c>
    </row>
    <row r="605" spans="1:32" x14ac:dyDescent="0.25">
      <c r="A605" s="14" t="s">
        <v>895</v>
      </c>
      <c r="F605" s="201">
        <f t="shared" ref="F605:K605" si="415">F554</f>
        <v>5.1356532229446937E-2</v>
      </c>
      <c r="G605" s="201">
        <f t="shared" si="415"/>
        <v>7.9468271298892168E-2</v>
      </c>
      <c r="H605" s="201">
        <f t="shared" si="415"/>
        <v>4.8599952297296634E-2</v>
      </c>
      <c r="I605" s="201">
        <f t="shared" ref="I605" si="416">I554</f>
        <v>5.0839149590570683E-2</v>
      </c>
      <c r="J605" s="201">
        <f t="shared" si="415"/>
        <v>5.4739177126864109E-2</v>
      </c>
      <c r="K605" s="201">
        <f t="shared" si="415"/>
        <v>2.8731613930236096E-2</v>
      </c>
      <c r="L605" s="201">
        <f t="shared" ref="L605" si="417">L554</f>
        <v>2.9009024708767168E-2</v>
      </c>
      <c r="M605" s="201"/>
      <c r="N605" s="201" t="e">
        <f t="shared" ref="N605:Q605" si="418">N554</f>
        <v>#DIV/0!</v>
      </c>
      <c r="O605" s="201" t="e">
        <f t="shared" si="418"/>
        <v>#DIV/0!</v>
      </c>
      <c r="P605" s="201" t="e">
        <f t="shared" si="418"/>
        <v>#DIV/0!</v>
      </c>
      <c r="Q605" s="201" t="e">
        <f t="shared" si="418"/>
        <v>#DIV/0!</v>
      </c>
      <c r="R605" s="201" t="e">
        <f>R554</f>
        <v>#DIV/0!</v>
      </c>
      <c r="S605" s="201">
        <f>S585</f>
        <v>0</v>
      </c>
      <c r="T605" s="201" t="e">
        <f>#REF!</f>
        <v>#REF!</v>
      </c>
      <c r="U605" s="201" t="e">
        <f>#REF!</f>
        <v>#REF!</v>
      </c>
      <c r="V605" s="201" t="e">
        <f>#REF!</f>
        <v>#REF!</v>
      </c>
      <c r="W605" s="201" t="e">
        <f>#REF!</f>
        <v>#REF!</v>
      </c>
      <c r="X605" s="201" t="e">
        <f>#REF!</f>
        <v>#REF!</v>
      </c>
      <c r="Y605" s="201" t="e">
        <f>#REF!</f>
        <v>#REF!</v>
      </c>
      <c r="Z605" s="201" t="e">
        <f>#REF!</f>
        <v>#REF!</v>
      </c>
      <c r="AA605" s="201" t="e">
        <f>#REF!</f>
        <v>#REF!</v>
      </c>
      <c r="AB605" s="201" t="e">
        <f>#REF!</f>
        <v>#REF!</v>
      </c>
      <c r="AC605" s="201" t="e">
        <f>#REF!</f>
        <v>#REF!</v>
      </c>
      <c r="AD605" s="201" t="e">
        <f>#REF!</f>
        <v>#REF!</v>
      </c>
      <c r="AE605" s="201" t="e">
        <f>#REF!</f>
        <v>#REF!</v>
      </c>
      <c r="AF605" s="201" t="e">
        <f>#REF!</f>
        <v>#REF!</v>
      </c>
    </row>
    <row r="606" spans="1:32" x14ac:dyDescent="0.25">
      <c r="A606" s="14" t="s">
        <v>896</v>
      </c>
      <c r="D606" s="201"/>
      <c r="F606" s="201">
        <f t="shared" ref="F606:R606" si="419">(F514*$C$521)/F$413</f>
        <v>0</v>
      </c>
      <c r="G606" s="201">
        <f t="shared" ref="G606:H606" si="420">(G514*$C$521)/G$413</f>
        <v>0</v>
      </c>
      <c r="H606" s="201">
        <f t="shared" si="420"/>
        <v>0</v>
      </c>
      <c r="I606" s="201">
        <f t="shared" ref="I606" si="421">(I514*$C$521)/I$413</f>
        <v>0</v>
      </c>
      <c r="J606" s="201">
        <f t="shared" ref="J606:K606" si="422">(J514*$C$521)/J$413</f>
        <v>0</v>
      </c>
      <c r="K606" s="201">
        <f t="shared" si="422"/>
        <v>0</v>
      </c>
      <c r="L606" s="201">
        <f t="shared" ref="L606" si="423">(L514*$C$521)/L$413</f>
        <v>0</v>
      </c>
      <c r="M606" s="201"/>
      <c r="N606" s="201" t="e">
        <f t="shared" si="419"/>
        <v>#DIV/0!</v>
      </c>
      <c r="O606" s="201" t="e">
        <f t="shared" si="419"/>
        <v>#DIV/0!</v>
      </c>
      <c r="P606" s="201" t="e">
        <f t="shared" si="419"/>
        <v>#DIV/0!</v>
      </c>
      <c r="Q606" s="201" t="e">
        <f t="shared" si="419"/>
        <v>#DIV/0!</v>
      </c>
      <c r="R606" s="201" t="e">
        <f t="shared" si="419"/>
        <v>#DIV/0!</v>
      </c>
      <c r="S606" s="201"/>
      <c r="T606" s="201"/>
      <c r="U606" s="201"/>
      <c r="V606" s="201"/>
      <c r="W606" s="201"/>
      <c r="X606" s="201"/>
      <c r="Y606" s="201"/>
      <c r="Z606" s="201"/>
      <c r="AA606" s="201"/>
      <c r="AB606" s="201"/>
      <c r="AC606" s="201"/>
      <c r="AD606" s="201"/>
      <c r="AE606" s="201"/>
      <c r="AF606" s="201"/>
    </row>
    <row r="607" spans="1:32" x14ac:dyDescent="0.25">
      <c r="E607" s="201"/>
      <c r="F607" s="201"/>
      <c r="G607" s="201"/>
      <c r="H607" s="201"/>
      <c r="I607" s="201"/>
      <c r="J607" s="201"/>
      <c r="K607" s="201"/>
      <c r="L607" s="201"/>
      <c r="M607" s="201"/>
      <c r="N607" s="201"/>
      <c r="O607" s="201"/>
      <c r="P607" s="201"/>
      <c r="Q607" s="201"/>
      <c r="R607" s="201"/>
      <c r="S607" s="201"/>
      <c r="T607" s="201"/>
      <c r="U607" s="201"/>
      <c r="V607" s="201"/>
      <c r="W607" s="201"/>
      <c r="X607" s="201"/>
      <c r="Y607" s="201"/>
      <c r="Z607" s="201"/>
      <c r="AA607" s="201"/>
      <c r="AB607" s="201"/>
      <c r="AC607" s="201"/>
      <c r="AD607" s="201"/>
      <c r="AE607" s="201"/>
      <c r="AF607" s="201"/>
    </row>
    <row r="608" spans="1:32" x14ac:dyDescent="0.25">
      <c r="A608" s="13" t="s">
        <v>889</v>
      </c>
      <c r="F608" s="201"/>
      <c r="G608" s="201"/>
      <c r="H608" s="201"/>
      <c r="I608" s="201"/>
      <c r="J608" s="201"/>
      <c r="K608" s="201"/>
      <c r="L608" s="201"/>
      <c r="M608" s="201"/>
      <c r="N608" s="201"/>
      <c r="O608" s="201"/>
      <c r="P608" s="201"/>
      <c r="Q608" s="201"/>
      <c r="R608" s="201"/>
      <c r="S608" s="201"/>
      <c r="T608" s="201"/>
      <c r="U608" s="201"/>
      <c r="V608" s="201"/>
      <c r="W608" s="201"/>
      <c r="X608" s="201"/>
      <c r="Y608" s="201"/>
      <c r="Z608" s="201"/>
      <c r="AA608" s="201"/>
      <c r="AB608" s="201"/>
      <c r="AC608" s="201"/>
      <c r="AD608" s="201"/>
      <c r="AE608" s="201"/>
      <c r="AF608" s="201"/>
    </row>
    <row r="609" spans="1:37" x14ac:dyDescent="0.25">
      <c r="A609" s="14" t="s">
        <v>1000</v>
      </c>
      <c r="F609" s="201">
        <f t="shared" ref="F609:K609" si="424">F558</f>
        <v>0</v>
      </c>
      <c r="G609" s="201">
        <f t="shared" si="424"/>
        <v>0</v>
      </c>
      <c r="H609" s="201">
        <f t="shared" si="424"/>
        <v>0</v>
      </c>
      <c r="I609" s="201">
        <f t="shared" ref="I609" si="425">I558</f>
        <v>0</v>
      </c>
      <c r="J609" s="48">
        <f t="shared" si="424"/>
        <v>0</v>
      </c>
      <c r="K609" s="48">
        <f t="shared" si="424"/>
        <v>0</v>
      </c>
      <c r="L609" s="48">
        <f t="shared" ref="L609" si="426">L558</f>
        <v>0</v>
      </c>
      <c r="M609" s="201"/>
      <c r="N609" s="201" t="e">
        <f t="shared" ref="N609:Q609" si="427">N558</f>
        <v>#DIV/0!</v>
      </c>
      <c r="O609" s="201" t="e">
        <f t="shared" si="427"/>
        <v>#DIV/0!</v>
      </c>
      <c r="P609" s="201" t="e">
        <f t="shared" si="427"/>
        <v>#DIV/0!</v>
      </c>
      <c r="Q609" s="201" t="e">
        <f t="shared" si="427"/>
        <v>#DIV/0!</v>
      </c>
      <c r="R609" s="48" t="e">
        <f>R558</f>
        <v>#DIV/0!</v>
      </c>
      <c r="S609" s="201"/>
      <c r="T609" s="201"/>
      <c r="U609" s="201"/>
      <c r="V609" s="201"/>
      <c r="W609" s="201"/>
      <c r="X609" s="201"/>
      <c r="Y609" s="201"/>
      <c r="Z609" s="201"/>
      <c r="AA609" s="201"/>
      <c r="AB609" s="201"/>
      <c r="AC609" s="201"/>
      <c r="AD609" s="201"/>
      <c r="AE609" s="201"/>
      <c r="AF609" s="201"/>
    </row>
    <row r="610" spans="1:37" s="75" customFormat="1" ht="15" x14ac:dyDescent="0.4">
      <c r="A610" s="75" t="s">
        <v>1001</v>
      </c>
      <c r="D610" s="201"/>
      <c r="F610" s="213">
        <f>(F515*$C$521)/F$413</f>
        <v>0</v>
      </c>
      <c r="G610" s="213">
        <f>(G515*$C$521)/G$413</f>
        <v>0</v>
      </c>
      <c r="H610" s="213">
        <f>(H515*$C$521)/H$413</f>
        <v>0</v>
      </c>
      <c r="I610" s="213">
        <f>(I515*$C$521)/I$413</f>
        <v>0</v>
      </c>
      <c r="J610" s="104">
        <f>(J515*$C$521)/J$428</f>
        <v>0</v>
      </c>
      <c r="K610" s="104">
        <f>(K515*$C$521)/K$428</f>
        <v>0</v>
      </c>
      <c r="L610" s="104">
        <f>(L515*$C$521)/L$428</f>
        <v>0</v>
      </c>
      <c r="M610" s="213"/>
      <c r="N610" s="213" t="e">
        <f>(N515*$C$521)/N$413</f>
        <v>#DIV/0!</v>
      </c>
      <c r="O610" s="213" t="e">
        <f>(O515*$C$521)/O$413</f>
        <v>#DIV/0!</v>
      </c>
      <c r="P610" s="213" t="e">
        <f>(P515*$C$521)/P$413</f>
        <v>#DIV/0!</v>
      </c>
      <c r="Q610" s="213" t="e">
        <f>(Q515*$C$521)/Q$413</f>
        <v>#DIV/0!</v>
      </c>
      <c r="R610" s="104" t="e">
        <f>(R515*$C$521)/R$428</f>
        <v>#DIV/0!</v>
      </c>
      <c r="AK610" s="78"/>
    </row>
    <row r="611" spans="1:37" x14ac:dyDescent="0.25">
      <c r="B611" s="14" t="s">
        <v>1002</v>
      </c>
      <c r="F611" s="201">
        <f>F609+F610</f>
        <v>0</v>
      </c>
      <c r="G611" s="201">
        <f>G609+G610</f>
        <v>0</v>
      </c>
      <c r="H611" s="201">
        <f>H609+H610</f>
        <v>0</v>
      </c>
      <c r="I611" s="201">
        <f>I609+I610</f>
        <v>0</v>
      </c>
      <c r="J611" s="48">
        <f t="shared" ref="J611:K611" si="428">J609+J610</f>
        <v>0</v>
      </c>
      <c r="K611" s="48">
        <f t="shared" si="428"/>
        <v>0</v>
      </c>
      <c r="L611" s="48">
        <f t="shared" ref="L611" si="429">L609+L610</f>
        <v>0</v>
      </c>
      <c r="M611" s="201"/>
      <c r="N611" s="201" t="e">
        <f t="shared" ref="N611:R611" si="430">N609+N610</f>
        <v>#DIV/0!</v>
      </c>
      <c r="O611" s="201" t="e">
        <f t="shared" si="430"/>
        <v>#DIV/0!</v>
      </c>
      <c r="P611" s="201" t="e">
        <f t="shared" si="430"/>
        <v>#DIV/0!</v>
      </c>
      <c r="Q611" s="201" t="e">
        <f t="shared" si="430"/>
        <v>#DIV/0!</v>
      </c>
      <c r="R611" s="48" t="e">
        <f t="shared" si="430"/>
        <v>#DIV/0!</v>
      </c>
    </row>
    <row r="612" spans="1:37" x14ac:dyDescent="0.25">
      <c r="F612" s="201"/>
      <c r="G612" s="201"/>
      <c r="H612" s="201"/>
      <c r="I612" s="201"/>
      <c r="J612" s="216"/>
      <c r="K612" s="216"/>
      <c r="L612" s="216"/>
      <c r="M612" s="201"/>
      <c r="N612" s="201"/>
      <c r="O612" s="201"/>
      <c r="P612" s="201"/>
      <c r="Q612" s="201"/>
      <c r="R612" s="201"/>
    </row>
    <row r="613" spans="1:37" x14ac:dyDescent="0.25">
      <c r="A613" s="13" t="s">
        <v>667</v>
      </c>
      <c r="P613" s="48"/>
    </row>
    <row r="614" spans="1:37" x14ac:dyDescent="0.25">
      <c r="A614" s="14" t="s">
        <v>1003</v>
      </c>
      <c r="F614" s="201">
        <f>F563</f>
        <v>2.2407570142065073E-2</v>
      </c>
      <c r="G614" s="201">
        <f>G563</f>
        <v>2.2412679083693859E-2</v>
      </c>
      <c r="H614" s="201">
        <f>H563</f>
        <v>1.1488395019563271E-2</v>
      </c>
      <c r="I614" s="201">
        <f>I563</f>
        <v>9.4119193772291103E-3</v>
      </c>
      <c r="J614" s="48">
        <f t="shared" ref="J614:K614" si="431">J588</f>
        <v>2.9403519085739198</v>
      </c>
      <c r="K614" s="48">
        <f t="shared" si="431"/>
        <v>2.9434408369352258</v>
      </c>
      <c r="L614" s="48">
        <f t="shared" ref="L614" si="432">L588</f>
        <v>2.9434412286463525</v>
      </c>
      <c r="M614" s="201"/>
      <c r="N614" s="201" t="e">
        <f t="shared" ref="N614:AE614" si="433">N588</f>
        <v>#DIV/0!</v>
      </c>
      <c r="O614" s="201" t="e">
        <f t="shared" si="433"/>
        <v>#DIV/0!</v>
      </c>
      <c r="P614" s="201" t="e">
        <f t="shared" si="433"/>
        <v>#DIV/0!</v>
      </c>
      <c r="Q614" s="201" t="e">
        <f t="shared" si="433"/>
        <v>#DIV/0!</v>
      </c>
      <c r="R614" s="48" t="e">
        <f t="shared" si="433"/>
        <v>#DIV/0!</v>
      </c>
      <c r="S614" s="201" t="e">
        <f t="shared" si="433"/>
        <v>#DIV/0!</v>
      </c>
      <c r="T614" s="201" t="e">
        <f t="shared" si="433"/>
        <v>#REF!</v>
      </c>
      <c r="U614" s="201" t="e">
        <f t="shared" si="433"/>
        <v>#REF!</v>
      </c>
      <c r="V614" s="201" t="e">
        <f t="shared" si="433"/>
        <v>#REF!</v>
      </c>
      <c r="W614" s="201" t="e">
        <f t="shared" si="433"/>
        <v>#REF!</v>
      </c>
      <c r="X614" s="201" t="e">
        <f t="shared" si="433"/>
        <v>#REF!</v>
      </c>
      <c r="Y614" s="201" t="e">
        <f t="shared" si="433"/>
        <v>#REF!</v>
      </c>
      <c r="Z614" s="201" t="e">
        <f t="shared" si="433"/>
        <v>#REF!</v>
      </c>
      <c r="AA614" s="201" t="e">
        <f t="shared" si="433"/>
        <v>#REF!</v>
      </c>
      <c r="AB614" s="201" t="e">
        <f t="shared" si="433"/>
        <v>#REF!</v>
      </c>
      <c r="AC614" s="201" t="e">
        <f t="shared" si="433"/>
        <v>#REF!</v>
      </c>
      <c r="AD614" s="201" t="e">
        <f t="shared" si="433"/>
        <v>#REF!</v>
      </c>
      <c r="AE614" s="201" t="e">
        <f t="shared" si="433"/>
        <v>#REF!</v>
      </c>
      <c r="AF614" s="201">
        <f>AF536</f>
        <v>0</v>
      </c>
    </row>
    <row r="615" spans="1:37" ht="15" x14ac:dyDescent="0.4">
      <c r="A615" s="75" t="s">
        <v>1004</v>
      </c>
      <c r="D615" s="201"/>
      <c r="F615" s="213">
        <f>(F516*F600)/F413</f>
        <v>8.6082202566717947E-3</v>
      </c>
      <c r="G615" s="213">
        <f>(G516*G600)/G413</f>
        <v>8.5519088488215239E-3</v>
      </c>
      <c r="H615" s="213">
        <f>(H516*H600)/H413</f>
        <v>4.4476945485933906E-3</v>
      </c>
      <c r="I615" s="213">
        <f>(I516*I600)/I413</f>
        <v>3.6543393088714041E-3</v>
      </c>
      <c r="J615" s="104">
        <f>(J516*J600)/J428</f>
        <v>1.1296117940794643</v>
      </c>
      <c r="K615" s="104">
        <f>(K516*K600)/K428</f>
        <v>1.1314031210117594</v>
      </c>
      <c r="L615" s="104">
        <f>(L516*L600)/L428</f>
        <v>1.1314031210117597</v>
      </c>
      <c r="M615" s="213"/>
      <c r="N615" s="213" t="e">
        <f>(N516*N600)/N413</f>
        <v>#DIV/0!</v>
      </c>
      <c r="O615" s="213" t="e">
        <f>(O516*O600)/O413</f>
        <v>#DIV/0!</v>
      </c>
      <c r="P615" s="213" t="e">
        <f>(P516*P600)/P413</f>
        <v>#DIV/0!</v>
      </c>
      <c r="Q615" s="213" t="e">
        <f>(Q516*Q600)/Q413</f>
        <v>#DIV/0!</v>
      </c>
      <c r="R615" s="104" t="e">
        <f>(R516*R600)/R428</f>
        <v>#DIV/0!</v>
      </c>
      <c r="S615" s="213" t="e">
        <f t="shared" ref="S615:AF615" si="434">(S516*S600)/S413</f>
        <v>#DIV/0!</v>
      </c>
      <c r="T615" s="213" t="e">
        <f t="shared" si="434"/>
        <v>#DIV/0!</v>
      </c>
      <c r="U615" s="213" t="e">
        <f t="shared" si="434"/>
        <v>#DIV/0!</v>
      </c>
      <c r="V615" s="213" t="e">
        <f t="shared" si="434"/>
        <v>#DIV/0!</v>
      </c>
      <c r="W615" s="213" t="e">
        <f t="shared" si="434"/>
        <v>#DIV/0!</v>
      </c>
      <c r="X615" s="213" t="e">
        <f t="shared" si="434"/>
        <v>#DIV/0!</v>
      </c>
      <c r="Y615" s="213" t="e">
        <f t="shared" si="434"/>
        <v>#DIV/0!</v>
      </c>
      <c r="Z615" s="213" t="e">
        <f t="shared" si="434"/>
        <v>#DIV/0!</v>
      </c>
      <c r="AA615" s="213" t="e">
        <f t="shared" si="434"/>
        <v>#DIV/0!</v>
      </c>
      <c r="AB615" s="213" t="e">
        <f t="shared" si="434"/>
        <v>#DIV/0!</v>
      </c>
      <c r="AC615" s="213" t="e">
        <f t="shared" si="434"/>
        <v>#DIV/0!</v>
      </c>
      <c r="AD615" s="213" t="e">
        <f t="shared" si="434"/>
        <v>#DIV/0!</v>
      </c>
      <c r="AE615" s="213" t="e">
        <f t="shared" si="434"/>
        <v>#DIV/0!</v>
      </c>
      <c r="AF615" s="213" t="e">
        <f t="shared" si="434"/>
        <v>#DIV/0!</v>
      </c>
    </row>
    <row r="616" spans="1:37" x14ac:dyDescent="0.25">
      <c r="B616" s="14" t="s">
        <v>1005</v>
      </c>
      <c r="F616" s="201">
        <f t="shared" ref="F616:AF616" si="435">F614+F615</f>
        <v>3.1015790398736868E-2</v>
      </c>
      <c r="G616" s="201">
        <f t="shared" ref="G616" si="436">G614+G615</f>
        <v>3.0964587932515383E-2</v>
      </c>
      <c r="H616" s="201">
        <f t="shared" ref="H616" si="437">H614+H615</f>
        <v>1.5936089568156661E-2</v>
      </c>
      <c r="I616" s="201">
        <f t="shared" ref="I616" si="438">I614+I615</f>
        <v>1.3066258686100514E-2</v>
      </c>
      <c r="J616" s="48">
        <f>J614+J615</f>
        <v>4.0699637026533839</v>
      </c>
      <c r="K616" s="48">
        <f>K614+K615</f>
        <v>4.0748439579469853</v>
      </c>
      <c r="L616" s="48">
        <f>L614+L615</f>
        <v>4.0748443496581119</v>
      </c>
      <c r="M616" s="201"/>
      <c r="N616" s="201" t="e">
        <f t="shared" si="435"/>
        <v>#DIV/0!</v>
      </c>
      <c r="O616" s="201" t="e">
        <f>O614+O615</f>
        <v>#DIV/0!</v>
      </c>
      <c r="P616" s="48" t="e">
        <f t="shared" si="435"/>
        <v>#DIV/0!</v>
      </c>
      <c r="Q616" s="201" t="e">
        <f t="shared" si="435"/>
        <v>#DIV/0!</v>
      </c>
      <c r="R616" s="48" t="e">
        <f>R614+R615</f>
        <v>#DIV/0!</v>
      </c>
      <c r="S616" s="201" t="e">
        <f t="shared" si="435"/>
        <v>#DIV/0!</v>
      </c>
      <c r="T616" s="201" t="e">
        <f t="shared" si="435"/>
        <v>#REF!</v>
      </c>
      <c r="U616" s="201" t="e">
        <f t="shared" si="435"/>
        <v>#REF!</v>
      </c>
      <c r="V616" s="201" t="e">
        <f t="shared" si="435"/>
        <v>#REF!</v>
      </c>
      <c r="W616" s="201" t="e">
        <f t="shared" si="435"/>
        <v>#REF!</v>
      </c>
      <c r="X616" s="201" t="e">
        <f t="shared" si="435"/>
        <v>#REF!</v>
      </c>
      <c r="Y616" s="201" t="e">
        <f t="shared" si="435"/>
        <v>#REF!</v>
      </c>
      <c r="Z616" s="201" t="e">
        <f t="shared" si="435"/>
        <v>#REF!</v>
      </c>
      <c r="AA616" s="201" t="e">
        <f t="shared" si="435"/>
        <v>#REF!</v>
      </c>
      <c r="AB616" s="201" t="e">
        <f t="shared" si="435"/>
        <v>#REF!</v>
      </c>
      <c r="AC616" s="201" t="e">
        <f t="shared" si="435"/>
        <v>#REF!</v>
      </c>
      <c r="AD616" s="201" t="e">
        <f t="shared" si="435"/>
        <v>#REF!</v>
      </c>
      <c r="AE616" s="201" t="e">
        <f t="shared" si="435"/>
        <v>#REF!</v>
      </c>
      <c r="AF616" s="201" t="e">
        <f t="shared" si="435"/>
        <v>#DIV/0!</v>
      </c>
    </row>
    <row r="618" spans="1:37" x14ac:dyDescent="0.25">
      <c r="A618" s="13" t="s">
        <v>668</v>
      </c>
    </row>
    <row r="619" spans="1:37" x14ac:dyDescent="0.25">
      <c r="A619" s="14" t="s">
        <v>669</v>
      </c>
      <c r="F619" s="46">
        <f t="shared" ref="F619:AE619" si="439">F593</f>
        <v>20.330507181786839</v>
      </c>
      <c r="G619" s="46">
        <f t="shared" ref="G619:H619" si="440">G593</f>
        <v>20.361135187387791</v>
      </c>
      <c r="H619" s="46">
        <f t="shared" si="440"/>
        <v>20.365165322410732</v>
      </c>
      <c r="I619" s="46">
        <f t="shared" ref="I619" si="441">I593</f>
        <v>20.701504961003995</v>
      </c>
      <c r="J619" s="46">
        <f t="shared" ref="J619:K619" si="442">J593</f>
        <v>44.768827277768871</v>
      </c>
      <c r="K619" s="46">
        <f t="shared" si="442"/>
        <v>0.30542219500523787</v>
      </c>
      <c r="L619" s="46">
        <f t="shared" ref="L619" si="443">L593</f>
        <v>4.1562809182019196</v>
      </c>
      <c r="M619" s="46"/>
      <c r="N619" s="46" t="e">
        <f t="shared" si="439"/>
        <v>#DIV/0!</v>
      </c>
      <c r="O619" s="46" t="e">
        <f t="shared" si="439"/>
        <v>#DIV/0!</v>
      </c>
      <c r="P619" s="46" t="e">
        <f t="shared" si="439"/>
        <v>#DIV/0!</v>
      </c>
      <c r="Q619" s="46" t="e">
        <f t="shared" si="439"/>
        <v>#DIV/0!</v>
      </c>
      <c r="R619" s="46" t="e">
        <f t="shared" si="439"/>
        <v>#DIV/0!</v>
      </c>
      <c r="S619" s="46" t="e">
        <f t="shared" si="439"/>
        <v>#DIV/0!</v>
      </c>
      <c r="T619" s="46" t="e">
        <f t="shared" si="439"/>
        <v>#REF!</v>
      </c>
      <c r="U619" s="46" t="e">
        <f t="shared" si="439"/>
        <v>#REF!</v>
      </c>
      <c r="V619" s="46" t="e">
        <f t="shared" si="439"/>
        <v>#REF!</v>
      </c>
      <c r="W619" s="46" t="e">
        <f t="shared" si="439"/>
        <v>#REF!</v>
      </c>
      <c r="X619" s="46" t="e">
        <f t="shared" si="439"/>
        <v>#REF!</v>
      </c>
      <c r="Y619" s="46" t="e">
        <f t="shared" si="439"/>
        <v>#REF!</v>
      </c>
      <c r="Z619" s="46" t="e">
        <f t="shared" si="439"/>
        <v>#REF!</v>
      </c>
      <c r="AA619" s="46" t="e">
        <f t="shared" si="439"/>
        <v>#REF!</v>
      </c>
      <c r="AB619" s="46" t="e">
        <f t="shared" si="439"/>
        <v>#REF!</v>
      </c>
      <c r="AC619" s="46" t="e">
        <f t="shared" si="439"/>
        <v>#REF!</v>
      </c>
      <c r="AD619" s="46" t="e">
        <f t="shared" si="439"/>
        <v>#REF!</v>
      </c>
      <c r="AE619" s="46" t="e">
        <f t="shared" si="439"/>
        <v>#REF!</v>
      </c>
      <c r="AF619" s="46">
        <f>AF537</f>
        <v>0</v>
      </c>
    </row>
    <row r="620" spans="1:37" ht="15" x14ac:dyDescent="0.4">
      <c r="A620" s="14" t="s">
        <v>670</v>
      </c>
      <c r="D620" s="48"/>
      <c r="F620" s="104">
        <f t="shared" ref="F620:AF620" si="444">(F517*F$600)/F416</f>
        <v>8.0120674298010695</v>
      </c>
      <c r="G620" s="104">
        <f t="shared" ref="G620:H620" si="445">(G517*G$600)/G416</f>
        <v>8.0120674298010695</v>
      </c>
      <c r="H620" s="104">
        <f t="shared" si="445"/>
        <v>8.0120674298010677</v>
      </c>
      <c r="I620" s="104">
        <f t="shared" ref="I620" si="446">(I517*I$600)/I416</f>
        <v>8.1979956340078566</v>
      </c>
      <c r="J620" s="104">
        <f t="shared" ref="J620:K620" si="447">(J517*J$600)/J416</f>
        <v>22.731291134173187</v>
      </c>
      <c r="K620" s="104">
        <f t="shared" si="447"/>
        <v>5.0710566562574213</v>
      </c>
      <c r="L620" s="104">
        <f t="shared" ref="L620" si="448">(L517*L$600)/L416</f>
        <v>5.0710566562574204</v>
      </c>
      <c r="M620" s="104"/>
      <c r="N620" s="104" t="e">
        <f t="shared" si="444"/>
        <v>#DIV/0!</v>
      </c>
      <c r="O620" s="104" t="e">
        <f t="shared" si="444"/>
        <v>#DIV/0!</v>
      </c>
      <c r="P620" s="104" t="e">
        <f t="shared" si="444"/>
        <v>#DIV/0!</v>
      </c>
      <c r="Q620" s="104" t="e">
        <f t="shared" si="444"/>
        <v>#DIV/0!</v>
      </c>
      <c r="R620" s="104" t="e">
        <f t="shared" si="444"/>
        <v>#DIV/0!</v>
      </c>
      <c r="S620" s="104" t="e">
        <f t="shared" si="444"/>
        <v>#DIV/0!</v>
      </c>
      <c r="T620" s="104" t="e">
        <f t="shared" si="444"/>
        <v>#DIV/0!</v>
      </c>
      <c r="U620" s="104" t="e">
        <f t="shared" si="444"/>
        <v>#DIV/0!</v>
      </c>
      <c r="V620" s="104" t="e">
        <f t="shared" si="444"/>
        <v>#DIV/0!</v>
      </c>
      <c r="W620" s="104" t="e">
        <f t="shared" si="444"/>
        <v>#DIV/0!</v>
      </c>
      <c r="X620" s="104" t="e">
        <f t="shared" si="444"/>
        <v>#DIV/0!</v>
      </c>
      <c r="Y620" s="104" t="e">
        <f t="shared" si="444"/>
        <v>#DIV/0!</v>
      </c>
      <c r="Z620" s="104" t="e">
        <f t="shared" si="444"/>
        <v>#DIV/0!</v>
      </c>
      <c r="AA620" s="104" t="e">
        <f t="shared" si="444"/>
        <v>#DIV/0!</v>
      </c>
      <c r="AB620" s="104" t="e">
        <f t="shared" si="444"/>
        <v>#DIV/0!</v>
      </c>
      <c r="AC620" s="104" t="e">
        <f t="shared" si="444"/>
        <v>#DIV/0!</v>
      </c>
      <c r="AD620" s="104" t="e">
        <f t="shared" si="444"/>
        <v>#DIV/0!</v>
      </c>
      <c r="AE620" s="104" t="e">
        <f t="shared" si="444"/>
        <v>#DIV/0!</v>
      </c>
      <c r="AF620" s="104" t="e">
        <f t="shared" si="444"/>
        <v>#DIV/0!</v>
      </c>
    </row>
    <row r="621" spans="1:37" x14ac:dyDescent="0.25">
      <c r="B621" s="14" t="s">
        <v>671</v>
      </c>
      <c r="F621" s="46">
        <f t="shared" ref="F621:AF621" si="449">F619+F620</f>
        <v>28.342574611587906</v>
      </c>
      <c r="G621" s="46">
        <f t="shared" ref="G621:H621" si="450">G619+G620</f>
        <v>28.373202617188859</v>
      </c>
      <c r="H621" s="46">
        <f t="shared" si="450"/>
        <v>28.3772327522118</v>
      </c>
      <c r="I621" s="46">
        <f t="shared" ref="I621" si="451">I619+I620</f>
        <v>28.899500595011851</v>
      </c>
      <c r="J621" s="46">
        <f t="shared" ref="J621:K621" si="452">J619+J620</f>
        <v>67.500118411942054</v>
      </c>
      <c r="K621" s="46">
        <f t="shared" si="452"/>
        <v>5.3764788512626591</v>
      </c>
      <c r="L621" s="46">
        <f t="shared" ref="L621" si="453">L619+L620</f>
        <v>9.2273375744593409</v>
      </c>
      <c r="M621" s="46"/>
      <c r="N621" s="46" t="e">
        <f t="shared" si="449"/>
        <v>#DIV/0!</v>
      </c>
      <c r="O621" s="46" t="e">
        <f>O619+O620</f>
        <v>#DIV/0!</v>
      </c>
      <c r="P621" s="46" t="e">
        <f t="shared" si="449"/>
        <v>#DIV/0!</v>
      </c>
      <c r="Q621" s="46" t="e">
        <f t="shared" si="449"/>
        <v>#DIV/0!</v>
      </c>
      <c r="R621" s="46" t="e">
        <f t="shared" si="449"/>
        <v>#DIV/0!</v>
      </c>
      <c r="S621" s="46" t="e">
        <f t="shared" si="449"/>
        <v>#DIV/0!</v>
      </c>
      <c r="T621" s="46" t="e">
        <f t="shared" si="449"/>
        <v>#REF!</v>
      </c>
      <c r="U621" s="46" t="e">
        <f t="shared" si="449"/>
        <v>#REF!</v>
      </c>
      <c r="V621" s="46" t="e">
        <f t="shared" si="449"/>
        <v>#REF!</v>
      </c>
      <c r="W621" s="46" t="e">
        <f t="shared" si="449"/>
        <v>#REF!</v>
      </c>
      <c r="X621" s="46" t="e">
        <f t="shared" si="449"/>
        <v>#REF!</v>
      </c>
      <c r="Y621" s="46" t="e">
        <f t="shared" si="449"/>
        <v>#REF!</v>
      </c>
      <c r="Z621" s="46" t="e">
        <f t="shared" si="449"/>
        <v>#REF!</v>
      </c>
      <c r="AA621" s="46" t="e">
        <f t="shared" si="449"/>
        <v>#REF!</v>
      </c>
      <c r="AB621" s="46" t="e">
        <f t="shared" si="449"/>
        <v>#REF!</v>
      </c>
      <c r="AC621" s="46" t="e">
        <f t="shared" si="449"/>
        <v>#REF!</v>
      </c>
      <c r="AD621" s="46" t="e">
        <f t="shared" si="449"/>
        <v>#REF!</v>
      </c>
      <c r="AE621" s="46" t="e">
        <f t="shared" si="449"/>
        <v>#REF!</v>
      </c>
      <c r="AF621" s="46" t="e">
        <f t="shared" si="449"/>
        <v>#DIV/0!</v>
      </c>
    </row>
    <row r="622" spans="1:37" x14ac:dyDescent="0.25"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  <c r="AC622" s="46"/>
      <c r="AD622" s="46"/>
      <c r="AE622" s="46"/>
      <c r="AF622" s="46"/>
    </row>
    <row r="625" spans="1:32" x14ac:dyDescent="0.25">
      <c r="A625" s="26" t="s">
        <v>873</v>
      </c>
      <c r="F625" s="216"/>
      <c r="K625" s="216"/>
      <c r="L625" s="216"/>
      <c r="Q625" s="46"/>
      <c r="R625" s="46"/>
      <c r="S625" s="90"/>
    </row>
    <row r="627" spans="1:32" x14ac:dyDescent="0.25">
      <c r="A627" s="13" t="s">
        <v>874</v>
      </c>
      <c r="E627" s="47">
        <f>E330</f>
        <v>2.8489528043566085E-2</v>
      </c>
      <c r="F627" s="217">
        <f t="shared" ref="F627:K627" si="454">F387</f>
        <v>1.7105978686236527E-2</v>
      </c>
      <c r="G627" s="217">
        <f t="shared" si="454"/>
        <v>-0.10990826370335359</v>
      </c>
      <c r="H627" s="217">
        <f t="shared" si="454"/>
        <v>7.3189433878902602E-2</v>
      </c>
      <c r="I627" s="217">
        <f t="shared" ref="I627" si="455">I387</f>
        <v>9.5978108885601668E-2</v>
      </c>
      <c r="J627" s="217">
        <f t="shared" si="454"/>
        <v>0.11726104822314903</v>
      </c>
      <c r="K627" s="217">
        <f t="shared" si="454"/>
        <v>0.21307592529338926</v>
      </c>
      <c r="L627" s="217">
        <f t="shared" ref="L627" si="456">L387</f>
        <v>0.10478044809074707</v>
      </c>
      <c r="M627" s="217"/>
      <c r="N627" s="217" t="e">
        <f t="shared" ref="N627:R627" si="457">N387</f>
        <v>#DIV/0!</v>
      </c>
      <c r="O627" s="217" t="e">
        <f t="shared" si="457"/>
        <v>#DIV/0!</v>
      </c>
      <c r="P627" s="217" t="e">
        <f t="shared" si="457"/>
        <v>#DIV/0!</v>
      </c>
      <c r="Q627" s="217" t="e">
        <f t="shared" si="457"/>
        <v>#DIV/0!</v>
      </c>
      <c r="R627" s="217" t="e">
        <f t="shared" si="457"/>
        <v>#DIV/0!</v>
      </c>
      <c r="S627" s="217">
        <f>S315</f>
        <v>0</v>
      </c>
    </row>
    <row r="628" spans="1:32" x14ac:dyDescent="0.25">
      <c r="F628" s="217"/>
      <c r="G628" s="217"/>
      <c r="H628" s="217"/>
      <c r="I628" s="217"/>
      <c r="J628" s="217"/>
      <c r="K628" s="217"/>
      <c r="L628" s="217"/>
      <c r="M628" s="217"/>
      <c r="S628" s="76"/>
    </row>
    <row r="629" spans="1:32" x14ac:dyDescent="0.25">
      <c r="B629" s="14" t="s">
        <v>875</v>
      </c>
      <c r="F629" s="218">
        <f t="shared" ref="F629:R629" si="458">F570</f>
        <v>23.106952748251629</v>
      </c>
      <c r="G629" s="218">
        <f t="shared" ref="G629:H629" si="459">G570</f>
        <v>2.5220908933278281</v>
      </c>
      <c r="H629" s="218">
        <f t="shared" si="459"/>
        <v>32.244431801834502</v>
      </c>
      <c r="I629" s="218">
        <f t="shared" ref="I629" si="460">I570</f>
        <v>36.641071694514281</v>
      </c>
      <c r="J629" s="218">
        <f t="shared" ref="J629:K629" si="461">J570</f>
        <v>98.766434749990992</v>
      </c>
      <c r="K629" s="218">
        <f t="shared" si="461"/>
        <v>22.194601907965584</v>
      </c>
      <c r="L629" s="218">
        <f t="shared" ref="L629" si="462">L570</f>
        <v>14.920322212425191</v>
      </c>
      <c r="M629" s="218"/>
      <c r="N629" s="218" t="e">
        <f t="shared" si="458"/>
        <v>#DIV/0!</v>
      </c>
      <c r="O629" s="218" t="e">
        <f t="shared" si="458"/>
        <v>#DIV/0!</v>
      </c>
      <c r="P629" s="218" t="e">
        <f t="shared" si="458"/>
        <v>#DIV/0!</v>
      </c>
      <c r="Q629" s="218" t="e">
        <f t="shared" si="458"/>
        <v>#DIV/0!</v>
      </c>
      <c r="R629" s="218" t="e">
        <f t="shared" si="458"/>
        <v>#DIV/0!</v>
      </c>
      <c r="S629" s="218">
        <f>S571</f>
        <v>0</v>
      </c>
    </row>
    <row r="630" spans="1:32" x14ac:dyDescent="0.25">
      <c r="B630" s="14" t="s">
        <v>760</v>
      </c>
      <c r="F630" s="219">
        <f>F552+F553+F554+F555+F560+F565</f>
        <v>9.7530078268360507E-2</v>
      </c>
      <c r="G630" s="219">
        <f>G552+G553+G554+G555+G560+G565</f>
        <v>8.2839937299564792E-2</v>
      </c>
      <c r="H630" s="219">
        <f>H552+H553+H554+H555+H560+H565</f>
        <v>8.7480249556297476E-2</v>
      </c>
      <c r="I630" s="219">
        <f>I552+I553+I554+I555+I560+I565</f>
        <v>8.4543174545653424E-2</v>
      </c>
      <c r="J630" s="219">
        <f>J554+J555</f>
        <v>5.4739177126864109E-2</v>
      </c>
      <c r="K630" s="219">
        <f>K554+K555</f>
        <v>2.8731613930236096E-2</v>
      </c>
      <c r="L630" s="219">
        <f>L554+L555</f>
        <v>2.9009024708767168E-2</v>
      </c>
      <c r="M630" s="219"/>
      <c r="N630" s="219" t="e">
        <f>N552+N553+N554+N555+N560+N565</f>
        <v>#DIV/0!</v>
      </c>
      <c r="O630" s="219" t="e">
        <f>O552+O553+O554+O555+O560+O565</f>
        <v>#DIV/0!</v>
      </c>
      <c r="P630" s="219" t="e">
        <f>P552+P553+P554+P555+P560+P565</f>
        <v>#DIV/0!</v>
      </c>
      <c r="Q630" s="219" t="e">
        <f>Q552+Q553+Q554+Q555+Q560+Q565</f>
        <v>#DIV/0!</v>
      </c>
      <c r="R630" s="219" t="e">
        <f>R554+R555</f>
        <v>#DIV/0!</v>
      </c>
      <c r="S630" s="219" t="e">
        <f>S554+S559+S564+S565</f>
        <v>#DIV/0!</v>
      </c>
    </row>
    <row r="631" spans="1:32" x14ac:dyDescent="0.25">
      <c r="B631" s="14" t="s">
        <v>876</v>
      </c>
      <c r="F631" s="218">
        <v>0</v>
      </c>
      <c r="G631" s="218">
        <v>0</v>
      </c>
      <c r="H631" s="218">
        <v>0</v>
      </c>
      <c r="I631" s="218">
        <v>0</v>
      </c>
      <c r="J631" s="218">
        <f>J552+J553+J560+J565</f>
        <v>8.6244574542077981</v>
      </c>
      <c r="K631" s="218">
        <f>K552+K553+K560+K565</f>
        <v>17.547731292237742</v>
      </c>
      <c r="L631" s="218">
        <f>L552+L553+L560+L565</f>
        <v>15.065602774362496</v>
      </c>
      <c r="M631" s="218"/>
      <c r="N631" s="218">
        <v>0</v>
      </c>
      <c r="O631" s="218">
        <v>0</v>
      </c>
      <c r="P631" s="218">
        <v>0</v>
      </c>
      <c r="Q631" s="218">
        <v>0</v>
      </c>
      <c r="R631" s="218" t="e">
        <f>R552+R553+R560+R565</f>
        <v>#DIV/0!</v>
      </c>
      <c r="S631" s="218">
        <v>0</v>
      </c>
    </row>
    <row r="632" spans="1:32" x14ac:dyDescent="0.25">
      <c r="F632" s="27"/>
      <c r="G632" s="27"/>
      <c r="H632" s="27"/>
      <c r="I632" s="27"/>
      <c r="J632" s="27"/>
      <c r="K632" s="27"/>
      <c r="L632" s="27"/>
      <c r="M632" s="27"/>
    </row>
    <row r="633" spans="1:32" x14ac:dyDescent="0.25">
      <c r="A633" s="13" t="s">
        <v>877</v>
      </c>
      <c r="E633" s="47">
        <f>E387</f>
        <v>4.9340649176052263E-2</v>
      </c>
      <c r="F633" s="217">
        <f>E633</f>
        <v>4.9340649176052263E-2</v>
      </c>
      <c r="G633" s="217">
        <f t="shared" ref="G633:L633" si="463">F633</f>
        <v>4.9340649176052263E-2</v>
      </c>
      <c r="H633" s="217">
        <f t="shared" si="463"/>
        <v>4.9340649176052263E-2</v>
      </c>
      <c r="I633" s="217">
        <f t="shared" si="463"/>
        <v>4.9340649176052263E-2</v>
      </c>
      <c r="J633" s="217">
        <f t="shared" si="463"/>
        <v>4.9340649176052263E-2</v>
      </c>
      <c r="K633" s="217">
        <f t="shared" si="463"/>
        <v>4.9340649176052263E-2</v>
      </c>
      <c r="L633" s="217">
        <f t="shared" si="463"/>
        <v>4.9340649176052263E-2</v>
      </c>
      <c r="M633" s="217"/>
      <c r="N633" s="217">
        <f t="shared" ref="N633:R633" si="464">M633</f>
        <v>0</v>
      </c>
      <c r="O633" s="217">
        <f t="shared" si="464"/>
        <v>0</v>
      </c>
      <c r="P633" s="217">
        <f t="shared" si="464"/>
        <v>0</v>
      </c>
      <c r="Q633" s="217">
        <f t="shared" si="464"/>
        <v>0</v>
      </c>
      <c r="R633" s="217">
        <f t="shared" si="464"/>
        <v>0</v>
      </c>
      <c r="S633" s="217">
        <f>$E$385</f>
        <v>90562883.879807696</v>
      </c>
    </row>
    <row r="634" spans="1:32" x14ac:dyDescent="0.25">
      <c r="F634" s="217"/>
      <c r="G634" s="217"/>
      <c r="H634" s="217"/>
      <c r="I634" s="217"/>
      <c r="J634" s="217"/>
      <c r="K634" s="217"/>
      <c r="L634" s="217"/>
      <c r="M634" s="217"/>
      <c r="N634" s="217"/>
      <c r="O634" s="217"/>
      <c r="P634" s="217"/>
      <c r="Q634" s="217"/>
      <c r="R634" s="217"/>
      <c r="S634" s="217"/>
    </row>
    <row r="635" spans="1:32" x14ac:dyDescent="0.25">
      <c r="B635" s="14" t="s">
        <v>875</v>
      </c>
      <c r="F635" s="218">
        <f t="shared" ref="F635:K635" si="465">F595</f>
        <v>28.338913433430797</v>
      </c>
      <c r="G635" s="218">
        <f t="shared" si="465"/>
        <v>28.36954143903175</v>
      </c>
      <c r="H635" s="218">
        <f t="shared" si="465"/>
        <v>28.37357157405469</v>
      </c>
      <c r="I635" s="218">
        <f t="shared" ref="I635" si="466">I595</f>
        <v>28.895754455477917</v>
      </c>
      <c r="J635" s="218">
        <f t="shared" si="465"/>
        <v>67.489731167037732</v>
      </c>
      <c r="K635" s="218">
        <f t="shared" si="465"/>
        <v>5.3741615914510037</v>
      </c>
      <c r="L635" s="218">
        <f t="shared" ref="L635" si="467">L595</f>
        <v>9.2250203146476828</v>
      </c>
      <c r="M635" s="218"/>
      <c r="N635" s="218" t="e">
        <f t="shared" ref="N635:S635" si="468">N595</f>
        <v>#DIV/0!</v>
      </c>
      <c r="O635" s="218" t="e">
        <f t="shared" si="468"/>
        <v>#DIV/0!</v>
      </c>
      <c r="P635" s="218" t="e">
        <f t="shared" si="468"/>
        <v>#DIV/0!</v>
      </c>
      <c r="Q635" s="218" t="e">
        <f t="shared" si="468"/>
        <v>#DIV/0!</v>
      </c>
      <c r="R635" s="218" t="e">
        <f t="shared" si="468"/>
        <v>#DIV/0!</v>
      </c>
      <c r="S635" s="218" t="e">
        <f t="shared" si="468"/>
        <v>#DIV/0!</v>
      </c>
    </row>
    <row r="636" spans="1:32" x14ac:dyDescent="0.25">
      <c r="B636" s="14" t="s">
        <v>760</v>
      </c>
      <c r="F636" s="219">
        <f>F577+F578+F579+F580+F585+F590</f>
        <v>0.10315133275066184</v>
      </c>
      <c r="G636" s="219">
        <f>G577+G578+G579+G580+G585+G590</f>
        <v>0.1104289513684055</v>
      </c>
      <c r="H636" s="219">
        <f>H577+H578+H579+H580+H585+H590</f>
        <v>8.5331440390085722E-2</v>
      </c>
      <c r="I636" s="219">
        <f>I577+I578+I579+I580+I585+I590</f>
        <v>8.1090621200921698E-2</v>
      </c>
      <c r="J636" s="219">
        <f>J579+J580</f>
        <v>5.4739177126864109E-2</v>
      </c>
      <c r="K636" s="219">
        <f>K579+K580</f>
        <v>2.8731613930236096E-2</v>
      </c>
      <c r="L636" s="219">
        <f>L579+L580</f>
        <v>2.9009024708767168E-2</v>
      </c>
      <c r="M636" s="219"/>
      <c r="N636" s="219" t="e">
        <f>N577+N578+N579+N580+N585+N590</f>
        <v>#DIV/0!</v>
      </c>
      <c r="O636" s="219" t="e">
        <f>O577+O578+O579+O580+O585+O590</f>
        <v>#DIV/0!</v>
      </c>
      <c r="P636" s="219" t="e">
        <f>P577+P578+P579+P580+P585+P590</f>
        <v>#DIV/0!</v>
      </c>
      <c r="Q636" s="219" t="e">
        <f>Q577+Q578+Q579+Q580+Q585+Q590</f>
        <v>#DIV/0!</v>
      </c>
      <c r="R636" s="219" t="e">
        <f>R579+R580</f>
        <v>#DIV/0!</v>
      </c>
      <c r="S636" s="219" t="e">
        <f>S577+S578+S588+S589</f>
        <v>#DIV/0!</v>
      </c>
    </row>
    <row r="637" spans="1:32" x14ac:dyDescent="0.25">
      <c r="B637" s="14" t="s">
        <v>876</v>
      </c>
      <c r="F637" s="218">
        <v>0</v>
      </c>
      <c r="G637" s="218">
        <v>0</v>
      </c>
      <c r="H637" s="218">
        <v>0</v>
      </c>
      <c r="I637" s="218">
        <v>0</v>
      </c>
      <c r="J637" s="218">
        <f>J577+J578+J585+J590</f>
        <v>7.0701888014203131</v>
      </c>
      <c r="K637" s="218">
        <f>K577+K578+K585+K590</f>
        <v>13.794923946373499</v>
      </c>
      <c r="L637" s="218">
        <f>L577+L578+L585+L590</f>
        <v>13.794924338084625</v>
      </c>
      <c r="M637" s="218"/>
      <c r="N637" s="218">
        <v>0</v>
      </c>
      <c r="O637" s="218">
        <v>0</v>
      </c>
      <c r="P637" s="218">
        <v>0</v>
      </c>
      <c r="Q637" s="218">
        <v>0</v>
      </c>
      <c r="R637" s="218" t="e">
        <f>R577+R578+R585+R590</f>
        <v>#DIV/0!</v>
      </c>
      <c r="S637" s="218">
        <v>0</v>
      </c>
      <c r="AF637" s="14" t="s">
        <v>937</v>
      </c>
    </row>
    <row r="638" spans="1:32" x14ac:dyDescent="0.25"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</row>
    <row r="639" spans="1:32" x14ac:dyDescent="0.25">
      <c r="A639" s="13" t="s">
        <v>878</v>
      </c>
      <c r="E639" s="47">
        <f>C521</f>
        <v>4.9363206087046127E-2</v>
      </c>
      <c r="F639" s="217">
        <f>E639</f>
        <v>4.9363206087046127E-2</v>
      </c>
      <c r="G639" s="217">
        <f t="shared" ref="G639:L639" si="469">F639</f>
        <v>4.9363206087046127E-2</v>
      </c>
      <c r="H639" s="217">
        <f t="shared" si="469"/>
        <v>4.9363206087046127E-2</v>
      </c>
      <c r="I639" s="217">
        <f t="shared" si="469"/>
        <v>4.9363206087046127E-2</v>
      </c>
      <c r="J639" s="217">
        <f t="shared" si="469"/>
        <v>4.9363206087046127E-2</v>
      </c>
      <c r="K639" s="217">
        <f t="shared" si="469"/>
        <v>4.9363206087046127E-2</v>
      </c>
      <c r="L639" s="217">
        <f t="shared" si="469"/>
        <v>4.9363206087046127E-2</v>
      </c>
      <c r="M639" s="217"/>
      <c r="N639" s="217">
        <f t="shared" ref="N639:R639" si="470">M639</f>
        <v>0</v>
      </c>
      <c r="O639" s="217">
        <f t="shared" si="470"/>
        <v>0</v>
      </c>
      <c r="P639" s="217">
        <f t="shared" si="470"/>
        <v>0</v>
      </c>
      <c r="Q639" s="217">
        <f t="shared" si="470"/>
        <v>0</v>
      </c>
      <c r="R639" s="217">
        <f t="shared" si="470"/>
        <v>0</v>
      </c>
      <c r="S639" s="217">
        <f>$C$570</f>
        <v>0</v>
      </c>
    </row>
    <row r="640" spans="1:32" x14ac:dyDescent="0.25">
      <c r="A640" s="13"/>
      <c r="F640" s="217"/>
      <c r="G640" s="217"/>
      <c r="H640" s="217"/>
      <c r="I640" s="217"/>
      <c r="J640" s="217"/>
      <c r="K640" s="217"/>
      <c r="L640" s="217"/>
      <c r="M640" s="217"/>
      <c r="N640" s="217"/>
      <c r="O640" s="217"/>
      <c r="P640" s="217"/>
      <c r="Q640" s="217"/>
      <c r="R640" s="217"/>
      <c r="S640" s="217"/>
    </row>
    <row r="641" spans="2:19" x14ac:dyDescent="0.25">
      <c r="B641" s="14" t="s">
        <v>875</v>
      </c>
      <c r="F641" s="218">
        <f>F621</f>
        <v>28.342574611587906</v>
      </c>
      <c r="G641" s="218">
        <f>G621</f>
        <v>28.373202617188859</v>
      </c>
      <c r="H641" s="218">
        <f>H621</f>
        <v>28.3772327522118</v>
      </c>
      <c r="I641" s="218">
        <f>I621</f>
        <v>28.899500595011851</v>
      </c>
      <c r="J641" s="218">
        <f t="shared" ref="J641:K641" si="471">J621</f>
        <v>67.500118411942054</v>
      </c>
      <c r="K641" s="218">
        <f t="shared" si="471"/>
        <v>5.3764788512626591</v>
      </c>
      <c r="L641" s="218">
        <f t="shared" ref="L641" si="472">L621</f>
        <v>9.2273375744593409</v>
      </c>
      <c r="M641" s="218"/>
      <c r="N641" s="218" t="e">
        <f t="shared" ref="N641:R641" si="473">N621</f>
        <v>#DIV/0!</v>
      </c>
      <c r="O641" s="218" t="e">
        <f t="shared" si="473"/>
        <v>#DIV/0!</v>
      </c>
      <c r="P641" s="218" t="e">
        <f t="shared" si="473"/>
        <v>#DIV/0!</v>
      </c>
      <c r="Q641" s="218" t="e">
        <f t="shared" si="473"/>
        <v>#DIV/0!</v>
      </c>
      <c r="R641" s="218" t="e">
        <f t="shared" si="473"/>
        <v>#DIV/0!</v>
      </c>
      <c r="S641" s="218" t="e">
        <f>S621</f>
        <v>#DIV/0!</v>
      </c>
    </row>
    <row r="642" spans="2:19" x14ac:dyDescent="0.25">
      <c r="B642" s="14" t="s">
        <v>760</v>
      </c>
      <c r="F642" s="219">
        <f>F603+F604+F605+F606+F611+F616</f>
        <v>0.10315526634561113</v>
      </c>
      <c r="G642" s="219">
        <f>G603+G604+G605+G606+G611+G616</f>
        <v>0.11043285923140755</v>
      </c>
      <c r="H642" s="219">
        <f>H603+H604+H605+H606+H611+H616</f>
        <v>8.5333472799607166E-2</v>
      </c>
      <c r="I642" s="219">
        <f>I603+I604+I605+I606+I611+I616</f>
        <v>8.1092291080434503E-2</v>
      </c>
      <c r="J642" s="219">
        <f>J605+J606</f>
        <v>5.4739177126864109E-2</v>
      </c>
      <c r="K642" s="219">
        <f>K605+K606</f>
        <v>2.8731613930236096E-2</v>
      </c>
      <c r="L642" s="219">
        <f>L605+L606</f>
        <v>2.9009024708767168E-2</v>
      </c>
      <c r="M642" s="219"/>
      <c r="N642" s="219" t="e">
        <f t="shared" ref="N642:Q642" si="474">N603+N604+N605+N606+N611+N616</f>
        <v>#DIV/0!</v>
      </c>
      <c r="O642" s="219" t="e">
        <f t="shared" si="474"/>
        <v>#DIV/0!</v>
      </c>
      <c r="P642" s="219" t="e">
        <f t="shared" si="474"/>
        <v>#DIV/0!</v>
      </c>
      <c r="Q642" s="219" t="e">
        <f t="shared" si="474"/>
        <v>#DIV/0!</v>
      </c>
      <c r="R642" s="219" t="e">
        <f>R605+R606</f>
        <v>#DIV/0!</v>
      </c>
      <c r="S642" s="219" t="e">
        <f>S603+S604+S614+S615</f>
        <v>#DIV/0!</v>
      </c>
    </row>
    <row r="643" spans="2:19" x14ac:dyDescent="0.25">
      <c r="B643" s="14" t="s">
        <v>876</v>
      </c>
      <c r="F643" s="218">
        <v>0</v>
      </c>
      <c r="G643" s="218">
        <v>0</v>
      </c>
      <c r="H643" s="218">
        <v>0</v>
      </c>
      <c r="I643" s="218">
        <v>0</v>
      </c>
      <c r="J643" s="218">
        <f>J603+J604+J611+J616</f>
        <v>7.0707049865451559</v>
      </c>
      <c r="K643" s="218">
        <f>K603+K604+K611+K616</f>
        <v>13.795440950059481</v>
      </c>
      <c r="L643" s="218">
        <f>L603+L604+L611+L616</f>
        <v>13.795441341770605</v>
      </c>
      <c r="M643" s="218"/>
      <c r="N643" s="218">
        <v>0</v>
      </c>
      <c r="O643" s="218">
        <v>0</v>
      </c>
      <c r="P643" s="218">
        <v>0</v>
      </c>
      <c r="Q643" s="218">
        <v>0</v>
      </c>
      <c r="R643" s="218" t="e">
        <f>R603+R604+R611+R616</f>
        <v>#DIV/0!</v>
      </c>
      <c r="S643" s="218">
        <v>0</v>
      </c>
    </row>
    <row r="644" spans="2:19" x14ac:dyDescent="0.25">
      <c r="B644" s="27"/>
      <c r="G644" s="27"/>
      <c r="H644" s="27"/>
      <c r="I644" s="219"/>
      <c r="J644" s="27"/>
      <c r="K644" s="27"/>
    </row>
  </sheetData>
  <phoneticPr fontId="0" type="noConversion"/>
  <conditionalFormatting sqref="AH1">
    <cfRule type="cellIs" dxfId="4" priority="43" operator="equal">
      <formula>"err"</formula>
    </cfRule>
  </conditionalFormatting>
  <conditionalFormatting sqref="AH4:AH343">
    <cfRule type="containsText" dxfId="3" priority="5" operator="containsText" text="err">
      <formula>NOT(ISERROR(SEARCH("err",AH4)))</formula>
    </cfRule>
    <cfRule type="cellIs" dxfId="2" priority="6" operator="equal">
      <formula>"""err"""</formula>
    </cfRule>
  </conditionalFormatting>
  <conditionalFormatting sqref="AH343:AH622">
    <cfRule type="containsText" dxfId="1" priority="3" operator="containsText" text="err">
      <formula>NOT(ISERROR(SEARCH("err",AH343)))</formula>
    </cfRule>
    <cfRule type="cellIs" dxfId="0" priority="4" operator="equal">
      <formula>"""err"""</formula>
    </cfRule>
  </conditionalFormatting>
  <printOptions horizontalCentered="1"/>
  <pageMargins left="0.25" right="0.25" top="1.25" bottom="0.5" header="0.5" footer="0.2"/>
  <pageSetup scale="55" pageOrder="overThenDown" orientation="landscape" r:id="rId1"/>
  <headerFooter alignWithMargins="0">
    <oddHeader>&amp;C&amp;"Times New Roman,Bold"SHELBY ENERGY
Cost of Service Study
Class Allocation
12 Months Ended December 31, 2022</oddHeader>
    <oddFooter>&amp;RExhibit JW-5
Page &amp;P of &amp;N</oddFooter>
  </headerFooter>
  <rowBreaks count="18" manualBreakCount="18">
    <brk id="42" max="12" man="1"/>
    <brk id="80" max="12" man="1"/>
    <brk id="118" max="12" man="1"/>
    <brk id="156" max="12" man="1"/>
    <brk id="194" max="12" man="1"/>
    <brk id="232" max="12" man="1"/>
    <brk id="270" max="12" man="1"/>
    <brk id="308" max="12" man="1"/>
    <brk id="332" max="12" man="1"/>
    <brk id="388" max="12" man="1"/>
    <brk id="428" max="12" man="1"/>
    <brk id="472" max="12" man="1"/>
    <brk id="491" max="12" man="1"/>
    <brk id="529" max="12" man="1"/>
    <brk id="547" max="12" man="1"/>
    <brk id="572" max="12" man="1"/>
    <brk id="598" max="12" man="1"/>
    <brk id="623" max="12" man="1"/>
  </rowBreaks>
  <colBreaks count="3" manualBreakCount="3">
    <brk id="15" max="651" man="1"/>
    <brk id="19" max="568" man="1"/>
    <brk id="25" max="568" man="1"/>
  </colBreaks>
  <ignoredErrors>
    <ignoredError sqref="F436:M436 F457:M457 F443:M443 F464:M464 J534:K534 J543:K543 F578:H578 F604:H604 F490:K490 F483:J483 E450:M450 M419 M483 L490:M490 L483 F471:K471 L446 K407 I406:J406 F406:H406 I604:L604 E505 F505:M505 AG372 J578:K578 I578 L578 F366:J366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207"/>
  <sheetViews>
    <sheetView view="pageBreakPreview" topLeftCell="A106" zoomScale="75" zoomScaleNormal="75" zoomScaleSheetLayoutView="75" workbookViewId="0">
      <selection activeCell="E29" sqref="E29"/>
    </sheetView>
  </sheetViews>
  <sheetFormatPr defaultColWidth="9.109375" defaultRowHeight="13.2" x14ac:dyDescent="0.25"/>
  <cols>
    <col min="1" max="1" width="43.109375" style="14" customWidth="1"/>
    <col min="2" max="2" width="10.33203125" style="28" customWidth="1"/>
    <col min="3" max="6" width="12.5546875" style="14" bestFit="1" customWidth="1"/>
    <col min="7" max="7" width="13.109375" style="14" bestFit="1" customWidth="1"/>
    <col min="8" max="8" width="14.5546875" style="14" bestFit="1" customWidth="1"/>
    <col min="9" max="11" width="12.5546875" style="14" bestFit="1" customWidth="1"/>
    <col min="12" max="12" width="20.109375" style="14" customWidth="1"/>
    <col min="13" max="14" width="12.5546875" style="14" bestFit="1" customWidth="1"/>
    <col min="15" max="15" width="14.33203125" style="14" bestFit="1" customWidth="1"/>
    <col min="16" max="16" width="17.88671875" style="14" customWidth="1"/>
    <col min="17" max="17" width="17.33203125" style="14" customWidth="1"/>
    <col min="18" max="20" width="15" style="14" bestFit="1" customWidth="1"/>
    <col min="21" max="21" width="9.109375" style="14"/>
    <col min="22" max="22" width="11.88671875" style="14" bestFit="1" customWidth="1"/>
    <col min="23" max="25" width="9.109375" style="14"/>
    <col min="26" max="26" width="15.33203125" style="14" bestFit="1" customWidth="1"/>
    <col min="27" max="16384" width="9.109375" style="14"/>
  </cols>
  <sheetData>
    <row r="1" spans="1:27" x14ac:dyDescent="0.25">
      <c r="A1" s="13" t="str">
        <f>'Summary of Returns'!A1</f>
        <v>SHELBY ENERGY</v>
      </c>
    </row>
    <row r="2" spans="1:27" x14ac:dyDescent="0.25">
      <c r="A2" s="14" t="s">
        <v>676</v>
      </c>
      <c r="C2" s="14">
        <f>18*12</f>
        <v>216</v>
      </c>
    </row>
    <row r="3" spans="1:27" x14ac:dyDescent="0.25">
      <c r="C3" s="105"/>
      <c r="D3" s="27"/>
      <c r="E3" s="27"/>
      <c r="F3" s="22" t="s">
        <v>721</v>
      </c>
      <c r="G3" s="22" t="s">
        <v>684</v>
      </c>
      <c r="H3" s="27"/>
      <c r="I3" s="27"/>
      <c r="J3" s="27"/>
      <c r="K3" s="27"/>
      <c r="M3" s="105"/>
      <c r="N3" s="27"/>
      <c r="O3" s="27"/>
      <c r="Q3" s="22"/>
      <c r="R3" s="22"/>
    </row>
    <row r="4" spans="1:27" x14ac:dyDescent="0.25">
      <c r="A4" s="28"/>
      <c r="C4" s="27"/>
      <c r="D4" s="27"/>
      <c r="E4" s="27"/>
      <c r="F4" s="22" t="s">
        <v>683</v>
      </c>
      <c r="G4" s="22" t="s">
        <v>683</v>
      </c>
      <c r="H4" s="22" t="s">
        <v>693</v>
      </c>
      <c r="I4" s="22" t="s">
        <v>684</v>
      </c>
      <c r="J4" s="22" t="s">
        <v>686</v>
      </c>
      <c r="K4" s="22" t="s">
        <v>687</v>
      </c>
      <c r="M4" s="27"/>
      <c r="N4" s="27"/>
      <c r="O4" s="27"/>
      <c r="P4" s="28"/>
      <c r="Q4" s="22"/>
      <c r="R4" s="22"/>
      <c r="T4" s="28"/>
    </row>
    <row r="5" spans="1:27" s="22" customFormat="1" x14ac:dyDescent="0.25">
      <c r="B5" s="58"/>
      <c r="C5" s="22" t="s">
        <v>580</v>
      </c>
      <c r="F5" s="22" t="s">
        <v>722</v>
      </c>
      <c r="G5" s="22" t="s">
        <v>12</v>
      </c>
      <c r="H5" s="22" t="s">
        <v>694</v>
      </c>
      <c r="I5" s="22" t="s">
        <v>643</v>
      </c>
      <c r="J5" s="22" t="s">
        <v>643</v>
      </c>
      <c r="K5" s="22" t="s">
        <v>643</v>
      </c>
      <c r="L5" s="14"/>
      <c r="M5" s="22" t="str">
        <f>C5</f>
        <v>Average</v>
      </c>
      <c r="P5" s="27" t="s">
        <v>901</v>
      </c>
      <c r="Q5" s="22" t="s">
        <v>901</v>
      </c>
    </row>
    <row r="6" spans="1:27" s="22" customFormat="1" x14ac:dyDescent="0.25">
      <c r="A6" s="220" t="s">
        <v>858</v>
      </c>
      <c r="B6" s="106" t="s">
        <v>866</v>
      </c>
      <c r="C6" s="21" t="s">
        <v>582</v>
      </c>
      <c r="D6" s="21" t="s">
        <v>935</v>
      </c>
      <c r="E6" s="21" t="s">
        <v>346</v>
      </c>
      <c r="F6" s="21" t="s">
        <v>10</v>
      </c>
      <c r="G6" s="21" t="s">
        <v>682</v>
      </c>
      <c r="H6" s="21" t="s">
        <v>695</v>
      </c>
      <c r="I6" s="21" t="s">
        <v>685</v>
      </c>
      <c r="J6" s="21" t="s">
        <v>685</v>
      </c>
      <c r="K6" s="21" t="s">
        <v>685</v>
      </c>
      <c r="L6" s="220" t="s">
        <v>858</v>
      </c>
      <c r="M6" s="21" t="str">
        <f t="shared" ref="M6:M25" si="0">C6</f>
        <v>Customers</v>
      </c>
      <c r="N6" s="21" t="str">
        <f t="shared" ref="N6:O14" si="1">D6</f>
        <v>kWh</v>
      </c>
      <c r="O6" s="21" t="str">
        <f t="shared" si="1"/>
        <v>Revenue</v>
      </c>
      <c r="P6" s="21" t="s">
        <v>861</v>
      </c>
      <c r="Q6" s="21" t="s">
        <v>902</v>
      </c>
    </row>
    <row r="7" spans="1:27" x14ac:dyDescent="0.25">
      <c r="A7" s="28"/>
      <c r="C7" s="50"/>
      <c r="D7" s="50"/>
      <c r="E7" s="50"/>
      <c r="G7" s="50"/>
      <c r="H7" s="50"/>
      <c r="I7" s="50"/>
      <c r="J7" s="50"/>
      <c r="K7" s="50"/>
      <c r="L7" s="28"/>
      <c r="M7" s="50"/>
      <c r="N7" s="50"/>
      <c r="O7" s="50"/>
      <c r="P7" s="50"/>
      <c r="Q7" s="50"/>
    </row>
    <row r="8" spans="1:27" x14ac:dyDescent="0.25">
      <c r="A8" s="102" t="str">
        <f>'Summary of Returns'!B10</f>
        <v>Residential Service</v>
      </c>
      <c r="B8" s="221">
        <f>'Summary of Returns'!C10</f>
        <v>12</v>
      </c>
      <c r="C8" s="107">
        <f>O39/12</f>
        <v>12967.083333333334</v>
      </c>
      <c r="D8" s="107">
        <f>O40</f>
        <v>215297067</v>
      </c>
      <c r="E8" s="109">
        <v>27088986.846901163</v>
      </c>
      <c r="F8" s="35">
        <f>O47</f>
        <v>1642839.0406674917</v>
      </c>
      <c r="G8" s="35">
        <f>P47</f>
        <v>194065.32258064518</v>
      </c>
      <c r="H8" s="108">
        <f>Q43</f>
        <v>90407.568986225437</v>
      </c>
      <c r="I8" s="107">
        <f>R45</f>
        <v>671010.22087557742</v>
      </c>
      <c r="J8" s="107">
        <f>S45</f>
        <v>185153.68077642572</v>
      </c>
      <c r="K8" s="107">
        <f>T45</f>
        <v>485856.54009915167</v>
      </c>
      <c r="L8" s="102" t="str">
        <f>A8</f>
        <v>Residential Service</v>
      </c>
      <c r="M8" s="107">
        <f t="shared" si="0"/>
        <v>12967.083333333334</v>
      </c>
      <c r="N8" s="107">
        <f t="shared" si="1"/>
        <v>215297067</v>
      </c>
      <c r="O8" s="109">
        <f t="shared" si="1"/>
        <v>27088986.846901163</v>
      </c>
      <c r="P8" s="68">
        <f t="shared" ref="P8:P23" si="2">D8/$D$25</f>
        <v>0.44848389464270294</v>
      </c>
      <c r="Q8" s="68">
        <f t="shared" ref="Q8:Q23" si="3">E8/$E$25</f>
        <v>0.50271236672891162</v>
      </c>
      <c r="R8" s="110"/>
      <c r="W8" s="22"/>
      <c r="X8" s="22"/>
      <c r="Y8" s="22"/>
      <c r="Z8" s="22"/>
      <c r="AA8" s="22"/>
    </row>
    <row r="9" spans="1:27" x14ac:dyDescent="0.25">
      <c r="A9" s="102" t="str">
        <f>'Summary of Returns'!B11</f>
        <v>Off Peak Retail Marketing (ETS)</v>
      </c>
      <c r="B9" s="221">
        <f>'Summary of Returns'!C11</f>
        <v>9</v>
      </c>
      <c r="C9" s="107">
        <f>O49/12</f>
        <v>17.5</v>
      </c>
      <c r="D9" s="107">
        <f>O50</f>
        <v>188379</v>
      </c>
      <c r="E9" s="109">
        <v>15039.648645729421</v>
      </c>
      <c r="F9" s="35">
        <f>O57</f>
        <v>1446.8026220344768</v>
      </c>
      <c r="G9" s="35">
        <f>P57</f>
        <v>358.10931899641577</v>
      </c>
      <c r="H9" s="108">
        <f>Q53</f>
        <v>257.83870967741933</v>
      </c>
      <c r="I9" s="107">
        <f>R55</f>
        <v>0</v>
      </c>
      <c r="J9" s="107">
        <f>S55</f>
        <v>0</v>
      </c>
      <c r="K9" s="107">
        <f>T55</f>
        <v>0</v>
      </c>
      <c r="L9" s="102" t="str">
        <f t="shared" ref="L9:L15" si="4">A9</f>
        <v>Off Peak Retail Marketing (ETS)</v>
      </c>
      <c r="M9" s="107">
        <f t="shared" si="0"/>
        <v>17.5</v>
      </c>
      <c r="N9" s="107">
        <f t="shared" si="1"/>
        <v>188379</v>
      </c>
      <c r="O9" s="109">
        <f t="shared" si="1"/>
        <v>15039.648645729421</v>
      </c>
      <c r="P9" s="68">
        <f t="shared" si="2"/>
        <v>3.9241104751741807E-4</v>
      </c>
      <c r="Q9" s="68">
        <f t="shared" si="3"/>
        <v>2.7910299518384542E-4</v>
      </c>
      <c r="R9" s="110"/>
      <c r="W9" s="22"/>
      <c r="X9" s="22"/>
      <c r="Y9" s="22"/>
      <c r="Z9" s="22"/>
      <c r="AA9" s="22"/>
    </row>
    <row r="10" spans="1:27" x14ac:dyDescent="0.25">
      <c r="A10" s="102" t="str">
        <f>'Summary of Returns'!B12</f>
        <v>Prepay Service</v>
      </c>
      <c r="B10" s="221">
        <f>'Summary of Returns'!C12</f>
        <v>15</v>
      </c>
      <c r="C10" s="107">
        <f>O59/12</f>
        <v>812.41666666666663</v>
      </c>
      <c r="D10" s="107">
        <f>O60</f>
        <v>15282197</v>
      </c>
      <c r="E10" s="109">
        <v>1907251.2307521121</v>
      </c>
      <c r="F10" s="35">
        <f>O67</f>
        <v>59509.255033452806</v>
      </c>
      <c r="G10" s="35">
        <f>P67</f>
        <v>15433.856033452808</v>
      </c>
      <c r="H10" s="108">
        <f>Q63</f>
        <v>7434.8439465892143</v>
      </c>
      <c r="I10" s="107">
        <f>R65</f>
        <v>47662.78827538318</v>
      </c>
      <c r="J10" s="107">
        <f>S65</f>
        <v>12421.490722795759</v>
      </c>
      <c r="K10" s="107">
        <f>T65</f>
        <v>35241.297552587421</v>
      </c>
      <c r="L10" s="102" t="str">
        <f t="shared" si="4"/>
        <v>Prepay Service</v>
      </c>
      <c r="M10" s="107">
        <f t="shared" si="0"/>
        <v>812.41666666666663</v>
      </c>
      <c r="N10" s="107">
        <f t="shared" si="1"/>
        <v>15282197</v>
      </c>
      <c r="O10" s="109">
        <f t="shared" si="1"/>
        <v>1907251.2307521121</v>
      </c>
      <c r="P10" s="68">
        <f t="shared" si="2"/>
        <v>3.1834243377114983E-2</v>
      </c>
      <c r="Q10" s="68">
        <f t="shared" si="3"/>
        <v>3.5394412702729236E-2</v>
      </c>
      <c r="R10" s="110"/>
      <c r="W10" s="22"/>
      <c r="X10" s="22"/>
      <c r="Y10" s="22"/>
      <c r="Z10" s="22"/>
      <c r="AA10" s="22"/>
    </row>
    <row r="11" spans="1:27" x14ac:dyDescent="0.25">
      <c r="A11" s="102" t="str">
        <f>'Summary of Returns'!B13</f>
        <v>General Service</v>
      </c>
      <c r="B11" s="221">
        <f>'Summary of Returns'!C13</f>
        <v>11</v>
      </c>
      <c r="C11" s="107">
        <f>O69/12</f>
        <v>3755.8333333333335</v>
      </c>
      <c r="D11" s="107">
        <f>O70</f>
        <v>37399613</v>
      </c>
      <c r="E11" s="109">
        <v>5329479.7926511532</v>
      </c>
      <c r="F11" s="35">
        <f>O77</f>
        <v>119639.552</v>
      </c>
      <c r="G11" s="35">
        <f>P77</f>
        <v>37870.488000000005</v>
      </c>
      <c r="H11" s="108">
        <f>Q73</f>
        <v>37870.488000000005</v>
      </c>
      <c r="I11" s="107">
        <f>R75</f>
        <v>96393.596490449301</v>
      </c>
      <c r="J11" s="107">
        <f>S75</f>
        <v>12409.919250000001</v>
      </c>
      <c r="K11" s="107">
        <f>T75</f>
        <v>83983.677240449295</v>
      </c>
      <c r="L11" s="102" t="str">
        <f t="shared" si="4"/>
        <v>General Service</v>
      </c>
      <c r="M11" s="107">
        <f t="shared" si="0"/>
        <v>3755.8333333333335</v>
      </c>
      <c r="N11" s="107">
        <f t="shared" si="1"/>
        <v>37399613</v>
      </c>
      <c r="O11" s="109">
        <f t="shared" si="1"/>
        <v>5329479.7926511532</v>
      </c>
      <c r="P11" s="68">
        <f t="shared" si="2"/>
        <v>7.7906886192601332E-2</v>
      </c>
      <c r="Q11" s="68">
        <f t="shared" si="3"/>
        <v>9.8903492225072123E-2</v>
      </c>
      <c r="R11" s="110"/>
      <c r="W11" s="22"/>
      <c r="X11" s="22"/>
      <c r="Y11" s="22"/>
      <c r="Z11" s="22"/>
      <c r="AA11" s="22"/>
    </row>
    <row r="12" spans="1:27" x14ac:dyDescent="0.25">
      <c r="A12" s="102" t="str">
        <f>'Summary of Returns'!B14</f>
        <v>Large Power Service</v>
      </c>
      <c r="B12" s="221">
        <f>'Summary of Returns'!C14</f>
        <v>2</v>
      </c>
      <c r="C12" s="107">
        <f>O79/12</f>
        <v>61.25</v>
      </c>
      <c r="D12" s="107">
        <f>O80</f>
        <v>61631409</v>
      </c>
      <c r="E12" s="109">
        <v>6195944.0640132437</v>
      </c>
      <c r="F12" s="35">
        <f>O87</f>
        <v>172990.87100000001</v>
      </c>
      <c r="G12" s="35">
        <f>P87</f>
        <v>14957.539000000001</v>
      </c>
      <c r="H12" s="108">
        <f>Q83</f>
        <v>14957.539000000001</v>
      </c>
      <c r="I12" s="107">
        <f>R85</f>
        <v>77845.891950000005</v>
      </c>
      <c r="J12" s="107">
        <f>S85</f>
        <v>19861.408350000002</v>
      </c>
      <c r="K12" s="107">
        <f>T85</f>
        <v>57984.483600000007</v>
      </c>
      <c r="L12" s="102" t="str">
        <f t="shared" si="4"/>
        <v>Large Power Service</v>
      </c>
      <c r="M12" s="107">
        <f t="shared" si="0"/>
        <v>61.25</v>
      </c>
      <c r="N12" s="107">
        <f t="shared" si="1"/>
        <v>61631409</v>
      </c>
      <c r="O12" s="109">
        <f t="shared" si="1"/>
        <v>6195944.0640132437</v>
      </c>
      <c r="P12" s="68">
        <f t="shared" si="2"/>
        <v>0.12838397998537218</v>
      </c>
      <c r="Q12" s="68">
        <f t="shared" si="3"/>
        <v>0.1149831746068555</v>
      </c>
      <c r="R12" s="110"/>
      <c r="W12" s="22"/>
      <c r="X12" s="22"/>
      <c r="Y12" s="22"/>
      <c r="Z12" s="22"/>
      <c r="AA12" s="22"/>
    </row>
    <row r="13" spans="1:27" x14ac:dyDescent="0.25">
      <c r="A13" s="102" t="str">
        <f>'Summary of Returns'!B15</f>
        <v>Large Industrial Rate</v>
      </c>
      <c r="B13" s="221" t="str">
        <f>'Summary of Returns'!C15</f>
        <v>B1</v>
      </c>
      <c r="C13" s="107">
        <f>O89/12</f>
        <v>14</v>
      </c>
      <c r="D13" s="107">
        <f>O90</f>
        <v>114357154</v>
      </c>
      <c r="E13" s="109">
        <v>10044317.259881979</v>
      </c>
      <c r="F13" s="35">
        <f>O97</f>
        <v>248805</v>
      </c>
      <c r="G13" s="35">
        <f>P97</f>
        <v>21811</v>
      </c>
      <c r="H13" s="108">
        <f>Q93</f>
        <v>21811</v>
      </c>
      <c r="I13" s="107">
        <f>R95</f>
        <v>124402.5</v>
      </c>
      <c r="J13" s="107">
        <f>S95</f>
        <v>32460.5</v>
      </c>
      <c r="K13" s="107">
        <f>T95</f>
        <v>91942</v>
      </c>
      <c r="L13" s="102" t="str">
        <f t="shared" si="4"/>
        <v>Large Industrial Rate</v>
      </c>
      <c r="M13" s="107">
        <f t="shared" si="0"/>
        <v>14</v>
      </c>
      <c r="N13" s="107">
        <f t="shared" si="1"/>
        <v>114357154</v>
      </c>
      <c r="O13" s="109">
        <f t="shared" si="1"/>
        <v>10044317.259881979</v>
      </c>
      <c r="P13" s="68">
        <f t="shared" si="2"/>
        <v>0.23821663026266565</v>
      </c>
      <c r="Q13" s="68">
        <f t="shared" si="3"/>
        <v>0.18640056678490913</v>
      </c>
      <c r="R13" s="110"/>
      <c r="W13" s="22"/>
      <c r="X13" s="22"/>
      <c r="Y13" s="22"/>
      <c r="Z13" s="22"/>
      <c r="AA13" s="22"/>
    </row>
    <row r="14" spans="1:27" x14ac:dyDescent="0.25">
      <c r="A14" s="102" t="str">
        <f>'Summary of Returns'!B16</f>
        <v>Large Industrial Rate</v>
      </c>
      <c r="B14" s="221" t="str">
        <f>'Summary of Returns'!C16</f>
        <v>B2</v>
      </c>
      <c r="C14" s="107">
        <f>O99/12</f>
        <v>1</v>
      </c>
      <c r="D14" s="107">
        <f>O100</f>
        <v>34150560</v>
      </c>
      <c r="E14" s="109">
        <v>2679903.4200510206</v>
      </c>
      <c r="F14" s="35">
        <f>O107</f>
        <v>65236</v>
      </c>
      <c r="G14" s="35">
        <f>P107</f>
        <v>5800</v>
      </c>
      <c r="H14" s="108">
        <f>Q103</f>
        <v>5800</v>
      </c>
      <c r="I14" s="107">
        <f>R105</f>
        <v>32618</v>
      </c>
      <c r="J14" s="107">
        <f>S105</f>
        <v>8100</v>
      </c>
      <c r="K14" s="107">
        <f>T105</f>
        <v>24518</v>
      </c>
      <c r="L14" s="102" t="str">
        <f t="shared" si="4"/>
        <v>Large Industrial Rate</v>
      </c>
      <c r="M14" s="107">
        <f t="shared" si="0"/>
        <v>1</v>
      </c>
      <c r="N14" s="107">
        <f t="shared" si="1"/>
        <v>34150560</v>
      </c>
      <c r="O14" s="109">
        <f t="shared" si="1"/>
        <v>2679903.4200510206</v>
      </c>
      <c r="P14" s="68">
        <f t="shared" si="2"/>
        <v>7.113880540244101E-2</v>
      </c>
      <c r="Q14" s="68">
        <f t="shared" si="3"/>
        <v>4.9733147958350751E-2</v>
      </c>
      <c r="R14" s="110"/>
      <c r="W14" s="22"/>
      <c r="X14" s="22"/>
      <c r="Y14" s="22"/>
      <c r="Z14" s="22"/>
      <c r="AA14" s="22"/>
    </row>
    <row r="15" spans="1:27" x14ac:dyDescent="0.25">
      <c r="A15" s="102" t="str">
        <f>'Summary of Returns'!B17</f>
        <v>Outdoor and Street Lighting</v>
      </c>
      <c r="B15" s="221">
        <f>'Summary of Returns'!C17</f>
        <v>3</v>
      </c>
      <c r="C15" s="107">
        <f>O109/12</f>
        <v>34</v>
      </c>
      <c r="D15" s="107">
        <f>O110</f>
        <v>1748913</v>
      </c>
      <c r="E15" s="109">
        <v>624736.09710360004</v>
      </c>
      <c r="F15" s="35">
        <f>O117</f>
        <v>3689.3074362913071</v>
      </c>
      <c r="G15" s="35">
        <f>P117</f>
        <v>339.62912087912088</v>
      </c>
      <c r="H15" s="108">
        <f>Q113</f>
        <v>0</v>
      </c>
      <c r="I15" s="107">
        <f>R115</f>
        <v>0</v>
      </c>
      <c r="J15" s="107">
        <f>S115</f>
        <v>0</v>
      </c>
      <c r="K15" s="107">
        <f>T115</f>
        <v>0</v>
      </c>
      <c r="L15" s="102" t="str">
        <f t="shared" si="4"/>
        <v>Outdoor and Street Lighting</v>
      </c>
      <c r="M15" s="107">
        <f t="shared" si="0"/>
        <v>34</v>
      </c>
      <c r="N15" s="107">
        <f t="shared" ref="N15:N25" si="5">D15</f>
        <v>1748913</v>
      </c>
      <c r="O15" s="109">
        <f t="shared" ref="O15:O25" si="6">E15</f>
        <v>624736.09710360004</v>
      </c>
      <c r="P15" s="68">
        <f t="shared" si="2"/>
        <v>3.6431490895844558E-3</v>
      </c>
      <c r="Q15" s="68">
        <f t="shared" si="3"/>
        <v>1.1593735997987721E-2</v>
      </c>
      <c r="R15" s="110"/>
      <c r="W15" s="22"/>
      <c r="X15" s="22"/>
      <c r="Y15" s="22"/>
      <c r="Z15" s="22"/>
      <c r="AA15" s="22"/>
    </row>
    <row r="16" spans="1:27" hidden="1" x14ac:dyDescent="0.25">
      <c r="A16" s="102">
        <f>'Summary of Returns'!B18</f>
        <v>0</v>
      </c>
      <c r="B16" s="221">
        <f>'Summary of Returns'!C18</f>
        <v>0</v>
      </c>
      <c r="C16" s="107">
        <v>0</v>
      </c>
      <c r="D16" s="107">
        <f>O120</f>
        <v>0</v>
      </c>
      <c r="E16" s="107">
        <v>0</v>
      </c>
      <c r="F16" s="35">
        <f>O127</f>
        <v>0</v>
      </c>
      <c r="G16" s="35">
        <f>P127</f>
        <v>0</v>
      </c>
      <c r="H16" s="108">
        <f>Q123</f>
        <v>0</v>
      </c>
      <c r="I16" s="107">
        <f>R125</f>
        <v>0</v>
      </c>
      <c r="J16" s="107">
        <f>S125</f>
        <v>0</v>
      </c>
      <c r="K16" s="107">
        <f>T125</f>
        <v>0</v>
      </c>
      <c r="L16" s="102">
        <f>'Summary of Returns'!M18</f>
        <v>-230572.46615802983</v>
      </c>
      <c r="M16" s="107">
        <f t="shared" si="0"/>
        <v>0</v>
      </c>
      <c r="N16" s="107">
        <f t="shared" si="5"/>
        <v>0</v>
      </c>
      <c r="O16" s="109">
        <f t="shared" si="6"/>
        <v>0</v>
      </c>
      <c r="P16" s="107">
        <f t="shared" si="2"/>
        <v>0</v>
      </c>
      <c r="Q16" s="107">
        <f t="shared" si="3"/>
        <v>0</v>
      </c>
      <c r="R16" s="110"/>
      <c r="W16" s="22"/>
      <c r="X16" s="22"/>
      <c r="Y16" s="22"/>
      <c r="Z16" s="22"/>
      <c r="AA16" s="22"/>
    </row>
    <row r="17" spans="1:27" hidden="1" x14ac:dyDescent="0.25">
      <c r="A17" s="102">
        <f>'Summary of Returns'!B19</f>
        <v>0</v>
      </c>
      <c r="B17" s="221">
        <f>'Summary of Returns'!C19</f>
        <v>0</v>
      </c>
      <c r="C17" s="107">
        <v>0</v>
      </c>
      <c r="D17" s="107">
        <f>O130</f>
        <v>0</v>
      </c>
      <c r="E17" s="107">
        <v>0</v>
      </c>
      <c r="F17" s="35">
        <f>O137</f>
        <v>0</v>
      </c>
      <c r="G17" s="35">
        <f>P137</f>
        <v>0</v>
      </c>
      <c r="H17" s="108">
        <f>Q133</f>
        <v>0</v>
      </c>
      <c r="I17" s="107">
        <f>R135</f>
        <v>0</v>
      </c>
      <c r="J17" s="107">
        <f>S135</f>
        <v>0</v>
      </c>
      <c r="K17" s="107">
        <f>T135</f>
        <v>0</v>
      </c>
      <c r="L17" s="102">
        <f>'Summary of Returns'!M19</f>
        <v>-19138.037401517457</v>
      </c>
      <c r="M17" s="107">
        <f t="shared" si="0"/>
        <v>0</v>
      </c>
      <c r="N17" s="107">
        <f t="shared" si="5"/>
        <v>0</v>
      </c>
      <c r="O17" s="109">
        <f t="shared" si="6"/>
        <v>0</v>
      </c>
      <c r="P17" s="107">
        <f t="shared" si="2"/>
        <v>0</v>
      </c>
      <c r="Q17" s="107">
        <f t="shared" si="3"/>
        <v>0</v>
      </c>
      <c r="R17" s="110"/>
      <c r="W17" s="22"/>
      <c r="X17" s="22"/>
      <c r="Y17" s="22"/>
      <c r="Z17" s="22"/>
      <c r="AA17" s="22"/>
    </row>
    <row r="18" spans="1:27" hidden="1" x14ac:dyDescent="0.25">
      <c r="A18" s="102">
        <f>'Summary of Returns'!B20</f>
        <v>0</v>
      </c>
      <c r="B18" s="221">
        <f>'Summary of Returns'!C20</f>
        <v>0</v>
      </c>
      <c r="C18" s="107">
        <v>0</v>
      </c>
      <c r="D18" s="107">
        <f>O140</f>
        <v>0</v>
      </c>
      <c r="E18" s="107">
        <v>0</v>
      </c>
      <c r="F18" s="35">
        <f>O147</f>
        <v>0</v>
      </c>
      <c r="G18" s="35">
        <f>P147</f>
        <v>0</v>
      </c>
      <c r="H18" s="107">
        <f>Q143</f>
        <v>0</v>
      </c>
      <c r="I18" s="107">
        <f>R145</f>
        <v>0</v>
      </c>
      <c r="J18" s="107">
        <f>S145</f>
        <v>0</v>
      </c>
      <c r="K18" s="107">
        <f>T145</f>
        <v>0</v>
      </c>
      <c r="L18" s="102">
        <f>'Summary of Returns'!M20</f>
        <v>-24155.278977872364</v>
      </c>
      <c r="M18" s="107">
        <f t="shared" si="0"/>
        <v>0</v>
      </c>
      <c r="N18" s="107">
        <f t="shared" si="5"/>
        <v>0</v>
      </c>
      <c r="O18" s="109">
        <f t="shared" si="6"/>
        <v>0</v>
      </c>
      <c r="P18" s="107">
        <f t="shared" si="2"/>
        <v>0</v>
      </c>
      <c r="Q18" s="107">
        <f t="shared" si="3"/>
        <v>0</v>
      </c>
      <c r="R18" s="110"/>
      <c r="W18" s="22"/>
      <c r="X18" s="22"/>
      <c r="Y18" s="22"/>
      <c r="Z18" s="22"/>
      <c r="AA18" s="22"/>
    </row>
    <row r="19" spans="1:27" hidden="1" x14ac:dyDescent="0.25">
      <c r="A19" s="102">
        <f>'Summary of Returns'!B21</f>
        <v>0</v>
      </c>
      <c r="B19" s="221">
        <f>'Summary of Returns'!C21</f>
        <v>0</v>
      </c>
      <c r="C19" s="107">
        <v>0</v>
      </c>
      <c r="D19" s="107">
        <f>O150</f>
        <v>0</v>
      </c>
      <c r="E19" s="107">
        <v>0</v>
      </c>
      <c r="F19" s="35">
        <f>O157</f>
        <v>0</v>
      </c>
      <c r="G19" s="35">
        <f>P157</f>
        <v>0</v>
      </c>
      <c r="H19" s="35">
        <f>Q153</f>
        <v>0</v>
      </c>
      <c r="I19" s="107">
        <f>R155</f>
        <v>0</v>
      </c>
      <c r="J19" s="107">
        <f>S155</f>
        <v>0</v>
      </c>
      <c r="K19" s="107">
        <f>T155</f>
        <v>0</v>
      </c>
      <c r="L19" s="102">
        <f>'Summary of Returns'!M21</f>
        <v>80390.882350300046</v>
      </c>
      <c r="M19" s="107">
        <f t="shared" si="0"/>
        <v>0</v>
      </c>
      <c r="N19" s="107">
        <f t="shared" si="5"/>
        <v>0</v>
      </c>
      <c r="O19" s="109">
        <f t="shared" si="6"/>
        <v>0</v>
      </c>
      <c r="P19" s="107">
        <f t="shared" si="2"/>
        <v>0</v>
      </c>
      <c r="Q19" s="107">
        <f t="shared" si="3"/>
        <v>0</v>
      </c>
      <c r="R19" s="110"/>
      <c r="W19" s="22"/>
      <c r="X19" s="22"/>
      <c r="Y19" s="22"/>
      <c r="Z19" s="22"/>
      <c r="AA19" s="22"/>
    </row>
    <row r="20" spans="1:27" hidden="1" x14ac:dyDescent="0.25">
      <c r="A20" s="102">
        <f>'Summary of Returns'!B22</f>
        <v>0</v>
      </c>
      <c r="B20" s="221">
        <f>'Summary of Returns'!C22</f>
        <v>0</v>
      </c>
      <c r="C20" s="107">
        <v>0</v>
      </c>
      <c r="D20" s="107">
        <f>O160</f>
        <v>0</v>
      </c>
      <c r="E20" s="107">
        <v>0</v>
      </c>
      <c r="F20" s="35">
        <f>O167</f>
        <v>0</v>
      </c>
      <c r="G20" s="35">
        <f>P167</f>
        <v>0</v>
      </c>
      <c r="H20" s="108">
        <f>Q163</f>
        <v>0</v>
      </c>
      <c r="I20" s="107">
        <f>R165</f>
        <v>0</v>
      </c>
      <c r="J20" s="107">
        <f>S165</f>
        <v>0</v>
      </c>
      <c r="K20" s="107">
        <f>T165</f>
        <v>0</v>
      </c>
      <c r="L20" s="102">
        <f>'Summary of Returns'!M22</f>
        <v>0</v>
      </c>
      <c r="M20" s="107">
        <f t="shared" si="0"/>
        <v>0</v>
      </c>
      <c r="N20" s="107">
        <f t="shared" si="5"/>
        <v>0</v>
      </c>
      <c r="O20" s="109">
        <f t="shared" si="6"/>
        <v>0</v>
      </c>
      <c r="P20" s="107">
        <f t="shared" si="2"/>
        <v>0</v>
      </c>
      <c r="Q20" s="107">
        <f t="shared" si="3"/>
        <v>0</v>
      </c>
      <c r="R20" s="110"/>
      <c r="W20" s="22"/>
      <c r="X20" s="22"/>
      <c r="Y20" s="22"/>
      <c r="Z20" s="22"/>
      <c r="AA20" s="22"/>
    </row>
    <row r="21" spans="1:27" hidden="1" x14ac:dyDescent="0.25">
      <c r="A21" s="102">
        <f>'Summary of Returns'!B23</f>
        <v>0</v>
      </c>
      <c r="B21" s="221">
        <f>'Summary of Returns'!C23</f>
        <v>0</v>
      </c>
      <c r="C21" s="107">
        <v>0</v>
      </c>
      <c r="D21" s="107">
        <f>O170</f>
        <v>0</v>
      </c>
      <c r="E21" s="107"/>
      <c r="F21" s="35">
        <f>O177</f>
        <v>0</v>
      </c>
      <c r="G21" s="35">
        <f>P177</f>
        <v>0</v>
      </c>
      <c r="H21" s="108">
        <f>Q173</f>
        <v>0</v>
      </c>
      <c r="I21" s="107">
        <f>R175</f>
        <v>0</v>
      </c>
      <c r="J21" s="107">
        <f>S175</f>
        <v>0</v>
      </c>
      <c r="K21" s="107">
        <f>T175</f>
        <v>0</v>
      </c>
      <c r="L21" s="102">
        <f>'Summary of Returns'!M23</f>
        <v>-264972.66417788877</v>
      </c>
      <c r="M21" s="107">
        <f t="shared" si="0"/>
        <v>0</v>
      </c>
      <c r="N21" s="107">
        <f t="shared" si="5"/>
        <v>0</v>
      </c>
      <c r="O21" s="107">
        <f t="shared" si="6"/>
        <v>0</v>
      </c>
      <c r="P21" s="107">
        <f t="shared" si="2"/>
        <v>0</v>
      </c>
      <c r="Q21" s="107">
        <f t="shared" si="3"/>
        <v>0</v>
      </c>
      <c r="R21" s="110"/>
      <c r="W21" s="22"/>
      <c r="X21" s="22"/>
      <c r="Y21" s="22"/>
      <c r="Z21" s="22"/>
      <c r="AA21" s="22"/>
    </row>
    <row r="22" spans="1:27" hidden="1" x14ac:dyDescent="0.25">
      <c r="A22" s="102">
        <f>'Summary of Returns'!B24</f>
        <v>0</v>
      </c>
      <c r="B22" s="221">
        <f>'Summary of Returns'!C24</f>
        <v>0</v>
      </c>
      <c r="C22" s="107">
        <v>0</v>
      </c>
      <c r="D22" s="107">
        <f>O180</f>
        <v>0</v>
      </c>
      <c r="E22" s="107"/>
      <c r="F22" s="35">
        <f>O187</f>
        <v>0</v>
      </c>
      <c r="G22" s="35">
        <f>P187</f>
        <v>0</v>
      </c>
      <c r="H22" s="108">
        <f>Q183</f>
        <v>0</v>
      </c>
      <c r="I22" s="107">
        <f>R185</f>
        <v>0</v>
      </c>
      <c r="J22" s="107">
        <f>S185</f>
        <v>0</v>
      </c>
      <c r="K22" s="107">
        <f>T185</f>
        <v>0</v>
      </c>
      <c r="L22" s="102">
        <f>'Summary of Returns'!M24</f>
        <v>-9063.8120487070573</v>
      </c>
      <c r="M22" s="107">
        <f t="shared" si="0"/>
        <v>0</v>
      </c>
      <c r="N22" s="107">
        <f t="shared" si="5"/>
        <v>0</v>
      </c>
      <c r="O22" s="107">
        <f t="shared" si="6"/>
        <v>0</v>
      </c>
      <c r="P22" s="107">
        <f t="shared" si="2"/>
        <v>0</v>
      </c>
      <c r="Q22" s="107">
        <f t="shared" si="3"/>
        <v>0</v>
      </c>
      <c r="R22" s="110"/>
      <c r="W22" s="22"/>
      <c r="X22" s="22"/>
      <c r="Y22" s="22"/>
      <c r="Z22" s="22"/>
      <c r="AA22" s="22"/>
    </row>
    <row r="23" spans="1:27" hidden="1" x14ac:dyDescent="0.25">
      <c r="A23" s="102">
        <f>'Summary of Returns'!B25</f>
        <v>0</v>
      </c>
      <c r="B23" s="221">
        <f>'Summary of Returns'!C25</f>
        <v>0</v>
      </c>
      <c r="C23" s="107">
        <v>0</v>
      </c>
      <c r="D23" s="107">
        <f>O190</f>
        <v>0</v>
      </c>
      <c r="E23" s="107"/>
      <c r="F23" s="35">
        <f>O197</f>
        <v>0</v>
      </c>
      <c r="G23" s="35">
        <f>P197</f>
        <v>0</v>
      </c>
      <c r="H23" s="108">
        <f>Q193</f>
        <v>0</v>
      </c>
      <c r="I23" s="107">
        <f>R195</f>
        <v>0</v>
      </c>
      <c r="J23" s="107">
        <f>S195</f>
        <v>0</v>
      </c>
      <c r="K23" s="107">
        <f>T195</f>
        <v>0</v>
      </c>
      <c r="L23" s="102">
        <f>'Summary of Returns'!M25</f>
        <v>-722250.21652676701</v>
      </c>
      <c r="M23" s="107">
        <f t="shared" si="0"/>
        <v>0</v>
      </c>
      <c r="N23" s="107">
        <f t="shared" si="5"/>
        <v>0</v>
      </c>
      <c r="O23" s="107">
        <f t="shared" si="6"/>
        <v>0</v>
      </c>
      <c r="P23" s="107">
        <f t="shared" si="2"/>
        <v>0</v>
      </c>
      <c r="Q23" s="107">
        <f t="shared" si="3"/>
        <v>0</v>
      </c>
      <c r="R23" s="110"/>
      <c r="W23" s="22"/>
      <c r="X23" s="22"/>
      <c r="Y23" s="22"/>
      <c r="Z23" s="22"/>
      <c r="AA23" s="22"/>
    </row>
    <row r="24" spans="1:27" x14ac:dyDescent="0.25">
      <c r="A24" s="31"/>
      <c r="C24" s="107"/>
      <c r="D24" s="107"/>
      <c r="E24" s="107"/>
      <c r="F24" s="35"/>
      <c r="G24" s="35"/>
      <c r="H24" s="35"/>
      <c r="I24" s="35"/>
      <c r="J24" s="35"/>
      <c r="K24" s="35"/>
      <c r="L24" s="31"/>
      <c r="M24" s="107"/>
      <c r="N24" s="107"/>
      <c r="O24" s="107"/>
      <c r="P24" s="107"/>
      <c r="Q24" s="68"/>
      <c r="R24" s="110"/>
    </row>
    <row r="25" spans="1:27" x14ac:dyDescent="0.25">
      <c r="A25" s="25" t="s">
        <v>0</v>
      </c>
      <c r="B25" s="222"/>
      <c r="C25" s="111">
        <f t="shared" ref="C25:K25" si="7">SUM(C8:C24)</f>
        <v>17663.083333333332</v>
      </c>
      <c r="D25" s="111">
        <f t="shared" si="7"/>
        <v>480055292</v>
      </c>
      <c r="E25" s="112">
        <f t="shared" si="7"/>
        <v>53885658.360000007</v>
      </c>
      <c r="F25" s="223">
        <f t="shared" si="7"/>
        <v>2314155.8287592698</v>
      </c>
      <c r="G25" s="223">
        <f t="shared" si="7"/>
        <v>290635.94405397354</v>
      </c>
      <c r="H25" s="223">
        <f t="shared" si="7"/>
        <v>178539.27864249208</v>
      </c>
      <c r="I25" s="223">
        <f t="shared" si="7"/>
        <v>1049932.9975914098</v>
      </c>
      <c r="J25" s="223">
        <f t="shared" si="7"/>
        <v>270406.99909922149</v>
      </c>
      <c r="K25" s="223">
        <f t="shared" si="7"/>
        <v>779525.9984921884</v>
      </c>
      <c r="L25" s="25" t="s">
        <v>0</v>
      </c>
      <c r="M25" s="111">
        <f t="shared" si="0"/>
        <v>17663.083333333332</v>
      </c>
      <c r="N25" s="111">
        <f t="shared" si="5"/>
        <v>480055292</v>
      </c>
      <c r="O25" s="112">
        <f t="shared" si="6"/>
        <v>53885658.360000007</v>
      </c>
      <c r="P25" s="113">
        <f>D25/$D$25</f>
        <v>1</v>
      </c>
      <c r="Q25" s="113">
        <f>E25/$E$25</f>
        <v>1</v>
      </c>
      <c r="R25" s="110"/>
      <c r="W25" s="22"/>
      <c r="X25" s="22"/>
      <c r="Y25" s="22"/>
      <c r="Z25" s="22"/>
      <c r="AA25" s="22"/>
    </row>
    <row r="26" spans="1:27" x14ac:dyDescent="0.25">
      <c r="A26" s="31"/>
      <c r="C26" s="146"/>
      <c r="D26" s="146"/>
      <c r="E26" s="147"/>
      <c r="F26" s="35"/>
      <c r="G26" s="35"/>
      <c r="H26" s="35"/>
      <c r="I26" s="35"/>
      <c r="J26" s="35"/>
      <c r="K26" s="35"/>
      <c r="L26" s="31" t="s">
        <v>1020</v>
      </c>
      <c r="M26" s="146">
        <f>SUM(M8:M13)</f>
        <v>17628.083333333332</v>
      </c>
      <c r="N26" s="146"/>
      <c r="O26" s="147"/>
      <c r="P26" s="77"/>
      <c r="Q26" s="77"/>
      <c r="R26" s="110"/>
      <c r="W26" s="22"/>
      <c r="X26" s="22"/>
      <c r="Y26" s="22"/>
      <c r="Z26" s="22"/>
      <c r="AA26" s="22"/>
    </row>
    <row r="27" spans="1:27" x14ac:dyDescent="0.25">
      <c r="A27" s="31"/>
      <c r="C27" s="50">
        <v>17581</v>
      </c>
      <c r="D27" s="107">
        <v>483741084</v>
      </c>
      <c r="E27" s="109">
        <v>54540957</v>
      </c>
      <c r="F27" s="165" t="s">
        <v>1081</v>
      </c>
      <c r="G27" s="35"/>
      <c r="H27" s="35"/>
      <c r="I27" s="35"/>
      <c r="J27" s="35"/>
      <c r="K27" s="35"/>
      <c r="L27" s="50"/>
      <c r="M27" s="107"/>
      <c r="N27" s="107"/>
      <c r="O27" s="109"/>
      <c r="P27" s="50"/>
      <c r="Q27" s="110"/>
      <c r="R27" s="110"/>
    </row>
    <row r="28" spans="1:27" x14ac:dyDescent="0.25">
      <c r="C28" s="107">
        <f>C25-C27</f>
        <v>82.083333333332121</v>
      </c>
      <c r="D28" s="107">
        <f>D25-D27</f>
        <v>-3685792</v>
      </c>
      <c r="E28" s="109">
        <f>E25-E27</f>
        <v>-655298.63999999315</v>
      </c>
      <c r="F28" s="154" t="s">
        <v>954</v>
      </c>
      <c r="G28" s="35"/>
      <c r="H28" s="35"/>
      <c r="I28" s="35"/>
      <c r="J28" s="35"/>
      <c r="K28" s="35"/>
      <c r="L28" s="50"/>
      <c r="M28" s="107"/>
      <c r="N28" s="107"/>
      <c r="O28" s="109"/>
      <c r="Q28" s="35"/>
    </row>
    <row r="29" spans="1:27" x14ac:dyDescent="0.25">
      <c r="C29" s="145">
        <f>C28/C27</f>
        <v>4.6688660106553731E-3</v>
      </c>
      <c r="D29" s="145">
        <f>D28/D27</f>
        <v>-7.6193487010088228E-3</v>
      </c>
      <c r="E29" s="145">
        <f>E28/E27</f>
        <v>-1.2014799080258038E-2</v>
      </c>
      <c r="F29" s="154" t="s">
        <v>954</v>
      </c>
      <c r="G29" s="35"/>
      <c r="H29" s="35"/>
      <c r="I29" s="35"/>
      <c r="J29" s="35"/>
      <c r="K29" s="35"/>
      <c r="L29" s="50"/>
      <c r="M29" s="107"/>
      <c r="N29" s="107"/>
      <c r="O29" s="107"/>
      <c r="Q29" s="35"/>
    </row>
    <row r="30" spans="1:27" x14ac:dyDescent="0.25">
      <c r="C30" s="171"/>
      <c r="D30" s="145"/>
      <c r="E30" s="145"/>
      <c r="F30" s="35"/>
      <c r="G30" s="35"/>
      <c r="H30" s="35"/>
      <c r="I30" s="35"/>
      <c r="J30" s="35"/>
      <c r="K30" s="35"/>
      <c r="L30" s="50"/>
      <c r="M30" s="107"/>
      <c r="N30" s="107"/>
      <c r="O30" s="107"/>
      <c r="Q30" s="35"/>
    </row>
    <row r="31" spans="1:27" x14ac:dyDescent="0.25">
      <c r="C31" s="107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35"/>
    </row>
    <row r="32" spans="1:27" x14ac:dyDescent="0.25"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U32" s="102"/>
      <c r="W32" s="102"/>
    </row>
    <row r="33" spans="1:23" x14ac:dyDescent="0.25">
      <c r="A33" s="13" t="str">
        <f>A1</f>
        <v>SHELBY ENERGY</v>
      </c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114"/>
      <c r="P33" s="114"/>
      <c r="Q33" s="114"/>
      <c r="U33" s="102"/>
      <c r="W33" s="102"/>
    </row>
    <row r="34" spans="1:23" x14ac:dyDescent="0.25">
      <c r="A34" s="14" t="s">
        <v>676</v>
      </c>
      <c r="C34" s="182">
        <f>24*31</f>
        <v>744</v>
      </c>
      <c r="D34" s="182">
        <f>24*28</f>
        <v>672</v>
      </c>
      <c r="E34" s="182">
        <f t="shared" ref="E34:N34" si="8">24*31</f>
        <v>744</v>
      </c>
      <c r="F34" s="182">
        <f>24*30</f>
        <v>720</v>
      </c>
      <c r="G34" s="182">
        <f t="shared" si="8"/>
        <v>744</v>
      </c>
      <c r="H34" s="182">
        <f>24*30</f>
        <v>720</v>
      </c>
      <c r="I34" s="182">
        <f t="shared" si="8"/>
        <v>744</v>
      </c>
      <c r="J34" s="182">
        <f t="shared" si="8"/>
        <v>744</v>
      </c>
      <c r="K34" s="182">
        <f>24*30</f>
        <v>720</v>
      </c>
      <c r="L34" s="182">
        <f t="shared" si="8"/>
        <v>744</v>
      </c>
      <c r="M34" s="182">
        <f>24*30</f>
        <v>720</v>
      </c>
      <c r="N34" s="182">
        <f t="shared" si="8"/>
        <v>744</v>
      </c>
      <c r="O34" s="114"/>
      <c r="P34" s="114"/>
      <c r="Q34" s="114"/>
      <c r="U34" s="102"/>
      <c r="W34" s="102"/>
    </row>
    <row r="35" spans="1:23" ht="30.75" customHeight="1" x14ac:dyDescent="0.25">
      <c r="C35" s="182"/>
      <c r="D35" s="182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50"/>
      <c r="P35" s="50"/>
      <c r="Q35" s="115" t="s">
        <v>693</v>
      </c>
    </row>
    <row r="36" spans="1:23" x14ac:dyDescent="0.25">
      <c r="C36" s="182">
        <f>C201</f>
        <v>2.897330850828439E-4</v>
      </c>
      <c r="D36" s="182">
        <f t="shared" ref="D36:N36" si="9">D201</f>
        <v>9.6282832964789122E-4</v>
      </c>
      <c r="E36" s="182">
        <f t="shared" si="9"/>
        <v>-8.8359229266643524E-8</v>
      </c>
      <c r="F36" s="182">
        <f t="shared" si="9"/>
        <v>-5.7721626944839954E-7</v>
      </c>
      <c r="G36" s="182">
        <f t="shared" si="9"/>
        <v>-9.1677065938711166E-8</v>
      </c>
      <c r="H36" s="182">
        <f t="shared" si="9"/>
        <v>9.0083699615206569E-4</v>
      </c>
      <c r="I36" s="182">
        <f t="shared" si="9"/>
        <v>-2.2133463062345982E-8</v>
      </c>
      <c r="J36" s="182">
        <f t="shared" si="9"/>
        <v>-3.6336132325232029E-8</v>
      </c>
      <c r="K36" s="182">
        <f t="shared" si="9"/>
        <v>-8.2087353803217411E-8</v>
      </c>
      <c r="L36" s="182">
        <f t="shared" si="9"/>
        <v>-4.6822242438793182E-7</v>
      </c>
      <c r="M36" s="182">
        <f t="shared" si="9"/>
        <v>-5.4990232456475496E-7</v>
      </c>
      <c r="N36" s="182">
        <f t="shared" si="9"/>
        <v>2.5710754562169313E-4</v>
      </c>
      <c r="O36" s="50"/>
      <c r="P36" s="22" t="s">
        <v>688</v>
      </c>
      <c r="Q36" s="224" t="s">
        <v>694</v>
      </c>
      <c r="R36" s="22" t="s">
        <v>684</v>
      </c>
      <c r="S36" s="22" t="s">
        <v>686</v>
      </c>
      <c r="T36" s="22" t="s">
        <v>687</v>
      </c>
    </row>
    <row r="37" spans="1:23" s="225" customFormat="1" ht="16.8" x14ac:dyDescent="0.55000000000000004">
      <c r="A37" s="116" t="s">
        <v>865</v>
      </c>
      <c r="B37" s="117" t="s">
        <v>866</v>
      </c>
      <c r="C37" s="118" t="s">
        <v>1026</v>
      </c>
      <c r="D37" s="118" t="s">
        <v>1027</v>
      </c>
      <c r="E37" s="118" t="s">
        <v>1028</v>
      </c>
      <c r="F37" s="118" t="s">
        <v>1029</v>
      </c>
      <c r="G37" s="118" t="s">
        <v>1030</v>
      </c>
      <c r="H37" s="118" t="s">
        <v>1031</v>
      </c>
      <c r="I37" s="118" t="s">
        <v>1032</v>
      </c>
      <c r="J37" s="118" t="s">
        <v>1033</v>
      </c>
      <c r="K37" s="118" t="s">
        <v>1034</v>
      </c>
      <c r="L37" s="118" t="s">
        <v>1035</v>
      </c>
      <c r="M37" s="118" t="s">
        <v>1036</v>
      </c>
      <c r="N37" s="118" t="s">
        <v>1037</v>
      </c>
      <c r="O37" s="119" t="s">
        <v>0</v>
      </c>
      <c r="P37" s="119" t="s">
        <v>682</v>
      </c>
      <c r="Q37" s="119" t="s">
        <v>695</v>
      </c>
      <c r="R37" s="119" t="s">
        <v>689</v>
      </c>
      <c r="S37" s="119" t="s">
        <v>689</v>
      </c>
      <c r="T37" s="119" t="s">
        <v>689</v>
      </c>
    </row>
    <row r="38" spans="1:23" x14ac:dyDescent="0.25"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35"/>
    </row>
    <row r="39" spans="1:23" x14ac:dyDescent="0.25">
      <c r="A39" s="15" t="str">
        <f>A8</f>
        <v>Residential Service</v>
      </c>
      <c r="B39" s="58">
        <f>B8</f>
        <v>12</v>
      </c>
      <c r="C39" s="50">
        <v>12789</v>
      </c>
      <c r="D39" s="50">
        <v>12797</v>
      </c>
      <c r="E39" s="50">
        <v>12843</v>
      </c>
      <c r="F39" s="50">
        <v>12919</v>
      </c>
      <c r="G39" s="50">
        <v>12992</v>
      </c>
      <c r="H39" s="50">
        <v>13002</v>
      </c>
      <c r="I39" s="50">
        <v>13016</v>
      </c>
      <c r="J39" s="50">
        <v>13025</v>
      </c>
      <c r="K39" s="50">
        <v>13056</v>
      </c>
      <c r="L39" s="50">
        <v>13082</v>
      </c>
      <c r="M39" s="50">
        <v>13044</v>
      </c>
      <c r="N39" s="50">
        <v>13040</v>
      </c>
      <c r="O39" s="50">
        <f>SUM(C39:N39)</f>
        <v>155605</v>
      </c>
      <c r="P39" s="50"/>
      <c r="Q39" s="35"/>
    </row>
    <row r="40" spans="1:23" x14ac:dyDescent="0.25">
      <c r="A40" s="14" t="s">
        <v>935</v>
      </c>
      <c r="C40" s="50">
        <v>25989228</v>
      </c>
      <c r="D40" s="50">
        <v>23248147</v>
      </c>
      <c r="E40" s="50">
        <v>16891150</v>
      </c>
      <c r="F40" s="50">
        <v>14284843</v>
      </c>
      <c r="G40" s="50">
        <v>13294413</v>
      </c>
      <c r="H40" s="50">
        <v>17702520</v>
      </c>
      <c r="I40" s="50">
        <v>19128014</v>
      </c>
      <c r="J40" s="50">
        <v>17456736</v>
      </c>
      <c r="K40" s="50">
        <v>14820118</v>
      </c>
      <c r="L40" s="50">
        <v>12326564</v>
      </c>
      <c r="M40" s="50">
        <v>19824452</v>
      </c>
      <c r="N40" s="50">
        <v>20330882</v>
      </c>
      <c r="O40" s="50">
        <f>SUM(C40:N40)</f>
        <v>215297067</v>
      </c>
      <c r="P40" s="114"/>
      <c r="Q40" s="114"/>
      <c r="U40" s="102"/>
      <c r="W40" s="102"/>
    </row>
    <row r="41" spans="1:23" x14ac:dyDescent="0.25">
      <c r="A41" s="14" t="s">
        <v>679</v>
      </c>
      <c r="C41" s="50">
        <f>C40/C$34</f>
        <v>34931.758064516129</v>
      </c>
      <c r="D41" s="50">
        <f t="shared" ref="D41:N41" si="10">D40/D$34</f>
        <v>34595.456845238092</v>
      </c>
      <c r="E41" s="50">
        <f t="shared" si="10"/>
        <v>22703.158602150539</v>
      </c>
      <c r="F41" s="50">
        <f t="shared" si="10"/>
        <v>19840.05972222222</v>
      </c>
      <c r="G41" s="50">
        <f t="shared" si="10"/>
        <v>17868.834677419356</v>
      </c>
      <c r="H41" s="50">
        <f t="shared" si="10"/>
        <v>24586.833333333332</v>
      </c>
      <c r="I41" s="50">
        <f t="shared" si="10"/>
        <v>25709.696236559139</v>
      </c>
      <c r="J41" s="50">
        <f t="shared" si="10"/>
        <v>23463.354838709678</v>
      </c>
      <c r="K41" s="50">
        <f t="shared" si="10"/>
        <v>20583.49722222222</v>
      </c>
      <c r="L41" s="50">
        <f t="shared" si="10"/>
        <v>16567.962365591397</v>
      </c>
      <c r="M41" s="50">
        <f t="shared" si="10"/>
        <v>27533.961111111112</v>
      </c>
      <c r="N41" s="50">
        <f t="shared" si="10"/>
        <v>27326.454301075268</v>
      </c>
      <c r="O41" s="50">
        <f>O40/8760</f>
        <v>24577.290753424659</v>
      </c>
      <c r="P41" s="50"/>
      <c r="Q41" s="50"/>
    </row>
    <row r="42" spans="1:23" x14ac:dyDescent="0.25">
      <c r="A42" s="14" t="s">
        <v>754</v>
      </c>
      <c r="B42" s="28" t="s">
        <v>1010</v>
      </c>
      <c r="C42" s="68">
        <v>0.46208775883712477</v>
      </c>
      <c r="D42" s="68">
        <v>0.47557985582739909</v>
      </c>
      <c r="E42" s="68">
        <v>0.3677996758708667</v>
      </c>
      <c r="F42" s="68">
        <v>0.37354052121106635</v>
      </c>
      <c r="G42" s="68">
        <v>0.30299127631895723</v>
      </c>
      <c r="H42" s="68">
        <v>0.35358815491187051</v>
      </c>
      <c r="I42" s="68">
        <v>0.39149055800577864</v>
      </c>
      <c r="J42" s="68">
        <v>0.37036588552192301</v>
      </c>
      <c r="K42" s="68">
        <v>0.33536047971054683</v>
      </c>
      <c r="L42" s="68">
        <v>0.34074069674215302</v>
      </c>
      <c r="M42" s="68">
        <v>0.533796815103313</v>
      </c>
      <c r="N42" s="68">
        <v>0.30225847910188525</v>
      </c>
      <c r="O42" s="68"/>
      <c r="Q42" s="35"/>
    </row>
    <row r="43" spans="1:23" x14ac:dyDescent="0.25">
      <c r="A43" s="14" t="s">
        <v>755</v>
      </c>
      <c r="C43" s="50">
        <f>C41/C42</f>
        <v>75595.506257132351</v>
      </c>
      <c r="D43" s="50">
        <f t="shared" ref="D43:N43" si="11">D41/D42</f>
        <v>72743.73887230776</v>
      </c>
      <c r="E43" s="50">
        <f t="shared" si="11"/>
        <v>61726.967399834102</v>
      </c>
      <c r="F43" s="50">
        <f t="shared" si="11"/>
        <v>53113.540822554402</v>
      </c>
      <c r="G43" s="50">
        <f t="shared" si="11"/>
        <v>58974.749684241513</v>
      </c>
      <c r="H43" s="50">
        <f t="shared" si="11"/>
        <v>69535.229027854279</v>
      </c>
      <c r="I43" s="50">
        <f t="shared" si="11"/>
        <v>65671.306014434318</v>
      </c>
      <c r="J43" s="50">
        <f t="shared" si="11"/>
        <v>63351.825197520295</v>
      </c>
      <c r="K43" s="50">
        <f t="shared" si="11"/>
        <v>61377.229779692745</v>
      </c>
      <c r="L43" s="50">
        <f t="shared" si="11"/>
        <v>48623.374090617617</v>
      </c>
      <c r="M43" s="50">
        <f t="shared" si="11"/>
        <v>51581.351428224778</v>
      </c>
      <c r="N43" s="50">
        <f t="shared" si="11"/>
        <v>90407.568986225437</v>
      </c>
      <c r="O43" s="50">
        <f>SUM(C43:N43)</f>
        <v>772702.38756063965</v>
      </c>
      <c r="Q43" s="35">
        <f>MAX(C43:N43)</f>
        <v>90407.568986225437</v>
      </c>
    </row>
    <row r="44" spans="1:23" x14ac:dyDescent="0.25">
      <c r="A44" s="14" t="s">
        <v>680</v>
      </c>
      <c r="C44" s="68">
        <v>0.85</v>
      </c>
      <c r="D44" s="68">
        <v>0.85</v>
      </c>
      <c r="E44" s="68">
        <v>0.85</v>
      </c>
      <c r="F44" s="68">
        <v>0.8</v>
      </c>
      <c r="G44" s="68">
        <v>0.85</v>
      </c>
      <c r="H44" s="68">
        <v>0.9</v>
      </c>
      <c r="I44" s="68">
        <v>0.95</v>
      </c>
      <c r="J44" s="68">
        <v>0.95</v>
      </c>
      <c r="K44" s="68">
        <v>0.9</v>
      </c>
      <c r="L44" s="68">
        <v>0.85</v>
      </c>
      <c r="M44" s="68">
        <v>0.8</v>
      </c>
      <c r="N44" s="68">
        <v>0.85</v>
      </c>
      <c r="O44" s="68"/>
      <c r="P44" s="50"/>
      <c r="Q44" s="35"/>
    </row>
    <row r="45" spans="1:23" x14ac:dyDescent="0.25">
      <c r="A45" s="14" t="s">
        <v>681</v>
      </c>
      <c r="C45" s="50">
        <f>C43*C44</f>
        <v>64256.180318562496</v>
      </c>
      <c r="D45" s="50">
        <f t="shared" ref="D45:N45" si="12">D43*D44</f>
        <v>61832.178041461593</v>
      </c>
      <c r="E45" s="50">
        <f t="shared" si="12"/>
        <v>52467.922289858987</v>
      </c>
      <c r="F45" s="50">
        <f t="shared" si="12"/>
        <v>42490.832658043524</v>
      </c>
      <c r="G45" s="50">
        <f t="shared" si="12"/>
        <v>50128.537231605282</v>
      </c>
      <c r="H45" s="50">
        <f t="shared" si="12"/>
        <v>62581.706125068849</v>
      </c>
      <c r="I45" s="50">
        <f t="shared" si="12"/>
        <v>62387.740713712599</v>
      </c>
      <c r="J45" s="50">
        <f t="shared" si="12"/>
        <v>60184.233937644276</v>
      </c>
      <c r="K45" s="50">
        <f t="shared" si="12"/>
        <v>55239.506801723473</v>
      </c>
      <c r="L45" s="50">
        <f t="shared" si="12"/>
        <v>41329.867977024973</v>
      </c>
      <c r="M45" s="50">
        <f t="shared" si="12"/>
        <v>41265.081142579824</v>
      </c>
      <c r="N45" s="50">
        <f t="shared" si="12"/>
        <v>76846.433638291623</v>
      </c>
      <c r="O45" s="50">
        <f>SUM(C45:N45)</f>
        <v>671010.22087557742</v>
      </c>
      <c r="P45" s="50"/>
      <c r="Q45" s="35"/>
      <c r="R45" s="35">
        <f>O45</f>
        <v>671010.22087557742</v>
      </c>
      <c r="S45" s="35">
        <f>H45+I45+J45</f>
        <v>185153.68077642572</v>
      </c>
      <c r="T45" s="35">
        <f>R45-S45</f>
        <v>485856.54009915167</v>
      </c>
    </row>
    <row r="46" spans="1:23" x14ac:dyDescent="0.25">
      <c r="A46" s="14" t="s">
        <v>756</v>
      </c>
      <c r="C46" s="68">
        <v>0.18</v>
      </c>
      <c r="D46" s="68">
        <v>0.18</v>
      </c>
      <c r="E46" s="68">
        <v>0.18</v>
      </c>
      <c r="F46" s="68">
        <v>0.18</v>
      </c>
      <c r="G46" s="68">
        <v>0.18</v>
      </c>
      <c r="H46" s="68">
        <v>0.18</v>
      </c>
      <c r="I46" s="68">
        <v>0.18</v>
      </c>
      <c r="J46" s="68">
        <v>0.18</v>
      </c>
      <c r="K46" s="68">
        <v>0.18</v>
      </c>
      <c r="L46" s="68">
        <v>0.18</v>
      </c>
      <c r="M46" s="68">
        <v>0.18</v>
      </c>
      <c r="N46" s="68">
        <v>0.18</v>
      </c>
      <c r="O46" s="68"/>
      <c r="P46" s="114"/>
      <c r="Q46" s="114"/>
      <c r="U46" s="102"/>
      <c r="W46" s="102"/>
    </row>
    <row r="47" spans="1:23" x14ac:dyDescent="0.25">
      <c r="A47" s="14" t="s">
        <v>757</v>
      </c>
      <c r="C47" s="50">
        <f>C41/C46</f>
        <v>194065.32258064518</v>
      </c>
      <c r="D47" s="50">
        <f t="shared" ref="D47:N47" si="13">D41/D46</f>
        <v>192196.98247354495</v>
      </c>
      <c r="E47" s="50">
        <f t="shared" si="13"/>
        <v>126128.65890083634</v>
      </c>
      <c r="F47" s="50">
        <f t="shared" si="13"/>
        <v>110222.55401234567</v>
      </c>
      <c r="G47" s="50">
        <f t="shared" si="13"/>
        <v>99271.303763440868</v>
      </c>
      <c r="H47" s="50">
        <f t="shared" si="13"/>
        <v>136593.51851851851</v>
      </c>
      <c r="I47" s="50">
        <f t="shared" si="13"/>
        <v>142831.64575866188</v>
      </c>
      <c r="J47" s="50">
        <f t="shared" si="13"/>
        <v>130351.97132616489</v>
      </c>
      <c r="K47" s="50">
        <f t="shared" si="13"/>
        <v>114352.762345679</v>
      </c>
      <c r="L47" s="50">
        <f t="shared" si="13"/>
        <v>92044.235364396649</v>
      </c>
      <c r="M47" s="50">
        <f t="shared" si="13"/>
        <v>152966.45061728396</v>
      </c>
      <c r="N47" s="50">
        <f t="shared" si="13"/>
        <v>151813.63500597372</v>
      </c>
      <c r="O47" s="50">
        <f>SUM(C47:N47)</f>
        <v>1642839.0406674917</v>
      </c>
      <c r="P47" s="50">
        <f>MAX(C47:N47)</f>
        <v>194065.32258064518</v>
      </c>
      <c r="Q47" s="50"/>
    </row>
    <row r="48" spans="1:23" x14ac:dyDescent="0.25"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</row>
    <row r="49" spans="1:23" x14ac:dyDescent="0.25">
      <c r="A49" s="15" t="str">
        <f>A9</f>
        <v>Off Peak Retail Marketing (ETS)</v>
      </c>
      <c r="B49" s="58">
        <f>B9</f>
        <v>9</v>
      </c>
      <c r="C49" s="50">
        <v>31</v>
      </c>
      <c r="D49" s="50">
        <v>29</v>
      </c>
      <c r="E49" s="50">
        <v>30</v>
      </c>
      <c r="F49" s="50">
        <v>22</v>
      </c>
      <c r="G49" s="50">
        <v>11</v>
      </c>
      <c r="H49" s="50">
        <v>6</v>
      </c>
      <c r="I49" s="50">
        <v>3</v>
      </c>
      <c r="J49" s="50">
        <v>4</v>
      </c>
      <c r="K49" s="50">
        <v>11</v>
      </c>
      <c r="L49" s="50">
        <v>17</v>
      </c>
      <c r="M49" s="50">
        <v>21</v>
      </c>
      <c r="N49" s="50">
        <v>25</v>
      </c>
      <c r="O49" s="50">
        <f>SUM(C49:N49)</f>
        <v>210</v>
      </c>
      <c r="P49" s="50"/>
      <c r="Q49" s="35"/>
    </row>
    <row r="50" spans="1:23" x14ac:dyDescent="0.25">
      <c r="A50" s="14" t="s">
        <v>935</v>
      </c>
      <c r="C50" s="50">
        <v>47958</v>
      </c>
      <c r="D50" s="50">
        <v>37997</v>
      </c>
      <c r="E50" s="50">
        <v>26269</v>
      </c>
      <c r="F50" s="50">
        <v>12735</v>
      </c>
      <c r="G50" s="50">
        <v>2296</v>
      </c>
      <c r="H50" s="50">
        <v>1478</v>
      </c>
      <c r="I50" s="50">
        <v>1363</v>
      </c>
      <c r="J50" s="50">
        <v>1496</v>
      </c>
      <c r="K50" s="50">
        <v>2804</v>
      </c>
      <c r="L50" s="50">
        <v>7229</v>
      </c>
      <c r="M50" s="50">
        <v>22154</v>
      </c>
      <c r="N50" s="50">
        <v>24600</v>
      </c>
      <c r="O50" s="50">
        <f>SUM(C50:N50)</f>
        <v>188379</v>
      </c>
      <c r="P50" s="114"/>
      <c r="Q50" s="114"/>
      <c r="U50" s="102"/>
      <c r="W50" s="102"/>
    </row>
    <row r="51" spans="1:23" x14ac:dyDescent="0.25">
      <c r="A51" s="14" t="s">
        <v>679</v>
      </c>
      <c r="C51" s="50">
        <f>C50/744</f>
        <v>64.459677419354833</v>
      </c>
      <c r="D51" s="50">
        <f>D50/672</f>
        <v>56.543154761904759</v>
      </c>
      <c r="E51" s="50">
        <f t="shared" ref="E51:N51" si="14">E50/744</f>
        <v>35.307795698924728</v>
      </c>
      <c r="F51" s="50">
        <f>F50/720</f>
        <v>17.6875</v>
      </c>
      <c r="G51" s="50">
        <f t="shared" si="14"/>
        <v>3.086021505376344</v>
      </c>
      <c r="H51" s="48">
        <f>H50/720</f>
        <v>2.0527777777777776</v>
      </c>
      <c r="I51" s="48">
        <f>I50/744</f>
        <v>1.831989247311828</v>
      </c>
      <c r="J51" s="50">
        <f t="shared" si="14"/>
        <v>2.010752688172043</v>
      </c>
      <c r="K51" s="50">
        <f>K50/720</f>
        <v>3.8944444444444444</v>
      </c>
      <c r="L51" s="50">
        <f t="shared" si="14"/>
        <v>9.716397849462366</v>
      </c>
      <c r="M51" s="50">
        <f>M50/720</f>
        <v>30.769444444444446</v>
      </c>
      <c r="N51" s="50">
        <f t="shared" si="14"/>
        <v>33.064516129032256</v>
      </c>
      <c r="O51" s="50">
        <f>O50/8760</f>
        <v>21.50445205479452</v>
      </c>
      <c r="P51" s="50"/>
      <c r="Q51" s="50"/>
    </row>
    <row r="52" spans="1:23" x14ac:dyDescent="0.25">
      <c r="A52" s="14" t="s">
        <v>754</v>
      </c>
      <c r="C52" s="68">
        <v>0.25</v>
      </c>
      <c r="D52" s="68">
        <f>C52</f>
        <v>0.25</v>
      </c>
      <c r="E52" s="68">
        <f>D52</f>
        <v>0.25</v>
      </c>
      <c r="F52" s="68">
        <f t="shared" ref="F52:N52" si="15">E52</f>
        <v>0.25</v>
      </c>
      <c r="G52" s="68">
        <f t="shared" si="15"/>
        <v>0.25</v>
      </c>
      <c r="H52" s="68">
        <f t="shared" si="15"/>
        <v>0.25</v>
      </c>
      <c r="I52" s="68">
        <f t="shared" si="15"/>
        <v>0.25</v>
      </c>
      <c r="J52" s="68">
        <f t="shared" si="15"/>
        <v>0.25</v>
      </c>
      <c r="K52" s="68">
        <f t="shared" si="15"/>
        <v>0.25</v>
      </c>
      <c r="L52" s="68">
        <f t="shared" si="15"/>
        <v>0.25</v>
      </c>
      <c r="M52" s="68">
        <f t="shared" si="15"/>
        <v>0.25</v>
      </c>
      <c r="N52" s="68">
        <f t="shared" si="15"/>
        <v>0.25</v>
      </c>
      <c r="O52" s="68"/>
      <c r="Q52" s="35"/>
    </row>
    <row r="53" spans="1:23" x14ac:dyDescent="0.25">
      <c r="A53" s="14" t="s">
        <v>755</v>
      </c>
      <c r="C53" s="50">
        <f>C51/C52</f>
        <v>257.83870967741933</v>
      </c>
      <c r="D53" s="50">
        <f t="shared" ref="D53:N53" si="16">D51/D52</f>
        <v>226.17261904761904</v>
      </c>
      <c r="E53" s="50">
        <f t="shared" si="16"/>
        <v>141.23118279569891</v>
      </c>
      <c r="F53" s="50">
        <f t="shared" si="16"/>
        <v>70.75</v>
      </c>
      <c r="G53" s="50">
        <f t="shared" si="16"/>
        <v>12.344086021505376</v>
      </c>
      <c r="H53" s="50">
        <f t="shared" si="16"/>
        <v>8.2111111111111104</v>
      </c>
      <c r="I53" s="50">
        <f t="shared" si="16"/>
        <v>7.327956989247312</v>
      </c>
      <c r="J53" s="50">
        <f t="shared" si="16"/>
        <v>8.043010752688172</v>
      </c>
      <c r="K53" s="50">
        <f t="shared" si="16"/>
        <v>15.577777777777778</v>
      </c>
      <c r="L53" s="50">
        <f t="shared" si="16"/>
        <v>38.865591397849464</v>
      </c>
      <c r="M53" s="50">
        <f t="shared" si="16"/>
        <v>123.07777777777778</v>
      </c>
      <c r="N53" s="50">
        <f t="shared" si="16"/>
        <v>132.25806451612902</v>
      </c>
      <c r="O53" s="50">
        <f>SUM(C53:N53)</f>
        <v>1041.6978878648233</v>
      </c>
      <c r="Q53" s="35">
        <f>MAX(C53:N53)</f>
        <v>257.83870967741933</v>
      </c>
    </row>
    <row r="54" spans="1:23" x14ac:dyDescent="0.25">
      <c r="A54" s="14" t="s">
        <v>680</v>
      </c>
      <c r="C54" s="68">
        <v>0</v>
      </c>
      <c r="D54" s="68">
        <f>C54</f>
        <v>0</v>
      </c>
      <c r="E54" s="68">
        <f t="shared" ref="E54:N54" si="17">D54</f>
        <v>0</v>
      </c>
      <c r="F54" s="68">
        <f t="shared" si="17"/>
        <v>0</v>
      </c>
      <c r="G54" s="68">
        <f t="shared" si="17"/>
        <v>0</v>
      </c>
      <c r="H54" s="68">
        <f t="shared" si="17"/>
        <v>0</v>
      </c>
      <c r="I54" s="68">
        <f t="shared" si="17"/>
        <v>0</v>
      </c>
      <c r="J54" s="68">
        <f t="shared" si="17"/>
        <v>0</v>
      </c>
      <c r="K54" s="68">
        <f t="shared" si="17"/>
        <v>0</v>
      </c>
      <c r="L54" s="68">
        <f t="shared" si="17"/>
        <v>0</v>
      </c>
      <c r="M54" s="68">
        <f t="shared" si="17"/>
        <v>0</v>
      </c>
      <c r="N54" s="68">
        <f t="shared" si="17"/>
        <v>0</v>
      </c>
      <c r="O54" s="68"/>
      <c r="P54" s="50"/>
      <c r="Q54" s="35"/>
    </row>
    <row r="55" spans="1:23" x14ac:dyDescent="0.25">
      <c r="A55" s="14" t="s">
        <v>681</v>
      </c>
      <c r="C55" s="50">
        <f>C53*C54</f>
        <v>0</v>
      </c>
      <c r="D55" s="50">
        <f t="shared" ref="D55:N55" si="18">D53*D54</f>
        <v>0</v>
      </c>
      <c r="E55" s="50">
        <f t="shared" si="18"/>
        <v>0</v>
      </c>
      <c r="F55" s="50">
        <f t="shared" si="18"/>
        <v>0</v>
      </c>
      <c r="G55" s="50">
        <f t="shared" si="18"/>
        <v>0</v>
      </c>
      <c r="H55" s="50">
        <f t="shared" si="18"/>
        <v>0</v>
      </c>
      <c r="I55" s="50">
        <f t="shared" si="18"/>
        <v>0</v>
      </c>
      <c r="J55" s="50">
        <f t="shared" si="18"/>
        <v>0</v>
      </c>
      <c r="K55" s="50">
        <f t="shared" si="18"/>
        <v>0</v>
      </c>
      <c r="L55" s="50">
        <f t="shared" si="18"/>
        <v>0</v>
      </c>
      <c r="M55" s="50">
        <f t="shared" si="18"/>
        <v>0</v>
      </c>
      <c r="N55" s="50">
        <f t="shared" si="18"/>
        <v>0</v>
      </c>
      <c r="O55" s="50">
        <f>SUM(C55:N55)</f>
        <v>0</v>
      </c>
      <c r="P55" s="50"/>
      <c r="Q55" s="35"/>
      <c r="R55" s="35">
        <f>O55</f>
        <v>0</v>
      </c>
      <c r="S55" s="35">
        <f>H55+I55+J55</f>
        <v>0</v>
      </c>
      <c r="T55" s="35">
        <f>R55-S55</f>
        <v>0</v>
      </c>
    </row>
    <row r="56" spans="1:23" x14ac:dyDescent="0.25">
      <c r="A56" s="14" t="s">
        <v>756</v>
      </c>
      <c r="C56" s="68">
        <f>C46</f>
        <v>0.18</v>
      </c>
      <c r="D56" s="68">
        <f>C56</f>
        <v>0.18</v>
      </c>
      <c r="E56" s="68">
        <f>D56</f>
        <v>0.18</v>
      </c>
      <c r="F56" s="68">
        <f t="shared" ref="F56:N56" si="19">E56</f>
        <v>0.18</v>
      </c>
      <c r="G56" s="68">
        <f t="shared" si="19"/>
        <v>0.18</v>
      </c>
      <c r="H56" s="68">
        <f t="shared" si="19"/>
        <v>0.18</v>
      </c>
      <c r="I56" s="68">
        <f t="shared" si="19"/>
        <v>0.18</v>
      </c>
      <c r="J56" s="68">
        <f t="shared" si="19"/>
        <v>0.18</v>
      </c>
      <c r="K56" s="68">
        <f t="shared" si="19"/>
        <v>0.18</v>
      </c>
      <c r="L56" s="68">
        <f t="shared" si="19"/>
        <v>0.18</v>
      </c>
      <c r="M56" s="68">
        <f t="shared" si="19"/>
        <v>0.18</v>
      </c>
      <c r="N56" s="68">
        <f t="shared" si="19"/>
        <v>0.18</v>
      </c>
      <c r="O56" s="68"/>
      <c r="P56" s="114"/>
      <c r="Q56" s="114"/>
      <c r="U56" s="102"/>
      <c r="W56" s="102"/>
    </row>
    <row r="57" spans="1:23" x14ac:dyDescent="0.25">
      <c r="A57" s="14" t="s">
        <v>757</v>
      </c>
      <c r="C57" s="50">
        <f>C51/C56</f>
        <v>358.10931899641577</v>
      </c>
      <c r="D57" s="50">
        <f t="shared" ref="D57:N57" si="20">D51/D56</f>
        <v>314.12863756613757</v>
      </c>
      <c r="E57" s="50">
        <f t="shared" si="20"/>
        <v>196.15442054958183</v>
      </c>
      <c r="F57" s="50">
        <f t="shared" si="20"/>
        <v>98.263888888888886</v>
      </c>
      <c r="G57" s="50">
        <f t="shared" si="20"/>
        <v>17.144563918757466</v>
      </c>
      <c r="H57" s="50">
        <f t="shared" si="20"/>
        <v>11.404320987654321</v>
      </c>
      <c r="I57" s="50">
        <f t="shared" si="20"/>
        <v>10.177718040621267</v>
      </c>
      <c r="J57" s="50">
        <f t="shared" si="20"/>
        <v>11.170848267622462</v>
      </c>
      <c r="K57" s="50">
        <f t="shared" si="20"/>
        <v>21.635802469135804</v>
      </c>
      <c r="L57" s="50">
        <f t="shared" si="20"/>
        <v>53.9799880525687</v>
      </c>
      <c r="M57" s="50">
        <f t="shared" si="20"/>
        <v>170.94135802469137</v>
      </c>
      <c r="N57" s="50">
        <f t="shared" si="20"/>
        <v>183.69175627240142</v>
      </c>
      <c r="O57" s="50">
        <f>SUM(C57:N57)</f>
        <v>1446.8026220344768</v>
      </c>
      <c r="P57" s="50">
        <f>MAX(C57:N57)</f>
        <v>358.10931899641577</v>
      </c>
      <c r="Q57" s="50"/>
    </row>
    <row r="58" spans="1:23" x14ac:dyDescent="0.25"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4"/>
      <c r="U58" s="102"/>
      <c r="W58" s="102"/>
    </row>
    <row r="59" spans="1:23" x14ac:dyDescent="0.25">
      <c r="A59" s="15" t="str">
        <f>A10</f>
        <v>Prepay Service</v>
      </c>
      <c r="B59" s="58">
        <f>B10</f>
        <v>15</v>
      </c>
      <c r="C59" s="50">
        <v>836</v>
      </c>
      <c r="D59" s="50">
        <v>838</v>
      </c>
      <c r="E59" s="50">
        <v>833</v>
      </c>
      <c r="F59" s="50">
        <v>818</v>
      </c>
      <c r="G59" s="50">
        <v>825</v>
      </c>
      <c r="H59" s="50">
        <v>822</v>
      </c>
      <c r="I59" s="50">
        <v>818</v>
      </c>
      <c r="J59" s="50">
        <v>810</v>
      </c>
      <c r="K59" s="50">
        <v>797</v>
      </c>
      <c r="L59" s="50">
        <v>791</v>
      </c>
      <c r="M59" s="50">
        <v>782</v>
      </c>
      <c r="N59" s="50">
        <v>779</v>
      </c>
      <c r="O59" s="50">
        <f>SUM(C59:N59)</f>
        <v>9749</v>
      </c>
      <c r="P59" s="50"/>
      <c r="Q59" s="35"/>
    </row>
    <row r="60" spans="1:23" x14ac:dyDescent="0.25">
      <c r="A60" s="14" t="s">
        <v>935</v>
      </c>
      <c r="C60" s="50">
        <v>2066902</v>
      </c>
      <c r="D60" s="50">
        <v>1441060</v>
      </c>
      <c r="E60" s="50">
        <v>1223888</v>
      </c>
      <c r="F60" s="50">
        <v>844743</v>
      </c>
      <c r="G60" s="50">
        <v>1110068</v>
      </c>
      <c r="H60" s="50">
        <v>1257638</v>
      </c>
      <c r="I60" s="50">
        <v>1284977</v>
      </c>
      <c r="J60" s="50">
        <v>1097695</v>
      </c>
      <c r="K60" s="50">
        <v>887187</v>
      </c>
      <c r="L60" s="50">
        <v>931477</v>
      </c>
      <c r="M60" s="50">
        <v>1464612</v>
      </c>
      <c r="N60" s="50">
        <v>1671950</v>
      </c>
      <c r="O60" s="50">
        <f>SUM(C60:N60)</f>
        <v>15282197</v>
      </c>
      <c r="P60" s="114"/>
      <c r="Q60" s="114"/>
      <c r="U60" s="102"/>
      <c r="W60" s="102"/>
    </row>
    <row r="61" spans="1:23" x14ac:dyDescent="0.25">
      <c r="A61" s="14" t="s">
        <v>679</v>
      </c>
      <c r="C61" s="50">
        <f>C60/C$34</f>
        <v>2778.0940860215055</v>
      </c>
      <c r="D61" s="50">
        <f t="shared" ref="D61" si="21">D60/D$34</f>
        <v>2144.4345238095239</v>
      </c>
      <c r="E61" s="50">
        <f t="shared" ref="E61" si="22">E60/E$34</f>
        <v>1645.010752688172</v>
      </c>
      <c r="F61" s="50">
        <f t="shared" ref="F61" si="23">F60/F$34</f>
        <v>1173.2541666666666</v>
      </c>
      <c r="G61" s="50">
        <f t="shared" ref="G61" si="24">G60/G$34</f>
        <v>1492.0268817204301</v>
      </c>
      <c r="H61" s="50">
        <f t="shared" ref="H61" si="25">H60/H$34</f>
        <v>1746.7194444444444</v>
      </c>
      <c r="I61" s="50">
        <f t="shared" ref="I61" si="26">I60/I$34</f>
        <v>1727.119623655914</v>
      </c>
      <c r="J61" s="50">
        <f t="shared" ref="J61" si="27">J60/J$34</f>
        <v>1475.3965053763441</v>
      </c>
      <c r="K61" s="50">
        <f t="shared" ref="K61" si="28">K60/K$34</f>
        <v>1232.2041666666667</v>
      </c>
      <c r="L61" s="50">
        <f t="shared" ref="L61" si="29">L60/L$34</f>
        <v>1251.9852150537633</v>
      </c>
      <c r="M61" s="50">
        <f t="shared" ref="M61" si="30">M60/M$34</f>
        <v>2034.1833333333334</v>
      </c>
      <c r="N61" s="50">
        <f t="shared" ref="N61" si="31">N60/N$34</f>
        <v>2247.244623655914</v>
      </c>
      <c r="O61" s="50">
        <f>O60/8760</f>
        <v>1744.5430365296804</v>
      </c>
      <c r="P61" s="50"/>
      <c r="Q61" s="50"/>
    </row>
    <row r="62" spans="1:23" x14ac:dyDescent="0.25">
      <c r="A62" s="14" t="s">
        <v>754</v>
      </c>
      <c r="C62" s="68">
        <f>C42</f>
        <v>0.46208775883712477</v>
      </c>
      <c r="D62" s="68">
        <f t="shared" ref="D62:N62" si="32">D42</f>
        <v>0.47557985582739909</v>
      </c>
      <c r="E62" s="68">
        <f t="shared" si="32"/>
        <v>0.3677996758708667</v>
      </c>
      <c r="F62" s="68">
        <f t="shared" si="32"/>
        <v>0.37354052121106635</v>
      </c>
      <c r="G62" s="68">
        <f t="shared" si="32"/>
        <v>0.30299127631895723</v>
      </c>
      <c r="H62" s="68">
        <f t="shared" si="32"/>
        <v>0.35358815491187051</v>
      </c>
      <c r="I62" s="68">
        <f t="shared" si="32"/>
        <v>0.39149055800577864</v>
      </c>
      <c r="J62" s="68">
        <f t="shared" si="32"/>
        <v>0.37036588552192301</v>
      </c>
      <c r="K62" s="68">
        <f t="shared" si="32"/>
        <v>0.33536047971054683</v>
      </c>
      <c r="L62" s="68">
        <f t="shared" si="32"/>
        <v>0.34074069674215302</v>
      </c>
      <c r="M62" s="68">
        <f t="shared" si="32"/>
        <v>0.533796815103313</v>
      </c>
      <c r="N62" s="68">
        <f t="shared" si="32"/>
        <v>0.30225847910188525</v>
      </c>
      <c r="O62" s="68"/>
      <c r="Q62" s="35"/>
    </row>
    <row r="63" spans="1:23" x14ac:dyDescent="0.25">
      <c r="A63" s="14" t="s">
        <v>755</v>
      </c>
      <c r="C63" s="50">
        <f>C61/C62</f>
        <v>6012.0486485354386</v>
      </c>
      <c r="D63" s="50">
        <f t="shared" ref="D63:N63" si="33">D61/D62</f>
        <v>4509.0945243647948</v>
      </c>
      <c r="E63" s="50">
        <f t="shared" si="33"/>
        <v>4472.5726002698548</v>
      </c>
      <c r="F63" s="50">
        <f t="shared" si="33"/>
        <v>3140.901990667106</v>
      </c>
      <c r="G63" s="50">
        <f t="shared" si="33"/>
        <v>4924.3229041016402</v>
      </c>
      <c r="H63" s="50">
        <f t="shared" si="33"/>
        <v>4939.9829156601772</v>
      </c>
      <c r="I63" s="50">
        <f t="shared" si="33"/>
        <v>4411.6507750626788</v>
      </c>
      <c r="J63" s="50">
        <f t="shared" si="33"/>
        <v>3983.6188025179526</v>
      </c>
      <c r="K63" s="50">
        <f t="shared" si="33"/>
        <v>3674.2676648429028</v>
      </c>
      <c r="L63" s="50">
        <f t="shared" si="33"/>
        <v>3674.3049099332325</v>
      </c>
      <c r="M63" s="50">
        <f t="shared" si="33"/>
        <v>3810.7820724625903</v>
      </c>
      <c r="N63" s="50">
        <f t="shared" si="33"/>
        <v>7434.8439465892143</v>
      </c>
      <c r="O63" s="50">
        <f>SUM(C63:N63)</f>
        <v>54988.391755007586</v>
      </c>
      <c r="Q63" s="35">
        <f>MAX(C63:N63)</f>
        <v>7434.8439465892143</v>
      </c>
    </row>
    <row r="64" spans="1:23" x14ac:dyDescent="0.25">
      <c r="A64" s="14" t="s">
        <v>680</v>
      </c>
      <c r="C64" s="68">
        <f>C44</f>
        <v>0.85</v>
      </c>
      <c r="D64" s="68">
        <f t="shared" ref="D64:N64" si="34">D44</f>
        <v>0.85</v>
      </c>
      <c r="E64" s="68">
        <f t="shared" si="34"/>
        <v>0.85</v>
      </c>
      <c r="F64" s="68">
        <f t="shared" si="34"/>
        <v>0.8</v>
      </c>
      <c r="G64" s="68">
        <f t="shared" si="34"/>
        <v>0.85</v>
      </c>
      <c r="H64" s="68">
        <f t="shared" si="34"/>
        <v>0.9</v>
      </c>
      <c r="I64" s="68">
        <f t="shared" si="34"/>
        <v>0.95</v>
      </c>
      <c r="J64" s="68">
        <f t="shared" si="34"/>
        <v>0.95</v>
      </c>
      <c r="K64" s="68">
        <f t="shared" si="34"/>
        <v>0.9</v>
      </c>
      <c r="L64" s="68">
        <f t="shared" si="34"/>
        <v>0.85</v>
      </c>
      <c r="M64" s="68">
        <f t="shared" si="34"/>
        <v>0.8</v>
      </c>
      <c r="N64" s="68">
        <f t="shared" si="34"/>
        <v>0.85</v>
      </c>
      <c r="O64" s="68"/>
      <c r="P64" s="50"/>
      <c r="Q64" s="35"/>
    </row>
    <row r="65" spans="1:23" x14ac:dyDescent="0.25">
      <c r="A65" s="14" t="s">
        <v>681</v>
      </c>
      <c r="C65" s="50">
        <f>C63*C64</f>
        <v>5110.2413512551229</v>
      </c>
      <c r="D65" s="50">
        <f t="shared" ref="D65:N65" si="35">D63*D64</f>
        <v>3832.7303457100757</v>
      </c>
      <c r="E65" s="50">
        <f t="shared" si="35"/>
        <v>3801.6867102293763</v>
      </c>
      <c r="F65" s="50">
        <f t="shared" si="35"/>
        <v>2512.721592533685</v>
      </c>
      <c r="G65" s="50">
        <f t="shared" si="35"/>
        <v>4185.6744684863943</v>
      </c>
      <c r="H65" s="50">
        <f t="shared" si="35"/>
        <v>4445.9846240941597</v>
      </c>
      <c r="I65" s="50">
        <f t="shared" si="35"/>
        <v>4191.0682363095448</v>
      </c>
      <c r="J65" s="50">
        <f t="shared" si="35"/>
        <v>3784.4378623920547</v>
      </c>
      <c r="K65" s="50">
        <f t="shared" si="35"/>
        <v>3306.8408983586128</v>
      </c>
      <c r="L65" s="50">
        <f t="shared" si="35"/>
        <v>3123.1591734432477</v>
      </c>
      <c r="M65" s="50">
        <f t="shared" si="35"/>
        <v>3048.6256579700726</v>
      </c>
      <c r="N65" s="50">
        <f t="shared" si="35"/>
        <v>6319.6173546008322</v>
      </c>
      <c r="O65" s="50">
        <f>SUM(C65:N65)</f>
        <v>47662.78827538318</v>
      </c>
      <c r="P65" s="50"/>
      <c r="Q65" s="35"/>
      <c r="R65" s="35">
        <f>O65</f>
        <v>47662.78827538318</v>
      </c>
      <c r="S65" s="35">
        <f>H65+I65+J65</f>
        <v>12421.490722795759</v>
      </c>
      <c r="T65" s="35">
        <f>R65-S65</f>
        <v>35241.297552587421</v>
      </c>
    </row>
    <row r="66" spans="1:23" x14ac:dyDescent="0.25">
      <c r="A66" s="14" t="s">
        <v>756</v>
      </c>
      <c r="C66" s="68">
        <f>C46</f>
        <v>0.18</v>
      </c>
      <c r="D66" s="68">
        <f>C66</f>
        <v>0.18</v>
      </c>
      <c r="E66" s="68">
        <f>D66</f>
        <v>0.18</v>
      </c>
      <c r="F66" s="68">
        <f t="shared" ref="F66" si="36">E66</f>
        <v>0.18</v>
      </c>
      <c r="G66" s="68">
        <f t="shared" ref="G66" si="37">F66</f>
        <v>0.18</v>
      </c>
      <c r="H66" s="68">
        <f t="shared" ref="H66" si="38">G66</f>
        <v>0.18</v>
      </c>
      <c r="I66" s="68">
        <f t="shared" ref="I66" si="39">H66</f>
        <v>0.18</v>
      </c>
      <c r="J66" s="68">
        <f t="shared" ref="J66" si="40">I66</f>
        <v>0.18</v>
      </c>
      <c r="K66" s="68">
        <f t="shared" ref="K66" si="41">J66</f>
        <v>0.18</v>
      </c>
      <c r="L66" s="68">
        <f t="shared" ref="L66" si="42">K66</f>
        <v>0.18</v>
      </c>
      <c r="M66" s="68">
        <f t="shared" ref="M66" si="43">L66</f>
        <v>0.18</v>
      </c>
      <c r="N66" s="68">
        <f t="shared" ref="N66" si="44">M66</f>
        <v>0.18</v>
      </c>
      <c r="O66" s="68"/>
      <c r="P66" s="114"/>
      <c r="Q66" s="114"/>
      <c r="U66" s="102"/>
      <c r="W66" s="102"/>
    </row>
    <row r="67" spans="1:23" x14ac:dyDescent="0.25">
      <c r="A67" s="14" t="s">
        <v>757</v>
      </c>
      <c r="C67" s="50">
        <f>C61/C66</f>
        <v>15433.856033452808</v>
      </c>
      <c r="D67" s="50">
        <v>3591.71</v>
      </c>
      <c r="E67" s="50">
        <v>4071.1289999999999</v>
      </c>
      <c r="F67" s="50">
        <v>4182.01</v>
      </c>
      <c r="G67" s="50">
        <v>4113.59</v>
      </c>
      <c r="H67" s="50">
        <v>4614.7359999999999</v>
      </c>
      <c r="I67" s="50">
        <v>4315.3869999999997</v>
      </c>
      <c r="J67" s="50">
        <v>4035.087</v>
      </c>
      <c r="K67" s="50">
        <v>3944.1080000000002</v>
      </c>
      <c r="L67" s="50">
        <v>3889.9119999999998</v>
      </c>
      <c r="M67" s="50">
        <v>3650.136</v>
      </c>
      <c r="N67" s="50">
        <v>3667.5940000000001</v>
      </c>
      <c r="O67" s="50">
        <f>SUM(C67:N67)</f>
        <v>59509.255033452806</v>
      </c>
      <c r="P67" s="50">
        <f>MAX(C67:N67)</f>
        <v>15433.856033452808</v>
      </c>
      <c r="Q67" s="50"/>
    </row>
    <row r="68" spans="1:23" x14ac:dyDescent="0.25"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35"/>
    </row>
    <row r="69" spans="1:23" x14ac:dyDescent="0.25">
      <c r="A69" s="15" t="str">
        <f>A11</f>
        <v>General Service</v>
      </c>
      <c r="B69" s="58">
        <f>B11</f>
        <v>11</v>
      </c>
      <c r="C69" s="50">
        <v>3696</v>
      </c>
      <c r="D69" s="50">
        <v>3714</v>
      </c>
      <c r="E69" s="50">
        <v>3719</v>
      </c>
      <c r="F69" s="50">
        <v>3709</v>
      </c>
      <c r="G69" s="50">
        <v>3701</v>
      </c>
      <c r="H69" s="50">
        <v>3729</v>
      </c>
      <c r="I69" s="50">
        <v>3735</v>
      </c>
      <c r="J69" s="50">
        <v>3755</v>
      </c>
      <c r="K69" s="50">
        <v>3782</v>
      </c>
      <c r="L69" s="50">
        <v>3840</v>
      </c>
      <c r="M69" s="50">
        <v>3845</v>
      </c>
      <c r="N69" s="50">
        <v>3845</v>
      </c>
      <c r="O69" s="50">
        <f>SUM(C69:N69)</f>
        <v>45070</v>
      </c>
      <c r="P69" s="50"/>
      <c r="Q69" s="35"/>
    </row>
    <row r="70" spans="1:23" x14ac:dyDescent="0.25">
      <c r="A70" s="14" t="s">
        <v>935</v>
      </c>
      <c r="C70" s="50">
        <v>3657788</v>
      </c>
      <c r="D70" s="50">
        <v>3427223</v>
      </c>
      <c r="E70" s="50">
        <v>2868755</v>
      </c>
      <c r="F70" s="50">
        <v>2656865</v>
      </c>
      <c r="G70" s="50">
        <v>2684122</v>
      </c>
      <c r="H70" s="50">
        <v>3155602</v>
      </c>
      <c r="I70" s="50">
        <v>3321744</v>
      </c>
      <c r="J70" s="50">
        <v>3262272</v>
      </c>
      <c r="K70" s="50">
        <v>3041071</v>
      </c>
      <c r="L70" s="50">
        <v>2713042</v>
      </c>
      <c r="M70" s="50">
        <v>3593643</v>
      </c>
      <c r="N70" s="50">
        <v>3017486</v>
      </c>
      <c r="O70" s="50">
        <f>SUM(C70:N70)</f>
        <v>37399613</v>
      </c>
      <c r="P70" s="114"/>
      <c r="Q70" s="114"/>
      <c r="U70" s="102"/>
      <c r="W70" s="102"/>
    </row>
    <row r="71" spans="1:23" x14ac:dyDescent="0.25">
      <c r="A71" s="14" t="s">
        <v>679</v>
      </c>
      <c r="C71" s="50">
        <f>C70/C$34</f>
        <v>4916.3817204301076</v>
      </c>
      <c r="D71" s="50">
        <f t="shared" ref="D71:N71" si="45">D70/D$34</f>
        <v>5100.0342261904761</v>
      </c>
      <c r="E71" s="50">
        <f t="shared" si="45"/>
        <v>3855.8534946236559</v>
      </c>
      <c r="F71" s="50">
        <f t="shared" si="45"/>
        <v>3690.0902777777778</v>
      </c>
      <c r="G71" s="50">
        <f t="shared" si="45"/>
        <v>3607.6908602150538</v>
      </c>
      <c r="H71" s="50">
        <f t="shared" si="45"/>
        <v>4382.7805555555551</v>
      </c>
      <c r="I71" s="50">
        <f t="shared" si="45"/>
        <v>4464.7096774193551</v>
      </c>
      <c r="J71" s="50">
        <f t="shared" si="45"/>
        <v>4384.7741935483873</v>
      </c>
      <c r="K71" s="50">
        <f t="shared" si="45"/>
        <v>4223.7097222222219</v>
      </c>
      <c r="L71" s="50">
        <f t="shared" si="45"/>
        <v>3646.5618279569894</v>
      </c>
      <c r="M71" s="50">
        <f t="shared" si="45"/>
        <v>4991.1708333333336</v>
      </c>
      <c r="N71" s="50">
        <f t="shared" si="45"/>
        <v>4055.760752688172</v>
      </c>
      <c r="O71" s="50">
        <f>O70/8760</f>
        <v>4269.3622146118723</v>
      </c>
      <c r="P71" s="50"/>
      <c r="Q71" s="50"/>
    </row>
    <row r="72" spans="1:23" x14ac:dyDescent="0.25">
      <c r="A72" s="14" t="s">
        <v>754</v>
      </c>
      <c r="C72" s="68">
        <f>C42-0.1</f>
        <v>0.36208775883712474</v>
      </c>
      <c r="D72" s="68">
        <f t="shared" ref="D72:N72" si="46">D42-0.1</f>
        <v>0.37557985582739906</v>
      </c>
      <c r="E72" s="68">
        <f t="shared" si="46"/>
        <v>0.26779967587086673</v>
      </c>
      <c r="F72" s="68">
        <f t="shared" si="46"/>
        <v>0.27354052121106631</v>
      </c>
      <c r="G72" s="68">
        <f t="shared" si="46"/>
        <v>0.20299127631895722</v>
      </c>
      <c r="H72" s="68">
        <f t="shared" si="46"/>
        <v>0.25358815491187048</v>
      </c>
      <c r="I72" s="68">
        <f t="shared" si="46"/>
        <v>0.29149055800577861</v>
      </c>
      <c r="J72" s="68">
        <f t="shared" si="46"/>
        <v>0.27036588552192298</v>
      </c>
      <c r="K72" s="68">
        <f t="shared" si="46"/>
        <v>0.23536047971054683</v>
      </c>
      <c r="L72" s="68">
        <f t="shared" si="46"/>
        <v>0.24074069674215301</v>
      </c>
      <c r="M72" s="68">
        <f t="shared" si="46"/>
        <v>0.43379681510331303</v>
      </c>
      <c r="N72" s="68">
        <f t="shared" si="46"/>
        <v>0.20225847910188524</v>
      </c>
      <c r="O72" s="68"/>
      <c r="Q72" s="35"/>
    </row>
    <row r="73" spans="1:23" x14ac:dyDescent="0.25">
      <c r="A73" s="14" t="s">
        <v>755</v>
      </c>
      <c r="C73" s="50">
        <f>C71/C72</f>
        <v>13577.873320599074</v>
      </c>
      <c r="D73" s="50">
        <f t="shared" ref="D73:N73" si="47">D77</f>
        <v>4638.08</v>
      </c>
      <c r="E73" s="50">
        <f t="shared" si="47"/>
        <v>4881.9380000000001</v>
      </c>
      <c r="F73" s="50">
        <f t="shared" si="47"/>
        <v>6305.7460000000001</v>
      </c>
      <c r="G73" s="50">
        <f t="shared" si="47"/>
        <v>5211.7179999999998</v>
      </c>
      <c r="H73" s="50">
        <f t="shared" si="47"/>
        <v>5410.1310000000003</v>
      </c>
      <c r="I73" s="50">
        <f t="shared" si="47"/>
        <v>5487.0060000000003</v>
      </c>
      <c r="J73" s="50">
        <f t="shared" si="47"/>
        <v>5649.4220000000005</v>
      </c>
      <c r="K73" s="50">
        <f t="shared" si="47"/>
        <v>6563.0129999999999</v>
      </c>
      <c r="L73" s="50">
        <f t="shared" si="47"/>
        <v>5168.7560000000003</v>
      </c>
      <c r="M73" s="50">
        <f t="shared" si="47"/>
        <v>27760.624</v>
      </c>
      <c r="N73" s="50">
        <f t="shared" si="47"/>
        <v>37870.488000000005</v>
      </c>
      <c r="O73" s="50">
        <f>SUM(C73:N73)</f>
        <v>128524.79532059908</v>
      </c>
      <c r="Q73" s="35">
        <f>MAX(C73:N73)</f>
        <v>37870.488000000005</v>
      </c>
    </row>
    <row r="74" spans="1:23" x14ac:dyDescent="0.25">
      <c r="A74" s="14" t="s">
        <v>680</v>
      </c>
      <c r="C74" s="68">
        <v>0.75</v>
      </c>
      <c r="D74" s="68">
        <f>C74</f>
        <v>0.75</v>
      </c>
      <c r="E74" s="68">
        <f t="shared" ref="E74" si="48">D74</f>
        <v>0.75</v>
      </c>
      <c r="F74" s="68">
        <f t="shared" ref="F74" si="49">E74</f>
        <v>0.75</v>
      </c>
      <c r="G74" s="68">
        <f t="shared" ref="G74" si="50">F74</f>
        <v>0.75</v>
      </c>
      <c r="H74" s="68">
        <f t="shared" ref="H74" si="51">G74</f>
        <v>0.75</v>
      </c>
      <c r="I74" s="68">
        <f t="shared" ref="I74" si="52">H74</f>
        <v>0.75</v>
      </c>
      <c r="J74" s="68">
        <f t="shared" ref="J74" si="53">I74</f>
        <v>0.75</v>
      </c>
      <c r="K74" s="68">
        <f t="shared" ref="K74" si="54">J74</f>
        <v>0.75</v>
      </c>
      <c r="L74" s="68">
        <f t="shared" ref="L74" si="55">K74</f>
        <v>0.75</v>
      </c>
      <c r="M74" s="68">
        <f>L74</f>
        <v>0.75</v>
      </c>
      <c r="N74" s="68">
        <f>M74</f>
        <v>0.75</v>
      </c>
      <c r="O74" s="68"/>
      <c r="P74" s="50"/>
      <c r="Q74" s="35"/>
    </row>
    <row r="75" spans="1:23" x14ac:dyDescent="0.25">
      <c r="A75" s="14" t="s">
        <v>681</v>
      </c>
      <c r="C75" s="50">
        <f>C73*C74</f>
        <v>10183.404990449306</v>
      </c>
      <c r="D75" s="50">
        <f t="shared" ref="D75:N75" si="56">D73*D74</f>
        <v>3478.56</v>
      </c>
      <c r="E75" s="50">
        <f t="shared" si="56"/>
        <v>3661.4535000000001</v>
      </c>
      <c r="F75" s="50">
        <f t="shared" si="56"/>
        <v>4729.3095000000003</v>
      </c>
      <c r="G75" s="50">
        <f t="shared" si="56"/>
        <v>3908.7884999999997</v>
      </c>
      <c r="H75" s="50">
        <f t="shared" si="56"/>
        <v>4057.59825</v>
      </c>
      <c r="I75" s="50">
        <f t="shared" si="56"/>
        <v>4115.2545</v>
      </c>
      <c r="J75" s="50">
        <f t="shared" si="56"/>
        <v>4237.0665000000008</v>
      </c>
      <c r="K75" s="50">
        <f t="shared" si="56"/>
        <v>4922.2597500000002</v>
      </c>
      <c r="L75" s="50">
        <f t="shared" si="56"/>
        <v>3876.567</v>
      </c>
      <c r="M75" s="50">
        <f t="shared" si="56"/>
        <v>20820.468000000001</v>
      </c>
      <c r="N75" s="50">
        <f t="shared" si="56"/>
        <v>28402.866000000002</v>
      </c>
      <c r="O75" s="50">
        <f>SUM(C75:N75)</f>
        <v>96393.596490449301</v>
      </c>
      <c r="P75" s="50"/>
      <c r="Q75" s="35"/>
      <c r="R75" s="35">
        <f>O75</f>
        <v>96393.596490449301</v>
      </c>
      <c r="S75" s="35">
        <f>H75+I75+J75</f>
        <v>12409.919250000001</v>
      </c>
      <c r="T75" s="35">
        <f>R75-S75</f>
        <v>83983.677240449295</v>
      </c>
    </row>
    <row r="76" spans="1:23" x14ac:dyDescent="0.25">
      <c r="A76" s="14" t="s">
        <v>756</v>
      </c>
      <c r="C76" s="68">
        <f>C71/C77</f>
        <v>1.0476815177054462</v>
      </c>
      <c r="D76" s="68">
        <f t="shared" ref="D76:N76" si="57">D70/(744*D77)</f>
        <v>0.99318738074412694</v>
      </c>
      <c r="E76" s="68">
        <f t="shared" si="57"/>
        <v>0.78982025061024042</v>
      </c>
      <c r="F76" s="68">
        <f t="shared" si="57"/>
        <v>0.56631762641991634</v>
      </c>
      <c r="G76" s="68">
        <f t="shared" si="57"/>
        <v>0.69222679742362381</v>
      </c>
      <c r="H76" s="68">
        <f t="shared" si="57"/>
        <v>0.78397372219534212</v>
      </c>
      <c r="I76" s="68">
        <f t="shared" si="57"/>
        <v>0.81368777023742178</v>
      </c>
      <c r="J76" s="68">
        <f t="shared" si="57"/>
        <v>0.77614562933135223</v>
      </c>
      <c r="K76" s="68">
        <f t="shared" si="57"/>
        <v>0.62280251791446639</v>
      </c>
      <c r="L76" s="68">
        <f t="shared" si="57"/>
        <v>0.70550086480325036</v>
      </c>
      <c r="M76" s="68">
        <f t="shared" si="57"/>
        <v>0.17399339880042483</v>
      </c>
      <c r="N76" s="68">
        <f t="shared" si="57"/>
        <v>0.10709555030524485</v>
      </c>
      <c r="O76" s="68"/>
      <c r="P76" s="114"/>
      <c r="Q76" s="114"/>
      <c r="U76" s="102"/>
      <c r="W76" s="102"/>
    </row>
    <row r="77" spans="1:23" x14ac:dyDescent="0.25">
      <c r="A77" s="14" t="s">
        <v>757</v>
      </c>
      <c r="C77" s="50">
        <v>4692.63</v>
      </c>
      <c r="D77" s="50">
        <v>4638.08</v>
      </c>
      <c r="E77" s="50">
        <v>4881.9380000000001</v>
      </c>
      <c r="F77" s="50">
        <v>6305.7460000000001</v>
      </c>
      <c r="G77" s="50">
        <v>5211.7179999999998</v>
      </c>
      <c r="H77" s="50">
        <v>5410.1310000000003</v>
      </c>
      <c r="I77" s="50">
        <v>5487.0060000000003</v>
      </c>
      <c r="J77" s="50">
        <v>5649.4220000000005</v>
      </c>
      <c r="K77" s="50">
        <v>6563.0129999999999</v>
      </c>
      <c r="L77" s="50">
        <v>5168.7560000000003</v>
      </c>
      <c r="M77" s="50">
        <v>27760.624</v>
      </c>
      <c r="N77" s="50">
        <v>37870.488000000005</v>
      </c>
      <c r="O77" s="50">
        <f>SUM(C77:N77)</f>
        <v>119639.552</v>
      </c>
      <c r="P77" s="50">
        <f>MAX(C77:N77)</f>
        <v>37870.488000000005</v>
      </c>
      <c r="Q77" s="50"/>
    </row>
    <row r="78" spans="1:23" x14ac:dyDescent="0.25"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</row>
    <row r="79" spans="1:23" x14ac:dyDescent="0.25">
      <c r="A79" s="15" t="str">
        <f>A12</f>
        <v>Large Power Service</v>
      </c>
      <c r="B79" s="58">
        <f>B12</f>
        <v>2</v>
      </c>
      <c r="C79" s="50">
        <v>62</v>
      </c>
      <c r="D79" s="50">
        <v>61</v>
      </c>
      <c r="E79" s="50">
        <v>61</v>
      </c>
      <c r="F79" s="50">
        <v>61</v>
      </c>
      <c r="G79" s="50">
        <v>61</v>
      </c>
      <c r="H79" s="50">
        <v>61</v>
      </c>
      <c r="I79" s="50">
        <v>61</v>
      </c>
      <c r="J79" s="50">
        <v>61</v>
      </c>
      <c r="K79" s="50">
        <v>61</v>
      </c>
      <c r="L79" s="50">
        <v>61</v>
      </c>
      <c r="M79" s="50">
        <v>62</v>
      </c>
      <c r="N79" s="50">
        <v>62</v>
      </c>
      <c r="O79" s="50">
        <f>SUM(C79:N79)</f>
        <v>735</v>
      </c>
      <c r="P79" s="50"/>
      <c r="Q79" s="35"/>
    </row>
    <row r="80" spans="1:23" x14ac:dyDescent="0.25">
      <c r="A80" s="14" t="s">
        <v>935</v>
      </c>
      <c r="C80" s="50">
        <v>4775371</v>
      </c>
      <c r="D80" s="50">
        <v>4657032</v>
      </c>
      <c r="E80" s="50">
        <v>5182393</v>
      </c>
      <c r="F80" s="50">
        <v>4965178</v>
      </c>
      <c r="G80" s="50">
        <v>5278476</v>
      </c>
      <c r="H80" s="50">
        <v>5537797</v>
      </c>
      <c r="I80" s="50">
        <v>5607674</v>
      </c>
      <c r="J80" s="50">
        <v>5531351</v>
      </c>
      <c r="K80" s="50">
        <v>5163745</v>
      </c>
      <c r="L80" s="50">
        <v>5027214</v>
      </c>
      <c r="M80" s="50">
        <v>5028090</v>
      </c>
      <c r="N80" s="50">
        <v>4877088</v>
      </c>
      <c r="O80" s="50">
        <f>SUM(C80:N80)</f>
        <v>61631409</v>
      </c>
      <c r="P80" s="114"/>
      <c r="Q80" s="114"/>
      <c r="U80" s="102"/>
      <c r="W80" s="102"/>
    </row>
    <row r="81" spans="1:23" x14ac:dyDescent="0.25">
      <c r="A81" s="14" t="s">
        <v>679</v>
      </c>
      <c r="C81" s="50">
        <f>C80/C$34</f>
        <v>6418.5094086021509</v>
      </c>
      <c r="D81" s="50">
        <f t="shared" ref="D81" si="58">D80/D$34</f>
        <v>6930.1071428571431</v>
      </c>
      <c r="E81" s="50">
        <f t="shared" ref="E81" si="59">E80/E$34</f>
        <v>6965.5819892473119</v>
      </c>
      <c r="F81" s="50">
        <f t="shared" ref="F81" si="60">F80/F$34</f>
        <v>6896.0805555555553</v>
      </c>
      <c r="G81" s="50">
        <f t="shared" ref="G81" si="61">G80/G$34</f>
        <v>7094.7258064516127</v>
      </c>
      <c r="H81" s="50">
        <f t="shared" ref="H81" si="62">H80/H$34</f>
        <v>7691.3847222222221</v>
      </c>
      <c r="I81" s="50">
        <f t="shared" ref="I81" si="63">I80/I$34</f>
        <v>7537.1962365591398</v>
      </c>
      <c r="J81" s="50">
        <f t="shared" ref="J81" si="64">J80/J$34</f>
        <v>7434.6115591397847</v>
      </c>
      <c r="K81" s="50">
        <f t="shared" ref="K81" si="65">K80/K$34</f>
        <v>7171.8680555555557</v>
      </c>
      <c r="L81" s="50">
        <f t="shared" ref="L81" si="66">L80/L$34</f>
        <v>6757.0080645161288</v>
      </c>
      <c r="M81" s="50">
        <f t="shared" ref="M81" si="67">M80/M$34</f>
        <v>6983.458333333333</v>
      </c>
      <c r="N81" s="50">
        <f t="shared" ref="N81" si="68">N80/N$34</f>
        <v>6555.2258064516127</v>
      </c>
      <c r="O81" s="50">
        <f>O80/8760</f>
        <v>7035.5489726027399</v>
      </c>
      <c r="P81" s="50"/>
      <c r="Q81" s="50"/>
    </row>
    <row r="82" spans="1:23" x14ac:dyDescent="0.25">
      <c r="A82" s="14" t="s">
        <v>754</v>
      </c>
      <c r="C82" s="68">
        <f>C86</f>
        <v>0.45409176217145258</v>
      </c>
      <c r="D82" s="68">
        <f t="shared" ref="D82:N82" si="69">D86+0</f>
        <v>0.43775581763783372</v>
      </c>
      <c r="E82" s="68">
        <f t="shared" si="69"/>
        <v>0.47910459903687125</v>
      </c>
      <c r="F82" s="68">
        <f t="shared" si="69"/>
        <v>0.46400936859737923</v>
      </c>
      <c r="G82" s="68">
        <f t="shared" si="69"/>
        <v>0.50194587112528899</v>
      </c>
      <c r="H82" s="68">
        <f t="shared" si="69"/>
        <v>0.51683749778214638</v>
      </c>
      <c r="I82" s="68">
        <f t="shared" si="69"/>
        <v>0.50996401498547039</v>
      </c>
      <c r="J82" s="68">
        <f t="shared" si="69"/>
        <v>0.49713130282353135</v>
      </c>
      <c r="K82" s="68">
        <f t="shared" si="69"/>
        <v>0.46401466665861807</v>
      </c>
      <c r="L82" s="68">
        <f t="shared" si="69"/>
        <v>0.48534705897172548</v>
      </c>
      <c r="M82" s="68">
        <f t="shared" si="69"/>
        <v>0.47882660263435028</v>
      </c>
      <c r="N82" s="68">
        <f t="shared" si="69"/>
        <v>0.45613327166769679</v>
      </c>
      <c r="O82" s="68"/>
      <c r="Q82" s="35"/>
    </row>
    <row r="83" spans="1:23" x14ac:dyDescent="0.25">
      <c r="A83" s="14" t="s">
        <v>755</v>
      </c>
      <c r="C83" s="50">
        <f>C81/C82</f>
        <v>14134.829</v>
      </c>
      <c r="D83" s="50">
        <f t="shared" ref="D83:N83" si="70">D87</f>
        <v>14298.957</v>
      </c>
      <c r="E83" s="50">
        <f t="shared" si="70"/>
        <v>14538.75</v>
      </c>
      <c r="F83" s="50">
        <f t="shared" si="70"/>
        <v>14382.525</v>
      </c>
      <c r="G83" s="50">
        <f t="shared" si="70"/>
        <v>14134.444</v>
      </c>
      <c r="H83" s="50">
        <f t="shared" si="70"/>
        <v>14401.578</v>
      </c>
      <c r="I83" s="50">
        <f t="shared" si="70"/>
        <v>14779.859</v>
      </c>
      <c r="J83" s="50">
        <f t="shared" si="70"/>
        <v>14955.026</v>
      </c>
      <c r="K83" s="50">
        <f t="shared" si="70"/>
        <v>14957.539000000001</v>
      </c>
      <c r="L83" s="50">
        <f t="shared" si="70"/>
        <v>13922.013000000001</v>
      </c>
      <c r="M83" s="50">
        <f t="shared" si="70"/>
        <v>14114.056</v>
      </c>
      <c r="N83" s="50">
        <f t="shared" si="70"/>
        <v>14371.295</v>
      </c>
      <c r="O83" s="50">
        <f>SUM(C83:N83)</f>
        <v>172990.87100000001</v>
      </c>
      <c r="Q83" s="35">
        <f>MAX(C83:N83)</f>
        <v>14957.539000000001</v>
      </c>
    </row>
    <row r="84" spans="1:23" x14ac:dyDescent="0.25">
      <c r="A84" s="14" t="s">
        <v>680</v>
      </c>
      <c r="C84" s="68">
        <v>0.45</v>
      </c>
      <c r="D84" s="68">
        <f>C84</f>
        <v>0.45</v>
      </c>
      <c r="E84" s="68">
        <f t="shared" ref="E84:L84" si="71">D84</f>
        <v>0.45</v>
      </c>
      <c r="F84" s="68">
        <f t="shared" si="71"/>
        <v>0.45</v>
      </c>
      <c r="G84" s="68">
        <f t="shared" si="71"/>
        <v>0.45</v>
      </c>
      <c r="H84" s="68">
        <f t="shared" si="71"/>
        <v>0.45</v>
      </c>
      <c r="I84" s="68">
        <f t="shared" si="71"/>
        <v>0.45</v>
      </c>
      <c r="J84" s="68">
        <f t="shared" si="71"/>
        <v>0.45</v>
      </c>
      <c r="K84" s="68">
        <f t="shared" si="71"/>
        <v>0.45</v>
      </c>
      <c r="L84" s="68">
        <f t="shared" si="71"/>
        <v>0.45</v>
      </c>
      <c r="M84" s="68">
        <f>L84</f>
        <v>0.45</v>
      </c>
      <c r="N84" s="68">
        <f>M84</f>
        <v>0.45</v>
      </c>
      <c r="O84" s="68"/>
      <c r="P84" s="50"/>
      <c r="Q84" s="35"/>
    </row>
    <row r="85" spans="1:23" x14ac:dyDescent="0.25">
      <c r="A85" s="14" t="s">
        <v>681</v>
      </c>
      <c r="C85" s="50">
        <f>C83*C84</f>
        <v>6360.6730500000003</v>
      </c>
      <c r="D85" s="50">
        <f t="shared" ref="D85:N85" si="72">D83*D84</f>
        <v>6434.5306500000006</v>
      </c>
      <c r="E85" s="50">
        <f t="shared" si="72"/>
        <v>6542.4375</v>
      </c>
      <c r="F85" s="50">
        <f t="shared" si="72"/>
        <v>6472.1362499999996</v>
      </c>
      <c r="G85" s="50">
        <f t="shared" si="72"/>
        <v>6360.4997999999996</v>
      </c>
      <c r="H85" s="50">
        <f t="shared" si="72"/>
        <v>6480.7101000000002</v>
      </c>
      <c r="I85" s="50">
        <f t="shared" si="72"/>
        <v>6650.9365500000004</v>
      </c>
      <c r="J85" s="50">
        <f t="shared" si="72"/>
        <v>6729.7617</v>
      </c>
      <c r="K85" s="50">
        <f t="shared" si="72"/>
        <v>6730.8925500000005</v>
      </c>
      <c r="L85" s="50">
        <f t="shared" si="72"/>
        <v>6264.9058500000001</v>
      </c>
      <c r="M85" s="50">
        <f t="shared" si="72"/>
        <v>6351.3252000000002</v>
      </c>
      <c r="N85" s="50">
        <f t="shared" si="72"/>
        <v>6467.0827500000005</v>
      </c>
      <c r="O85" s="50">
        <f>SUM(C85:N85)</f>
        <v>77845.891950000005</v>
      </c>
      <c r="P85" s="50"/>
      <c r="Q85" s="35"/>
      <c r="R85" s="35">
        <f>O85</f>
        <v>77845.891950000005</v>
      </c>
      <c r="S85" s="35">
        <f>H85+I85+J85</f>
        <v>19861.408350000002</v>
      </c>
      <c r="T85" s="35">
        <f>R85-S85</f>
        <v>57984.483600000007</v>
      </c>
    </row>
    <row r="86" spans="1:23" x14ac:dyDescent="0.25">
      <c r="A86" s="14" t="s">
        <v>756</v>
      </c>
      <c r="C86" s="68">
        <f>C81/C87</f>
        <v>0.45409176217145258</v>
      </c>
      <c r="D86" s="68">
        <f t="shared" ref="D86:N86" si="73">D80/(744*D87)</f>
        <v>0.43775581763783372</v>
      </c>
      <c r="E86" s="68">
        <f t="shared" si="73"/>
        <v>0.47910459903687125</v>
      </c>
      <c r="F86" s="68">
        <f t="shared" si="73"/>
        <v>0.46400936859737923</v>
      </c>
      <c r="G86" s="68">
        <f t="shared" si="73"/>
        <v>0.50194587112528899</v>
      </c>
      <c r="H86" s="68">
        <f t="shared" si="73"/>
        <v>0.51683749778214638</v>
      </c>
      <c r="I86" s="68">
        <f t="shared" si="73"/>
        <v>0.50996401498547039</v>
      </c>
      <c r="J86" s="68">
        <f t="shared" si="73"/>
        <v>0.49713130282353135</v>
      </c>
      <c r="K86" s="68">
        <f t="shared" si="73"/>
        <v>0.46401466665861807</v>
      </c>
      <c r="L86" s="68">
        <f t="shared" si="73"/>
        <v>0.48534705897172548</v>
      </c>
      <c r="M86" s="68">
        <f t="shared" si="73"/>
        <v>0.47882660263435028</v>
      </c>
      <c r="N86" s="68">
        <f t="shared" si="73"/>
        <v>0.45613327166769679</v>
      </c>
      <c r="O86" s="68"/>
      <c r="P86" s="114"/>
      <c r="Q86" s="114"/>
      <c r="U86" s="102"/>
      <c r="W86" s="102"/>
    </row>
    <row r="87" spans="1:23" x14ac:dyDescent="0.25">
      <c r="A87" s="14" t="s">
        <v>757</v>
      </c>
      <c r="C87" s="50">
        <v>14134.829</v>
      </c>
      <c r="D87" s="50">
        <v>14298.957</v>
      </c>
      <c r="E87" s="50">
        <v>14538.75</v>
      </c>
      <c r="F87" s="50">
        <v>14382.525</v>
      </c>
      <c r="G87" s="50">
        <v>14134.444</v>
      </c>
      <c r="H87" s="50">
        <v>14401.578</v>
      </c>
      <c r="I87" s="50">
        <v>14779.859</v>
      </c>
      <c r="J87" s="50">
        <v>14955.026</v>
      </c>
      <c r="K87" s="50">
        <v>14957.539000000001</v>
      </c>
      <c r="L87" s="50">
        <v>13922.013000000001</v>
      </c>
      <c r="M87" s="50">
        <v>14114.056</v>
      </c>
      <c r="N87" s="50">
        <v>14371.295</v>
      </c>
      <c r="O87" s="50">
        <f>SUM(C87:N87)</f>
        <v>172990.87100000001</v>
      </c>
      <c r="P87" s="50">
        <f>MAX(C87:N87)</f>
        <v>14957.539000000001</v>
      </c>
      <c r="Q87" s="50"/>
    </row>
    <row r="88" spans="1:23" x14ac:dyDescent="0.25">
      <c r="H88" s="226"/>
    </row>
    <row r="89" spans="1:23" x14ac:dyDescent="0.25">
      <c r="A89" s="15" t="str">
        <f>A13</f>
        <v>Large Industrial Rate</v>
      </c>
      <c r="B89" s="58" t="str">
        <f>B13</f>
        <v>B1</v>
      </c>
      <c r="C89" s="50">
        <v>14</v>
      </c>
      <c r="D89" s="50">
        <v>14</v>
      </c>
      <c r="E89" s="50">
        <v>14</v>
      </c>
      <c r="F89" s="50">
        <v>14</v>
      </c>
      <c r="G89" s="50">
        <v>14</v>
      </c>
      <c r="H89" s="50">
        <v>14</v>
      </c>
      <c r="I89" s="50">
        <v>14</v>
      </c>
      <c r="J89" s="50">
        <v>14</v>
      </c>
      <c r="K89" s="50">
        <v>14</v>
      </c>
      <c r="L89" s="50">
        <v>14</v>
      </c>
      <c r="M89" s="50">
        <v>14</v>
      </c>
      <c r="N89" s="50">
        <v>14</v>
      </c>
      <c r="O89" s="50">
        <f>SUM(C89:N89)</f>
        <v>168</v>
      </c>
      <c r="P89" s="50"/>
      <c r="Q89" s="35"/>
    </row>
    <row r="90" spans="1:23" x14ac:dyDescent="0.25">
      <c r="A90" s="14" t="s">
        <v>935</v>
      </c>
      <c r="C90" s="50">
        <v>9660611</v>
      </c>
      <c r="D90" s="50">
        <v>8921434</v>
      </c>
      <c r="E90" s="50">
        <v>9725557</v>
      </c>
      <c r="F90" s="50">
        <v>9370974</v>
      </c>
      <c r="G90" s="50">
        <v>10037201</v>
      </c>
      <c r="H90" s="50">
        <v>10160496</v>
      </c>
      <c r="I90" s="50">
        <v>10575699</v>
      </c>
      <c r="J90" s="50">
        <v>10477447</v>
      </c>
      <c r="K90" s="50">
        <v>9027835</v>
      </c>
      <c r="L90" s="50">
        <v>8554361</v>
      </c>
      <c r="M90" s="50">
        <v>8867917</v>
      </c>
      <c r="N90" s="50">
        <v>8977622</v>
      </c>
      <c r="O90" s="50">
        <f>SUM(C90:N90)</f>
        <v>114357154</v>
      </c>
      <c r="P90" s="114"/>
      <c r="Q90" s="114"/>
      <c r="U90" s="102"/>
      <c r="W90" s="102"/>
    </row>
    <row r="91" spans="1:23" x14ac:dyDescent="0.25">
      <c r="A91" s="14" t="s">
        <v>679</v>
      </c>
      <c r="C91" s="50">
        <f>C90/C$34</f>
        <v>12984.692204301075</v>
      </c>
      <c r="D91" s="50">
        <f t="shared" ref="D91" si="74">D90/D$34</f>
        <v>13275.943452380952</v>
      </c>
      <c r="E91" s="50">
        <f t="shared" ref="E91" si="75">E90/E$34</f>
        <v>13071.985215053763</v>
      </c>
      <c r="F91" s="50">
        <f t="shared" ref="F91" si="76">F90/F$34</f>
        <v>13015.241666666667</v>
      </c>
      <c r="G91" s="50">
        <f t="shared" ref="G91" si="77">G90/G$34</f>
        <v>13490.861559139785</v>
      </c>
      <c r="H91" s="50">
        <f t="shared" ref="H91" si="78">H90/H$34</f>
        <v>14111.8</v>
      </c>
      <c r="I91" s="50">
        <f t="shared" ref="I91" si="79">I90/I$34</f>
        <v>14214.649193548386</v>
      </c>
      <c r="J91" s="50">
        <f t="shared" ref="J91" si="80">J90/J$34</f>
        <v>14082.590053763441</v>
      </c>
      <c r="K91" s="50">
        <f t="shared" ref="K91" si="81">K90/K$34</f>
        <v>12538.659722222223</v>
      </c>
      <c r="L91" s="50">
        <f t="shared" ref="L91" si="82">L90/L$34</f>
        <v>11497.797043010753</v>
      </c>
      <c r="M91" s="50">
        <f t="shared" ref="M91" si="83">M90/M$34</f>
        <v>12316.551388888889</v>
      </c>
      <c r="N91" s="50">
        <f t="shared" ref="N91" si="84">N90/N$34</f>
        <v>12066.696236559139</v>
      </c>
      <c r="O91" s="50">
        <f>O90/8760</f>
        <v>13054.469634703197</v>
      </c>
      <c r="P91" s="50"/>
      <c r="Q91" s="50"/>
    </row>
    <row r="92" spans="1:23" x14ac:dyDescent="0.25">
      <c r="A92" s="14" t="s">
        <v>754</v>
      </c>
      <c r="C92" s="68">
        <f>C96</f>
        <v>0.63684791820594799</v>
      </c>
      <c r="D92" s="68">
        <f t="shared" ref="D92:N92" si="85">D96</f>
        <v>0.6444632743874249</v>
      </c>
      <c r="E92" s="68">
        <f t="shared" si="85"/>
        <v>0.63843639633962213</v>
      </c>
      <c r="F92" s="68">
        <f t="shared" si="85"/>
        <v>0.62930285594558877</v>
      </c>
      <c r="G92" s="68">
        <f t="shared" si="85"/>
        <v>0.63968049118728232</v>
      </c>
      <c r="H92" s="68">
        <f t="shared" si="85"/>
        <v>0.65639332061956368</v>
      </c>
      <c r="I92" s="68">
        <f t="shared" si="85"/>
        <v>0.65171927896696102</v>
      </c>
      <c r="J92" s="68">
        <f t="shared" si="85"/>
        <v>0.65163990809140904</v>
      </c>
      <c r="K92" s="68">
        <f t="shared" si="85"/>
        <v>0.60590797923176876</v>
      </c>
      <c r="L92" s="68">
        <f t="shared" si="85"/>
        <v>0.57377099870306669</v>
      </c>
      <c r="M92" s="68">
        <f t="shared" si="85"/>
        <v>0.61988783476213649</v>
      </c>
      <c r="N92" s="68">
        <f t="shared" si="85"/>
        <v>0.6019503260779776</v>
      </c>
      <c r="O92" s="68"/>
      <c r="Q92" s="35"/>
    </row>
    <row r="93" spans="1:23" x14ac:dyDescent="0.25">
      <c r="A93" s="14" t="s">
        <v>755</v>
      </c>
      <c r="C93" s="50">
        <f>C91/C92</f>
        <v>20389</v>
      </c>
      <c r="D93" s="50">
        <f t="shared" ref="D93:N93" si="86">D91/D92</f>
        <v>20600</v>
      </c>
      <c r="E93" s="50">
        <f t="shared" si="86"/>
        <v>20475</v>
      </c>
      <c r="F93" s="50">
        <f t="shared" si="86"/>
        <v>20682</v>
      </c>
      <c r="G93" s="50">
        <f t="shared" si="86"/>
        <v>21090</v>
      </c>
      <c r="H93" s="50">
        <f t="shared" si="86"/>
        <v>21499</v>
      </c>
      <c r="I93" s="50">
        <f t="shared" si="86"/>
        <v>21811</v>
      </c>
      <c r="J93" s="50">
        <f t="shared" si="86"/>
        <v>21611</v>
      </c>
      <c r="K93" s="50">
        <f t="shared" si="86"/>
        <v>20694</v>
      </c>
      <c r="L93" s="50">
        <f t="shared" si="86"/>
        <v>20039</v>
      </c>
      <c r="M93" s="50">
        <f t="shared" si="86"/>
        <v>19869</v>
      </c>
      <c r="N93" s="50">
        <f t="shared" si="86"/>
        <v>20046</v>
      </c>
      <c r="O93" s="50">
        <f>SUM(C93:N93)</f>
        <v>248805</v>
      </c>
      <c r="Q93" s="35">
        <f>MAX(C93:N93)</f>
        <v>21811</v>
      </c>
    </row>
    <row r="94" spans="1:23" x14ac:dyDescent="0.25">
      <c r="A94" s="14" t="s">
        <v>680</v>
      </c>
      <c r="C94" s="68">
        <v>0.5</v>
      </c>
      <c r="D94" s="68">
        <f>C94</f>
        <v>0.5</v>
      </c>
      <c r="E94" s="68">
        <f t="shared" ref="E94:N94" si="87">D94</f>
        <v>0.5</v>
      </c>
      <c r="F94" s="68">
        <f t="shared" si="87"/>
        <v>0.5</v>
      </c>
      <c r="G94" s="68">
        <f t="shared" si="87"/>
        <v>0.5</v>
      </c>
      <c r="H94" s="68">
        <f t="shared" si="87"/>
        <v>0.5</v>
      </c>
      <c r="I94" s="68">
        <f t="shared" si="87"/>
        <v>0.5</v>
      </c>
      <c r="J94" s="68">
        <f t="shared" si="87"/>
        <v>0.5</v>
      </c>
      <c r="K94" s="68">
        <f t="shared" si="87"/>
        <v>0.5</v>
      </c>
      <c r="L94" s="68">
        <f t="shared" si="87"/>
        <v>0.5</v>
      </c>
      <c r="M94" s="68">
        <f t="shared" si="87"/>
        <v>0.5</v>
      </c>
      <c r="N94" s="68">
        <f t="shared" si="87"/>
        <v>0.5</v>
      </c>
      <c r="O94" s="68"/>
      <c r="P94" s="50"/>
      <c r="Q94" s="35"/>
    </row>
    <row r="95" spans="1:23" x14ac:dyDescent="0.25">
      <c r="A95" s="14" t="s">
        <v>681</v>
      </c>
      <c r="C95" s="50">
        <f>C93*C94</f>
        <v>10194.5</v>
      </c>
      <c r="D95" s="50">
        <f t="shared" ref="D95:N95" si="88">D93*D94</f>
        <v>10300</v>
      </c>
      <c r="E95" s="50">
        <f t="shared" si="88"/>
        <v>10237.5</v>
      </c>
      <c r="F95" s="50">
        <f t="shared" si="88"/>
        <v>10341</v>
      </c>
      <c r="G95" s="50">
        <f t="shared" si="88"/>
        <v>10545</v>
      </c>
      <c r="H95" s="50">
        <f t="shared" si="88"/>
        <v>10749.5</v>
      </c>
      <c r="I95" s="50">
        <f t="shared" si="88"/>
        <v>10905.5</v>
      </c>
      <c r="J95" s="50">
        <f t="shared" si="88"/>
        <v>10805.5</v>
      </c>
      <c r="K95" s="50">
        <f t="shared" si="88"/>
        <v>10347</v>
      </c>
      <c r="L95" s="50">
        <f t="shared" si="88"/>
        <v>10019.5</v>
      </c>
      <c r="M95" s="50">
        <f t="shared" si="88"/>
        <v>9934.5</v>
      </c>
      <c r="N95" s="50">
        <f t="shared" si="88"/>
        <v>10023</v>
      </c>
      <c r="O95" s="50">
        <f>SUM(C95:N95)</f>
        <v>124402.5</v>
      </c>
      <c r="P95" s="50"/>
      <c r="Q95" s="35"/>
      <c r="R95" s="35">
        <f>O95</f>
        <v>124402.5</v>
      </c>
      <c r="S95" s="35">
        <f>H95+I95+J95</f>
        <v>32460.5</v>
      </c>
      <c r="T95" s="35">
        <f>R95-S95</f>
        <v>91942</v>
      </c>
    </row>
    <row r="96" spans="1:23" x14ac:dyDescent="0.25">
      <c r="A96" s="14" t="s">
        <v>756</v>
      </c>
      <c r="C96" s="68">
        <f>C91/C97</f>
        <v>0.63684791820594799</v>
      </c>
      <c r="D96" s="68">
        <f t="shared" ref="D96:N96" si="89">D91/D97</f>
        <v>0.6444632743874249</v>
      </c>
      <c r="E96" s="68">
        <f t="shared" si="89"/>
        <v>0.63843639633962213</v>
      </c>
      <c r="F96" s="68">
        <f t="shared" si="89"/>
        <v>0.62930285594558877</v>
      </c>
      <c r="G96" s="68">
        <f t="shared" si="89"/>
        <v>0.63968049118728232</v>
      </c>
      <c r="H96" s="68">
        <f t="shared" si="89"/>
        <v>0.65639332061956368</v>
      </c>
      <c r="I96" s="68">
        <f t="shared" si="89"/>
        <v>0.65171927896696102</v>
      </c>
      <c r="J96" s="68">
        <f t="shared" si="89"/>
        <v>0.65163990809140904</v>
      </c>
      <c r="K96" s="68">
        <f t="shared" si="89"/>
        <v>0.60590797923176876</v>
      </c>
      <c r="L96" s="68">
        <f t="shared" si="89"/>
        <v>0.57377099870306669</v>
      </c>
      <c r="M96" s="68">
        <f t="shared" si="89"/>
        <v>0.61988783476213649</v>
      </c>
      <c r="N96" s="68">
        <f t="shared" si="89"/>
        <v>0.6019503260779776</v>
      </c>
      <c r="O96" s="68"/>
      <c r="P96" s="114"/>
      <c r="Q96" s="114"/>
      <c r="U96" s="102"/>
      <c r="W96" s="102"/>
    </row>
    <row r="97" spans="1:23" x14ac:dyDescent="0.25">
      <c r="A97" s="14" t="s">
        <v>757</v>
      </c>
      <c r="C97" s="50">
        <v>20389</v>
      </c>
      <c r="D97" s="50">
        <v>20600</v>
      </c>
      <c r="E97" s="50">
        <v>20475</v>
      </c>
      <c r="F97" s="50">
        <v>20682</v>
      </c>
      <c r="G97" s="50">
        <v>21090</v>
      </c>
      <c r="H97" s="50">
        <v>21499</v>
      </c>
      <c r="I97" s="50">
        <v>21811</v>
      </c>
      <c r="J97" s="50">
        <v>21611</v>
      </c>
      <c r="K97" s="50">
        <v>20694</v>
      </c>
      <c r="L97" s="50">
        <v>20039</v>
      </c>
      <c r="M97" s="50">
        <v>19869</v>
      </c>
      <c r="N97" s="50">
        <v>20046</v>
      </c>
      <c r="O97" s="50">
        <f>SUM(C97:N97)</f>
        <v>248805</v>
      </c>
      <c r="P97" s="50">
        <f>MAX(C97:N97)</f>
        <v>21811</v>
      </c>
      <c r="Q97" s="50"/>
    </row>
    <row r="98" spans="1:23" ht="16.5" customHeight="1" x14ac:dyDescent="0.25">
      <c r="C98" s="50"/>
      <c r="H98" s="226"/>
      <c r="M98" s="50"/>
    </row>
    <row r="99" spans="1:23" ht="14.25" customHeight="1" x14ac:dyDescent="0.25">
      <c r="A99" s="15" t="str">
        <f>A14</f>
        <v>Large Industrial Rate</v>
      </c>
      <c r="B99" s="227" t="str">
        <f>B14</f>
        <v>B2</v>
      </c>
      <c r="C99" s="50">
        <v>1</v>
      </c>
      <c r="D99" s="50">
        <v>1</v>
      </c>
      <c r="E99" s="50">
        <v>1</v>
      </c>
      <c r="F99" s="50">
        <v>1</v>
      </c>
      <c r="G99" s="50">
        <v>1</v>
      </c>
      <c r="H99" s="50">
        <v>1</v>
      </c>
      <c r="I99" s="50">
        <v>1</v>
      </c>
      <c r="J99" s="50">
        <v>1</v>
      </c>
      <c r="K99" s="50">
        <v>1</v>
      </c>
      <c r="L99" s="50">
        <v>1</v>
      </c>
      <c r="M99" s="50">
        <v>1</v>
      </c>
      <c r="N99" s="50">
        <v>1</v>
      </c>
      <c r="O99" s="50">
        <f>SUM(C99:N99)</f>
        <v>12</v>
      </c>
      <c r="P99" s="50"/>
      <c r="Q99" s="35"/>
    </row>
    <row r="100" spans="1:23" x14ac:dyDescent="0.25">
      <c r="A100" s="14" t="s">
        <v>935</v>
      </c>
      <c r="C100" s="50">
        <v>2778091</v>
      </c>
      <c r="D100" s="50">
        <v>2422814</v>
      </c>
      <c r="E100" s="50">
        <v>2854032</v>
      </c>
      <c r="F100" s="50">
        <v>2692002</v>
      </c>
      <c r="G100" s="50">
        <v>2857609</v>
      </c>
      <c r="H100" s="50">
        <v>3103071</v>
      </c>
      <c r="I100" s="50">
        <v>2821543</v>
      </c>
      <c r="J100" s="50">
        <v>3239454</v>
      </c>
      <c r="K100" s="50">
        <v>3044462</v>
      </c>
      <c r="L100" s="50">
        <v>2982040</v>
      </c>
      <c r="M100" s="50">
        <v>2782532</v>
      </c>
      <c r="N100" s="50">
        <v>2572910</v>
      </c>
      <c r="O100" s="50">
        <f>SUM(C100:N100)</f>
        <v>34150560</v>
      </c>
      <c r="P100" s="114"/>
      <c r="Q100" s="114"/>
      <c r="U100" s="102"/>
      <c r="W100" s="102"/>
    </row>
    <row r="101" spans="1:23" x14ac:dyDescent="0.25">
      <c r="A101" s="14" t="s">
        <v>679</v>
      </c>
      <c r="C101" s="50">
        <f>C100/C$34</f>
        <v>3733.9932795698924</v>
      </c>
      <c r="D101" s="50">
        <f t="shared" ref="D101" si="90">D100/D$34</f>
        <v>3605.3779761904761</v>
      </c>
      <c r="E101" s="50">
        <f t="shared" ref="E101" si="91">E100/E$34</f>
        <v>3836.0645161290322</v>
      </c>
      <c r="F101" s="50">
        <f t="shared" ref="F101" si="92">F100/F$34</f>
        <v>3738.8916666666669</v>
      </c>
      <c r="G101" s="50">
        <f t="shared" ref="G101" si="93">G100/G$34</f>
        <v>3840.8723118279568</v>
      </c>
      <c r="H101" s="50">
        <f t="shared" ref="H101" si="94">H100/H$34</f>
        <v>4309.8208333333332</v>
      </c>
      <c r="I101" s="50">
        <f t="shared" ref="I101" si="95">I100/I$34</f>
        <v>3792.3965053763441</v>
      </c>
      <c r="J101" s="50">
        <f t="shared" ref="J101" si="96">J100/J$34</f>
        <v>4354.1048387096771</v>
      </c>
      <c r="K101" s="50">
        <f t="shared" ref="K101" si="97">K100/K$34</f>
        <v>4228.4194444444447</v>
      </c>
      <c r="L101" s="50">
        <f t="shared" ref="L101" si="98">L100/L$34</f>
        <v>4008.1182795698924</v>
      </c>
      <c r="M101" s="50">
        <f t="shared" ref="M101" si="99">M100/M$34</f>
        <v>3864.6277777777777</v>
      </c>
      <c r="N101" s="50">
        <f t="shared" ref="N101" si="100">N100/N$34</f>
        <v>3458.2123655913979</v>
      </c>
      <c r="O101" s="50">
        <f>O100/8760</f>
        <v>3898.4657534246576</v>
      </c>
      <c r="P101" s="50"/>
      <c r="Q101" s="50"/>
    </row>
    <row r="102" spans="1:23" x14ac:dyDescent="0.25">
      <c r="A102" s="14" t="s">
        <v>754</v>
      </c>
      <c r="C102" s="68">
        <f>C106</f>
        <v>0.64379194475342971</v>
      </c>
      <c r="D102" s="68">
        <f t="shared" ref="D102:N102" si="101">D106</f>
        <v>0.62161689244663387</v>
      </c>
      <c r="E102" s="68">
        <f t="shared" si="101"/>
        <v>0.66139043381535034</v>
      </c>
      <c r="F102" s="68">
        <f t="shared" si="101"/>
        <v>0.64463649425287362</v>
      </c>
      <c r="G102" s="68">
        <f t="shared" si="101"/>
        <v>0.73369098602253235</v>
      </c>
      <c r="H102" s="68">
        <f t="shared" si="101"/>
        <v>0.75943979441997056</v>
      </c>
      <c r="I102" s="68">
        <f t="shared" si="101"/>
        <v>0.72498499433690389</v>
      </c>
      <c r="J102" s="68">
        <f t="shared" si="101"/>
        <v>0.82246030198520537</v>
      </c>
      <c r="K102" s="68">
        <f t="shared" si="101"/>
        <v>0.83122064958609099</v>
      </c>
      <c r="L102" s="68">
        <f t="shared" si="101"/>
        <v>0.74666883002419748</v>
      </c>
      <c r="M102" s="68">
        <f t="shared" si="101"/>
        <v>0.77292555555555553</v>
      </c>
      <c r="N102" s="68">
        <f t="shared" si="101"/>
        <v>0.67201950361278617</v>
      </c>
      <c r="O102" s="68"/>
      <c r="Q102" s="35"/>
    </row>
    <row r="103" spans="1:23" x14ac:dyDescent="0.25">
      <c r="A103" s="14" t="s">
        <v>755</v>
      </c>
      <c r="C103" s="50">
        <f>C101/C102</f>
        <v>5800</v>
      </c>
      <c r="D103" s="50">
        <f t="shared" ref="D103:N103" si="102">D101/D102</f>
        <v>5799.9999999999991</v>
      </c>
      <c r="E103" s="50">
        <f t="shared" si="102"/>
        <v>5800</v>
      </c>
      <c r="F103" s="50">
        <f t="shared" si="102"/>
        <v>5800</v>
      </c>
      <c r="G103" s="50">
        <f t="shared" si="102"/>
        <v>5235</v>
      </c>
      <c r="H103" s="50">
        <f t="shared" si="102"/>
        <v>5675</v>
      </c>
      <c r="I103" s="50">
        <f t="shared" si="102"/>
        <v>5231</v>
      </c>
      <c r="J103" s="50">
        <f t="shared" si="102"/>
        <v>5294</v>
      </c>
      <c r="K103" s="50">
        <f t="shared" si="102"/>
        <v>5087</v>
      </c>
      <c r="L103" s="50">
        <f t="shared" si="102"/>
        <v>5368</v>
      </c>
      <c r="M103" s="50">
        <f t="shared" si="102"/>
        <v>5000</v>
      </c>
      <c r="N103" s="50">
        <f t="shared" si="102"/>
        <v>5146</v>
      </c>
      <c r="O103" s="50">
        <f>SUM(C103:N103)</f>
        <v>65236</v>
      </c>
      <c r="P103" s="50"/>
      <c r="Q103" s="50">
        <f>MAX(C103:N103)</f>
        <v>5800</v>
      </c>
    </row>
    <row r="104" spans="1:23" x14ac:dyDescent="0.25">
      <c r="A104" s="14" t="s">
        <v>680</v>
      </c>
      <c r="C104" s="68">
        <v>0.5</v>
      </c>
      <c r="D104" s="68">
        <f>C104</f>
        <v>0.5</v>
      </c>
      <c r="E104" s="68">
        <f t="shared" ref="E104" si="103">D104</f>
        <v>0.5</v>
      </c>
      <c r="F104" s="68">
        <f t="shared" ref="F104" si="104">E104</f>
        <v>0.5</v>
      </c>
      <c r="G104" s="68">
        <f t="shared" ref="G104" si="105">F104</f>
        <v>0.5</v>
      </c>
      <c r="H104" s="68">
        <f t="shared" ref="H104" si="106">G104</f>
        <v>0.5</v>
      </c>
      <c r="I104" s="68">
        <f t="shared" ref="I104" si="107">H104</f>
        <v>0.5</v>
      </c>
      <c r="J104" s="68">
        <f t="shared" ref="J104" si="108">I104</f>
        <v>0.5</v>
      </c>
      <c r="K104" s="68">
        <f t="shared" ref="K104" si="109">J104</f>
        <v>0.5</v>
      </c>
      <c r="L104" s="68">
        <f t="shared" ref="L104" si="110">K104</f>
        <v>0.5</v>
      </c>
      <c r="M104" s="68">
        <f t="shared" ref="M104" si="111">L104</f>
        <v>0.5</v>
      </c>
      <c r="N104" s="68">
        <f t="shared" ref="N104" si="112">M104</f>
        <v>0.5</v>
      </c>
      <c r="O104" s="68"/>
      <c r="P104" s="50"/>
      <c r="Q104" s="35"/>
    </row>
    <row r="105" spans="1:23" x14ac:dyDescent="0.25">
      <c r="A105" s="14" t="s">
        <v>681</v>
      </c>
      <c r="C105" s="50">
        <f>C103*C104</f>
        <v>2900</v>
      </c>
      <c r="D105" s="50">
        <f t="shared" ref="D105:N105" si="113">D103*D104</f>
        <v>2899.9999999999995</v>
      </c>
      <c r="E105" s="50">
        <f t="shared" si="113"/>
        <v>2900</v>
      </c>
      <c r="F105" s="50">
        <f t="shared" si="113"/>
        <v>2900</v>
      </c>
      <c r="G105" s="50">
        <f t="shared" si="113"/>
        <v>2617.5</v>
      </c>
      <c r="H105" s="50">
        <f t="shared" si="113"/>
        <v>2837.5</v>
      </c>
      <c r="I105" s="50">
        <f t="shared" si="113"/>
        <v>2615.5</v>
      </c>
      <c r="J105" s="50">
        <f t="shared" si="113"/>
        <v>2647</v>
      </c>
      <c r="K105" s="50">
        <f t="shared" si="113"/>
        <v>2543.5</v>
      </c>
      <c r="L105" s="50">
        <f t="shared" si="113"/>
        <v>2684</v>
      </c>
      <c r="M105" s="50">
        <f t="shared" si="113"/>
        <v>2500</v>
      </c>
      <c r="N105" s="50">
        <f t="shared" si="113"/>
        <v>2573</v>
      </c>
      <c r="O105" s="50">
        <f>SUM(C105:N105)</f>
        <v>32618</v>
      </c>
      <c r="P105" s="50"/>
      <c r="Q105" s="35"/>
      <c r="R105" s="35">
        <f>O105</f>
        <v>32618</v>
      </c>
      <c r="S105" s="35">
        <f>H105+I105+J105</f>
        <v>8100</v>
      </c>
      <c r="T105" s="35">
        <f>R105-S105</f>
        <v>24518</v>
      </c>
    </row>
    <row r="106" spans="1:23" x14ac:dyDescent="0.25">
      <c r="A106" s="14" t="s">
        <v>756</v>
      </c>
      <c r="C106" s="68">
        <f>C101/C107</f>
        <v>0.64379194475342971</v>
      </c>
      <c r="D106" s="68">
        <f t="shared" ref="D106:N106" si="114">D101/D107</f>
        <v>0.62161689244663387</v>
      </c>
      <c r="E106" s="68">
        <f t="shared" si="114"/>
        <v>0.66139043381535034</v>
      </c>
      <c r="F106" s="68">
        <f t="shared" si="114"/>
        <v>0.64463649425287362</v>
      </c>
      <c r="G106" s="68">
        <f t="shared" si="114"/>
        <v>0.73369098602253235</v>
      </c>
      <c r="H106" s="68">
        <f t="shared" si="114"/>
        <v>0.75943979441997056</v>
      </c>
      <c r="I106" s="68">
        <f t="shared" si="114"/>
        <v>0.72498499433690389</v>
      </c>
      <c r="J106" s="68">
        <f t="shared" si="114"/>
        <v>0.82246030198520537</v>
      </c>
      <c r="K106" s="68">
        <f t="shared" si="114"/>
        <v>0.83122064958609099</v>
      </c>
      <c r="L106" s="68">
        <f t="shared" si="114"/>
        <v>0.74666883002419748</v>
      </c>
      <c r="M106" s="68">
        <f t="shared" si="114"/>
        <v>0.77292555555555553</v>
      </c>
      <c r="N106" s="68">
        <f t="shared" si="114"/>
        <v>0.67201950361278617</v>
      </c>
      <c r="O106" s="68"/>
      <c r="P106" s="114"/>
      <c r="Q106" s="114"/>
      <c r="U106" s="102"/>
      <c r="W106" s="102"/>
    </row>
    <row r="107" spans="1:23" x14ac:dyDescent="0.25">
      <c r="A107" s="14" t="s">
        <v>757</v>
      </c>
      <c r="C107" s="50">
        <v>5800</v>
      </c>
      <c r="D107" s="50">
        <v>5800</v>
      </c>
      <c r="E107" s="50">
        <v>5800</v>
      </c>
      <c r="F107" s="50">
        <v>5800</v>
      </c>
      <c r="G107" s="50">
        <v>5235</v>
      </c>
      <c r="H107" s="50">
        <v>5675</v>
      </c>
      <c r="I107" s="50">
        <v>5231</v>
      </c>
      <c r="J107" s="50">
        <v>5294</v>
      </c>
      <c r="K107" s="50">
        <v>5087</v>
      </c>
      <c r="L107" s="50">
        <v>5368</v>
      </c>
      <c r="M107" s="50">
        <v>5000</v>
      </c>
      <c r="N107" s="50">
        <v>5146</v>
      </c>
      <c r="O107" s="50">
        <f>SUM(C107:N107)</f>
        <v>65236</v>
      </c>
      <c r="P107" s="50">
        <f>MAX(C107:N107)</f>
        <v>5800</v>
      </c>
      <c r="Q107" s="50"/>
    </row>
    <row r="109" spans="1:23" x14ac:dyDescent="0.25">
      <c r="A109" s="228" t="str">
        <f>A15</f>
        <v>Outdoor and Street Lighting</v>
      </c>
      <c r="B109" s="227">
        <f>B15</f>
        <v>3</v>
      </c>
      <c r="C109" s="50">
        <v>34</v>
      </c>
      <c r="D109" s="50">
        <v>34</v>
      </c>
      <c r="E109" s="50">
        <v>34</v>
      </c>
      <c r="F109" s="50">
        <v>34</v>
      </c>
      <c r="G109" s="50">
        <v>34</v>
      </c>
      <c r="H109" s="50">
        <v>34</v>
      </c>
      <c r="I109" s="50">
        <v>34</v>
      </c>
      <c r="J109" s="50">
        <v>34</v>
      </c>
      <c r="K109" s="50">
        <v>34</v>
      </c>
      <c r="L109" s="50">
        <v>34</v>
      </c>
      <c r="M109" s="50">
        <v>34</v>
      </c>
      <c r="N109" s="50">
        <v>34</v>
      </c>
      <c r="O109" s="50">
        <f>SUM(C109:N109)</f>
        <v>408</v>
      </c>
      <c r="P109" s="50"/>
      <c r="Q109" s="35"/>
    </row>
    <row r="110" spans="1:23" x14ac:dyDescent="0.25">
      <c r="A110" s="14" t="s">
        <v>935</v>
      </c>
      <c r="C110" s="50">
        <v>149218</v>
      </c>
      <c r="D110" s="50">
        <v>148350</v>
      </c>
      <c r="E110" s="50">
        <v>148414</v>
      </c>
      <c r="F110" s="50">
        <v>146959</v>
      </c>
      <c r="G110" s="50">
        <v>146453</v>
      </c>
      <c r="H110" s="50">
        <v>145758</v>
      </c>
      <c r="I110" s="50">
        <v>145283</v>
      </c>
      <c r="J110" s="50">
        <v>144475</v>
      </c>
      <c r="K110" s="50">
        <v>143877</v>
      </c>
      <c r="L110" s="50">
        <v>143501</v>
      </c>
      <c r="M110" s="50">
        <v>143649</v>
      </c>
      <c r="N110" s="50">
        <v>142976</v>
      </c>
      <c r="O110" s="50">
        <f>SUM(C110:N110)</f>
        <v>1748913</v>
      </c>
      <c r="P110" s="114"/>
      <c r="Q110" s="114"/>
      <c r="U110" s="102"/>
      <c r="W110" s="102"/>
    </row>
    <row r="111" spans="1:23" x14ac:dyDescent="0.25">
      <c r="A111" s="14" t="s">
        <v>679</v>
      </c>
      <c r="C111" s="50">
        <f>C110/C$34</f>
        <v>200.56182795698925</v>
      </c>
      <c r="D111" s="50">
        <f t="shared" ref="D111" si="115">D110/D$34</f>
        <v>220.75892857142858</v>
      </c>
      <c r="E111" s="50">
        <f t="shared" ref="E111" si="116">E110/E$34</f>
        <v>199.48118279569891</v>
      </c>
      <c r="F111" s="50">
        <f t="shared" ref="F111" si="117">F110/F$34</f>
        <v>204.10972222222222</v>
      </c>
      <c r="G111" s="50">
        <f t="shared" ref="G111" si="118">G110/G$34</f>
        <v>196.84543010752688</v>
      </c>
      <c r="H111" s="50">
        <f t="shared" ref="H111" si="119">H110/H$34</f>
        <v>202.44166666666666</v>
      </c>
      <c r="I111" s="50">
        <f t="shared" ref="I111" si="120">I110/I$34</f>
        <v>195.2728494623656</v>
      </c>
      <c r="J111" s="50">
        <f t="shared" ref="J111" si="121">J110/J$34</f>
        <v>194.18682795698925</v>
      </c>
      <c r="K111" s="50">
        <f t="shared" ref="K111" si="122">K110/K$34</f>
        <v>199.82916666666668</v>
      </c>
      <c r="L111" s="50">
        <f t="shared" ref="L111" si="123">L110/L$34</f>
        <v>192.87768817204301</v>
      </c>
      <c r="M111" s="50">
        <f t="shared" ref="M111" si="124">M110/M$34</f>
        <v>199.51249999999999</v>
      </c>
      <c r="N111" s="50">
        <f t="shared" ref="N111" si="125">N110/N$34</f>
        <v>192.1720430107527</v>
      </c>
      <c r="O111" s="50">
        <f>O110/8760</f>
        <v>199.64760273972604</v>
      </c>
      <c r="P111" s="50"/>
      <c r="Q111" s="50"/>
    </row>
    <row r="112" spans="1:23" x14ac:dyDescent="0.25">
      <c r="A112" s="14" t="s">
        <v>754</v>
      </c>
      <c r="C112" s="68">
        <v>0</v>
      </c>
      <c r="D112" s="68">
        <v>0</v>
      </c>
      <c r="E112" s="68">
        <v>0</v>
      </c>
      <c r="F112" s="68">
        <v>0.25</v>
      </c>
      <c r="G112" s="68">
        <v>0.25</v>
      </c>
      <c r="H112" s="68">
        <v>0.25</v>
      </c>
      <c r="I112" s="68">
        <v>0.25</v>
      </c>
      <c r="J112" s="68">
        <v>0</v>
      </c>
      <c r="K112" s="68">
        <v>0</v>
      </c>
      <c r="L112" s="68">
        <v>0</v>
      </c>
      <c r="M112" s="68">
        <v>0</v>
      </c>
      <c r="N112" s="68">
        <v>0</v>
      </c>
      <c r="O112" s="68"/>
      <c r="Q112" s="35"/>
    </row>
    <row r="113" spans="1:23" x14ac:dyDescent="0.25">
      <c r="A113" s="14" t="s">
        <v>755</v>
      </c>
      <c r="C113" s="50">
        <v>0</v>
      </c>
      <c r="D113" s="50">
        <v>0</v>
      </c>
      <c r="E113" s="50">
        <v>0</v>
      </c>
      <c r="F113" s="50">
        <v>0</v>
      </c>
      <c r="G113" s="50">
        <v>0</v>
      </c>
      <c r="H113" s="50">
        <v>0</v>
      </c>
      <c r="I113" s="50">
        <v>0</v>
      </c>
      <c r="J113" s="50">
        <v>0</v>
      </c>
      <c r="K113" s="50">
        <v>0</v>
      </c>
      <c r="L113" s="50">
        <v>0</v>
      </c>
      <c r="M113" s="50">
        <v>0</v>
      </c>
      <c r="N113" s="50">
        <v>0</v>
      </c>
      <c r="O113" s="50">
        <f>SUM(C113:N113)</f>
        <v>0</v>
      </c>
      <c r="Q113" s="35">
        <f>MAX(C113:N113)</f>
        <v>0</v>
      </c>
    </row>
    <row r="114" spans="1:23" x14ac:dyDescent="0.25">
      <c r="A114" s="14" t="s">
        <v>680</v>
      </c>
      <c r="C114" s="68">
        <v>1</v>
      </c>
      <c r="D114" s="68">
        <v>1</v>
      </c>
      <c r="E114" s="68">
        <v>1</v>
      </c>
      <c r="F114" s="68">
        <v>0</v>
      </c>
      <c r="G114" s="68">
        <v>0</v>
      </c>
      <c r="H114" s="68">
        <v>0</v>
      </c>
      <c r="I114" s="68">
        <v>0</v>
      </c>
      <c r="J114" s="68">
        <v>0</v>
      </c>
      <c r="K114" s="68">
        <v>0</v>
      </c>
      <c r="L114" s="68">
        <v>1</v>
      </c>
      <c r="M114" s="68">
        <v>1</v>
      </c>
      <c r="N114" s="68">
        <v>1</v>
      </c>
      <c r="O114" s="68"/>
      <c r="P114" s="50"/>
      <c r="Q114" s="35"/>
    </row>
    <row r="115" spans="1:23" x14ac:dyDescent="0.25">
      <c r="A115" s="14" t="s">
        <v>681</v>
      </c>
      <c r="C115" s="50">
        <f t="shared" ref="C115:N115" si="126">C113*C114</f>
        <v>0</v>
      </c>
      <c r="D115" s="50">
        <f t="shared" si="126"/>
        <v>0</v>
      </c>
      <c r="E115" s="50">
        <f t="shared" si="126"/>
        <v>0</v>
      </c>
      <c r="F115" s="50">
        <f t="shared" si="126"/>
        <v>0</v>
      </c>
      <c r="G115" s="50">
        <f t="shared" si="126"/>
        <v>0</v>
      </c>
      <c r="H115" s="50">
        <f t="shared" si="126"/>
        <v>0</v>
      </c>
      <c r="I115" s="50">
        <f t="shared" si="126"/>
        <v>0</v>
      </c>
      <c r="J115" s="50">
        <f t="shared" si="126"/>
        <v>0</v>
      </c>
      <c r="K115" s="50">
        <f t="shared" si="126"/>
        <v>0</v>
      </c>
      <c r="L115" s="50">
        <f t="shared" si="126"/>
        <v>0</v>
      </c>
      <c r="M115" s="50">
        <f t="shared" si="126"/>
        <v>0</v>
      </c>
      <c r="N115" s="50">
        <f t="shared" si="126"/>
        <v>0</v>
      </c>
      <c r="O115" s="50">
        <f>SUM(C115:N115)</f>
        <v>0</v>
      </c>
      <c r="P115" s="50"/>
      <c r="Q115" s="35"/>
      <c r="R115" s="35">
        <f>O115</f>
        <v>0</v>
      </c>
      <c r="S115" s="35">
        <f>H115+I115+J115</f>
        <v>0</v>
      </c>
      <c r="T115" s="35">
        <f>R115-S115</f>
        <v>0</v>
      </c>
    </row>
    <row r="116" spans="1:23" x14ac:dyDescent="0.25">
      <c r="A116" s="14" t="s">
        <v>756</v>
      </c>
      <c r="C116" s="68">
        <v>0.65</v>
      </c>
      <c r="D116" s="68">
        <v>0.65</v>
      </c>
      <c r="E116" s="68">
        <v>0.65</v>
      </c>
      <c r="F116" s="68">
        <v>0.65</v>
      </c>
      <c r="G116" s="68">
        <v>0.65</v>
      </c>
      <c r="H116" s="68">
        <v>0.65</v>
      </c>
      <c r="I116" s="68">
        <v>0.65</v>
      </c>
      <c r="J116" s="68">
        <v>0.65</v>
      </c>
      <c r="K116" s="68">
        <v>0.65</v>
      </c>
      <c r="L116" s="68">
        <v>0.65</v>
      </c>
      <c r="M116" s="68">
        <v>0.65</v>
      </c>
      <c r="N116" s="68">
        <v>0.65</v>
      </c>
      <c r="O116" s="68"/>
      <c r="P116" s="114"/>
      <c r="Q116" s="114"/>
      <c r="U116" s="102"/>
      <c r="W116" s="102"/>
    </row>
    <row r="117" spans="1:23" x14ac:dyDescent="0.25">
      <c r="A117" s="14" t="s">
        <v>757</v>
      </c>
      <c r="C117" s="50">
        <f>C111/C116</f>
        <v>308.55665839536806</v>
      </c>
      <c r="D117" s="50">
        <f t="shared" ref="D117:N117" si="127">D111/D116</f>
        <v>339.62912087912088</v>
      </c>
      <c r="E117" s="50">
        <f t="shared" si="127"/>
        <v>306.8941273779983</v>
      </c>
      <c r="F117" s="50">
        <f t="shared" si="127"/>
        <v>314.01495726495727</v>
      </c>
      <c r="G117" s="50">
        <f t="shared" si="127"/>
        <v>302.83912324234905</v>
      </c>
      <c r="H117" s="50">
        <f t="shared" si="127"/>
        <v>311.44871794871796</v>
      </c>
      <c r="I117" s="50">
        <f t="shared" si="127"/>
        <v>300.41976840363935</v>
      </c>
      <c r="J117" s="50">
        <f t="shared" si="127"/>
        <v>298.74896608767574</v>
      </c>
      <c r="K117" s="50">
        <f t="shared" si="127"/>
        <v>307.42948717948718</v>
      </c>
      <c r="L117" s="50">
        <f t="shared" si="127"/>
        <v>296.73490488006615</v>
      </c>
      <c r="M117" s="50">
        <f t="shared" si="127"/>
        <v>306.94230769230768</v>
      </c>
      <c r="N117" s="50">
        <f t="shared" si="127"/>
        <v>295.64929693961955</v>
      </c>
      <c r="O117" s="50">
        <f>SUM(C117:N117)</f>
        <v>3689.3074362913071</v>
      </c>
      <c r="P117" s="50">
        <f>MAX(C117:N117)</f>
        <v>339.62912087912088</v>
      </c>
      <c r="Q117" s="50"/>
    </row>
    <row r="118" spans="1:23" ht="14.25" customHeight="1" x14ac:dyDescent="0.25"/>
    <row r="119" spans="1:23" hidden="1" x14ac:dyDescent="0.25">
      <c r="A119" s="15">
        <f>A16</f>
        <v>0</v>
      </c>
      <c r="B119" s="58">
        <f>B16</f>
        <v>0</v>
      </c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35"/>
    </row>
    <row r="120" spans="1:23" hidden="1" x14ac:dyDescent="0.25">
      <c r="A120" s="14" t="s">
        <v>678</v>
      </c>
      <c r="C120" s="50">
        <v>0</v>
      </c>
      <c r="D120" s="50">
        <v>0</v>
      </c>
      <c r="E120" s="50">
        <v>0</v>
      </c>
      <c r="F120" s="50">
        <v>0</v>
      </c>
      <c r="G120" s="50">
        <v>0</v>
      </c>
      <c r="H120" s="50">
        <v>0</v>
      </c>
      <c r="I120" s="50">
        <v>0</v>
      </c>
      <c r="J120" s="50">
        <v>0</v>
      </c>
      <c r="K120" s="50">
        <v>0</v>
      </c>
      <c r="L120" s="50">
        <v>0</v>
      </c>
      <c r="M120" s="50">
        <v>0</v>
      </c>
      <c r="N120" s="50">
        <v>0</v>
      </c>
      <c r="O120" s="50">
        <f>SUM(C120:N120)</f>
        <v>0</v>
      </c>
      <c r="P120" s="114"/>
      <c r="Q120" s="114"/>
      <c r="U120" s="102"/>
      <c r="W120" s="102"/>
    </row>
    <row r="121" spans="1:23" hidden="1" x14ac:dyDescent="0.25">
      <c r="A121" s="14" t="s">
        <v>679</v>
      </c>
      <c r="C121" s="50">
        <f>C120/744</f>
        <v>0</v>
      </c>
      <c r="D121" s="48">
        <f>D120/720</f>
        <v>0</v>
      </c>
      <c r="E121" s="50">
        <f t="shared" ref="E121:N121" si="128">E120/744</f>
        <v>0</v>
      </c>
      <c r="F121" s="50">
        <f>F120/720</f>
        <v>0</v>
      </c>
      <c r="G121" s="50">
        <f t="shared" si="128"/>
        <v>0</v>
      </c>
      <c r="H121" s="48">
        <f>H120/744</f>
        <v>0</v>
      </c>
      <c r="I121" s="48">
        <f>I120/672</f>
        <v>0</v>
      </c>
      <c r="J121" s="50">
        <f t="shared" si="128"/>
        <v>0</v>
      </c>
      <c r="K121" s="50">
        <f>K120/720</f>
        <v>0</v>
      </c>
      <c r="L121" s="50">
        <f t="shared" si="128"/>
        <v>0</v>
      </c>
      <c r="M121" s="50">
        <f>M120/720</f>
        <v>0</v>
      </c>
      <c r="N121" s="50">
        <f t="shared" si="128"/>
        <v>0</v>
      </c>
      <c r="O121" s="50">
        <f>O120/8760</f>
        <v>0</v>
      </c>
      <c r="P121" s="50"/>
      <c r="Q121" s="50"/>
    </row>
    <row r="122" spans="1:23" hidden="1" x14ac:dyDescent="0.25">
      <c r="A122" s="14" t="s">
        <v>754</v>
      </c>
      <c r="C122" s="68">
        <v>0</v>
      </c>
      <c r="D122" s="68">
        <v>0</v>
      </c>
      <c r="E122" s="68">
        <v>0</v>
      </c>
      <c r="F122" s="68">
        <v>0.25</v>
      </c>
      <c r="G122" s="68">
        <v>0.25</v>
      </c>
      <c r="H122" s="68">
        <v>0.25</v>
      </c>
      <c r="I122" s="68">
        <v>0.25</v>
      </c>
      <c r="J122" s="68">
        <v>0</v>
      </c>
      <c r="K122" s="68">
        <v>0</v>
      </c>
      <c r="L122" s="68">
        <v>0</v>
      </c>
      <c r="M122" s="68">
        <v>0</v>
      </c>
      <c r="N122" s="68">
        <v>0</v>
      </c>
      <c r="O122" s="68"/>
      <c r="Q122" s="35"/>
    </row>
    <row r="123" spans="1:23" hidden="1" x14ac:dyDescent="0.25">
      <c r="A123" s="14" t="s">
        <v>755</v>
      </c>
      <c r="C123" s="50">
        <v>0</v>
      </c>
      <c r="D123" s="50">
        <v>0</v>
      </c>
      <c r="E123" s="50">
        <v>0</v>
      </c>
      <c r="F123" s="50">
        <v>0</v>
      </c>
      <c r="G123" s="50">
        <v>0</v>
      </c>
      <c r="H123" s="50">
        <v>0</v>
      </c>
      <c r="I123" s="50">
        <v>0</v>
      </c>
      <c r="J123" s="50">
        <v>0</v>
      </c>
      <c r="K123" s="50">
        <v>0</v>
      </c>
      <c r="L123" s="50">
        <v>0</v>
      </c>
      <c r="M123" s="50">
        <v>0</v>
      </c>
      <c r="N123" s="50">
        <v>0</v>
      </c>
      <c r="O123" s="50">
        <f>SUM(C123:N123)</f>
        <v>0</v>
      </c>
      <c r="Q123" s="35">
        <f>MAX(C123:N123)</f>
        <v>0</v>
      </c>
    </row>
    <row r="124" spans="1:23" hidden="1" x14ac:dyDescent="0.25">
      <c r="A124" s="14" t="s">
        <v>680</v>
      </c>
      <c r="C124" s="68">
        <v>1</v>
      </c>
      <c r="D124" s="68">
        <v>1</v>
      </c>
      <c r="E124" s="68">
        <v>1</v>
      </c>
      <c r="F124" s="68">
        <v>0</v>
      </c>
      <c r="G124" s="68">
        <v>0</v>
      </c>
      <c r="H124" s="68">
        <v>0</v>
      </c>
      <c r="I124" s="68">
        <v>0</v>
      </c>
      <c r="J124" s="68">
        <v>0</v>
      </c>
      <c r="K124" s="68">
        <v>0</v>
      </c>
      <c r="L124" s="68">
        <v>1</v>
      </c>
      <c r="M124" s="68">
        <v>1</v>
      </c>
      <c r="N124" s="68">
        <v>1</v>
      </c>
      <c r="O124" s="68"/>
      <c r="P124" s="50"/>
      <c r="Q124" s="35"/>
    </row>
    <row r="125" spans="1:23" hidden="1" x14ac:dyDescent="0.25">
      <c r="A125" s="14" t="s">
        <v>681</v>
      </c>
      <c r="C125" s="50">
        <f t="shared" ref="C125:N125" si="129">C123*C124</f>
        <v>0</v>
      </c>
      <c r="D125" s="50">
        <f t="shared" si="129"/>
        <v>0</v>
      </c>
      <c r="E125" s="50">
        <f t="shared" si="129"/>
        <v>0</v>
      </c>
      <c r="F125" s="50">
        <f t="shared" si="129"/>
        <v>0</v>
      </c>
      <c r="G125" s="50">
        <f t="shared" si="129"/>
        <v>0</v>
      </c>
      <c r="H125" s="50">
        <f t="shared" si="129"/>
        <v>0</v>
      </c>
      <c r="I125" s="50">
        <f t="shared" si="129"/>
        <v>0</v>
      </c>
      <c r="J125" s="50">
        <f t="shared" si="129"/>
        <v>0</v>
      </c>
      <c r="K125" s="50">
        <f t="shared" si="129"/>
        <v>0</v>
      </c>
      <c r="L125" s="50">
        <f t="shared" si="129"/>
        <v>0</v>
      </c>
      <c r="M125" s="50">
        <f t="shared" si="129"/>
        <v>0</v>
      </c>
      <c r="N125" s="50">
        <f t="shared" si="129"/>
        <v>0</v>
      </c>
      <c r="O125" s="50">
        <f>SUM(C125:N125)</f>
        <v>0</v>
      </c>
      <c r="P125" s="50"/>
      <c r="Q125" s="35"/>
      <c r="R125" s="35">
        <f>O125</f>
        <v>0</v>
      </c>
      <c r="S125" s="35">
        <f>H125+I125+J125</f>
        <v>0</v>
      </c>
      <c r="T125" s="35">
        <f>R125-S125</f>
        <v>0</v>
      </c>
    </row>
    <row r="126" spans="1:23" hidden="1" x14ac:dyDescent="0.25">
      <c r="A126" s="14" t="s">
        <v>756</v>
      </c>
      <c r="C126" s="68">
        <v>0.65</v>
      </c>
      <c r="D126" s="68">
        <v>0.65</v>
      </c>
      <c r="E126" s="68">
        <v>0.65</v>
      </c>
      <c r="F126" s="68">
        <v>0.65</v>
      </c>
      <c r="G126" s="68">
        <v>0.65</v>
      </c>
      <c r="H126" s="68">
        <v>0.65</v>
      </c>
      <c r="I126" s="68">
        <v>0.65</v>
      </c>
      <c r="J126" s="68">
        <v>0.65</v>
      </c>
      <c r="K126" s="68">
        <v>0.65</v>
      </c>
      <c r="L126" s="68">
        <v>0.65</v>
      </c>
      <c r="M126" s="68">
        <v>0.65</v>
      </c>
      <c r="N126" s="68">
        <v>0.65</v>
      </c>
      <c r="O126" s="68"/>
      <c r="P126" s="114"/>
      <c r="Q126" s="114"/>
      <c r="U126" s="102"/>
      <c r="W126" s="102"/>
    </row>
    <row r="127" spans="1:23" hidden="1" x14ac:dyDescent="0.25">
      <c r="A127" s="14" t="s">
        <v>757</v>
      </c>
      <c r="C127" s="50">
        <f>C121/C126</f>
        <v>0</v>
      </c>
      <c r="D127" s="50">
        <f t="shared" ref="D127:N127" si="130">D121/D126</f>
        <v>0</v>
      </c>
      <c r="E127" s="50">
        <f t="shared" si="130"/>
        <v>0</v>
      </c>
      <c r="F127" s="50">
        <f t="shared" si="130"/>
        <v>0</v>
      </c>
      <c r="G127" s="50">
        <f t="shared" si="130"/>
        <v>0</v>
      </c>
      <c r="H127" s="50">
        <f t="shared" si="130"/>
        <v>0</v>
      </c>
      <c r="I127" s="50">
        <f t="shared" si="130"/>
        <v>0</v>
      </c>
      <c r="J127" s="50">
        <f t="shared" si="130"/>
        <v>0</v>
      </c>
      <c r="K127" s="50">
        <f t="shared" si="130"/>
        <v>0</v>
      </c>
      <c r="L127" s="50">
        <f t="shared" si="130"/>
        <v>0</v>
      </c>
      <c r="M127" s="50">
        <f t="shared" si="130"/>
        <v>0</v>
      </c>
      <c r="N127" s="50">
        <f t="shared" si="130"/>
        <v>0</v>
      </c>
      <c r="O127" s="50">
        <f>SUM(C127:N127)</f>
        <v>0</v>
      </c>
      <c r="P127" s="50">
        <f>MAX(C127:N127)</f>
        <v>0</v>
      </c>
      <c r="Q127" s="50"/>
    </row>
    <row r="128" spans="1:23" hidden="1" x14ac:dyDescent="0.25"/>
    <row r="129" spans="1:23" hidden="1" x14ac:dyDescent="0.25">
      <c r="A129" s="15">
        <f>A17</f>
        <v>0</v>
      </c>
      <c r="B129" s="58">
        <f>B17</f>
        <v>0</v>
      </c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35"/>
    </row>
    <row r="130" spans="1:23" hidden="1" x14ac:dyDescent="0.25">
      <c r="A130" s="14" t="s">
        <v>678</v>
      </c>
      <c r="C130" s="50">
        <v>0</v>
      </c>
      <c r="D130" s="50">
        <v>0</v>
      </c>
      <c r="E130" s="50">
        <v>0</v>
      </c>
      <c r="F130" s="50">
        <v>0</v>
      </c>
      <c r="G130" s="50">
        <v>0</v>
      </c>
      <c r="H130" s="50">
        <v>0</v>
      </c>
      <c r="I130" s="50">
        <v>0</v>
      </c>
      <c r="J130" s="50">
        <v>0</v>
      </c>
      <c r="K130" s="50">
        <v>0</v>
      </c>
      <c r="L130" s="50">
        <v>0</v>
      </c>
      <c r="M130" s="50">
        <v>0</v>
      </c>
      <c r="N130" s="50">
        <v>0</v>
      </c>
      <c r="O130" s="50">
        <f>SUM(C130:N130)</f>
        <v>0</v>
      </c>
      <c r="P130" s="114"/>
      <c r="Q130" s="114"/>
      <c r="U130" s="102"/>
      <c r="W130" s="102"/>
    </row>
    <row r="131" spans="1:23" hidden="1" x14ac:dyDescent="0.25">
      <c r="A131" s="14" t="s">
        <v>679</v>
      </c>
      <c r="C131" s="50">
        <f>C130/744</f>
        <v>0</v>
      </c>
      <c r="D131" s="48">
        <f>D130/720</f>
        <v>0</v>
      </c>
      <c r="E131" s="50">
        <f t="shared" ref="E131:N131" si="131">E130/744</f>
        <v>0</v>
      </c>
      <c r="F131" s="50">
        <f>F130/720</f>
        <v>0</v>
      </c>
      <c r="G131" s="50">
        <f t="shared" si="131"/>
        <v>0</v>
      </c>
      <c r="H131" s="48">
        <f>H130/744</f>
        <v>0</v>
      </c>
      <c r="I131" s="48">
        <f>I130/672</f>
        <v>0</v>
      </c>
      <c r="J131" s="50">
        <f t="shared" si="131"/>
        <v>0</v>
      </c>
      <c r="K131" s="50">
        <f>K130/720</f>
        <v>0</v>
      </c>
      <c r="L131" s="50">
        <f t="shared" si="131"/>
        <v>0</v>
      </c>
      <c r="M131" s="50">
        <f>M130/720</f>
        <v>0</v>
      </c>
      <c r="N131" s="50">
        <f t="shared" si="131"/>
        <v>0</v>
      </c>
      <c r="O131" s="50">
        <f>O130/8760</f>
        <v>0</v>
      </c>
      <c r="P131" s="50"/>
      <c r="Q131" s="50"/>
    </row>
    <row r="132" spans="1:23" hidden="1" x14ac:dyDescent="0.25">
      <c r="A132" s="14" t="s">
        <v>754</v>
      </c>
      <c r="C132" s="68">
        <v>0</v>
      </c>
      <c r="D132" s="68">
        <v>0</v>
      </c>
      <c r="E132" s="68">
        <v>0</v>
      </c>
      <c r="F132" s="68">
        <v>0.25</v>
      </c>
      <c r="G132" s="68">
        <v>0.25</v>
      </c>
      <c r="H132" s="68">
        <v>0.25</v>
      </c>
      <c r="I132" s="68">
        <v>0.25</v>
      </c>
      <c r="J132" s="68">
        <v>0</v>
      </c>
      <c r="K132" s="68">
        <v>0</v>
      </c>
      <c r="L132" s="68">
        <v>0</v>
      </c>
      <c r="M132" s="68">
        <v>0</v>
      </c>
      <c r="N132" s="68">
        <v>0</v>
      </c>
      <c r="O132" s="68"/>
      <c r="Q132" s="35"/>
    </row>
    <row r="133" spans="1:23" hidden="1" x14ac:dyDescent="0.25">
      <c r="A133" s="14" t="s">
        <v>755</v>
      </c>
      <c r="C133" s="50"/>
      <c r="D133" s="50"/>
      <c r="E133" s="50"/>
      <c r="F133" s="50">
        <v>0</v>
      </c>
      <c r="G133" s="50">
        <v>0</v>
      </c>
      <c r="H133" s="50">
        <v>0</v>
      </c>
      <c r="I133" s="50">
        <v>0</v>
      </c>
      <c r="J133" s="50">
        <v>0</v>
      </c>
      <c r="K133" s="50"/>
      <c r="L133" s="50"/>
      <c r="M133" s="50"/>
      <c r="N133" s="50"/>
      <c r="O133" s="50">
        <f>SUM(C133:N133)</f>
        <v>0</v>
      </c>
      <c r="Q133" s="35">
        <f>MAX(C133:N133)</f>
        <v>0</v>
      </c>
    </row>
    <row r="134" spans="1:23" hidden="1" x14ac:dyDescent="0.25">
      <c r="A134" s="14" t="s">
        <v>680</v>
      </c>
      <c r="C134" s="68">
        <v>1</v>
      </c>
      <c r="D134" s="68">
        <v>1</v>
      </c>
      <c r="E134" s="68">
        <v>1</v>
      </c>
      <c r="F134" s="68">
        <v>0</v>
      </c>
      <c r="G134" s="68">
        <v>0</v>
      </c>
      <c r="H134" s="68">
        <v>0</v>
      </c>
      <c r="I134" s="68">
        <v>0</v>
      </c>
      <c r="J134" s="68">
        <v>0</v>
      </c>
      <c r="K134" s="68">
        <v>0</v>
      </c>
      <c r="L134" s="68">
        <v>1</v>
      </c>
      <c r="M134" s="68">
        <v>1</v>
      </c>
      <c r="N134" s="68">
        <v>1</v>
      </c>
      <c r="O134" s="68"/>
      <c r="P134" s="50"/>
      <c r="Q134" s="35"/>
    </row>
    <row r="135" spans="1:23" hidden="1" x14ac:dyDescent="0.25">
      <c r="A135" s="14" t="s">
        <v>681</v>
      </c>
      <c r="C135" s="50">
        <f t="shared" ref="C135:N135" si="132">C133*C134</f>
        <v>0</v>
      </c>
      <c r="D135" s="50">
        <f t="shared" si="132"/>
        <v>0</v>
      </c>
      <c r="E135" s="50">
        <f t="shared" si="132"/>
        <v>0</v>
      </c>
      <c r="F135" s="50">
        <f t="shared" si="132"/>
        <v>0</v>
      </c>
      <c r="G135" s="50">
        <f t="shared" si="132"/>
        <v>0</v>
      </c>
      <c r="H135" s="50">
        <f t="shared" si="132"/>
        <v>0</v>
      </c>
      <c r="I135" s="50">
        <f t="shared" si="132"/>
        <v>0</v>
      </c>
      <c r="J135" s="50">
        <f t="shared" si="132"/>
        <v>0</v>
      </c>
      <c r="K135" s="50">
        <f t="shared" si="132"/>
        <v>0</v>
      </c>
      <c r="L135" s="50">
        <f t="shared" si="132"/>
        <v>0</v>
      </c>
      <c r="M135" s="50">
        <f t="shared" si="132"/>
        <v>0</v>
      </c>
      <c r="N135" s="50">
        <f t="shared" si="132"/>
        <v>0</v>
      </c>
      <c r="O135" s="50">
        <f>SUM(C135:N135)</f>
        <v>0</v>
      </c>
      <c r="P135" s="50"/>
      <c r="Q135" s="35"/>
      <c r="R135" s="35">
        <f>O135</f>
        <v>0</v>
      </c>
      <c r="S135" s="35">
        <f>H135+I135+J135</f>
        <v>0</v>
      </c>
      <c r="T135" s="35">
        <f>R135-S135</f>
        <v>0</v>
      </c>
    </row>
    <row r="136" spans="1:23" hidden="1" x14ac:dyDescent="0.25">
      <c r="A136" s="14" t="s">
        <v>756</v>
      </c>
      <c r="C136" s="68">
        <v>0.65</v>
      </c>
      <c r="D136" s="68">
        <v>0.65</v>
      </c>
      <c r="E136" s="68">
        <v>0.65</v>
      </c>
      <c r="F136" s="68">
        <v>0.65</v>
      </c>
      <c r="G136" s="68">
        <v>0.65</v>
      </c>
      <c r="H136" s="68">
        <v>0.65</v>
      </c>
      <c r="I136" s="68">
        <v>0.65</v>
      </c>
      <c r="J136" s="68">
        <v>0.65</v>
      </c>
      <c r="K136" s="68">
        <v>0.65</v>
      </c>
      <c r="L136" s="68">
        <v>0.65</v>
      </c>
      <c r="M136" s="68">
        <v>0.65</v>
      </c>
      <c r="N136" s="68">
        <v>0.65</v>
      </c>
      <c r="O136" s="68"/>
      <c r="P136" s="114"/>
      <c r="Q136" s="114"/>
      <c r="U136" s="102"/>
      <c r="W136" s="102"/>
    </row>
    <row r="137" spans="1:23" hidden="1" x14ac:dyDescent="0.25">
      <c r="A137" s="14" t="s">
        <v>757</v>
      </c>
      <c r="C137" s="50">
        <f>C131/C136</f>
        <v>0</v>
      </c>
      <c r="D137" s="50">
        <f t="shared" ref="D137:N137" si="133">D131/D136</f>
        <v>0</v>
      </c>
      <c r="E137" s="50">
        <f t="shared" si="133"/>
        <v>0</v>
      </c>
      <c r="F137" s="50">
        <f t="shared" si="133"/>
        <v>0</v>
      </c>
      <c r="G137" s="50">
        <f t="shared" si="133"/>
        <v>0</v>
      </c>
      <c r="H137" s="50">
        <f t="shared" si="133"/>
        <v>0</v>
      </c>
      <c r="I137" s="50">
        <f t="shared" si="133"/>
        <v>0</v>
      </c>
      <c r="J137" s="50">
        <f t="shared" si="133"/>
        <v>0</v>
      </c>
      <c r="K137" s="50">
        <f t="shared" si="133"/>
        <v>0</v>
      </c>
      <c r="L137" s="50">
        <f t="shared" si="133"/>
        <v>0</v>
      </c>
      <c r="M137" s="50">
        <f t="shared" si="133"/>
        <v>0</v>
      </c>
      <c r="N137" s="50">
        <f t="shared" si="133"/>
        <v>0</v>
      </c>
      <c r="O137" s="50">
        <f>SUM(C137:N137)</f>
        <v>0</v>
      </c>
      <c r="P137" s="50">
        <f>MAX(C137:N137)</f>
        <v>0</v>
      </c>
      <c r="Q137" s="50"/>
    </row>
    <row r="138" spans="1:23" hidden="1" x14ac:dyDescent="0.25">
      <c r="L138" s="50"/>
    </row>
    <row r="139" spans="1:23" hidden="1" x14ac:dyDescent="0.25">
      <c r="A139" s="15">
        <f>A18</f>
        <v>0</v>
      </c>
      <c r="B139" s="58">
        <f>B18</f>
        <v>0</v>
      </c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35"/>
    </row>
    <row r="140" spans="1:23" hidden="1" x14ac:dyDescent="0.25">
      <c r="A140" s="14" t="s">
        <v>678</v>
      </c>
      <c r="C140" s="50">
        <v>0</v>
      </c>
      <c r="D140" s="50">
        <v>0</v>
      </c>
      <c r="E140" s="50">
        <v>0</v>
      </c>
      <c r="F140" s="50">
        <v>0</v>
      </c>
      <c r="G140" s="50">
        <v>0</v>
      </c>
      <c r="H140" s="50">
        <v>0</v>
      </c>
      <c r="I140" s="50">
        <v>0</v>
      </c>
      <c r="J140" s="50">
        <v>0</v>
      </c>
      <c r="K140" s="50">
        <v>0</v>
      </c>
      <c r="L140" s="50">
        <v>0</v>
      </c>
      <c r="M140" s="50">
        <v>0</v>
      </c>
      <c r="N140" s="50">
        <v>0</v>
      </c>
      <c r="O140" s="50">
        <f>SUM(C140:N140)</f>
        <v>0</v>
      </c>
      <c r="P140" s="114"/>
      <c r="Q140" s="114"/>
      <c r="U140" s="102"/>
      <c r="W140" s="102"/>
    </row>
    <row r="141" spans="1:23" hidden="1" x14ac:dyDescent="0.25">
      <c r="A141" s="14" t="s">
        <v>679</v>
      </c>
      <c r="C141" s="50">
        <f>C140/744</f>
        <v>0</v>
      </c>
      <c r="D141" s="48">
        <f>D140/720</f>
        <v>0</v>
      </c>
      <c r="E141" s="50">
        <f t="shared" ref="E141:N141" si="134">E140/744</f>
        <v>0</v>
      </c>
      <c r="F141" s="50">
        <f>F140/720</f>
        <v>0</v>
      </c>
      <c r="G141" s="50">
        <f t="shared" si="134"/>
        <v>0</v>
      </c>
      <c r="H141" s="48">
        <f>H140/744</f>
        <v>0</v>
      </c>
      <c r="I141" s="48">
        <f>I140/672</f>
        <v>0</v>
      </c>
      <c r="J141" s="50">
        <f t="shared" si="134"/>
        <v>0</v>
      </c>
      <c r="K141" s="50">
        <f>K140/720</f>
        <v>0</v>
      </c>
      <c r="L141" s="50">
        <f t="shared" si="134"/>
        <v>0</v>
      </c>
      <c r="M141" s="50">
        <f>M140/720</f>
        <v>0</v>
      </c>
      <c r="N141" s="50">
        <f t="shared" si="134"/>
        <v>0</v>
      </c>
      <c r="O141" s="50">
        <f>O140/8760</f>
        <v>0</v>
      </c>
      <c r="P141" s="50"/>
      <c r="Q141" s="50"/>
    </row>
    <row r="142" spans="1:23" hidden="1" x14ac:dyDescent="0.25">
      <c r="A142" s="14" t="s">
        <v>754</v>
      </c>
      <c r="C142" s="68">
        <v>0</v>
      </c>
      <c r="D142" s="68">
        <v>0</v>
      </c>
      <c r="E142" s="68">
        <v>0</v>
      </c>
      <c r="F142" s="68">
        <v>0.25</v>
      </c>
      <c r="G142" s="68">
        <v>0.25</v>
      </c>
      <c r="H142" s="68">
        <v>0.25</v>
      </c>
      <c r="I142" s="68">
        <v>0.25</v>
      </c>
      <c r="J142" s="68">
        <v>0</v>
      </c>
      <c r="K142" s="68">
        <v>0</v>
      </c>
      <c r="L142" s="68">
        <v>0</v>
      </c>
      <c r="M142" s="68">
        <v>0</v>
      </c>
      <c r="N142" s="68">
        <v>0</v>
      </c>
      <c r="O142" s="68"/>
      <c r="Q142" s="35"/>
    </row>
    <row r="143" spans="1:23" hidden="1" x14ac:dyDescent="0.25">
      <c r="A143" s="14" t="s">
        <v>755</v>
      </c>
      <c r="C143" s="50"/>
      <c r="D143" s="50"/>
      <c r="E143" s="50"/>
      <c r="F143" s="50">
        <v>0</v>
      </c>
      <c r="G143" s="50">
        <v>0</v>
      </c>
      <c r="H143" s="50">
        <v>0</v>
      </c>
      <c r="I143" s="50">
        <v>0</v>
      </c>
      <c r="J143" s="50">
        <v>0</v>
      </c>
      <c r="K143" s="50"/>
      <c r="L143" s="50"/>
      <c r="M143" s="50"/>
      <c r="N143" s="50"/>
      <c r="O143" s="50">
        <f>SUM(C143:N143)</f>
        <v>0</v>
      </c>
      <c r="Q143" s="35">
        <f>MAX(C143:N143)</f>
        <v>0</v>
      </c>
    </row>
    <row r="144" spans="1:23" hidden="1" x14ac:dyDescent="0.25">
      <c r="A144" s="14" t="s">
        <v>680</v>
      </c>
      <c r="C144" s="68">
        <v>1</v>
      </c>
      <c r="D144" s="68">
        <v>1</v>
      </c>
      <c r="E144" s="68">
        <v>1</v>
      </c>
      <c r="F144" s="68">
        <v>0</v>
      </c>
      <c r="G144" s="68">
        <v>0</v>
      </c>
      <c r="H144" s="68">
        <v>0</v>
      </c>
      <c r="I144" s="68">
        <v>0</v>
      </c>
      <c r="J144" s="68">
        <v>0</v>
      </c>
      <c r="K144" s="68">
        <v>0</v>
      </c>
      <c r="L144" s="68">
        <v>1</v>
      </c>
      <c r="M144" s="68">
        <v>1</v>
      </c>
      <c r="N144" s="68">
        <v>1</v>
      </c>
      <c r="O144" s="68"/>
      <c r="P144" s="50"/>
      <c r="Q144" s="35"/>
    </row>
    <row r="145" spans="1:23" hidden="1" x14ac:dyDescent="0.25">
      <c r="A145" s="14" t="s">
        <v>681</v>
      </c>
      <c r="C145" s="50">
        <f t="shared" ref="C145:N145" si="135">C143*C144</f>
        <v>0</v>
      </c>
      <c r="D145" s="50">
        <f t="shared" si="135"/>
        <v>0</v>
      </c>
      <c r="E145" s="50">
        <f t="shared" si="135"/>
        <v>0</v>
      </c>
      <c r="F145" s="50">
        <f t="shared" si="135"/>
        <v>0</v>
      </c>
      <c r="G145" s="50">
        <f t="shared" si="135"/>
        <v>0</v>
      </c>
      <c r="H145" s="50">
        <f t="shared" si="135"/>
        <v>0</v>
      </c>
      <c r="I145" s="50">
        <f t="shared" si="135"/>
        <v>0</v>
      </c>
      <c r="J145" s="50">
        <f t="shared" si="135"/>
        <v>0</v>
      </c>
      <c r="K145" s="50">
        <f t="shared" si="135"/>
        <v>0</v>
      </c>
      <c r="L145" s="50">
        <f t="shared" si="135"/>
        <v>0</v>
      </c>
      <c r="M145" s="50">
        <f t="shared" si="135"/>
        <v>0</v>
      </c>
      <c r="N145" s="50">
        <f t="shared" si="135"/>
        <v>0</v>
      </c>
      <c r="O145" s="50">
        <f>SUM(C145:N145)</f>
        <v>0</v>
      </c>
      <c r="P145" s="50"/>
      <c r="Q145" s="35"/>
      <c r="R145" s="35">
        <f>O145</f>
        <v>0</v>
      </c>
      <c r="S145" s="35">
        <f>H145+I145+J145</f>
        <v>0</v>
      </c>
      <c r="T145" s="35">
        <f>R145-S145</f>
        <v>0</v>
      </c>
    </row>
    <row r="146" spans="1:23" hidden="1" x14ac:dyDescent="0.25">
      <c r="A146" s="14" t="s">
        <v>756</v>
      </c>
      <c r="C146" s="68">
        <v>0.65</v>
      </c>
      <c r="D146" s="68">
        <v>0.65</v>
      </c>
      <c r="E146" s="68">
        <v>0.65</v>
      </c>
      <c r="F146" s="68">
        <v>0.65</v>
      </c>
      <c r="G146" s="68">
        <v>0.65</v>
      </c>
      <c r="H146" s="68">
        <v>0.65</v>
      </c>
      <c r="I146" s="68">
        <v>0.65</v>
      </c>
      <c r="J146" s="68">
        <v>0.65</v>
      </c>
      <c r="K146" s="68">
        <v>0.65</v>
      </c>
      <c r="L146" s="68">
        <v>0.65</v>
      </c>
      <c r="M146" s="68">
        <v>0.65</v>
      </c>
      <c r="N146" s="68">
        <v>0.65</v>
      </c>
      <c r="O146" s="68"/>
      <c r="P146" s="114"/>
      <c r="Q146" s="114"/>
      <c r="U146" s="102"/>
      <c r="W146" s="102"/>
    </row>
    <row r="147" spans="1:23" hidden="1" x14ac:dyDescent="0.25">
      <c r="A147" s="14" t="s">
        <v>757</v>
      </c>
      <c r="C147" s="50">
        <f>C141/C146</f>
        <v>0</v>
      </c>
      <c r="D147" s="50">
        <f t="shared" ref="D147:N147" si="136">D141/D146</f>
        <v>0</v>
      </c>
      <c r="E147" s="50">
        <f t="shared" si="136"/>
        <v>0</v>
      </c>
      <c r="F147" s="50">
        <f t="shared" si="136"/>
        <v>0</v>
      </c>
      <c r="G147" s="50">
        <f t="shared" si="136"/>
        <v>0</v>
      </c>
      <c r="H147" s="50">
        <f t="shared" si="136"/>
        <v>0</v>
      </c>
      <c r="I147" s="50">
        <f t="shared" si="136"/>
        <v>0</v>
      </c>
      <c r="J147" s="50">
        <f t="shared" si="136"/>
        <v>0</v>
      </c>
      <c r="K147" s="50">
        <f t="shared" si="136"/>
        <v>0</v>
      </c>
      <c r="L147" s="50">
        <f t="shared" si="136"/>
        <v>0</v>
      </c>
      <c r="M147" s="50">
        <f t="shared" si="136"/>
        <v>0</v>
      </c>
      <c r="N147" s="50">
        <f t="shared" si="136"/>
        <v>0</v>
      </c>
      <c r="O147" s="50">
        <f>SUM(C147:N147)</f>
        <v>0</v>
      </c>
      <c r="P147" s="50">
        <f>MAX(C147:N147)</f>
        <v>0</v>
      </c>
      <c r="Q147" s="50"/>
    </row>
    <row r="148" spans="1:23" hidden="1" x14ac:dyDescent="0.25"/>
    <row r="149" spans="1:23" hidden="1" x14ac:dyDescent="0.25">
      <c r="A149" s="15">
        <f>A19</f>
        <v>0</v>
      </c>
      <c r="B149" s="58">
        <f>B19</f>
        <v>0</v>
      </c>
      <c r="C149" s="50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35"/>
    </row>
    <row r="150" spans="1:23" hidden="1" x14ac:dyDescent="0.25">
      <c r="A150" s="14" t="s">
        <v>678</v>
      </c>
      <c r="C150" s="50">
        <v>0</v>
      </c>
      <c r="D150" s="50">
        <v>0</v>
      </c>
      <c r="E150" s="50">
        <v>0</v>
      </c>
      <c r="F150" s="50">
        <v>0</v>
      </c>
      <c r="G150" s="50">
        <v>0</v>
      </c>
      <c r="H150" s="50">
        <v>0</v>
      </c>
      <c r="I150" s="50">
        <v>0</v>
      </c>
      <c r="J150" s="50">
        <v>0</v>
      </c>
      <c r="K150" s="50">
        <v>0</v>
      </c>
      <c r="L150" s="50">
        <v>0</v>
      </c>
      <c r="M150" s="50">
        <v>0</v>
      </c>
      <c r="N150" s="50">
        <v>0</v>
      </c>
      <c r="O150" s="50">
        <f>SUM(C150:N150)</f>
        <v>0</v>
      </c>
      <c r="P150" s="114"/>
      <c r="Q150" s="114"/>
      <c r="U150" s="102"/>
      <c r="W150" s="102"/>
    </row>
    <row r="151" spans="1:23" hidden="1" x14ac:dyDescent="0.25">
      <c r="A151" s="14" t="s">
        <v>679</v>
      </c>
      <c r="C151" s="50">
        <f>C150/744</f>
        <v>0</v>
      </c>
      <c r="D151" s="48">
        <f>D150/720</f>
        <v>0</v>
      </c>
      <c r="E151" s="50">
        <f t="shared" ref="E151:N151" si="137">E150/744</f>
        <v>0</v>
      </c>
      <c r="F151" s="50">
        <f>F150/720</f>
        <v>0</v>
      </c>
      <c r="G151" s="50">
        <f t="shared" si="137"/>
        <v>0</v>
      </c>
      <c r="H151" s="48">
        <f>H150/744</f>
        <v>0</v>
      </c>
      <c r="I151" s="48">
        <f>I150/672</f>
        <v>0</v>
      </c>
      <c r="J151" s="50">
        <f t="shared" si="137"/>
        <v>0</v>
      </c>
      <c r="K151" s="50">
        <f>K150/720</f>
        <v>0</v>
      </c>
      <c r="L151" s="50">
        <f t="shared" si="137"/>
        <v>0</v>
      </c>
      <c r="M151" s="50">
        <f>M150/720</f>
        <v>0</v>
      </c>
      <c r="N151" s="50">
        <f t="shared" si="137"/>
        <v>0</v>
      </c>
      <c r="O151" s="50">
        <f>O150/8760</f>
        <v>0</v>
      </c>
      <c r="P151" s="50"/>
      <c r="Q151" s="50"/>
    </row>
    <row r="152" spans="1:23" hidden="1" x14ac:dyDescent="0.25">
      <c r="A152" s="14" t="s">
        <v>754</v>
      </c>
      <c r="C152" s="68">
        <v>0</v>
      </c>
      <c r="D152" s="68">
        <v>0</v>
      </c>
      <c r="E152" s="68">
        <v>0</v>
      </c>
      <c r="F152" s="68">
        <v>0.25</v>
      </c>
      <c r="G152" s="68">
        <v>0.25</v>
      </c>
      <c r="H152" s="68">
        <v>0.25</v>
      </c>
      <c r="I152" s="68">
        <v>0.25</v>
      </c>
      <c r="J152" s="68">
        <v>0</v>
      </c>
      <c r="K152" s="68">
        <v>0</v>
      </c>
      <c r="L152" s="68">
        <v>0</v>
      </c>
      <c r="M152" s="68">
        <v>0</v>
      </c>
      <c r="N152" s="68">
        <v>0</v>
      </c>
      <c r="O152" s="68"/>
      <c r="Q152" s="35"/>
    </row>
    <row r="153" spans="1:23" hidden="1" x14ac:dyDescent="0.25">
      <c r="A153" s="14" t="s">
        <v>755</v>
      </c>
      <c r="C153" s="50"/>
      <c r="D153" s="50"/>
      <c r="E153" s="50"/>
      <c r="F153" s="50">
        <v>0</v>
      </c>
      <c r="G153" s="50">
        <v>0</v>
      </c>
      <c r="H153" s="50">
        <v>0</v>
      </c>
      <c r="I153" s="50">
        <v>0</v>
      </c>
      <c r="J153" s="50">
        <v>0</v>
      </c>
      <c r="K153" s="50"/>
      <c r="L153" s="50"/>
      <c r="M153" s="50"/>
      <c r="N153" s="50"/>
      <c r="O153" s="50">
        <f>SUM(C153:N153)</f>
        <v>0</v>
      </c>
      <c r="Q153" s="35">
        <f>MAX(C153:N153)</f>
        <v>0</v>
      </c>
    </row>
    <row r="154" spans="1:23" hidden="1" x14ac:dyDescent="0.25">
      <c r="A154" s="14" t="s">
        <v>680</v>
      </c>
      <c r="C154" s="68">
        <v>1</v>
      </c>
      <c r="D154" s="68">
        <v>1</v>
      </c>
      <c r="E154" s="68">
        <v>1</v>
      </c>
      <c r="F154" s="68">
        <v>0</v>
      </c>
      <c r="G154" s="68">
        <v>0</v>
      </c>
      <c r="H154" s="68">
        <v>0</v>
      </c>
      <c r="I154" s="68">
        <v>0</v>
      </c>
      <c r="J154" s="68">
        <v>0</v>
      </c>
      <c r="K154" s="68">
        <v>0</v>
      </c>
      <c r="L154" s="68">
        <v>1</v>
      </c>
      <c r="M154" s="68">
        <v>1</v>
      </c>
      <c r="N154" s="68">
        <v>1</v>
      </c>
      <c r="O154" s="68"/>
      <c r="P154" s="50"/>
      <c r="Q154" s="35"/>
    </row>
    <row r="155" spans="1:23" hidden="1" x14ac:dyDescent="0.25">
      <c r="A155" s="14" t="s">
        <v>681</v>
      </c>
      <c r="C155" s="50">
        <f t="shared" ref="C155:N155" si="138">C153*C154</f>
        <v>0</v>
      </c>
      <c r="D155" s="50">
        <f t="shared" si="138"/>
        <v>0</v>
      </c>
      <c r="E155" s="50">
        <f t="shared" si="138"/>
        <v>0</v>
      </c>
      <c r="F155" s="50">
        <f t="shared" si="138"/>
        <v>0</v>
      </c>
      <c r="G155" s="50">
        <f t="shared" si="138"/>
        <v>0</v>
      </c>
      <c r="H155" s="50">
        <f t="shared" si="138"/>
        <v>0</v>
      </c>
      <c r="I155" s="50">
        <f t="shared" si="138"/>
        <v>0</v>
      </c>
      <c r="J155" s="50">
        <f t="shared" si="138"/>
        <v>0</v>
      </c>
      <c r="K155" s="50">
        <f t="shared" si="138"/>
        <v>0</v>
      </c>
      <c r="L155" s="50">
        <f t="shared" si="138"/>
        <v>0</v>
      </c>
      <c r="M155" s="50">
        <f t="shared" si="138"/>
        <v>0</v>
      </c>
      <c r="N155" s="50">
        <f t="shared" si="138"/>
        <v>0</v>
      </c>
      <c r="O155" s="50">
        <f>SUM(C155:N155)</f>
        <v>0</v>
      </c>
      <c r="P155" s="50"/>
      <c r="Q155" s="35"/>
      <c r="R155" s="35">
        <f>O155</f>
        <v>0</v>
      </c>
      <c r="S155" s="35">
        <f>H155+I155+J155</f>
        <v>0</v>
      </c>
      <c r="T155" s="35">
        <f>R155-S155</f>
        <v>0</v>
      </c>
    </row>
    <row r="156" spans="1:23" hidden="1" x14ac:dyDescent="0.25">
      <c r="A156" s="14" t="s">
        <v>756</v>
      </c>
      <c r="C156" s="68">
        <v>0.65</v>
      </c>
      <c r="D156" s="68">
        <v>0.65</v>
      </c>
      <c r="E156" s="68">
        <v>0.65</v>
      </c>
      <c r="F156" s="68">
        <v>0.65</v>
      </c>
      <c r="G156" s="68">
        <v>0.65</v>
      </c>
      <c r="H156" s="68">
        <v>0.65</v>
      </c>
      <c r="I156" s="68">
        <v>0.65</v>
      </c>
      <c r="J156" s="68">
        <v>0.65</v>
      </c>
      <c r="K156" s="68">
        <v>0.65</v>
      </c>
      <c r="L156" s="68">
        <v>0.65</v>
      </c>
      <c r="M156" s="68">
        <v>0.65</v>
      </c>
      <c r="N156" s="68">
        <v>0.65</v>
      </c>
      <c r="O156" s="68"/>
      <c r="P156" s="114"/>
      <c r="Q156" s="114"/>
      <c r="U156" s="102"/>
      <c r="W156" s="102"/>
    </row>
    <row r="157" spans="1:23" hidden="1" x14ac:dyDescent="0.25">
      <c r="A157" s="14" t="s">
        <v>757</v>
      </c>
      <c r="C157" s="50">
        <f>C151/C156</f>
        <v>0</v>
      </c>
      <c r="D157" s="50">
        <f t="shared" ref="D157:N157" si="139">D151/D156</f>
        <v>0</v>
      </c>
      <c r="E157" s="50">
        <f t="shared" si="139"/>
        <v>0</v>
      </c>
      <c r="F157" s="50">
        <f t="shared" si="139"/>
        <v>0</v>
      </c>
      <c r="G157" s="50">
        <f t="shared" si="139"/>
        <v>0</v>
      </c>
      <c r="H157" s="50">
        <f t="shared" si="139"/>
        <v>0</v>
      </c>
      <c r="I157" s="50">
        <f t="shared" si="139"/>
        <v>0</v>
      </c>
      <c r="J157" s="50">
        <f t="shared" si="139"/>
        <v>0</v>
      </c>
      <c r="K157" s="50">
        <f t="shared" si="139"/>
        <v>0</v>
      </c>
      <c r="L157" s="50">
        <f t="shared" si="139"/>
        <v>0</v>
      </c>
      <c r="M157" s="50">
        <f t="shared" si="139"/>
        <v>0</v>
      </c>
      <c r="N157" s="50">
        <f t="shared" si="139"/>
        <v>0</v>
      </c>
      <c r="O157" s="50">
        <f>SUM(C157:N157)</f>
        <v>0</v>
      </c>
      <c r="P157" s="50">
        <f>MAX(C157:N157)</f>
        <v>0</v>
      </c>
      <c r="Q157" s="50"/>
    </row>
    <row r="158" spans="1:23" hidden="1" x14ac:dyDescent="0.25"/>
    <row r="159" spans="1:23" hidden="1" x14ac:dyDescent="0.25">
      <c r="A159" s="15">
        <f>A20</f>
        <v>0</v>
      </c>
      <c r="B159" s="58">
        <f>B20</f>
        <v>0</v>
      </c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35"/>
    </row>
    <row r="160" spans="1:23" hidden="1" x14ac:dyDescent="0.25">
      <c r="A160" s="14" t="s">
        <v>678</v>
      </c>
      <c r="C160" s="50">
        <v>0</v>
      </c>
      <c r="D160" s="50">
        <v>0</v>
      </c>
      <c r="E160" s="50">
        <v>0</v>
      </c>
      <c r="F160" s="50">
        <v>0</v>
      </c>
      <c r="G160" s="50">
        <v>0</v>
      </c>
      <c r="H160" s="50">
        <v>0</v>
      </c>
      <c r="I160" s="50">
        <v>0</v>
      </c>
      <c r="J160" s="50">
        <v>0</v>
      </c>
      <c r="K160" s="50">
        <v>0</v>
      </c>
      <c r="L160" s="50">
        <v>0</v>
      </c>
      <c r="M160" s="50">
        <v>0</v>
      </c>
      <c r="N160" s="50">
        <v>0</v>
      </c>
      <c r="O160" s="50">
        <f>SUM(C160:N160)</f>
        <v>0</v>
      </c>
      <c r="P160" s="114"/>
      <c r="Q160" s="114"/>
      <c r="U160" s="102"/>
      <c r="W160" s="102"/>
    </row>
    <row r="161" spans="1:23" hidden="1" x14ac:dyDescent="0.25">
      <c r="A161" s="14" t="s">
        <v>679</v>
      </c>
      <c r="C161" s="50">
        <f>C160/744</f>
        <v>0</v>
      </c>
      <c r="D161" s="48">
        <f>D160/720</f>
        <v>0</v>
      </c>
      <c r="E161" s="50">
        <f t="shared" ref="E161:N161" si="140">E160/744</f>
        <v>0</v>
      </c>
      <c r="F161" s="50">
        <f>F160/720</f>
        <v>0</v>
      </c>
      <c r="G161" s="50">
        <f t="shared" si="140"/>
        <v>0</v>
      </c>
      <c r="H161" s="48">
        <f>H160/744</f>
        <v>0</v>
      </c>
      <c r="I161" s="48">
        <f>I160/672</f>
        <v>0</v>
      </c>
      <c r="J161" s="50">
        <f t="shared" si="140"/>
        <v>0</v>
      </c>
      <c r="K161" s="50">
        <f>K160/720</f>
        <v>0</v>
      </c>
      <c r="L161" s="50">
        <f t="shared" si="140"/>
        <v>0</v>
      </c>
      <c r="M161" s="50">
        <f>M160/720</f>
        <v>0</v>
      </c>
      <c r="N161" s="50">
        <f t="shared" si="140"/>
        <v>0</v>
      </c>
      <c r="O161" s="50">
        <f>O160/8760</f>
        <v>0</v>
      </c>
      <c r="P161" s="50"/>
      <c r="Q161" s="50"/>
    </row>
    <row r="162" spans="1:23" hidden="1" x14ac:dyDescent="0.25">
      <c r="A162" s="14" t="s">
        <v>754</v>
      </c>
      <c r="C162" s="68">
        <v>0</v>
      </c>
      <c r="D162" s="68">
        <v>0</v>
      </c>
      <c r="E162" s="68">
        <v>0</v>
      </c>
      <c r="F162" s="68">
        <v>0.25</v>
      </c>
      <c r="G162" s="68">
        <v>0.25</v>
      </c>
      <c r="H162" s="68">
        <v>0.25</v>
      </c>
      <c r="I162" s="68">
        <v>0.25</v>
      </c>
      <c r="J162" s="68">
        <v>0</v>
      </c>
      <c r="K162" s="68">
        <v>0</v>
      </c>
      <c r="L162" s="68">
        <v>0</v>
      </c>
      <c r="M162" s="68">
        <v>0</v>
      </c>
      <c r="N162" s="68">
        <v>0</v>
      </c>
      <c r="O162" s="68"/>
      <c r="Q162" s="35"/>
    </row>
    <row r="163" spans="1:23" hidden="1" x14ac:dyDescent="0.25">
      <c r="A163" s="14" t="s">
        <v>755</v>
      </c>
      <c r="C163" s="50"/>
      <c r="D163" s="50"/>
      <c r="E163" s="50"/>
      <c r="F163" s="50">
        <v>0</v>
      </c>
      <c r="G163" s="50">
        <v>0</v>
      </c>
      <c r="H163" s="50">
        <v>0</v>
      </c>
      <c r="I163" s="50">
        <v>0</v>
      </c>
      <c r="J163" s="50">
        <v>0</v>
      </c>
      <c r="K163" s="50"/>
      <c r="L163" s="50"/>
      <c r="M163" s="50"/>
      <c r="N163" s="50"/>
      <c r="O163" s="50">
        <f>SUM(C163:N163)</f>
        <v>0</v>
      </c>
      <c r="Q163" s="35">
        <f>MAX(C163:N163)</f>
        <v>0</v>
      </c>
    </row>
    <row r="164" spans="1:23" hidden="1" x14ac:dyDescent="0.25">
      <c r="A164" s="14" t="s">
        <v>680</v>
      </c>
      <c r="C164" s="68">
        <v>1</v>
      </c>
      <c r="D164" s="68">
        <v>1</v>
      </c>
      <c r="E164" s="68">
        <v>1</v>
      </c>
      <c r="F164" s="68">
        <v>0</v>
      </c>
      <c r="G164" s="68">
        <v>0</v>
      </c>
      <c r="H164" s="68">
        <v>0</v>
      </c>
      <c r="I164" s="68">
        <v>0</v>
      </c>
      <c r="J164" s="68">
        <v>0</v>
      </c>
      <c r="K164" s="68">
        <v>0</v>
      </c>
      <c r="L164" s="68">
        <v>1</v>
      </c>
      <c r="M164" s="68">
        <v>1</v>
      </c>
      <c r="N164" s="68">
        <v>1</v>
      </c>
      <c r="O164" s="68"/>
      <c r="P164" s="50"/>
      <c r="Q164" s="35"/>
    </row>
    <row r="165" spans="1:23" hidden="1" x14ac:dyDescent="0.25">
      <c r="A165" s="14" t="s">
        <v>681</v>
      </c>
      <c r="C165" s="50">
        <f t="shared" ref="C165:N165" si="141">C163*C164</f>
        <v>0</v>
      </c>
      <c r="D165" s="50">
        <f t="shared" si="141"/>
        <v>0</v>
      </c>
      <c r="E165" s="50">
        <f t="shared" si="141"/>
        <v>0</v>
      </c>
      <c r="F165" s="50">
        <f t="shared" si="141"/>
        <v>0</v>
      </c>
      <c r="G165" s="50">
        <f t="shared" si="141"/>
        <v>0</v>
      </c>
      <c r="H165" s="50">
        <f t="shared" si="141"/>
        <v>0</v>
      </c>
      <c r="I165" s="50">
        <f t="shared" si="141"/>
        <v>0</v>
      </c>
      <c r="J165" s="50">
        <f t="shared" si="141"/>
        <v>0</v>
      </c>
      <c r="K165" s="50">
        <f t="shared" si="141"/>
        <v>0</v>
      </c>
      <c r="L165" s="50">
        <f t="shared" si="141"/>
        <v>0</v>
      </c>
      <c r="M165" s="50">
        <f t="shared" si="141"/>
        <v>0</v>
      </c>
      <c r="N165" s="50">
        <f t="shared" si="141"/>
        <v>0</v>
      </c>
      <c r="O165" s="50">
        <f>SUM(C165:N165)</f>
        <v>0</v>
      </c>
      <c r="P165" s="50"/>
      <c r="Q165" s="35"/>
      <c r="R165" s="35">
        <f>O165</f>
        <v>0</v>
      </c>
      <c r="S165" s="35">
        <f>H165+I165+J165</f>
        <v>0</v>
      </c>
      <c r="T165" s="35">
        <f>R165-S165</f>
        <v>0</v>
      </c>
    </row>
    <row r="166" spans="1:23" hidden="1" x14ac:dyDescent="0.25">
      <c r="A166" s="14" t="s">
        <v>756</v>
      </c>
      <c r="C166" s="68">
        <v>0.65</v>
      </c>
      <c r="D166" s="68">
        <v>0.65</v>
      </c>
      <c r="E166" s="68">
        <v>0.65</v>
      </c>
      <c r="F166" s="68">
        <v>0.65</v>
      </c>
      <c r="G166" s="68">
        <v>0.65</v>
      </c>
      <c r="H166" s="68">
        <v>0.65</v>
      </c>
      <c r="I166" s="68">
        <v>0.65</v>
      </c>
      <c r="J166" s="68">
        <v>0.65</v>
      </c>
      <c r="K166" s="68">
        <v>0.65</v>
      </c>
      <c r="L166" s="68">
        <v>0.65</v>
      </c>
      <c r="M166" s="68">
        <v>0.65</v>
      </c>
      <c r="N166" s="68">
        <v>0.65</v>
      </c>
      <c r="O166" s="68"/>
      <c r="P166" s="114"/>
      <c r="Q166" s="114"/>
      <c r="U166" s="102"/>
      <c r="W166" s="102"/>
    </row>
    <row r="167" spans="1:23" hidden="1" x14ac:dyDescent="0.25">
      <c r="A167" s="14" t="s">
        <v>757</v>
      </c>
      <c r="C167" s="50">
        <f>C161/C166</f>
        <v>0</v>
      </c>
      <c r="D167" s="50">
        <f t="shared" ref="D167:N167" si="142">D161/D166</f>
        <v>0</v>
      </c>
      <c r="E167" s="50">
        <f t="shared" si="142"/>
        <v>0</v>
      </c>
      <c r="F167" s="50">
        <f t="shared" si="142"/>
        <v>0</v>
      </c>
      <c r="G167" s="50">
        <f t="shared" si="142"/>
        <v>0</v>
      </c>
      <c r="H167" s="50">
        <f t="shared" si="142"/>
        <v>0</v>
      </c>
      <c r="I167" s="50">
        <f t="shared" si="142"/>
        <v>0</v>
      </c>
      <c r="J167" s="50">
        <f t="shared" si="142"/>
        <v>0</v>
      </c>
      <c r="K167" s="50">
        <f t="shared" si="142"/>
        <v>0</v>
      </c>
      <c r="L167" s="50">
        <f t="shared" si="142"/>
        <v>0</v>
      </c>
      <c r="M167" s="50">
        <f t="shared" si="142"/>
        <v>0</v>
      </c>
      <c r="N167" s="50">
        <f t="shared" si="142"/>
        <v>0</v>
      </c>
      <c r="O167" s="50">
        <f>SUM(C167:N167)</f>
        <v>0</v>
      </c>
      <c r="P167" s="50">
        <f>MAX(C167:N167)</f>
        <v>0</v>
      </c>
      <c r="Q167" s="50"/>
    </row>
    <row r="168" spans="1:23" ht="15.75" hidden="1" customHeight="1" x14ac:dyDescent="0.25"/>
    <row r="169" spans="1:23" hidden="1" x14ac:dyDescent="0.25">
      <c r="A169" s="15">
        <f>A21</f>
        <v>0</v>
      </c>
      <c r="B169" s="58">
        <f>B21</f>
        <v>0</v>
      </c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35"/>
    </row>
    <row r="170" spans="1:23" hidden="1" x14ac:dyDescent="0.25">
      <c r="A170" s="14" t="s">
        <v>678</v>
      </c>
      <c r="C170" s="50">
        <v>0</v>
      </c>
      <c r="D170" s="50">
        <v>0</v>
      </c>
      <c r="E170" s="50">
        <v>0</v>
      </c>
      <c r="F170" s="50">
        <v>0</v>
      </c>
      <c r="G170" s="50">
        <v>0</v>
      </c>
      <c r="H170" s="50">
        <v>0</v>
      </c>
      <c r="I170" s="50">
        <v>0</v>
      </c>
      <c r="J170" s="50">
        <v>0</v>
      </c>
      <c r="K170" s="50">
        <v>0</v>
      </c>
      <c r="L170" s="50">
        <v>0</v>
      </c>
      <c r="M170" s="50">
        <v>0</v>
      </c>
      <c r="N170" s="50">
        <v>0</v>
      </c>
      <c r="O170" s="50">
        <f>SUM(C170:N170)</f>
        <v>0</v>
      </c>
      <c r="P170" s="114"/>
      <c r="Q170" s="114"/>
      <c r="U170" s="102"/>
      <c r="W170" s="102"/>
    </row>
    <row r="171" spans="1:23" hidden="1" x14ac:dyDescent="0.25">
      <c r="A171" s="14" t="s">
        <v>679</v>
      </c>
      <c r="C171" s="50">
        <f>C170/744</f>
        <v>0</v>
      </c>
      <c r="D171" s="48">
        <f>D170/720</f>
        <v>0</v>
      </c>
      <c r="E171" s="50">
        <f t="shared" ref="E171:N171" si="143">E170/744</f>
        <v>0</v>
      </c>
      <c r="F171" s="50">
        <f>F170/720</f>
        <v>0</v>
      </c>
      <c r="G171" s="50">
        <f t="shared" si="143"/>
        <v>0</v>
      </c>
      <c r="H171" s="48">
        <f>H170/744</f>
        <v>0</v>
      </c>
      <c r="I171" s="48">
        <f>I170/672</f>
        <v>0</v>
      </c>
      <c r="J171" s="50">
        <f t="shared" si="143"/>
        <v>0</v>
      </c>
      <c r="K171" s="50">
        <f>K170/720</f>
        <v>0</v>
      </c>
      <c r="L171" s="50">
        <f t="shared" si="143"/>
        <v>0</v>
      </c>
      <c r="M171" s="50">
        <f>M170/720</f>
        <v>0</v>
      </c>
      <c r="N171" s="50">
        <f t="shared" si="143"/>
        <v>0</v>
      </c>
      <c r="O171" s="50">
        <f>O170/8760</f>
        <v>0</v>
      </c>
      <c r="P171" s="50"/>
      <c r="Q171" s="50"/>
    </row>
    <row r="172" spans="1:23" hidden="1" x14ac:dyDescent="0.25">
      <c r="A172" s="14" t="s">
        <v>754</v>
      </c>
      <c r="C172" s="68">
        <v>0</v>
      </c>
      <c r="D172" s="68">
        <v>0</v>
      </c>
      <c r="E172" s="68">
        <v>0</v>
      </c>
      <c r="F172" s="68">
        <v>0.25</v>
      </c>
      <c r="G172" s="68">
        <v>0.25</v>
      </c>
      <c r="H172" s="68">
        <v>0.25</v>
      </c>
      <c r="I172" s="68">
        <v>0.25</v>
      </c>
      <c r="J172" s="68">
        <v>0</v>
      </c>
      <c r="K172" s="68">
        <v>0</v>
      </c>
      <c r="L172" s="68">
        <v>0</v>
      </c>
      <c r="M172" s="68">
        <v>0</v>
      </c>
      <c r="N172" s="68">
        <v>0</v>
      </c>
      <c r="O172" s="68"/>
      <c r="Q172" s="35"/>
    </row>
    <row r="173" spans="1:23" hidden="1" x14ac:dyDescent="0.25">
      <c r="A173" s="14" t="s">
        <v>755</v>
      </c>
      <c r="C173" s="50"/>
      <c r="D173" s="50"/>
      <c r="E173" s="50"/>
      <c r="F173" s="50">
        <v>0</v>
      </c>
      <c r="G173" s="50">
        <v>0</v>
      </c>
      <c r="H173" s="50">
        <v>0</v>
      </c>
      <c r="I173" s="50">
        <v>0</v>
      </c>
      <c r="J173" s="50">
        <v>0</v>
      </c>
      <c r="K173" s="50"/>
      <c r="L173" s="50"/>
      <c r="M173" s="50"/>
      <c r="N173" s="50"/>
      <c r="O173" s="50">
        <f>SUM(C173:N173)</f>
        <v>0</v>
      </c>
      <c r="Q173" s="35">
        <f>MAX(C173:N173)</f>
        <v>0</v>
      </c>
    </row>
    <row r="174" spans="1:23" hidden="1" x14ac:dyDescent="0.25">
      <c r="A174" s="14" t="s">
        <v>680</v>
      </c>
      <c r="C174" s="68">
        <v>1</v>
      </c>
      <c r="D174" s="68">
        <v>1</v>
      </c>
      <c r="E174" s="68">
        <v>1</v>
      </c>
      <c r="F174" s="68">
        <v>0</v>
      </c>
      <c r="G174" s="68">
        <v>0</v>
      </c>
      <c r="H174" s="68">
        <v>0</v>
      </c>
      <c r="I174" s="68">
        <v>0</v>
      </c>
      <c r="J174" s="68">
        <v>0</v>
      </c>
      <c r="K174" s="68">
        <v>0</v>
      </c>
      <c r="L174" s="68">
        <v>1</v>
      </c>
      <c r="M174" s="68">
        <v>1</v>
      </c>
      <c r="N174" s="68">
        <v>1</v>
      </c>
      <c r="O174" s="68"/>
      <c r="P174" s="50"/>
      <c r="Q174" s="35"/>
    </row>
    <row r="175" spans="1:23" hidden="1" x14ac:dyDescent="0.25">
      <c r="A175" s="14" t="s">
        <v>681</v>
      </c>
      <c r="C175" s="50">
        <f t="shared" ref="C175:N175" si="144">C173*C174</f>
        <v>0</v>
      </c>
      <c r="D175" s="50">
        <f t="shared" si="144"/>
        <v>0</v>
      </c>
      <c r="E175" s="50">
        <f t="shared" si="144"/>
        <v>0</v>
      </c>
      <c r="F175" s="50">
        <f t="shared" si="144"/>
        <v>0</v>
      </c>
      <c r="G175" s="50">
        <f t="shared" si="144"/>
        <v>0</v>
      </c>
      <c r="H175" s="50">
        <f t="shared" si="144"/>
        <v>0</v>
      </c>
      <c r="I175" s="50">
        <f t="shared" si="144"/>
        <v>0</v>
      </c>
      <c r="J175" s="50">
        <f t="shared" si="144"/>
        <v>0</v>
      </c>
      <c r="K175" s="50">
        <f t="shared" si="144"/>
        <v>0</v>
      </c>
      <c r="L175" s="50">
        <f t="shared" si="144"/>
        <v>0</v>
      </c>
      <c r="M175" s="50">
        <f t="shared" si="144"/>
        <v>0</v>
      </c>
      <c r="N175" s="50">
        <f t="shared" si="144"/>
        <v>0</v>
      </c>
      <c r="O175" s="50">
        <f>SUM(C175:N175)</f>
        <v>0</v>
      </c>
      <c r="P175" s="50"/>
      <c r="Q175" s="35"/>
      <c r="R175" s="35">
        <f>O175</f>
        <v>0</v>
      </c>
      <c r="S175" s="35">
        <f>H175+I175+J175</f>
        <v>0</v>
      </c>
      <c r="T175" s="35">
        <f>R175-S175</f>
        <v>0</v>
      </c>
    </row>
    <row r="176" spans="1:23" hidden="1" x14ac:dyDescent="0.25">
      <c r="A176" s="14" t="s">
        <v>756</v>
      </c>
      <c r="C176" s="68">
        <v>0.65</v>
      </c>
      <c r="D176" s="68">
        <v>0.65</v>
      </c>
      <c r="E176" s="68">
        <v>0.65</v>
      </c>
      <c r="F176" s="68">
        <v>0.65</v>
      </c>
      <c r="G176" s="68">
        <v>0.65</v>
      </c>
      <c r="H176" s="68">
        <v>0.65</v>
      </c>
      <c r="I176" s="68">
        <v>0.65</v>
      </c>
      <c r="J176" s="68">
        <v>0.65</v>
      </c>
      <c r="K176" s="68">
        <v>0.65</v>
      </c>
      <c r="L176" s="68">
        <v>0.65</v>
      </c>
      <c r="M176" s="68">
        <v>0.65</v>
      </c>
      <c r="N176" s="68">
        <v>0.65</v>
      </c>
      <c r="O176" s="68"/>
      <c r="P176" s="114"/>
      <c r="Q176" s="114"/>
      <c r="U176" s="102"/>
      <c r="W176" s="102"/>
    </row>
    <row r="177" spans="1:23" hidden="1" x14ac:dyDescent="0.25">
      <c r="A177" s="14" t="s">
        <v>757</v>
      </c>
      <c r="C177" s="50">
        <f>C171/C176</f>
        <v>0</v>
      </c>
      <c r="D177" s="50">
        <f t="shared" ref="D177:N177" si="145">D171/D176</f>
        <v>0</v>
      </c>
      <c r="E177" s="50">
        <f t="shared" si="145"/>
        <v>0</v>
      </c>
      <c r="F177" s="50">
        <f t="shared" si="145"/>
        <v>0</v>
      </c>
      <c r="G177" s="50">
        <f t="shared" si="145"/>
        <v>0</v>
      </c>
      <c r="H177" s="50">
        <f t="shared" si="145"/>
        <v>0</v>
      </c>
      <c r="I177" s="50">
        <f t="shared" si="145"/>
        <v>0</v>
      </c>
      <c r="J177" s="50">
        <f t="shared" si="145"/>
        <v>0</v>
      </c>
      <c r="K177" s="50">
        <f t="shared" si="145"/>
        <v>0</v>
      </c>
      <c r="L177" s="50">
        <f t="shared" si="145"/>
        <v>0</v>
      </c>
      <c r="M177" s="50">
        <f t="shared" si="145"/>
        <v>0</v>
      </c>
      <c r="N177" s="50">
        <f t="shared" si="145"/>
        <v>0</v>
      </c>
      <c r="O177" s="50">
        <f>SUM(C177:N177)</f>
        <v>0</v>
      </c>
      <c r="P177" s="50">
        <f>MAX(C177:N177)</f>
        <v>0</v>
      </c>
      <c r="Q177" s="50"/>
    </row>
    <row r="178" spans="1:23" hidden="1" x14ac:dyDescent="0.25"/>
    <row r="179" spans="1:23" hidden="1" x14ac:dyDescent="0.25">
      <c r="A179" s="15">
        <f>A22</f>
        <v>0</v>
      </c>
      <c r="B179" s="58">
        <f>B22</f>
        <v>0</v>
      </c>
      <c r="C179" s="50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35"/>
    </row>
    <row r="180" spans="1:23" hidden="1" x14ac:dyDescent="0.25">
      <c r="A180" s="14" t="s">
        <v>678</v>
      </c>
      <c r="C180" s="50">
        <v>0</v>
      </c>
      <c r="D180" s="50">
        <v>0</v>
      </c>
      <c r="E180" s="50">
        <v>0</v>
      </c>
      <c r="F180" s="50">
        <v>0</v>
      </c>
      <c r="G180" s="50">
        <v>0</v>
      </c>
      <c r="H180" s="50">
        <v>0</v>
      </c>
      <c r="I180" s="50">
        <v>0</v>
      </c>
      <c r="J180" s="50">
        <v>0</v>
      </c>
      <c r="K180" s="50">
        <v>0</v>
      </c>
      <c r="L180" s="50">
        <v>0</v>
      </c>
      <c r="M180" s="50">
        <v>0</v>
      </c>
      <c r="N180" s="50">
        <v>0</v>
      </c>
      <c r="O180" s="50">
        <f>SUM(C180:N180)</f>
        <v>0</v>
      </c>
      <c r="P180" s="114"/>
      <c r="Q180" s="114"/>
      <c r="U180" s="102"/>
      <c r="W180" s="102"/>
    </row>
    <row r="181" spans="1:23" hidden="1" x14ac:dyDescent="0.25">
      <c r="A181" s="14" t="s">
        <v>679</v>
      </c>
      <c r="C181" s="50">
        <f>C180/744</f>
        <v>0</v>
      </c>
      <c r="D181" s="48">
        <f>D180/720</f>
        <v>0</v>
      </c>
      <c r="E181" s="50">
        <f t="shared" ref="E181:N181" si="146">E180/744</f>
        <v>0</v>
      </c>
      <c r="F181" s="50">
        <f>F180/720</f>
        <v>0</v>
      </c>
      <c r="G181" s="50">
        <f t="shared" si="146"/>
        <v>0</v>
      </c>
      <c r="H181" s="48">
        <f>H180/744</f>
        <v>0</v>
      </c>
      <c r="I181" s="48">
        <f>I180/672</f>
        <v>0</v>
      </c>
      <c r="J181" s="50">
        <f t="shared" si="146"/>
        <v>0</v>
      </c>
      <c r="K181" s="50">
        <f>K180/720</f>
        <v>0</v>
      </c>
      <c r="L181" s="50">
        <f t="shared" si="146"/>
        <v>0</v>
      </c>
      <c r="M181" s="50">
        <f>M180/720</f>
        <v>0</v>
      </c>
      <c r="N181" s="50">
        <f t="shared" si="146"/>
        <v>0</v>
      </c>
      <c r="O181" s="50">
        <f>O180/8760</f>
        <v>0</v>
      </c>
      <c r="P181" s="50"/>
      <c r="Q181" s="50"/>
    </row>
    <row r="182" spans="1:23" hidden="1" x14ac:dyDescent="0.25">
      <c r="A182" s="14" t="s">
        <v>754</v>
      </c>
      <c r="C182" s="68">
        <v>0</v>
      </c>
      <c r="D182" s="68">
        <v>0</v>
      </c>
      <c r="E182" s="68">
        <v>0</v>
      </c>
      <c r="F182" s="68">
        <v>0.25</v>
      </c>
      <c r="G182" s="68">
        <v>0.25</v>
      </c>
      <c r="H182" s="68">
        <v>0.25</v>
      </c>
      <c r="I182" s="68">
        <v>0.25</v>
      </c>
      <c r="J182" s="68">
        <v>0</v>
      </c>
      <c r="K182" s="68">
        <v>0</v>
      </c>
      <c r="L182" s="68">
        <v>0</v>
      </c>
      <c r="M182" s="68">
        <v>0</v>
      </c>
      <c r="N182" s="68">
        <v>0</v>
      </c>
      <c r="O182" s="68"/>
      <c r="Q182" s="35"/>
    </row>
    <row r="183" spans="1:23" hidden="1" x14ac:dyDescent="0.25">
      <c r="A183" s="14" t="s">
        <v>755</v>
      </c>
      <c r="C183" s="50"/>
      <c r="D183" s="50"/>
      <c r="E183" s="50"/>
      <c r="F183" s="50">
        <v>0</v>
      </c>
      <c r="G183" s="50">
        <v>0</v>
      </c>
      <c r="H183" s="50">
        <v>0</v>
      </c>
      <c r="I183" s="50">
        <v>0</v>
      </c>
      <c r="J183" s="50">
        <v>0</v>
      </c>
      <c r="K183" s="50"/>
      <c r="L183" s="50"/>
      <c r="M183" s="50"/>
      <c r="N183" s="50"/>
      <c r="O183" s="50">
        <f>SUM(C183:N183)</f>
        <v>0</v>
      </c>
      <c r="Q183" s="35">
        <f>MAX(C183:N183)</f>
        <v>0</v>
      </c>
    </row>
    <row r="184" spans="1:23" hidden="1" x14ac:dyDescent="0.25">
      <c r="A184" s="14" t="s">
        <v>680</v>
      </c>
      <c r="C184" s="68">
        <v>1</v>
      </c>
      <c r="D184" s="68">
        <v>1</v>
      </c>
      <c r="E184" s="68">
        <v>1</v>
      </c>
      <c r="F184" s="68">
        <v>0</v>
      </c>
      <c r="G184" s="68">
        <v>0</v>
      </c>
      <c r="H184" s="68">
        <v>0</v>
      </c>
      <c r="I184" s="68">
        <v>0</v>
      </c>
      <c r="J184" s="68">
        <v>0</v>
      </c>
      <c r="K184" s="68">
        <v>0</v>
      </c>
      <c r="L184" s="68">
        <v>1</v>
      </c>
      <c r="M184" s="68">
        <v>1</v>
      </c>
      <c r="N184" s="68">
        <v>1</v>
      </c>
      <c r="O184" s="68"/>
      <c r="P184" s="50"/>
      <c r="Q184" s="35"/>
    </row>
    <row r="185" spans="1:23" hidden="1" x14ac:dyDescent="0.25">
      <c r="A185" s="14" t="s">
        <v>681</v>
      </c>
      <c r="C185" s="50">
        <f t="shared" ref="C185:N185" si="147">C183*C184</f>
        <v>0</v>
      </c>
      <c r="D185" s="50">
        <f t="shared" si="147"/>
        <v>0</v>
      </c>
      <c r="E185" s="50">
        <f t="shared" si="147"/>
        <v>0</v>
      </c>
      <c r="F185" s="50">
        <f t="shared" si="147"/>
        <v>0</v>
      </c>
      <c r="G185" s="50">
        <f t="shared" si="147"/>
        <v>0</v>
      </c>
      <c r="H185" s="50">
        <f t="shared" si="147"/>
        <v>0</v>
      </c>
      <c r="I185" s="50">
        <f t="shared" si="147"/>
        <v>0</v>
      </c>
      <c r="J185" s="50">
        <f t="shared" si="147"/>
        <v>0</v>
      </c>
      <c r="K185" s="50">
        <f t="shared" si="147"/>
        <v>0</v>
      </c>
      <c r="L185" s="50">
        <f t="shared" si="147"/>
        <v>0</v>
      </c>
      <c r="M185" s="50">
        <f t="shared" si="147"/>
        <v>0</v>
      </c>
      <c r="N185" s="50">
        <f t="shared" si="147"/>
        <v>0</v>
      </c>
      <c r="O185" s="50">
        <f>SUM(C185:N185)</f>
        <v>0</v>
      </c>
      <c r="P185" s="50"/>
      <c r="Q185" s="35"/>
      <c r="R185" s="35">
        <f>O185</f>
        <v>0</v>
      </c>
      <c r="S185" s="35">
        <f>H185+I185+J185</f>
        <v>0</v>
      </c>
      <c r="T185" s="35">
        <f>R185-S185</f>
        <v>0</v>
      </c>
    </row>
    <row r="186" spans="1:23" hidden="1" x14ac:dyDescent="0.25">
      <c r="A186" s="14" t="s">
        <v>756</v>
      </c>
      <c r="C186" s="68">
        <v>0.65</v>
      </c>
      <c r="D186" s="68">
        <v>0.65</v>
      </c>
      <c r="E186" s="68">
        <v>0.65</v>
      </c>
      <c r="F186" s="68">
        <v>0.65</v>
      </c>
      <c r="G186" s="68">
        <v>0.65</v>
      </c>
      <c r="H186" s="68">
        <v>0.65</v>
      </c>
      <c r="I186" s="68">
        <v>0.65</v>
      </c>
      <c r="J186" s="68">
        <v>0.65</v>
      </c>
      <c r="K186" s="68">
        <v>0.65</v>
      </c>
      <c r="L186" s="68">
        <v>0.65</v>
      </c>
      <c r="M186" s="68">
        <v>0.65</v>
      </c>
      <c r="N186" s="68">
        <v>0.65</v>
      </c>
      <c r="O186" s="68"/>
      <c r="P186" s="114"/>
      <c r="Q186" s="114"/>
      <c r="U186" s="102"/>
      <c r="W186" s="102"/>
    </row>
    <row r="187" spans="1:23" hidden="1" x14ac:dyDescent="0.25">
      <c r="A187" s="14" t="s">
        <v>757</v>
      </c>
      <c r="C187" s="50">
        <f>C181/C186</f>
        <v>0</v>
      </c>
      <c r="D187" s="50">
        <f t="shared" ref="D187:N187" si="148">D181/D186</f>
        <v>0</v>
      </c>
      <c r="E187" s="50">
        <f t="shared" si="148"/>
        <v>0</v>
      </c>
      <c r="F187" s="50">
        <f t="shared" si="148"/>
        <v>0</v>
      </c>
      <c r="G187" s="50">
        <f t="shared" si="148"/>
        <v>0</v>
      </c>
      <c r="H187" s="50">
        <f t="shared" si="148"/>
        <v>0</v>
      </c>
      <c r="I187" s="50">
        <f t="shared" si="148"/>
        <v>0</v>
      </c>
      <c r="J187" s="50">
        <f t="shared" si="148"/>
        <v>0</v>
      </c>
      <c r="K187" s="50">
        <f t="shared" si="148"/>
        <v>0</v>
      </c>
      <c r="L187" s="50">
        <f t="shared" si="148"/>
        <v>0</v>
      </c>
      <c r="M187" s="50">
        <f t="shared" si="148"/>
        <v>0</v>
      </c>
      <c r="N187" s="50">
        <f t="shared" si="148"/>
        <v>0</v>
      </c>
      <c r="O187" s="50">
        <f>SUM(C187:N187)</f>
        <v>0</v>
      </c>
      <c r="P187" s="50">
        <f>MAX(C187:N187)</f>
        <v>0</v>
      </c>
      <c r="Q187" s="50"/>
    </row>
    <row r="188" spans="1:23" hidden="1" x14ac:dyDescent="0.25"/>
    <row r="189" spans="1:23" hidden="1" x14ac:dyDescent="0.25">
      <c r="A189" s="15">
        <f>A23</f>
        <v>0</v>
      </c>
      <c r="B189" s="58">
        <f>B23</f>
        <v>0</v>
      </c>
      <c r="C189" s="50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35"/>
    </row>
    <row r="190" spans="1:23" hidden="1" x14ac:dyDescent="0.25">
      <c r="A190" s="14" t="s">
        <v>678</v>
      </c>
      <c r="C190" s="50">
        <v>0</v>
      </c>
      <c r="D190" s="50">
        <v>0</v>
      </c>
      <c r="E190" s="50">
        <v>0</v>
      </c>
      <c r="F190" s="50">
        <v>0</v>
      </c>
      <c r="G190" s="50">
        <v>0</v>
      </c>
      <c r="H190" s="50">
        <v>0</v>
      </c>
      <c r="I190" s="50">
        <v>0</v>
      </c>
      <c r="J190" s="50">
        <v>0</v>
      </c>
      <c r="K190" s="50">
        <v>0</v>
      </c>
      <c r="L190" s="50">
        <v>0</v>
      </c>
      <c r="M190" s="50">
        <v>0</v>
      </c>
      <c r="N190" s="50">
        <v>0</v>
      </c>
      <c r="O190" s="50">
        <f>SUM(C190:N190)</f>
        <v>0</v>
      </c>
      <c r="P190" s="114"/>
      <c r="Q190" s="114"/>
      <c r="U190" s="102"/>
      <c r="W190" s="102"/>
    </row>
    <row r="191" spans="1:23" hidden="1" x14ac:dyDescent="0.25">
      <c r="A191" s="14" t="s">
        <v>679</v>
      </c>
      <c r="C191" s="50">
        <f>C190/744</f>
        <v>0</v>
      </c>
      <c r="D191" s="48">
        <f>D190/720</f>
        <v>0</v>
      </c>
      <c r="E191" s="50">
        <f t="shared" ref="E191:N191" si="149">E190/744</f>
        <v>0</v>
      </c>
      <c r="F191" s="50">
        <f>F190/720</f>
        <v>0</v>
      </c>
      <c r="G191" s="50">
        <f t="shared" si="149"/>
        <v>0</v>
      </c>
      <c r="H191" s="48">
        <f>H190/744</f>
        <v>0</v>
      </c>
      <c r="I191" s="48">
        <f>I190/672</f>
        <v>0</v>
      </c>
      <c r="J191" s="50">
        <f t="shared" si="149"/>
        <v>0</v>
      </c>
      <c r="K191" s="50">
        <f>K190/720</f>
        <v>0</v>
      </c>
      <c r="L191" s="50">
        <f t="shared" si="149"/>
        <v>0</v>
      </c>
      <c r="M191" s="50">
        <f>M190/720</f>
        <v>0</v>
      </c>
      <c r="N191" s="50">
        <f t="shared" si="149"/>
        <v>0</v>
      </c>
      <c r="O191" s="50">
        <f>O190/8760</f>
        <v>0</v>
      </c>
      <c r="P191" s="50"/>
      <c r="Q191" s="50"/>
    </row>
    <row r="192" spans="1:23" hidden="1" x14ac:dyDescent="0.25">
      <c r="A192" s="14" t="s">
        <v>754</v>
      </c>
      <c r="C192" s="68">
        <v>0</v>
      </c>
      <c r="D192" s="68">
        <v>0</v>
      </c>
      <c r="E192" s="68">
        <v>0</v>
      </c>
      <c r="F192" s="68">
        <v>0.25</v>
      </c>
      <c r="G192" s="68">
        <v>0.25</v>
      </c>
      <c r="H192" s="68">
        <v>0.25</v>
      </c>
      <c r="I192" s="68">
        <v>0.25</v>
      </c>
      <c r="J192" s="68">
        <v>0</v>
      </c>
      <c r="K192" s="68">
        <v>0</v>
      </c>
      <c r="L192" s="68">
        <v>0</v>
      </c>
      <c r="M192" s="68">
        <v>0</v>
      </c>
      <c r="N192" s="68">
        <v>0</v>
      </c>
      <c r="O192" s="68"/>
      <c r="Q192" s="35"/>
    </row>
    <row r="193" spans="1:23" hidden="1" x14ac:dyDescent="0.25">
      <c r="A193" s="14" t="s">
        <v>755</v>
      </c>
      <c r="C193" s="50"/>
      <c r="D193" s="50"/>
      <c r="E193" s="50"/>
      <c r="F193" s="50">
        <v>0</v>
      </c>
      <c r="G193" s="50">
        <v>0</v>
      </c>
      <c r="H193" s="50">
        <v>0</v>
      </c>
      <c r="I193" s="50">
        <v>0</v>
      </c>
      <c r="J193" s="50">
        <v>0</v>
      </c>
      <c r="K193" s="50"/>
      <c r="L193" s="50"/>
      <c r="M193" s="50"/>
      <c r="N193" s="50"/>
      <c r="O193" s="50">
        <f>SUM(C193:N193)</f>
        <v>0</v>
      </c>
      <c r="Q193" s="35">
        <f>MAX(C193:N193)</f>
        <v>0</v>
      </c>
    </row>
    <row r="194" spans="1:23" hidden="1" x14ac:dyDescent="0.25">
      <c r="A194" s="14" t="s">
        <v>680</v>
      </c>
      <c r="C194" s="68">
        <v>1</v>
      </c>
      <c r="D194" s="68">
        <v>1</v>
      </c>
      <c r="E194" s="68">
        <v>1</v>
      </c>
      <c r="F194" s="68">
        <v>0</v>
      </c>
      <c r="G194" s="68">
        <v>0</v>
      </c>
      <c r="H194" s="68">
        <v>0</v>
      </c>
      <c r="I194" s="68">
        <v>0</v>
      </c>
      <c r="J194" s="68">
        <v>0</v>
      </c>
      <c r="K194" s="68">
        <v>0</v>
      </c>
      <c r="L194" s="68">
        <v>1</v>
      </c>
      <c r="M194" s="68">
        <v>1</v>
      </c>
      <c r="N194" s="68">
        <v>1</v>
      </c>
      <c r="O194" s="68"/>
      <c r="P194" s="50"/>
      <c r="Q194" s="35"/>
    </row>
    <row r="195" spans="1:23" hidden="1" x14ac:dyDescent="0.25">
      <c r="A195" s="14" t="s">
        <v>681</v>
      </c>
      <c r="C195" s="50">
        <f t="shared" ref="C195:N195" si="150">C193*C194</f>
        <v>0</v>
      </c>
      <c r="D195" s="50">
        <f t="shared" si="150"/>
        <v>0</v>
      </c>
      <c r="E195" s="50">
        <f t="shared" si="150"/>
        <v>0</v>
      </c>
      <c r="F195" s="50">
        <f t="shared" si="150"/>
        <v>0</v>
      </c>
      <c r="G195" s="50">
        <f t="shared" si="150"/>
        <v>0</v>
      </c>
      <c r="H195" s="50">
        <f t="shared" si="150"/>
        <v>0</v>
      </c>
      <c r="I195" s="50">
        <f t="shared" si="150"/>
        <v>0</v>
      </c>
      <c r="J195" s="50">
        <f t="shared" si="150"/>
        <v>0</v>
      </c>
      <c r="K195" s="50">
        <f t="shared" si="150"/>
        <v>0</v>
      </c>
      <c r="L195" s="50">
        <f t="shared" si="150"/>
        <v>0</v>
      </c>
      <c r="M195" s="50">
        <f t="shared" si="150"/>
        <v>0</v>
      </c>
      <c r="N195" s="50">
        <f t="shared" si="150"/>
        <v>0</v>
      </c>
      <c r="O195" s="50">
        <f>SUM(C195:N195)</f>
        <v>0</v>
      </c>
      <c r="P195" s="50"/>
      <c r="Q195" s="35"/>
      <c r="R195" s="35">
        <f>O195</f>
        <v>0</v>
      </c>
      <c r="S195" s="35">
        <f>H195+I195+J195</f>
        <v>0</v>
      </c>
      <c r="T195" s="35">
        <f>R195-S195</f>
        <v>0</v>
      </c>
    </row>
    <row r="196" spans="1:23" hidden="1" x14ac:dyDescent="0.25">
      <c r="A196" s="14" t="s">
        <v>756</v>
      </c>
      <c r="C196" s="68">
        <v>0.65</v>
      </c>
      <c r="D196" s="68">
        <v>0.65</v>
      </c>
      <c r="E196" s="68">
        <v>0.65</v>
      </c>
      <c r="F196" s="68">
        <v>0.65</v>
      </c>
      <c r="G196" s="68">
        <v>0.65</v>
      </c>
      <c r="H196" s="68">
        <v>0.65</v>
      </c>
      <c r="I196" s="68">
        <v>0.65</v>
      </c>
      <c r="J196" s="68">
        <v>0.65</v>
      </c>
      <c r="K196" s="68">
        <v>0.65</v>
      </c>
      <c r="L196" s="68">
        <v>0.65</v>
      </c>
      <c r="M196" s="68">
        <v>0.65</v>
      </c>
      <c r="N196" s="68">
        <v>0.65</v>
      </c>
      <c r="O196" s="68"/>
      <c r="P196" s="114"/>
      <c r="Q196" s="114"/>
      <c r="U196" s="102"/>
      <c r="W196" s="102"/>
    </row>
    <row r="197" spans="1:23" ht="1.5" customHeight="1" x14ac:dyDescent="0.25">
      <c r="A197" s="14" t="s">
        <v>757</v>
      </c>
      <c r="C197" s="50">
        <f>C191/C196</f>
        <v>0</v>
      </c>
      <c r="D197" s="50">
        <f t="shared" ref="D197:N197" si="151">D191/D196</f>
        <v>0</v>
      </c>
      <c r="E197" s="50">
        <f t="shared" si="151"/>
        <v>0</v>
      </c>
      <c r="F197" s="50">
        <f t="shared" si="151"/>
        <v>0</v>
      </c>
      <c r="G197" s="50">
        <f t="shared" si="151"/>
        <v>0</v>
      </c>
      <c r="H197" s="50">
        <f t="shared" si="151"/>
        <v>0</v>
      </c>
      <c r="I197" s="50">
        <f t="shared" si="151"/>
        <v>0</v>
      </c>
      <c r="J197" s="50">
        <f t="shared" si="151"/>
        <v>0</v>
      </c>
      <c r="K197" s="50">
        <f t="shared" si="151"/>
        <v>0</v>
      </c>
      <c r="L197" s="50">
        <f t="shared" si="151"/>
        <v>0</v>
      </c>
      <c r="M197" s="50">
        <f t="shared" si="151"/>
        <v>0</v>
      </c>
      <c r="N197" s="50">
        <f t="shared" si="151"/>
        <v>0</v>
      </c>
      <c r="O197" s="50">
        <f>SUM(C197:N197)</f>
        <v>0</v>
      </c>
      <c r="P197" s="50">
        <f>MAX(C197:N197)</f>
        <v>0</v>
      </c>
      <c r="Q197" s="50"/>
    </row>
    <row r="198" spans="1:23" x14ac:dyDescent="0.25">
      <c r="C198" s="50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</row>
    <row r="199" spans="1:23" x14ac:dyDescent="0.25">
      <c r="A199" s="14" t="s">
        <v>1102</v>
      </c>
      <c r="C199" s="50">
        <f>'Purchased Power'!C53</f>
        <v>99005</v>
      </c>
      <c r="D199" s="50">
        <f>'Purchased Power'!D53</f>
        <v>88778</v>
      </c>
      <c r="E199" s="50">
        <f>'Purchased Power'!E53</f>
        <v>79611</v>
      </c>
      <c r="F199" s="50">
        <f>'Purchased Power'!F53</f>
        <v>69446</v>
      </c>
      <c r="G199" s="50">
        <f>'Purchased Power'!G53</f>
        <v>77746</v>
      </c>
      <c r="H199" s="50">
        <f>'Purchased Power'!H53</f>
        <v>91153</v>
      </c>
      <c r="I199" s="50">
        <f>'Purchased Power'!I53</f>
        <v>90866</v>
      </c>
      <c r="J199" s="50">
        <f>'Purchased Power'!J53</f>
        <v>88388</v>
      </c>
      <c r="K199" s="50">
        <f>'Purchased Power'!K53</f>
        <v>83090</v>
      </c>
      <c r="L199" s="50">
        <f>'Purchased Power'!L53</f>
        <v>67298</v>
      </c>
      <c r="M199" s="50">
        <f>'Purchased Power'!M53</f>
        <v>83920</v>
      </c>
      <c r="N199" s="50">
        <f>'Purchased Power'!N53</f>
        <v>130632</v>
      </c>
      <c r="O199" s="50">
        <f>SUM(C199:N199)</f>
        <v>1049933</v>
      </c>
      <c r="P199" s="50"/>
      <c r="Q199" s="50"/>
      <c r="R199" s="50"/>
      <c r="S199" s="50"/>
    </row>
    <row r="200" spans="1:23" x14ac:dyDescent="0.25">
      <c r="A200" s="14" t="s">
        <v>1103</v>
      </c>
      <c r="C200" s="35">
        <f t="shared" ref="C200:N200" si="152">(C45+C55+C65+C75+C85+C95+C105+C115+C125+C135+C145+C155+C165+C175+C185+C195)</f>
        <v>99004.999710266915</v>
      </c>
      <c r="D200" s="35">
        <f t="shared" si="152"/>
        <v>88777.99903717167</v>
      </c>
      <c r="E200" s="35">
        <f t="shared" si="152"/>
        <v>79611.000000088359</v>
      </c>
      <c r="F200" s="35">
        <f t="shared" si="152"/>
        <v>69446.000000577216</v>
      </c>
      <c r="G200" s="35">
        <f t="shared" si="152"/>
        <v>77746.000000091677</v>
      </c>
      <c r="H200" s="35">
        <f t="shared" si="152"/>
        <v>91152.999099163004</v>
      </c>
      <c r="I200" s="35">
        <f t="shared" si="152"/>
        <v>90866.000000022133</v>
      </c>
      <c r="J200" s="35">
        <f t="shared" si="152"/>
        <v>88388.000000036336</v>
      </c>
      <c r="K200" s="35">
        <f t="shared" si="152"/>
        <v>83090.000000082087</v>
      </c>
      <c r="L200" s="35">
        <f t="shared" si="152"/>
        <v>67298.000000468222</v>
      </c>
      <c r="M200" s="35">
        <f t="shared" si="152"/>
        <v>83920.000000549902</v>
      </c>
      <c r="N200" s="35">
        <f t="shared" si="152"/>
        <v>130631.99974289245</v>
      </c>
      <c r="O200" s="35">
        <f>SUM(C200:N200)</f>
        <v>1049932.9975914101</v>
      </c>
      <c r="P200" s="110">
        <f>O200/O199</f>
        <v>0.99999999770595849</v>
      </c>
    </row>
    <row r="201" spans="1:23" x14ac:dyDescent="0.25">
      <c r="A201" s="14" t="s">
        <v>715</v>
      </c>
      <c r="C201" s="35">
        <f t="shared" ref="C201:O201" si="153">C199-C200</f>
        <v>2.897330850828439E-4</v>
      </c>
      <c r="D201" s="35">
        <f t="shared" si="153"/>
        <v>9.6282832964789122E-4</v>
      </c>
      <c r="E201" s="35">
        <f t="shared" si="153"/>
        <v>-8.8359229266643524E-8</v>
      </c>
      <c r="F201" s="35">
        <f t="shared" si="153"/>
        <v>-5.7721626944839954E-7</v>
      </c>
      <c r="G201" s="35">
        <f t="shared" si="153"/>
        <v>-9.1677065938711166E-8</v>
      </c>
      <c r="H201" s="35">
        <f t="shared" si="153"/>
        <v>9.0083699615206569E-4</v>
      </c>
      <c r="I201" s="35">
        <f t="shared" si="153"/>
        <v>-2.2133463062345982E-8</v>
      </c>
      <c r="J201" s="35">
        <f t="shared" si="153"/>
        <v>-3.6336132325232029E-8</v>
      </c>
      <c r="K201" s="35">
        <f t="shared" si="153"/>
        <v>-8.2087353803217411E-8</v>
      </c>
      <c r="L201" s="35">
        <f t="shared" si="153"/>
        <v>-4.6822242438793182E-7</v>
      </c>
      <c r="M201" s="35">
        <f t="shared" si="153"/>
        <v>-5.4990232456475496E-7</v>
      </c>
      <c r="N201" s="35">
        <f t="shared" si="153"/>
        <v>2.5710754562169313E-4</v>
      </c>
      <c r="O201" s="35">
        <f t="shared" si="153"/>
        <v>2.4085899349302053E-3</v>
      </c>
    </row>
    <row r="203" spans="1:23" x14ac:dyDescent="0.25">
      <c r="C203" s="229"/>
      <c r="D203" s="229"/>
      <c r="E203" s="229"/>
      <c r="F203" s="229"/>
      <c r="G203" s="229"/>
      <c r="H203" s="229"/>
      <c r="I203" s="229"/>
      <c r="J203" s="229"/>
      <c r="K203" s="229"/>
      <c r="L203" s="229"/>
      <c r="M203" s="229"/>
      <c r="N203" s="229"/>
      <c r="O203" s="229"/>
    </row>
    <row r="204" spans="1:23" x14ac:dyDescent="0.25">
      <c r="C204" s="120"/>
      <c r="D204" s="120"/>
      <c r="E204" s="120"/>
      <c r="F204" s="120"/>
      <c r="G204" s="120"/>
      <c r="H204" s="120"/>
      <c r="I204" s="120"/>
      <c r="J204" s="120"/>
      <c r="K204" s="120"/>
      <c r="L204" s="120"/>
      <c r="M204" s="120"/>
      <c r="N204" s="120"/>
      <c r="O204" s="120"/>
    </row>
    <row r="205" spans="1:23" x14ac:dyDescent="0.25">
      <c r="C205" s="229"/>
      <c r="D205" s="229"/>
      <c r="E205" s="229"/>
      <c r="F205" s="229"/>
      <c r="G205" s="229"/>
      <c r="H205" s="229"/>
      <c r="I205" s="229"/>
      <c r="J205" s="229"/>
      <c r="K205" s="229"/>
      <c r="L205" s="229"/>
      <c r="M205" s="229"/>
      <c r="N205" s="229"/>
      <c r="O205" s="229"/>
    </row>
    <row r="206" spans="1:23" x14ac:dyDescent="0.25">
      <c r="C206" s="229"/>
      <c r="D206" s="229"/>
      <c r="E206" s="229"/>
      <c r="F206" s="229"/>
      <c r="G206" s="229"/>
      <c r="H206" s="229"/>
      <c r="I206" s="229"/>
      <c r="J206" s="229"/>
      <c r="K206" s="229"/>
      <c r="L206" s="229"/>
      <c r="M206" s="229"/>
      <c r="N206" s="229"/>
      <c r="O206" s="229"/>
    </row>
    <row r="207" spans="1:23" x14ac:dyDescent="0.25">
      <c r="C207" s="229"/>
      <c r="D207" s="229"/>
      <c r="E207" s="229"/>
      <c r="F207" s="229"/>
      <c r="G207" s="229"/>
      <c r="H207" s="229"/>
      <c r="I207" s="229"/>
      <c r="J207" s="229"/>
      <c r="K207" s="229"/>
      <c r="L207" s="229"/>
      <c r="M207" s="229"/>
      <c r="N207" s="229"/>
      <c r="O207" s="229"/>
    </row>
  </sheetData>
  <phoneticPr fontId="15" type="noConversion"/>
  <printOptions horizontalCentered="1"/>
  <pageMargins left="0.25" right="0.25" top="1" bottom="0.32" header="0.5" footer="0.25"/>
  <pageSetup scale="63" fitToWidth="2" fitToHeight="5" pageOrder="overThenDown" orientation="landscape" r:id="rId1"/>
  <headerFooter alignWithMargins="0">
    <oddFooter>&amp;RExhibit JW-6
Page &amp;P of &amp;N</oddFooter>
  </headerFooter>
  <rowBreaks count="2" manualBreakCount="2">
    <brk id="31" max="19" man="1"/>
    <brk id="68" max="19" man="1"/>
  </rowBreaks>
  <colBreaks count="1" manualBreakCount="1">
    <brk id="11" max="218" man="1"/>
  </colBreaks>
  <ignoredErrors>
    <ignoredError sqref="D55:N55 C63:N63 D92:M96 D108:M108 D51:M51 D98:M98 C65 D53:N53 D34:M34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144"/>
  <sheetViews>
    <sheetView view="pageBreakPreview" zoomScale="75" zoomScaleNormal="100" zoomScaleSheetLayoutView="75" workbookViewId="0">
      <pane xSplit="2" ySplit="4" topLeftCell="C5" activePane="bottomRight" state="frozen"/>
      <selection activeCell="K26" sqref="K26"/>
      <selection pane="topRight" activeCell="K26" sqref="K26"/>
      <selection pane="bottomLeft" activeCell="K26" sqref="K26"/>
      <selection pane="bottomRight" activeCell="B52" sqref="B52:N120"/>
    </sheetView>
  </sheetViews>
  <sheetFormatPr defaultColWidth="9.109375" defaultRowHeight="13.2" x14ac:dyDescent="0.25"/>
  <cols>
    <col min="1" max="1" width="5.6640625" style="31" customWidth="1"/>
    <col min="2" max="2" width="28.88671875" style="14" customWidth="1"/>
    <col min="3" max="3" width="13.6640625" style="14" customWidth="1"/>
    <col min="4" max="7" width="11.33203125" style="14" bestFit="1" customWidth="1"/>
    <col min="8" max="14" width="12.88671875" style="14" bestFit="1" customWidth="1"/>
    <col min="15" max="15" width="15.109375" style="14" bestFit="1" customWidth="1"/>
    <col min="16" max="16" width="14.44140625" style="14" bestFit="1" customWidth="1"/>
    <col min="17" max="17" width="11.44140625" style="14" bestFit="1" customWidth="1"/>
    <col min="18" max="18" width="9.109375" style="14"/>
    <col min="19" max="20" width="15.5546875" style="14" bestFit="1" customWidth="1"/>
    <col min="21" max="21" width="15.5546875" style="14" customWidth="1"/>
    <col min="22" max="22" width="15.5546875" style="14" bestFit="1" customWidth="1"/>
    <col min="23" max="23" width="9.109375" style="14"/>
    <col min="24" max="24" width="13.33203125" style="14" bestFit="1" customWidth="1"/>
    <col min="25" max="25" width="10.6640625" style="14" bestFit="1" customWidth="1"/>
    <col min="26" max="16384" width="9.109375" style="14"/>
  </cols>
  <sheetData>
    <row r="1" spans="1:15" x14ac:dyDescent="0.25">
      <c r="A1" s="13" t="str">
        <f>'Summary of Returns'!A1</f>
        <v>SHELBY ENERGY</v>
      </c>
    </row>
    <row r="2" spans="1:15" x14ac:dyDescent="0.25">
      <c r="A2" s="13" t="s">
        <v>95</v>
      </c>
    </row>
    <row r="3" spans="1:15" x14ac:dyDescent="0.25">
      <c r="A3" s="14"/>
    </row>
    <row r="4" spans="1:15" x14ac:dyDescent="0.25">
      <c r="A4" s="63" t="s">
        <v>944</v>
      </c>
      <c r="B4" s="63" t="s">
        <v>945</v>
      </c>
      <c r="C4" s="121" t="s">
        <v>1026</v>
      </c>
      <c r="D4" s="121" t="s">
        <v>1027</v>
      </c>
      <c r="E4" s="121" t="s">
        <v>1028</v>
      </c>
      <c r="F4" s="121" t="s">
        <v>1029</v>
      </c>
      <c r="G4" s="121" t="s">
        <v>1030</v>
      </c>
      <c r="H4" s="121" t="s">
        <v>1031</v>
      </c>
      <c r="I4" s="121" t="s">
        <v>1032</v>
      </c>
      <c r="J4" s="121" t="s">
        <v>1033</v>
      </c>
      <c r="K4" s="121" t="s">
        <v>1034</v>
      </c>
      <c r="L4" s="121" t="s">
        <v>1035</v>
      </c>
      <c r="M4" s="121" t="s">
        <v>1036</v>
      </c>
      <c r="N4" s="121" t="s">
        <v>1037</v>
      </c>
      <c r="O4" s="63" t="s">
        <v>857</v>
      </c>
    </row>
    <row r="5" spans="1:15" x14ac:dyDescent="0.25">
      <c r="A5" s="28">
        <v>1</v>
      </c>
      <c r="B5" s="103" t="s">
        <v>1088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132">
        <f t="shared" ref="O5:O26" si="0">SUM(C5:N5)</f>
        <v>0</v>
      </c>
    </row>
    <row r="6" spans="1:15" x14ac:dyDescent="0.25">
      <c r="A6" s="28">
        <f t="shared" ref="A6:A49" si="1">A5+1</f>
        <v>2</v>
      </c>
      <c r="B6" s="172" t="s">
        <v>1082</v>
      </c>
      <c r="C6" s="23">
        <f>C28-C16</f>
        <v>81803</v>
      </c>
      <c r="D6" s="23">
        <f t="shared" ref="D6:N6" si="2">D28-D16</f>
        <v>75611</v>
      </c>
      <c r="E6" s="23">
        <f t="shared" si="2"/>
        <v>65125</v>
      </c>
      <c r="F6" s="23">
        <f t="shared" si="2"/>
        <v>51833</v>
      </c>
      <c r="G6" s="23">
        <f t="shared" si="2"/>
        <v>58859</v>
      </c>
      <c r="H6" s="23">
        <f t="shared" si="2"/>
        <v>70656</v>
      </c>
      <c r="I6" s="23">
        <f t="shared" si="2"/>
        <v>69790</v>
      </c>
      <c r="J6" s="23">
        <f t="shared" si="2"/>
        <v>68334</v>
      </c>
      <c r="K6" s="23">
        <f t="shared" si="2"/>
        <v>64312</v>
      </c>
      <c r="L6" s="23">
        <f t="shared" si="2"/>
        <v>52735</v>
      </c>
      <c r="M6" s="23">
        <f t="shared" si="2"/>
        <v>67301</v>
      </c>
      <c r="N6" s="23">
        <f t="shared" si="2"/>
        <v>117889</v>
      </c>
      <c r="O6" s="132">
        <f t="shared" si="0"/>
        <v>844248</v>
      </c>
    </row>
    <row r="7" spans="1:15" x14ac:dyDescent="0.25">
      <c r="A7" s="28">
        <f t="shared" si="1"/>
        <v>3</v>
      </c>
      <c r="B7" s="172" t="s">
        <v>861</v>
      </c>
      <c r="C7" s="23">
        <f>C29-C17</f>
        <v>41650175</v>
      </c>
      <c r="D7" s="23">
        <f t="shared" ref="D7:N7" si="3">D29-D17</f>
        <v>33426481</v>
      </c>
      <c r="E7" s="23">
        <f t="shared" si="3"/>
        <v>27934351</v>
      </c>
      <c r="F7" s="23">
        <f t="shared" si="3"/>
        <v>24077759</v>
      </c>
      <c r="G7" s="23">
        <f t="shared" si="3"/>
        <v>24143807</v>
      </c>
      <c r="H7" s="23">
        <f t="shared" si="3"/>
        <v>28758147</v>
      </c>
      <c r="I7" s="23">
        <f t="shared" si="3"/>
        <v>32333572</v>
      </c>
      <c r="J7" s="23">
        <f t="shared" si="3"/>
        <v>30243541</v>
      </c>
      <c r="K7" s="23">
        <f t="shared" si="3"/>
        <v>24666176</v>
      </c>
      <c r="L7" s="23">
        <f t="shared" si="3"/>
        <v>22645408</v>
      </c>
      <c r="M7" s="23">
        <f t="shared" si="3"/>
        <v>27932133</v>
      </c>
      <c r="N7" s="23">
        <f t="shared" si="3"/>
        <v>37375904</v>
      </c>
      <c r="O7" s="132">
        <f t="shared" si="0"/>
        <v>355187454</v>
      </c>
    </row>
    <row r="8" spans="1:15" x14ac:dyDescent="0.25">
      <c r="A8" s="28">
        <f t="shared" si="1"/>
        <v>4</v>
      </c>
      <c r="B8" s="172" t="s">
        <v>1083</v>
      </c>
      <c r="C8" s="23">
        <f>C30-C18</f>
        <v>534335</v>
      </c>
      <c r="D8" s="23">
        <f t="shared" ref="D8:N8" si="4">D30-D18</f>
        <v>493460</v>
      </c>
      <c r="E8" s="23">
        <f t="shared" si="4"/>
        <v>425392</v>
      </c>
      <c r="F8" s="23">
        <f t="shared" si="4"/>
        <v>339653</v>
      </c>
      <c r="G8" s="23">
        <f t="shared" si="4"/>
        <v>386037</v>
      </c>
      <c r="H8" s="23">
        <f t="shared" si="4"/>
        <v>461922</v>
      </c>
      <c r="I8" s="23">
        <f t="shared" si="4"/>
        <v>456334</v>
      </c>
      <c r="J8" s="23">
        <f t="shared" si="4"/>
        <v>448086</v>
      </c>
      <c r="K8" s="23">
        <f t="shared" si="4"/>
        <v>420462</v>
      </c>
      <c r="L8" s="23">
        <f t="shared" si="4"/>
        <v>344831</v>
      </c>
      <c r="M8" s="23">
        <f t="shared" si="4"/>
        <v>440836</v>
      </c>
      <c r="N8" s="23">
        <f t="shared" si="4"/>
        <v>769458</v>
      </c>
      <c r="O8" s="132">
        <f t="shared" si="0"/>
        <v>5520806</v>
      </c>
    </row>
    <row r="9" spans="1:15" x14ac:dyDescent="0.25">
      <c r="A9" s="28">
        <f t="shared" si="1"/>
        <v>5</v>
      </c>
      <c r="B9" s="172" t="s">
        <v>1084</v>
      </c>
      <c r="C9" s="23">
        <f>C31-C19</f>
        <v>1937852</v>
      </c>
      <c r="D9" s="23">
        <f t="shared" ref="D9:N9" si="5">D31-D19</f>
        <v>1555237</v>
      </c>
      <c r="E9" s="23">
        <f t="shared" si="5"/>
        <v>1301833</v>
      </c>
      <c r="F9" s="23">
        <f t="shared" si="5"/>
        <v>1122452</v>
      </c>
      <c r="G9" s="23">
        <f t="shared" si="5"/>
        <v>1154849</v>
      </c>
      <c r="H9" s="23">
        <f t="shared" si="5"/>
        <v>1380568</v>
      </c>
      <c r="I9" s="23">
        <f t="shared" si="5"/>
        <v>1550973</v>
      </c>
      <c r="J9" s="23">
        <f t="shared" si="5"/>
        <v>1452555</v>
      </c>
      <c r="K9" s="23">
        <f t="shared" si="5"/>
        <v>1180884</v>
      </c>
      <c r="L9" s="23">
        <f t="shared" si="5"/>
        <v>1056983</v>
      </c>
      <c r="M9" s="23">
        <f t="shared" si="5"/>
        <v>1302820</v>
      </c>
      <c r="N9" s="23">
        <f t="shared" si="5"/>
        <v>1739629</v>
      </c>
      <c r="O9" s="132">
        <f t="shared" si="0"/>
        <v>16736635</v>
      </c>
    </row>
    <row r="10" spans="1:15" x14ac:dyDescent="0.25">
      <c r="A10" s="28">
        <f t="shared" si="1"/>
        <v>6</v>
      </c>
      <c r="B10" s="172" t="s">
        <v>1085</v>
      </c>
      <c r="C10" s="23">
        <f>C32</f>
        <v>1963</v>
      </c>
      <c r="D10" s="23">
        <f t="shared" ref="D10:N10" si="6">D32</f>
        <v>1963</v>
      </c>
      <c r="E10" s="23">
        <f t="shared" si="6"/>
        <v>1963</v>
      </c>
      <c r="F10" s="23">
        <f t="shared" si="6"/>
        <v>1963</v>
      </c>
      <c r="G10" s="23">
        <f t="shared" si="6"/>
        <v>1963</v>
      </c>
      <c r="H10" s="23">
        <f t="shared" si="6"/>
        <v>1963</v>
      </c>
      <c r="I10" s="23">
        <f t="shared" si="6"/>
        <v>1963</v>
      </c>
      <c r="J10" s="23">
        <f t="shared" si="6"/>
        <v>1963</v>
      </c>
      <c r="K10" s="23">
        <f t="shared" si="6"/>
        <v>1963</v>
      </c>
      <c r="L10" s="23">
        <f t="shared" si="6"/>
        <v>1963</v>
      </c>
      <c r="M10" s="23">
        <f t="shared" si="6"/>
        <v>1963</v>
      </c>
      <c r="N10" s="23">
        <f t="shared" si="6"/>
        <v>1963</v>
      </c>
      <c r="O10" s="132">
        <f t="shared" si="0"/>
        <v>23556</v>
      </c>
    </row>
    <row r="11" spans="1:15" x14ac:dyDescent="0.25">
      <c r="A11" s="28">
        <f t="shared" si="1"/>
        <v>7</v>
      </c>
      <c r="B11" s="172" t="s">
        <v>1086</v>
      </c>
      <c r="C11" s="23">
        <f>C33</f>
        <v>50715</v>
      </c>
      <c r="D11" s="23">
        <f t="shared" ref="D11:N11" si="7">D33</f>
        <v>50715</v>
      </c>
      <c r="E11" s="23">
        <f t="shared" si="7"/>
        <v>50715</v>
      </c>
      <c r="F11" s="23">
        <f t="shared" si="7"/>
        <v>50715</v>
      </c>
      <c r="G11" s="23">
        <f t="shared" si="7"/>
        <v>50715</v>
      </c>
      <c r="H11" s="23">
        <f t="shared" si="7"/>
        <v>50715</v>
      </c>
      <c r="I11" s="23">
        <f t="shared" si="7"/>
        <v>50715</v>
      </c>
      <c r="J11" s="23">
        <f t="shared" si="7"/>
        <v>50715</v>
      </c>
      <c r="K11" s="23">
        <f t="shared" si="7"/>
        <v>50715</v>
      </c>
      <c r="L11" s="23">
        <f t="shared" si="7"/>
        <v>50715</v>
      </c>
      <c r="M11" s="23">
        <f t="shared" si="7"/>
        <v>50715</v>
      </c>
      <c r="N11" s="23">
        <f t="shared" si="7"/>
        <v>50715</v>
      </c>
      <c r="O11" s="132">
        <f t="shared" si="0"/>
        <v>608580</v>
      </c>
    </row>
    <row r="12" spans="1:15" x14ac:dyDescent="0.25">
      <c r="A12" s="28">
        <f t="shared" si="1"/>
        <v>8</v>
      </c>
      <c r="B12" s="172" t="s">
        <v>1007</v>
      </c>
      <c r="C12" s="23">
        <f>C34-C20</f>
        <v>327369</v>
      </c>
      <c r="D12" s="23">
        <f t="shared" ref="D12:N12" si="8">D34-D20</f>
        <v>329259</v>
      </c>
      <c r="E12" s="23">
        <f t="shared" si="8"/>
        <v>279622</v>
      </c>
      <c r="F12" s="23">
        <f t="shared" si="8"/>
        <v>147799</v>
      </c>
      <c r="G12" s="23">
        <f t="shared" si="8"/>
        <v>170697</v>
      </c>
      <c r="H12" s="23">
        <f t="shared" si="8"/>
        <v>263999</v>
      </c>
      <c r="I12" s="23">
        <f t="shared" si="8"/>
        <v>532858</v>
      </c>
      <c r="J12" s="23">
        <f t="shared" si="8"/>
        <v>449418</v>
      </c>
      <c r="K12" s="23">
        <f t="shared" si="8"/>
        <v>485678</v>
      </c>
      <c r="L12" s="23">
        <f t="shared" si="8"/>
        <v>481895</v>
      </c>
      <c r="M12" s="23">
        <f t="shared" si="8"/>
        <v>424847</v>
      </c>
      <c r="N12" s="23">
        <f t="shared" si="8"/>
        <v>576848</v>
      </c>
      <c r="O12" s="132">
        <f t="shared" si="0"/>
        <v>4470289</v>
      </c>
    </row>
    <row r="13" spans="1:15" x14ac:dyDescent="0.25">
      <c r="A13" s="28">
        <f t="shared" si="1"/>
        <v>9</v>
      </c>
      <c r="B13" s="172" t="s">
        <v>1008</v>
      </c>
      <c r="C13" s="23">
        <f>C35-C21</f>
        <v>395754</v>
      </c>
      <c r="D13" s="23">
        <f t="shared" ref="D13:N13" si="9">D35-D21</f>
        <v>331884</v>
      </c>
      <c r="E13" s="23">
        <f t="shared" si="9"/>
        <v>215962</v>
      </c>
      <c r="F13" s="23">
        <f t="shared" si="9"/>
        <v>260389</v>
      </c>
      <c r="G13" s="23">
        <f t="shared" si="9"/>
        <v>287516</v>
      </c>
      <c r="H13" s="23">
        <f t="shared" si="9"/>
        <v>395762</v>
      </c>
      <c r="I13" s="23">
        <f t="shared" si="9"/>
        <v>457259</v>
      </c>
      <c r="J13" s="23">
        <f t="shared" si="9"/>
        <v>347095</v>
      </c>
      <c r="K13" s="23">
        <f t="shared" si="9"/>
        <v>245008</v>
      </c>
      <c r="L13" s="23">
        <f t="shared" si="9"/>
        <v>263736</v>
      </c>
      <c r="M13" s="23">
        <f t="shared" si="9"/>
        <v>334758</v>
      </c>
      <c r="N13" s="23">
        <f t="shared" si="9"/>
        <v>505737</v>
      </c>
      <c r="O13" s="132">
        <f t="shared" si="0"/>
        <v>4040860</v>
      </c>
    </row>
    <row r="14" spans="1:15" x14ac:dyDescent="0.25">
      <c r="A14" s="28">
        <f t="shared" si="1"/>
        <v>10</v>
      </c>
      <c r="B14" s="172" t="s">
        <v>1087</v>
      </c>
      <c r="C14" s="23">
        <f>SUM(C8:C13)</f>
        <v>3247988</v>
      </c>
      <c r="D14" s="23">
        <f t="shared" ref="D14:N14" si="10">SUM(D8:D13)</f>
        <v>2762518</v>
      </c>
      <c r="E14" s="23">
        <f t="shared" si="10"/>
        <v>2275487</v>
      </c>
      <c r="F14" s="23">
        <f t="shared" si="10"/>
        <v>1922971</v>
      </c>
      <c r="G14" s="23">
        <f t="shared" si="10"/>
        <v>2051777</v>
      </c>
      <c r="H14" s="23">
        <f t="shared" si="10"/>
        <v>2554929</v>
      </c>
      <c r="I14" s="23">
        <f t="shared" si="10"/>
        <v>3050102</v>
      </c>
      <c r="J14" s="23">
        <f t="shared" si="10"/>
        <v>2749832</v>
      </c>
      <c r="K14" s="23">
        <f t="shared" si="10"/>
        <v>2384710</v>
      </c>
      <c r="L14" s="23">
        <f t="shared" si="10"/>
        <v>2200123</v>
      </c>
      <c r="M14" s="23">
        <f t="shared" si="10"/>
        <v>2555939</v>
      </c>
      <c r="N14" s="23">
        <f t="shared" si="10"/>
        <v>3644350</v>
      </c>
      <c r="O14" s="132">
        <f t="shared" si="0"/>
        <v>31400726</v>
      </c>
    </row>
    <row r="15" spans="1:15" x14ac:dyDescent="0.25">
      <c r="A15" s="28">
        <f t="shared" si="1"/>
        <v>11</v>
      </c>
      <c r="B15" s="103" t="s">
        <v>1089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132">
        <f t="shared" si="0"/>
        <v>0</v>
      </c>
    </row>
    <row r="16" spans="1:15" x14ac:dyDescent="0.25">
      <c r="A16" s="28">
        <f t="shared" si="1"/>
        <v>12</v>
      </c>
      <c r="B16" s="172" t="s">
        <v>1082</v>
      </c>
      <c r="C16" s="23">
        <v>18580</v>
      </c>
      <c r="D16" s="23">
        <v>17819</v>
      </c>
      <c r="E16" s="23">
        <v>19265</v>
      </c>
      <c r="F16" s="23">
        <v>18441</v>
      </c>
      <c r="G16" s="23">
        <v>20809</v>
      </c>
      <c r="H16" s="23">
        <v>21243</v>
      </c>
      <c r="I16" s="23">
        <v>21941</v>
      </c>
      <c r="J16" s="23">
        <v>21828</v>
      </c>
      <c r="K16" s="23">
        <v>21528</v>
      </c>
      <c r="L16" s="23">
        <v>19802</v>
      </c>
      <c r="M16" s="23">
        <v>19455</v>
      </c>
      <c r="N16" s="23">
        <v>18474</v>
      </c>
      <c r="O16" s="132">
        <f t="shared" si="0"/>
        <v>239185</v>
      </c>
    </row>
    <row r="17" spans="1:15" x14ac:dyDescent="0.25">
      <c r="A17" s="28">
        <f t="shared" si="1"/>
        <v>13</v>
      </c>
      <c r="B17" s="172" t="s">
        <v>861</v>
      </c>
      <c r="C17" s="23">
        <v>11824915</v>
      </c>
      <c r="D17" s="23">
        <v>10524998</v>
      </c>
      <c r="E17" s="23">
        <v>11992907</v>
      </c>
      <c r="F17" s="23">
        <v>11467433</v>
      </c>
      <c r="G17" s="23">
        <v>12451027</v>
      </c>
      <c r="H17" s="23">
        <v>12833578</v>
      </c>
      <c r="I17" s="23">
        <v>12977241</v>
      </c>
      <c r="J17" s="23">
        <v>13296903</v>
      </c>
      <c r="K17" s="23">
        <v>11412297</v>
      </c>
      <c r="L17" s="23">
        <v>11049999</v>
      </c>
      <c r="M17" s="23">
        <v>11097915</v>
      </c>
      <c r="N17" s="23">
        <v>10969405</v>
      </c>
      <c r="O17" s="132">
        <f t="shared" si="0"/>
        <v>141898618</v>
      </c>
    </row>
    <row r="18" spans="1:15" x14ac:dyDescent="0.25">
      <c r="A18" s="28">
        <f t="shared" si="1"/>
        <v>14</v>
      </c>
      <c r="B18" s="172" t="s">
        <v>1083</v>
      </c>
      <c r="C18" s="50">
        <f>C71</f>
        <v>140112</v>
      </c>
      <c r="D18" s="50">
        <f t="shared" ref="D18:N18" si="11">D71</f>
        <v>134135</v>
      </c>
      <c r="E18" s="50">
        <f t="shared" si="11"/>
        <v>146326</v>
      </c>
      <c r="F18" s="50">
        <f t="shared" si="11"/>
        <v>142584</v>
      </c>
      <c r="G18" s="50">
        <f t="shared" si="11"/>
        <v>144420</v>
      </c>
      <c r="H18" s="50">
        <f t="shared" si="11"/>
        <v>147270</v>
      </c>
      <c r="I18" s="50">
        <f t="shared" si="11"/>
        <v>153161</v>
      </c>
      <c r="J18" s="50">
        <f t="shared" si="11"/>
        <v>151329</v>
      </c>
      <c r="K18" s="50">
        <f t="shared" si="11"/>
        <v>148997</v>
      </c>
      <c r="L18" s="50">
        <f t="shared" si="11"/>
        <v>135584</v>
      </c>
      <c r="M18" s="50">
        <f t="shared" si="11"/>
        <v>133411</v>
      </c>
      <c r="N18" s="50">
        <f t="shared" si="11"/>
        <v>125092</v>
      </c>
      <c r="O18" s="132">
        <f t="shared" si="0"/>
        <v>1702421</v>
      </c>
    </row>
    <row r="19" spans="1:15" x14ac:dyDescent="0.25">
      <c r="A19" s="28">
        <f t="shared" si="1"/>
        <v>15</v>
      </c>
      <c r="B19" s="172" t="s">
        <v>1084</v>
      </c>
      <c r="C19" s="50">
        <f>C87</f>
        <v>471625</v>
      </c>
      <c r="D19" s="50">
        <f t="shared" ref="D19:N19" si="12">D87</f>
        <v>419401</v>
      </c>
      <c r="E19" s="50">
        <f t="shared" si="12"/>
        <v>478324</v>
      </c>
      <c r="F19" s="50">
        <f t="shared" si="12"/>
        <v>457366</v>
      </c>
      <c r="G19" s="50">
        <f t="shared" si="12"/>
        <v>498592</v>
      </c>
      <c r="H19" s="50">
        <f t="shared" si="12"/>
        <v>538533</v>
      </c>
      <c r="I19" s="50">
        <f t="shared" si="12"/>
        <v>523417</v>
      </c>
      <c r="J19" s="50">
        <f t="shared" si="12"/>
        <v>538432</v>
      </c>
      <c r="K19" s="50">
        <f t="shared" si="12"/>
        <v>451601</v>
      </c>
      <c r="L19" s="50">
        <f t="shared" si="12"/>
        <v>440719</v>
      </c>
      <c r="M19" s="50">
        <f t="shared" si="12"/>
        <v>439579</v>
      </c>
      <c r="N19" s="50">
        <f t="shared" si="12"/>
        <v>444049</v>
      </c>
      <c r="O19" s="132">
        <f t="shared" si="0"/>
        <v>5701638</v>
      </c>
    </row>
    <row r="20" spans="1:15" x14ac:dyDescent="0.25">
      <c r="A20" s="28">
        <f t="shared" si="1"/>
        <v>16</v>
      </c>
      <c r="B20" s="172" t="s">
        <v>1007</v>
      </c>
      <c r="C20" s="50">
        <f>C103</f>
        <v>92944</v>
      </c>
      <c r="D20" s="50">
        <f t="shared" ref="D20:N20" si="13">D103</f>
        <v>107474</v>
      </c>
      <c r="E20" s="50">
        <f t="shared" si="13"/>
        <v>120050</v>
      </c>
      <c r="F20" s="50">
        <f t="shared" si="13"/>
        <v>116302</v>
      </c>
      <c r="G20" s="50">
        <f t="shared" si="13"/>
        <v>88029</v>
      </c>
      <c r="H20" s="50">
        <f t="shared" si="13"/>
        <v>117812</v>
      </c>
      <c r="I20" s="50">
        <f t="shared" si="13"/>
        <v>213865</v>
      </c>
      <c r="J20" s="50">
        <f t="shared" si="13"/>
        <v>197592</v>
      </c>
      <c r="K20" s="50">
        <f t="shared" si="13"/>
        <v>220070</v>
      </c>
      <c r="L20" s="50">
        <f t="shared" si="13"/>
        <v>235144</v>
      </c>
      <c r="M20" s="50">
        <f t="shared" si="13"/>
        <v>167396</v>
      </c>
      <c r="N20" s="50">
        <f t="shared" si="13"/>
        <v>164766</v>
      </c>
      <c r="O20" s="132">
        <f t="shared" si="0"/>
        <v>1841444</v>
      </c>
    </row>
    <row r="21" spans="1:15" x14ac:dyDescent="0.25">
      <c r="A21" s="28">
        <f t="shared" si="1"/>
        <v>17</v>
      </c>
      <c r="B21" s="172" t="s">
        <v>1008</v>
      </c>
      <c r="C21" s="50">
        <f>C119</f>
        <v>97809</v>
      </c>
      <c r="D21" s="50">
        <f t="shared" ref="D21:N21" si="14">D119</f>
        <v>89753</v>
      </c>
      <c r="E21" s="50">
        <f t="shared" si="14"/>
        <v>78119</v>
      </c>
      <c r="F21" s="50">
        <f t="shared" si="14"/>
        <v>105378</v>
      </c>
      <c r="G21" s="50">
        <f t="shared" si="14"/>
        <v>119365</v>
      </c>
      <c r="H21" s="50">
        <f t="shared" si="14"/>
        <v>141967</v>
      </c>
      <c r="I21" s="50">
        <f t="shared" si="14"/>
        <v>156159</v>
      </c>
      <c r="J21" s="50">
        <f t="shared" si="14"/>
        <v>126425</v>
      </c>
      <c r="K21" s="50">
        <f t="shared" si="14"/>
        <v>94105</v>
      </c>
      <c r="L21" s="50">
        <f t="shared" si="14"/>
        <v>110398</v>
      </c>
      <c r="M21" s="50">
        <f t="shared" si="14"/>
        <v>112298</v>
      </c>
      <c r="N21" s="50">
        <f t="shared" si="14"/>
        <v>118469</v>
      </c>
      <c r="O21" s="132">
        <f t="shared" si="0"/>
        <v>1350245</v>
      </c>
    </row>
    <row r="22" spans="1:15" x14ac:dyDescent="0.25">
      <c r="A22" s="28">
        <f t="shared" si="1"/>
        <v>18</v>
      </c>
      <c r="B22" s="172" t="s">
        <v>1087</v>
      </c>
      <c r="C22" s="23">
        <f>SUM(C18:C21)</f>
        <v>802490</v>
      </c>
      <c r="D22" s="23">
        <f t="shared" ref="D22:N22" si="15">SUM(D18:D21)</f>
        <v>750763</v>
      </c>
      <c r="E22" s="23">
        <f t="shared" si="15"/>
        <v>822819</v>
      </c>
      <c r="F22" s="23">
        <f t="shared" si="15"/>
        <v>821630</v>
      </c>
      <c r="G22" s="23">
        <f t="shared" si="15"/>
        <v>850406</v>
      </c>
      <c r="H22" s="23">
        <f t="shared" si="15"/>
        <v>945582</v>
      </c>
      <c r="I22" s="23">
        <f t="shared" si="15"/>
        <v>1046602</v>
      </c>
      <c r="J22" s="23">
        <f t="shared" si="15"/>
        <v>1013778</v>
      </c>
      <c r="K22" s="23">
        <f t="shared" si="15"/>
        <v>914773</v>
      </c>
      <c r="L22" s="23">
        <f t="shared" si="15"/>
        <v>921845</v>
      </c>
      <c r="M22" s="23">
        <f t="shared" si="15"/>
        <v>852684</v>
      </c>
      <c r="N22" s="23">
        <f t="shared" si="15"/>
        <v>852376</v>
      </c>
      <c r="O22" s="132">
        <f t="shared" si="0"/>
        <v>10595748</v>
      </c>
    </row>
    <row r="23" spans="1:15" x14ac:dyDescent="0.25">
      <c r="A23" s="28">
        <f t="shared" si="1"/>
        <v>19</v>
      </c>
      <c r="B23" s="173" t="s">
        <v>1090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132"/>
    </row>
    <row r="24" spans="1:15" x14ac:dyDescent="0.25">
      <c r="A24" s="28">
        <f t="shared" si="1"/>
        <v>20</v>
      </c>
      <c r="B24" s="172" t="s">
        <v>1008</v>
      </c>
      <c r="C24" s="23">
        <v>-379</v>
      </c>
      <c r="D24" s="23">
        <v>-198</v>
      </c>
      <c r="E24" s="23">
        <v>-288</v>
      </c>
      <c r="F24" s="23">
        <v>-424</v>
      </c>
      <c r="G24" s="23">
        <v>-451</v>
      </c>
      <c r="H24" s="23">
        <v>-48</v>
      </c>
      <c r="I24" s="23">
        <v>-489</v>
      </c>
      <c r="J24" s="23">
        <v>-43</v>
      </c>
      <c r="K24" s="23">
        <v>0</v>
      </c>
      <c r="L24" s="23">
        <v>-371</v>
      </c>
      <c r="M24" s="23">
        <v>-415</v>
      </c>
      <c r="N24" s="23">
        <v>-443</v>
      </c>
      <c r="O24" s="132">
        <f t="shared" si="0"/>
        <v>-3549</v>
      </c>
    </row>
    <row r="25" spans="1:15" x14ac:dyDescent="0.25">
      <c r="A25" s="28">
        <f t="shared" si="1"/>
        <v>21</v>
      </c>
      <c r="B25" s="172" t="s">
        <v>1091</v>
      </c>
      <c r="C25" s="23">
        <v>-2728</v>
      </c>
      <c r="D25" s="23">
        <v>-1449</v>
      </c>
      <c r="E25" s="23">
        <v>-2745</v>
      </c>
      <c r="F25" s="23">
        <v>-2755</v>
      </c>
      <c r="G25" s="23">
        <v>-2759</v>
      </c>
      <c r="H25" s="23">
        <v>-264</v>
      </c>
      <c r="I25" s="23">
        <v>-2770</v>
      </c>
      <c r="J25" s="23">
        <v>-295</v>
      </c>
      <c r="K25" s="23">
        <v>0</v>
      </c>
      <c r="L25" s="23">
        <v>-2722</v>
      </c>
      <c r="M25" s="23">
        <v>-2747</v>
      </c>
      <c r="N25" s="23">
        <v>-2744</v>
      </c>
      <c r="O25" s="132">
        <f t="shared" si="0"/>
        <v>-23978</v>
      </c>
    </row>
    <row r="26" spans="1:15" x14ac:dyDescent="0.25">
      <c r="A26" s="28">
        <f t="shared" si="1"/>
        <v>22</v>
      </c>
      <c r="B26" s="172" t="s">
        <v>1087</v>
      </c>
      <c r="C26" s="23">
        <v>-3107</v>
      </c>
      <c r="D26" s="23">
        <v>-1647</v>
      </c>
      <c r="E26" s="23">
        <v>-3033</v>
      </c>
      <c r="F26" s="23">
        <v>-3179</v>
      </c>
      <c r="G26" s="23">
        <v>-3210</v>
      </c>
      <c r="H26" s="23">
        <v>-312</v>
      </c>
      <c r="I26" s="23">
        <v>-3259</v>
      </c>
      <c r="J26" s="23">
        <v>-338</v>
      </c>
      <c r="K26" s="23">
        <v>0</v>
      </c>
      <c r="L26" s="23">
        <v>-3093</v>
      </c>
      <c r="M26" s="23">
        <v>-3162</v>
      </c>
      <c r="N26" s="23">
        <v>-3187</v>
      </c>
      <c r="O26" s="132">
        <f t="shared" si="0"/>
        <v>-27527</v>
      </c>
    </row>
    <row r="27" spans="1:15" x14ac:dyDescent="0.25">
      <c r="A27" s="28">
        <f t="shared" si="1"/>
        <v>23</v>
      </c>
      <c r="B27" s="103" t="s">
        <v>857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132"/>
    </row>
    <row r="28" spans="1:15" x14ac:dyDescent="0.25">
      <c r="A28" s="28">
        <f t="shared" si="1"/>
        <v>24</v>
      </c>
      <c r="B28" s="172" t="s">
        <v>1082</v>
      </c>
      <c r="C28" s="23">
        <v>100383</v>
      </c>
      <c r="D28" s="23">
        <v>93430</v>
      </c>
      <c r="E28" s="23">
        <v>84390</v>
      </c>
      <c r="F28" s="23">
        <v>70274</v>
      </c>
      <c r="G28" s="23">
        <v>79668</v>
      </c>
      <c r="H28" s="23">
        <v>91899</v>
      </c>
      <c r="I28" s="23">
        <v>91731</v>
      </c>
      <c r="J28" s="23">
        <v>90162</v>
      </c>
      <c r="K28" s="23">
        <v>85840</v>
      </c>
      <c r="L28" s="23">
        <v>72537</v>
      </c>
      <c r="M28" s="23">
        <v>86756</v>
      </c>
      <c r="N28" s="23">
        <v>136363</v>
      </c>
      <c r="O28" s="132">
        <f t="shared" ref="O28:O43" si="16">SUM(C28:N28)</f>
        <v>1083433</v>
      </c>
    </row>
    <row r="29" spans="1:15" x14ac:dyDescent="0.25">
      <c r="A29" s="28">
        <f t="shared" si="1"/>
        <v>25</v>
      </c>
      <c r="B29" s="172" t="s">
        <v>861</v>
      </c>
      <c r="C29" s="23">
        <v>53475090</v>
      </c>
      <c r="D29" s="23">
        <v>43951479</v>
      </c>
      <c r="E29" s="23">
        <v>39927258</v>
      </c>
      <c r="F29" s="23">
        <v>35545192</v>
      </c>
      <c r="G29" s="23">
        <v>36594834</v>
      </c>
      <c r="H29" s="23">
        <v>41591725</v>
      </c>
      <c r="I29" s="23">
        <v>45310813</v>
      </c>
      <c r="J29" s="23">
        <v>43540444</v>
      </c>
      <c r="K29" s="23">
        <v>36078473</v>
      </c>
      <c r="L29" s="23">
        <v>33695407</v>
      </c>
      <c r="M29" s="23">
        <v>39030048</v>
      </c>
      <c r="N29" s="23">
        <v>48345309</v>
      </c>
      <c r="O29" s="132">
        <f t="shared" si="16"/>
        <v>497086072</v>
      </c>
    </row>
    <row r="30" spans="1:15" x14ac:dyDescent="0.25">
      <c r="A30" s="28">
        <f t="shared" si="1"/>
        <v>26</v>
      </c>
      <c r="B30" s="172" t="s">
        <v>1083</v>
      </c>
      <c r="C30" s="23">
        <v>674447</v>
      </c>
      <c r="D30" s="23">
        <v>627595</v>
      </c>
      <c r="E30" s="23">
        <v>571718</v>
      </c>
      <c r="F30" s="23">
        <v>482237</v>
      </c>
      <c r="G30" s="23">
        <v>530457</v>
      </c>
      <c r="H30" s="23">
        <v>609192</v>
      </c>
      <c r="I30" s="23">
        <v>609495</v>
      </c>
      <c r="J30" s="23">
        <v>599415</v>
      </c>
      <c r="K30" s="23">
        <v>569459</v>
      </c>
      <c r="L30" s="23">
        <v>480415</v>
      </c>
      <c r="M30" s="23">
        <v>574247</v>
      </c>
      <c r="N30" s="23">
        <v>894550</v>
      </c>
      <c r="O30" s="132">
        <f t="shared" si="16"/>
        <v>7223227</v>
      </c>
    </row>
    <row r="31" spans="1:15" x14ac:dyDescent="0.25">
      <c r="A31" s="28">
        <f t="shared" si="1"/>
        <v>27</v>
      </c>
      <c r="B31" s="172" t="s">
        <v>1084</v>
      </c>
      <c r="C31" s="23">
        <v>2409477</v>
      </c>
      <c r="D31" s="23">
        <v>1974638</v>
      </c>
      <c r="E31" s="23">
        <v>1780157</v>
      </c>
      <c r="F31" s="23">
        <v>1579818</v>
      </c>
      <c r="G31" s="23">
        <v>1653441</v>
      </c>
      <c r="H31" s="23">
        <v>1919101</v>
      </c>
      <c r="I31" s="23">
        <v>2074390</v>
      </c>
      <c r="J31" s="23">
        <v>1990987</v>
      </c>
      <c r="K31" s="23">
        <v>1632485</v>
      </c>
      <c r="L31" s="23">
        <v>1497702</v>
      </c>
      <c r="M31" s="23">
        <v>1742399</v>
      </c>
      <c r="N31" s="23">
        <v>2183678</v>
      </c>
      <c r="O31" s="132">
        <f t="shared" si="16"/>
        <v>22438273</v>
      </c>
    </row>
    <row r="32" spans="1:15" x14ac:dyDescent="0.25">
      <c r="A32" s="28">
        <f t="shared" si="1"/>
        <v>28</v>
      </c>
      <c r="B32" s="172" t="s">
        <v>1085</v>
      </c>
      <c r="C32" s="23">
        <v>1963</v>
      </c>
      <c r="D32" s="23">
        <v>1963</v>
      </c>
      <c r="E32" s="23">
        <v>1963</v>
      </c>
      <c r="F32" s="23">
        <v>1963</v>
      </c>
      <c r="G32" s="23">
        <v>1963</v>
      </c>
      <c r="H32" s="23">
        <v>1963</v>
      </c>
      <c r="I32" s="23">
        <v>1963</v>
      </c>
      <c r="J32" s="23">
        <v>1963</v>
      </c>
      <c r="K32" s="23">
        <v>1963</v>
      </c>
      <c r="L32" s="23">
        <v>1963</v>
      </c>
      <c r="M32" s="23">
        <v>1963</v>
      </c>
      <c r="N32" s="23">
        <v>1963</v>
      </c>
      <c r="O32" s="132">
        <f t="shared" si="16"/>
        <v>23556</v>
      </c>
    </row>
    <row r="33" spans="1:15" x14ac:dyDescent="0.25">
      <c r="A33" s="28">
        <f t="shared" si="1"/>
        <v>29</v>
      </c>
      <c r="B33" s="172" t="s">
        <v>1086</v>
      </c>
      <c r="C33" s="23">
        <v>50715</v>
      </c>
      <c r="D33" s="23">
        <v>50715</v>
      </c>
      <c r="E33" s="23">
        <v>50715</v>
      </c>
      <c r="F33" s="23">
        <v>50715</v>
      </c>
      <c r="G33" s="23">
        <v>50715</v>
      </c>
      <c r="H33" s="23">
        <v>50715</v>
      </c>
      <c r="I33" s="23">
        <v>50715</v>
      </c>
      <c r="J33" s="23">
        <v>50715</v>
      </c>
      <c r="K33" s="23">
        <v>50715</v>
      </c>
      <c r="L33" s="23">
        <v>50715</v>
      </c>
      <c r="M33" s="23">
        <v>50715</v>
      </c>
      <c r="N33" s="23">
        <v>50715</v>
      </c>
      <c r="O33" s="132">
        <f t="shared" si="16"/>
        <v>608580</v>
      </c>
    </row>
    <row r="34" spans="1:15" x14ac:dyDescent="0.25">
      <c r="A34" s="28">
        <f t="shared" si="1"/>
        <v>30</v>
      </c>
      <c r="B34" s="172" t="s">
        <v>1007</v>
      </c>
      <c r="C34" s="23">
        <v>420313</v>
      </c>
      <c r="D34" s="23">
        <v>436733</v>
      </c>
      <c r="E34" s="23">
        <v>399672</v>
      </c>
      <c r="F34" s="23">
        <v>264101</v>
      </c>
      <c r="G34" s="23">
        <v>258726</v>
      </c>
      <c r="H34" s="23">
        <v>381811</v>
      </c>
      <c r="I34" s="23">
        <v>746723</v>
      </c>
      <c r="J34" s="23">
        <v>647010</v>
      </c>
      <c r="K34" s="23">
        <v>705748</v>
      </c>
      <c r="L34" s="23">
        <v>717039</v>
      </c>
      <c r="M34" s="23">
        <v>592243</v>
      </c>
      <c r="N34" s="23">
        <v>741614</v>
      </c>
      <c r="O34" s="132">
        <f t="shared" si="16"/>
        <v>6311733</v>
      </c>
    </row>
    <row r="35" spans="1:15" x14ac:dyDescent="0.25">
      <c r="A35" s="28">
        <f t="shared" si="1"/>
        <v>31</v>
      </c>
      <c r="B35" s="172" t="s">
        <v>1008</v>
      </c>
      <c r="C35" s="132">
        <v>493563</v>
      </c>
      <c r="D35" s="132">
        <v>421637</v>
      </c>
      <c r="E35" s="132">
        <v>294081</v>
      </c>
      <c r="F35" s="132">
        <v>365767</v>
      </c>
      <c r="G35" s="132">
        <v>406881</v>
      </c>
      <c r="H35" s="132">
        <v>537729</v>
      </c>
      <c r="I35" s="132">
        <v>613418</v>
      </c>
      <c r="J35" s="132">
        <v>473520</v>
      </c>
      <c r="K35" s="132">
        <v>339113</v>
      </c>
      <c r="L35" s="132">
        <v>374134</v>
      </c>
      <c r="M35" s="132">
        <v>447056</v>
      </c>
      <c r="N35" s="132">
        <v>624206</v>
      </c>
      <c r="O35" s="132">
        <f t="shared" si="16"/>
        <v>5391105</v>
      </c>
    </row>
    <row r="36" spans="1:15" x14ac:dyDescent="0.25">
      <c r="A36" s="28">
        <f t="shared" si="1"/>
        <v>32</v>
      </c>
      <c r="B36" s="172" t="s">
        <v>1099</v>
      </c>
      <c r="C36" s="132">
        <v>8100</v>
      </c>
      <c r="D36" s="132">
        <v>8100</v>
      </c>
      <c r="E36" s="132">
        <v>8100</v>
      </c>
      <c r="F36" s="132">
        <v>8100</v>
      </c>
      <c r="G36" s="132">
        <v>8100</v>
      </c>
      <c r="H36" s="132">
        <v>8100</v>
      </c>
      <c r="I36" s="132">
        <v>8100</v>
      </c>
      <c r="J36" s="132">
        <v>8100</v>
      </c>
      <c r="K36" s="132">
        <v>8100</v>
      </c>
      <c r="L36" s="132">
        <v>8100</v>
      </c>
      <c r="M36" s="132">
        <v>8100</v>
      </c>
      <c r="N36" s="132">
        <v>8100</v>
      </c>
      <c r="O36" s="132">
        <f t="shared" si="16"/>
        <v>97200</v>
      </c>
    </row>
    <row r="37" spans="1:15" x14ac:dyDescent="0.25">
      <c r="A37" s="28">
        <f t="shared" si="1"/>
        <v>33</v>
      </c>
      <c r="B37" s="172" t="s">
        <v>1100</v>
      </c>
      <c r="C37" s="132">
        <v>203</v>
      </c>
      <c r="D37" s="132">
        <v>203</v>
      </c>
      <c r="E37" s="132">
        <v>203</v>
      </c>
      <c r="F37" s="132">
        <v>203</v>
      </c>
      <c r="G37" s="132">
        <v>203</v>
      </c>
      <c r="H37" s="132">
        <v>203</v>
      </c>
      <c r="I37" s="132">
        <v>203</v>
      </c>
      <c r="J37" s="132">
        <v>203</v>
      </c>
      <c r="K37" s="132">
        <v>203</v>
      </c>
      <c r="L37" s="132">
        <v>203</v>
      </c>
      <c r="M37" s="132">
        <v>203</v>
      </c>
      <c r="N37" s="132">
        <v>203</v>
      </c>
      <c r="O37" s="132">
        <f t="shared" si="16"/>
        <v>2436</v>
      </c>
    </row>
    <row r="38" spans="1:15" x14ac:dyDescent="0.25">
      <c r="A38" s="28">
        <f t="shared" si="1"/>
        <v>34</v>
      </c>
      <c r="B38" s="172" t="s">
        <v>1098</v>
      </c>
      <c r="C38" s="132">
        <v>-113</v>
      </c>
      <c r="D38" s="132">
        <v>-121</v>
      </c>
      <c r="E38" s="132">
        <v>-177</v>
      </c>
      <c r="F38" s="132">
        <v>-227</v>
      </c>
      <c r="G38" s="132">
        <v>-295</v>
      </c>
      <c r="H38" s="132">
        <v>-445</v>
      </c>
      <c r="I38" s="132">
        <v>-631</v>
      </c>
      <c r="J38" s="132">
        <v>-444</v>
      </c>
      <c r="K38" s="132">
        <v>-602</v>
      </c>
      <c r="L38" s="132">
        <v>-437</v>
      </c>
      <c r="M38" s="132">
        <v>-300</v>
      </c>
      <c r="N38" s="132">
        <v>-196</v>
      </c>
      <c r="O38" s="132">
        <f t="shared" si="16"/>
        <v>-3988</v>
      </c>
    </row>
    <row r="39" spans="1:15" x14ac:dyDescent="0.25">
      <c r="A39" s="28">
        <f t="shared" si="1"/>
        <v>35</v>
      </c>
      <c r="B39" s="172" t="s">
        <v>1087</v>
      </c>
      <c r="C39" s="132">
        <v>4047461</v>
      </c>
      <c r="D39" s="132">
        <v>3511716</v>
      </c>
      <c r="E39" s="132">
        <v>3095299</v>
      </c>
      <c r="F39" s="132">
        <v>2741398</v>
      </c>
      <c r="G39" s="132">
        <v>2898881</v>
      </c>
      <c r="H39" s="132">
        <v>3499957</v>
      </c>
      <c r="I39" s="132">
        <v>4093017</v>
      </c>
      <c r="J39" s="132">
        <v>3763031</v>
      </c>
      <c r="K39" s="132">
        <v>3299084</v>
      </c>
      <c r="L39" s="132">
        <v>3118641</v>
      </c>
      <c r="M39" s="132">
        <v>3405364</v>
      </c>
      <c r="N39" s="132">
        <v>4493546</v>
      </c>
      <c r="O39" s="174">
        <f t="shared" si="16"/>
        <v>41967395</v>
      </c>
    </row>
    <row r="40" spans="1:15" x14ac:dyDescent="0.25">
      <c r="A40" s="28">
        <f t="shared" si="1"/>
        <v>36</v>
      </c>
      <c r="B40" s="179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</row>
    <row r="41" spans="1:15" x14ac:dyDescent="0.25">
      <c r="A41" s="28">
        <f t="shared" si="1"/>
        <v>37</v>
      </c>
      <c r="B41" s="14" t="s">
        <v>1092</v>
      </c>
      <c r="C41" s="90">
        <f t="shared" ref="C41:N41" si="17">C30+C32+C33</f>
        <v>727125</v>
      </c>
      <c r="D41" s="90">
        <f t="shared" si="17"/>
        <v>680273</v>
      </c>
      <c r="E41" s="90">
        <f t="shared" si="17"/>
        <v>624396</v>
      </c>
      <c r="F41" s="90">
        <f t="shared" si="17"/>
        <v>534915</v>
      </c>
      <c r="G41" s="90">
        <f t="shared" si="17"/>
        <v>583135</v>
      </c>
      <c r="H41" s="90">
        <f t="shared" si="17"/>
        <v>661870</v>
      </c>
      <c r="I41" s="90">
        <f t="shared" si="17"/>
        <v>662173</v>
      </c>
      <c r="J41" s="90">
        <f t="shared" si="17"/>
        <v>652093</v>
      </c>
      <c r="K41" s="90">
        <f t="shared" si="17"/>
        <v>622137</v>
      </c>
      <c r="L41" s="90">
        <f t="shared" si="17"/>
        <v>533093</v>
      </c>
      <c r="M41" s="90">
        <f t="shared" si="17"/>
        <v>626925</v>
      </c>
      <c r="N41" s="90">
        <f t="shared" si="17"/>
        <v>947228</v>
      </c>
      <c r="O41" s="132">
        <f t="shared" si="16"/>
        <v>7855363</v>
      </c>
    </row>
    <row r="42" spans="1:15" x14ac:dyDescent="0.25">
      <c r="A42" s="28">
        <f t="shared" si="1"/>
        <v>38</v>
      </c>
      <c r="B42" s="14" t="s">
        <v>1093</v>
      </c>
      <c r="C42" s="90">
        <f t="shared" ref="C42:N42" si="18">C31+C34</f>
        <v>2829790</v>
      </c>
      <c r="D42" s="90">
        <f t="shared" si="18"/>
        <v>2411371</v>
      </c>
      <c r="E42" s="90">
        <f t="shared" si="18"/>
        <v>2179829</v>
      </c>
      <c r="F42" s="90">
        <f t="shared" si="18"/>
        <v>1843919</v>
      </c>
      <c r="G42" s="90">
        <f t="shared" si="18"/>
        <v>1912167</v>
      </c>
      <c r="H42" s="90">
        <f t="shared" si="18"/>
        <v>2300912</v>
      </c>
      <c r="I42" s="90">
        <f t="shared" si="18"/>
        <v>2821113</v>
      </c>
      <c r="J42" s="90">
        <f t="shared" si="18"/>
        <v>2637997</v>
      </c>
      <c r="K42" s="90">
        <f t="shared" si="18"/>
        <v>2338233</v>
      </c>
      <c r="L42" s="90">
        <f t="shared" si="18"/>
        <v>2214741</v>
      </c>
      <c r="M42" s="90">
        <f t="shared" si="18"/>
        <v>2334642</v>
      </c>
      <c r="N42" s="90">
        <f t="shared" si="18"/>
        <v>2925292</v>
      </c>
      <c r="O42" s="132">
        <f t="shared" si="16"/>
        <v>28750006</v>
      </c>
    </row>
    <row r="43" spans="1:15" x14ac:dyDescent="0.25">
      <c r="A43" s="28">
        <f t="shared" si="1"/>
        <v>39</v>
      </c>
      <c r="B43" s="14" t="s">
        <v>1094</v>
      </c>
      <c r="C43" s="175">
        <f>C41+C42</f>
        <v>3556915</v>
      </c>
      <c r="D43" s="175">
        <f t="shared" ref="D43:N43" si="19">D41+D42</f>
        <v>3091644</v>
      </c>
      <c r="E43" s="175">
        <f t="shared" si="19"/>
        <v>2804225</v>
      </c>
      <c r="F43" s="175">
        <f t="shared" si="19"/>
        <v>2378834</v>
      </c>
      <c r="G43" s="175">
        <f t="shared" si="19"/>
        <v>2495302</v>
      </c>
      <c r="H43" s="175">
        <f t="shared" si="19"/>
        <v>2962782</v>
      </c>
      <c r="I43" s="175">
        <f t="shared" si="19"/>
        <v>3483286</v>
      </c>
      <c r="J43" s="175">
        <f t="shared" si="19"/>
        <v>3290090</v>
      </c>
      <c r="K43" s="175">
        <f t="shared" si="19"/>
        <v>2960370</v>
      </c>
      <c r="L43" s="175">
        <f t="shared" si="19"/>
        <v>2747834</v>
      </c>
      <c r="M43" s="175">
        <f t="shared" si="19"/>
        <v>2961567</v>
      </c>
      <c r="N43" s="175">
        <f t="shared" si="19"/>
        <v>3872520</v>
      </c>
      <c r="O43" s="132">
        <f t="shared" si="16"/>
        <v>36605369</v>
      </c>
    </row>
    <row r="44" spans="1:15" x14ac:dyDescent="0.25">
      <c r="A44" s="28">
        <f t="shared" si="1"/>
        <v>40</v>
      </c>
      <c r="B44" s="14" t="s">
        <v>1095</v>
      </c>
      <c r="C44" s="48">
        <f>C41/C43</f>
        <v>0.20442574534392866</v>
      </c>
      <c r="D44" s="48">
        <f t="shared" ref="D44:N44" si="20">D41/D43</f>
        <v>0.22003600673298737</v>
      </c>
      <c r="E44" s="48">
        <f t="shared" si="20"/>
        <v>0.22266258948550846</v>
      </c>
      <c r="F44" s="48">
        <f t="shared" si="20"/>
        <v>0.2248643663240058</v>
      </c>
      <c r="G44" s="48">
        <f t="shared" si="20"/>
        <v>0.23369315617909175</v>
      </c>
      <c r="H44" s="48">
        <f t="shared" si="20"/>
        <v>0.22339476883550663</v>
      </c>
      <c r="I44" s="48">
        <f t="shared" si="20"/>
        <v>0.1901000951400488</v>
      </c>
      <c r="J44" s="48">
        <f t="shared" si="20"/>
        <v>0.19819913740961492</v>
      </c>
      <c r="K44" s="48">
        <f t="shared" si="20"/>
        <v>0.21015514952522826</v>
      </c>
      <c r="L44" s="48">
        <f t="shared" si="20"/>
        <v>0.19400480523932667</v>
      </c>
      <c r="M44" s="48">
        <f t="shared" si="20"/>
        <v>0.21168692114681181</v>
      </c>
      <c r="N44" s="48">
        <f t="shared" si="20"/>
        <v>0.24460248107175689</v>
      </c>
      <c r="O44" s="176">
        <f t="shared" ref="O44" si="21">O41/O43</f>
        <v>0.2145959244393903</v>
      </c>
    </row>
    <row r="45" spans="1:15" x14ac:dyDescent="0.25">
      <c r="A45" s="28">
        <f t="shared" si="1"/>
        <v>41</v>
      </c>
      <c r="B45" s="14" t="s">
        <v>1096</v>
      </c>
      <c r="C45" s="48">
        <f>C42/C43</f>
        <v>0.79557425465607134</v>
      </c>
      <c r="D45" s="48">
        <f t="shared" ref="D45:N45" si="22">D42/D43</f>
        <v>0.7799639932670126</v>
      </c>
      <c r="E45" s="48">
        <f t="shared" si="22"/>
        <v>0.77733741051449157</v>
      </c>
      <c r="F45" s="48">
        <f t="shared" si="22"/>
        <v>0.77513563367599425</v>
      </c>
      <c r="G45" s="48">
        <f t="shared" si="22"/>
        <v>0.7663068438209083</v>
      </c>
      <c r="H45" s="48">
        <f t="shared" si="22"/>
        <v>0.77660523116449343</v>
      </c>
      <c r="I45" s="48">
        <f t="shared" si="22"/>
        <v>0.80989990485995123</v>
      </c>
      <c r="J45" s="48">
        <f t="shared" si="22"/>
        <v>0.80180086259038508</v>
      </c>
      <c r="K45" s="48">
        <f t="shared" si="22"/>
        <v>0.78984485047477171</v>
      </c>
      <c r="L45" s="48">
        <f t="shared" si="22"/>
        <v>0.80599519476067327</v>
      </c>
      <c r="M45" s="48">
        <f t="shared" si="22"/>
        <v>0.78831307885318824</v>
      </c>
      <c r="N45" s="48">
        <f t="shared" si="22"/>
        <v>0.75539751892824314</v>
      </c>
      <c r="O45" s="176">
        <f t="shared" ref="O45" si="23">O42/O43</f>
        <v>0.78540407556060965</v>
      </c>
    </row>
    <row r="46" spans="1:15" x14ac:dyDescent="0.25">
      <c r="A46" s="28">
        <f t="shared" si="1"/>
        <v>42</v>
      </c>
    </row>
    <row r="47" spans="1:15" x14ac:dyDescent="0.25">
      <c r="A47" s="28">
        <f t="shared" si="1"/>
        <v>43</v>
      </c>
      <c r="B47" s="14" t="s">
        <v>1097</v>
      </c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27" t="s">
        <v>398</v>
      </c>
      <c r="O47" s="50">
        <f>O39</f>
        <v>41967395</v>
      </c>
    </row>
    <row r="48" spans="1:15" x14ac:dyDescent="0.25">
      <c r="A48" s="28">
        <f t="shared" si="1"/>
        <v>44</v>
      </c>
      <c r="N48" s="27" t="s">
        <v>1101</v>
      </c>
      <c r="O48" s="35">
        <f>O38</f>
        <v>-3988</v>
      </c>
    </row>
    <row r="49" spans="1:15" x14ac:dyDescent="0.25">
      <c r="A49" s="28">
        <f t="shared" si="1"/>
        <v>45</v>
      </c>
      <c r="N49" s="27" t="s">
        <v>934</v>
      </c>
      <c r="O49" s="50">
        <f>'Func &amp; Classif'!F175</f>
        <v>41971379</v>
      </c>
    </row>
    <row r="50" spans="1:15" x14ac:dyDescent="0.25">
      <c r="A50" s="28"/>
      <c r="N50" s="177" t="s">
        <v>954</v>
      </c>
      <c r="O50" s="178">
        <f>O49-O47+O48</f>
        <v>-4</v>
      </c>
    </row>
    <row r="51" spans="1:15" x14ac:dyDescent="0.25">
      <c r="A51" s="28"/>
      <c r="N51" s="27"/>
      <c r="O51" s="134"/>
    </row>
    <row r="52" spans="1:15" x14ac:dyDescent="0.25">
      <c r="A52" s="28"/>
      <c r="B52" s="14" t="s">
        <v>1082</v>
      </c>
      <c r="C52" s="23">
        <v>100383</v>
      </c>
      <c r="D52" s="23">
        <v>93430</v>
      </c>
      <c r="E52" s="23">
        <v>84390</v>
      </c>
      <c r="F52" s="23">
        <v>70274</v>
      </c>
      <c r="G52" s="23">
        <v>79668</v>
      </c>
      <c r="H52" s="23">
        <v>91899</v>
      </c>
      <c r="I52" s="23">
        <v>91731</v>
      </c>
      <c r="J52" s="23">
        <v>90162</v>
      </c>
      <c r="K52" s="23">
        <v>85840</v>
      </c>
      <c r="L52" s="23">
        <v>72537</v>
      </c>
      <c r="M52" s="23">
        <v>86756</v>
      </c>
      <c r="N52" s="23">
        <v>136363</v>
      </c>
      <c r="O52" s="134"/>
    </row>
    <row r="53" spans="1:15" x14ac:dyDescent="0.25">
      <c r="A53" s="28"/>
      <c r="B53" s="14" t="s">
        <v>1113</v>
      </c>
      <c r="C53" s="23">
        <v>99005</v>
      </c>
      <c r="D53" s="23">
        <v>88778</v>
      </c>
      <c r="E53" s="23">
        <v>79611</v>
      </c>
      <c r="F53" s="23">
        <v>69446</v>
      </c>
      <c r="G53" s="23">
        <v>77746</v>
      </c>
      <c r="H53" s="23">
        <v>91153</v>
      </c>
      <c r="I53" s="23">
        <v>90866</v>
      </c>
      <c r="J53" s="23">
        <v>88388</v>
      </c>
      <c r="K53" s="23">
        <v>83090</v>
      </c>
      <c r="L53" s="23">
        <v>67298</v>
      </c>
      <c r="M53" s="23">
        <v>83920</v>
      </c>
      <c r="N53" s="23">
        <v>130632</v>
      </c>
      <c r="O53" s="134"/>
    </row>
    <row r="54" spans="1:15" x14ac:dyDescent="0.25">
      <c r="A54" s="28"/>
      <c r="B54" s="14" t="s">
        <v>1114</v>
      </c>
      <c r="C54" s="23">
        <v>112817</v>
      </c>
      <c r="D54" s="23">
        <v>101160</v>
      </c>
      <c r="E54" s="23">
        <v>91401</v>
      </c>
      <c r="F54" s="23">
        <v>79493</v>
      </c>
      <c r="G54" s="23">
        <v>84492</v>
      </c>
      <c r="H54" s="23">
        <v>96873</v>
      </c>
      <c r="I54" s="23">
        <v>97770</v>
      </c>
      <c r="J54" s="23">
        <v>94841</v>
      </c>
      <c r="K54" s="23">
        <v>87650</v>
      </c>
      <c r="L54" s="23">
        <v>73800</v>
      </c>
      <c r="M54" s="23">
        <v>91041</v>
      </c>
      <c r="N54" s="23">
        <v>140103</v>
      </c>
      <c r="O54" s="134"/>
    </row>
    <row r="55" spans="1:15" x14ac:dyDescent="0.25">
      <c r="A55" s="28"/>
      <c r="B55" s="14" t="s">
        <v>1115</v>
      </c>
      <c r="C55" s="23">
        <v>18200</v>
      </c>
      <c r="D55" s="23">
        <v>17550</v>
      </c>
      <c r="E55" s="23">
        <v>18450</v>
      </c>
      <c r="F55" s="23">
        <v>16650</v>
      </c>
      <c r="G55" s="23">
        <v>20150</v>
      </c>
      <c r="H55" s="23">
        <v>20800</v>
      </c>
      <c r="I55" s="23">
        <v>21075</v>
      </c>
      <c r="J55" s="23">
        <v>21475</v>
      </c>
      <c r="K55" s="23">
        <v>20825</v>
      </c>
      <c r="L55" s="23">
        <v>19650</v>
      </c>
      <c r="M55" s="23">
        <v>19150</v>
      </c>
      <c r="N55" s="23">
        <v>18350</v>
      </c>
      <c r="O55" s="134"/>
    </row>
    <row r="56" spans="1:15" x14ac:dyDescent="0.25">
      <c r="A56" s="28"/>
      <c r="O56" s="134"/>
    </row>
    <row r="57" spans="1:15" x14ac:dyDescent="0.25">
      <c r="A57" s="28"/>
      <c r="B57" s="14" t="s">
        <v>1116</v>
      </c>
      <c r="C57" s="231" t="s">
        <v>1083</v>
      </c>
      <c r="D57" s="198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34"/>
    </row>
    <row r="58" spans="1:15" x14ac:dyDescent="0.25">
      <c r="A58" s="28"/>
      <c r="C58" s="23">
        <v>14550</v>
      </c>
      <c r="D58" s="23">
        <v>16516</v>
      </c>
      <c r="E58" s="23">
        <v>17384</v>
      </c>
      <c r="F58" s="23">
        <v>14699</v>
      </c>
      <c r="G58" s="23">
        <v>13482</v>
      </c>
      <c r="H58" s="23">
        <v>15599</v>
      </c>
      <c r="I58" s="23">
        <v>14980</v>
      </c>
      <c r="J58" s="23">
        <v>14980</v>
      </c>
      <c r="K58" s="23">
        <v>14980</v>
      </c>
      <c r="L58" s="23">
        <v>14980</v>
      </c>
      <c r="M58" s="23">
        <v>14980</v>
      </c>
      <c r="N58" s="23">
        <v>12733</v>
      </c>
      <c r="O58" s="134"/>
    </row>
    <row r="59" spans="1:15" x14ac:dyDescent="0.25">
      <c r="A59" s="28"/>
      <c r="C59" s="23">
        <v>11984</v>
      </c>
      <c r="D59" s="23">
        <v>12733</v>
      </c>
      <c r="E59" s="23">
        <v>12733</v>
      </c>
      <c r="F59" s="23">
        <v>12733</v>
      </c>
      <c r="G59" s="23">
        <v>12733</v>
      </c>
      <c r="H59" s="23">
        <v>13632</v>
      </c>
      <c r="I59" s="23">
        <v>16178</v>
      </c>
      <c r="J59" s="23">
        <v>14980</v>
      </c>
      <c r="K59" s="23">
        <v>14980</v>
      </c>
      <c r="L59" s="23">
        <v>13482</v>
      </c>
      <c r="M59" s="23">
        <v>13192</v>
      </c>
      <c r="N59" s="23">
        <v>11984</v>
      </c>
      <c r="O59" s="134"/>
    </row>
    <row r="60" spans="1:15" x14ac:dyDescent="0.25">
      <c r="A60" s="28"/>
      <c r="C60" s="23">
        <v>12733</v>
      </c>
      <c r="D60" s="23">
        <v>10486</v>
      </c>
      <c r="E60" s="23">
        <v>12733</v>
      </c>
      <c r="F60" s="23">
        <v>11954</v>
      </c>
      <c r="G60" s="23">
        <v>17075</v>
      </c>
      <c r="H60" s="23">
        <v>14959</v>
      </c>
      <c r="I60" s="23">
        <v>16597</v>
      </c>
      <c r="J60" s="23">
        <v>16477</v>
      </c>
      <c r="K60" s="23">
        <v>17515</v>
      </c>
      <c r="L60" s="23">
        <v>12733</v>
      </c>
      <c r="M60" s="23">
        <v>11984</v>
      </c>
      <c r="N60" s="23">
        <v>11984</v>
      </c>
      <c r="O60" s="134"/>
    </row>
    <row r="61" spans="1:15" x14ac:dyDescent="0.25">
      <c r="A61" s="28"/>
      <c r="C61" s="23">
        <v>22049</v>
      </c>
      <c r="D61" s="23">
        <v>20223</v>
      </c>
      <c r="E61" s="23">
        <v>20972</v>
      </c>
      <c r="F61" s="23">
        <v>21721</v>
      </c>
      <c r="G61" s="23">
        <v>24216</v>
      </c>
      <c r="H61" s="23">
        <v>22660</v>
      </c>
      <c r="I61" s="23">
        <v>24256</v>
      </c>
      <c r="J61" s="23">
        <v>22470</v>
      </c>
      <c r="K61" s="23">
        <v>22470</v>
      </c>
      <c r="L61" s="23">
        <v>22470</v>
      </c>
      <c r="M61" s="23">
        <v>18875</v>
      </c>
      <c r="N61" s="23">
        <v>19404</v>
      </c>
      <c r="O61" s="134"/>
    </row>
    <row r="62" spans="1:15" x14ac:dyDescent="0.25">
      <c r="A62" s="28"/>
      <c r="C62" s="23">
        <v>3745</v>
      </c>
      <c r="D62" s="23">
        <v>3745</v>
      </c>
      <c r="E62" s="23">
        <v>3745</v>
      </c>
      <c r="F62" s="23">
        <v>3745</v>
      </c>
      <c r="G62" s="23">
        <v>4120</v>
      </c>
      <c r="H62" s="23">
        <v>4494</v>
      </c>
      <c r="I62" s="23">
        <v>4494</v>
      </c>
      <c r="J62" s="23">
        <v>4494</v>
      </c>
      <c r="K62" s="23">
        <v>4130</v>
      </c>
      <c r="L62" s="23">
        <v>4120</v>
      </c>
      <c r="M62" s="23">
        <v>3745</v>
      </c>
      <c r="N62" s="23">
        <v>3745</v>
      </c>
      <c r="O62" s="134"/>
    </row>
    <row r="63" spans="1:15" x14ac:dyDescent="0.25">
      <c r="A63" s="28"/>
      <c r="C63" s="23">
        <v>10585</v>
      </c>
      <c r="D63" s="23">
        <v>7490</v>
      </c>
      <c r="E63" s="23">
        <v>10486</v>
      </c>
      <c r="F63" s="23">
        <v>11484</v>
      </c>
      <c r="G63" s="23">
        <v>12733</v>
      </c>
      <c r="H63" s="23">
        <v>12733</v>
      </c>
      <c r="I63" s="23">
        <v>14460</v>
      </c>
      <c r="J63" s="23">
        <v>15050</v>
      </c>
      <c r="K63" s="23">
        <v>13582</v>
      </c>
      <c r="L63" s="23">
        <v>10486</v>
      </c>
      <c r="M63" s="23">
        <v>11984</v>
      </c>
      <c r="N63" s="23">
        <v>11984</v>
      </c>
      <c r="O63" s="134"/>
    </row>
    <row r="64" spans="1:15" x14ac:dyDescent="0.25">
      <c r="A64" s="28"/>
      <c r="C64" s="23">
        <v>4879</v>
      </c>
      <c r="D64" s="23">
        <v>3745</v>
      </c>
      <c r="E64" s="23">
        <v>4869</v>
      </c>
      <c r="F64" s="23">
        <v>5602</v>
      </c>
      <c r="G64" s="23">
        <v>6331</v>
      </c>
      <c r="H64" s="23">
        <v>7490</v>
      </c>
      <c r="I64" s="23">
        <v>8727</v>
      </c>
      <c r="J64" s="23">
        <v>8797</v>
      </c>
      <c r="K64" s="23">
        <v>7805</v>
      </c>
      <c r="L64" s="23">
        <v>6256</v>
      </c>
      <c r="M64" s="23">
        <v>5952</v>
      </c>
      <c r="N64" s="23">
        <v>4869</v>
      </c>
      <c r="O64" s="134"/>
    </row>
    <row r="65" spans="1:15" x14ac:dyDescent="0.25">
      <c r="A65" s="28"/>
      <c r="C65" s="23">
        <v>3745</v>
      </c>
      <c r="D65" s="23">
        <v>3745</v>
      </c>
      <c r="E65" s="23">
        <v>3745</v>
      </c>
      <c r="F65" s="23">
        <v>3745</v>
      </c>
      <c r="G65" s="23">
        <v>4494</v>
      </c>
      <c r="H65" s="23">
        <v>4494</v>
      </c>
      <c r="I65" s="23">
        <v>4307</v>
      </c>
      <c r="J65" s="23">
        <v>4307</v>
      </c>
      <c r="K65" s="23">
        <v>4307</v>
      </c>
      <c r="L65" s="23">
        <v>3745</v>
      </c>
      <c r="M65" s="23">
        <v>3745</v>
      </c>
      <c r="N65" s="23">
        <v>3745</v>
      </c>
      <c r="O65" s="134"/>
    </row>
    <row r="66" spans="1:15" x14ac:dyDescent="0.25">
      <c r="A66" s="28"/>
      <c r="C66" s="23">
        <v>5618</v>
      </c>
      <c r="D66" s="23">
        <v>5618</v>
      </c>
      <c r="E66" s="23">
        <v>9475</v>
      </c>
      <c r="F66" s="23">
        <v>5992</v>
      </c>
      <c r="G66" s="23">
        <v>8988</v>
      </c>
      <c r="H66" s="23">
        <v>10974</v>
      </c>
      <c r="I66" s="23">
        <v>8429</v>
      </c>
      <c r="J66" s="23">
        <v>8289</v>
      </c>
      <c r="K66" s="23">
        <v>8806</v>
      </c>
      <c r="L66" s="23">
        <v>8239</v>
      </c>
      <c r="M66" s="23">
        <v>8239</v>
      </c>
      <c r="N66" s="23">
        <v>5618</v>
      </c>
      <c r="O66" s="134"/>
    </row>
    <row r="67" spans="1:15" x14ac:dyDescent="0.25">
      <c r="A67" s="28"/>
      <c r="C67" s="23">
        <v>33705</v>
      </c>
      <c r="D67" s="23">
        <v>33705</v>
      </c>
      <c r="E67" s="23">
        <v>33705</v>
      </c>
      <c r="F67" s="23">
        <v>35554</v>
      </c>
      <c r="G67" s="23">
        <v>24369</v>
      </c>
      <c r="H67" s="23">
        <v>24506</v>
      </c>
      <c r="I67" s="23">
        <v>24115</v>
      </c>
      <c r="J67" s="23">
        <v>24408</v>
      </c>
      <c r="K67" s="23">
        <v>23450</v>
      </c>
      <c r="L67" s="23">
        <v>24337</v>
      </c>
      <c r="M67" s="23">
        <v>24382</v>
      </c>
      <c r="N67" s="23">
        <v>23861</v>
      </c>
      <c r="O67" s="134"/>
    </row>
    <row r="68" spans="1:15" x14ac:dyDescent="0.25">
      <c r="A68" s="28"/>
      <c r="C68" s="23">
        <v>5243</v>
      </c>
      <c r="D68" s="23">
        <v>5168</v>
      </c>
      <c r="E68" s="23">
        <v>4869</v>
      </c>
      <c r="F68" s="23">
        <v>4869</v>
      </c>
      <c r="G68" s="23">
        <v>5243</v>
      </c>
      <c r="H68" s="23">
        <v>5243</v>
      </c>
      <c r="I68" s="23">
        <v>5383</v>
      </c>
      <c r="J68" s="23">
        <v>5433</v>
      </c>
      <c r="K68" s="23">
        <v>5618</v>
      </c>
      <c r="L68" s="23">
        <v>4869</v>
      </c>
      <c r="M68" s="23">
        <v>5977</v>
      </c>
      <c r="N68" s="23">
        <v>5428</v>
      </c>
      <c r="O68" s="134"/>
    </row>
    <row r="69" spans="1:15" x14ac:dyDescent="0.25">
      <c r="A69" s="28"/>
      <c r="C69" s="23">
        <v>4869</v>
      </c>
      <c r="D69" s="23">
        <v>4969</v>
      </c>
      <c r="E69" s="23">
        <v>4869</v>
      </c>
      <c r="F69" s="23">
        <v>3745</v>
      </c>
      <c r="G69" s="23">
        <v>3745</v>
      </c>
      <c r="H69" s="23">
        <v>3745</v>
      </c>
      <c r="I69" s="23">
        <v>3745</v>
      </c>
      <c r="J69" s="23">
        <v>4154</v>
      </c>
      <c r="K69" s="23">
        <v>4613</v>
      </c>
      <c r="L69" s="23">
        <v>3745</v>
      </c>
      <c r="M69" s="23">
        <v>3745</v>
      </c>
      <c r="N69" s="23">
        <v>3745</v>
      </c>
      <c r="O69" s="134"/>
    </row>
    <row r="70" spans="1:15" x14ac:dyDescent="0.25">
      <c r="A70" s="28"/>
      <c r="C70" s="23">
        <v>6407</v>
      </c>
      <c r="D70" s="23">
        <v>5992</v>
      </c>
      <c r="E70" s="23">
        <v>6741</v>
      </c>
      <c r="F70" s="23">
        <v>6741</v>
      </c>
      <c r="G70" s="23">
        <v>6891</v>
      </c>
      <c r="H70" s="23">
        <v>6741</v>
      </c>
      <c r="I70" s="23">
        <v>7490</v>
      </c>
      <c r="J70" s="23">
        <v>7490</v>
      </c>
      <c r="K70" s="23">
        <v>6741</v>
      </c>
      <c r="L70" s="23">
        <v>6122</v>
      </c>
      <c r="M70" s="23">
        <v>6611</v>
      </c>
      <c r="N70" s="23">
        <v>5992</v>
      </c>
      <c r="O70" s="134"/>
    </row>
    <row r="71" spans="1:15" x14ac:dyDescent="0.25">
      <c r="A71" s="28"/>
      <c r="C71" s="37">
        <f>SUM(C58:C70)</f>
        <v>140112</v>
      </c>
      <c r="D71" s="37">
        <f t="shared" ref="D71:N71" si="24">SUM(D58:D70)</f>
        <v>134135</v>
      </c>
      <c r="E71" s="37">
        <f t="shared" si="24"/>
        <v>146326</v>
      </c>
      <c r="F71" s="37">
        <f t="shared" si="24"/>
        <v>142584</v>
      </c>
      <c r="G71" s="37">
        <f t="shared" si="24"/>
        <v>144420</v>
      </c>
      <c r="H71" s="37">
        <f t="shared" si="24"/>
        <v>147270</v>
      </c>
      <c r="I71" s="37">
        <f t="shared" si="24"/>
        <v>153161</v>
      </c>
      <c r="J71" s="37">
        <f t="shared" si="24"/>
        <v>151329</v>
      </c>
      <c r="K71" s="37">
        <f t="shared" si="24"/>
        <v>148997</v>
      </c>
      <c r="L71" s="37">
        <f t="shared" si="24"/>
        <v>135584</v>
      </c>
      <c r="M71" s="37">
        <f t="shared" si="24"/>
        <v>133411</v>
      </c>
      <c r="N71" s="37">
        <f t="shared" si="24"/>
        <v>125092</v>
      </c>
      <c r="O71" s="134"/>
    </row>
    <row r="72" spans="1:15" x14ac:dyDescent="0.25">
      <c r="A72" s="28"/>
      <c r="E72" s="23"/>
      <c r="F72" s="23"/>
      <c r="O72" s="134"/>
    </row>
    <row r="73" spans="1:15" x14ac:dyDescent="0.25">
      <c r="A73" s="28"/>
      <c r="C73" s="231" t="s">
        <v>1084</v>
      </c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34"/>
    </row>
    <row r="74" spans="1:15" x14ac:dyDescent="0.25">
      <c r="A74" s="28"/>
      <c r="C74" s="23">
        <v>56986</v>
      </c>
      <c r="D74" s="23">
        <v>49464</v>
      </c>
      <c r="E74" s="23">
        <v>56710</v>
      </c>
      <c r="F74" s="23">
        <v>55856</v>
      </c>
      <c r="G74" s="23">
        <v>58038</v>
      </c>
      <c r="H74" s="23">
        <v>57322</v>
      </c>
      <c r="I74" s="23">
        <v>57243</v>
      </c>
      <c r="J74" s="23">
        <v>53373</v>
      </c>
      <c r="K74" s="23">
        <v>41797</v>
      </c>
      <c r="L74" s="23">
        <v>42325</v>
      </c>
      <c r="M74" s="23">
        <v>42194</v>
      </c>
      <c r="N74" s="23">
        <v>46044</v>
      </c>
      <c r="O74" s="134"/>
    </row>
    <row r="75" spans="1:15" x14ac:dyDescent="0.25">
      <c r="A75" s="28"/>
      <c r="C75" s="23">
        <v>42380</v>
      </c>
      <c r="D75" s="23">
        <v>37998</v>
      </c>
      <c r="E75" s="23">
        <v>41365</v>
      </c>
      <c r="F75" s="23">
        <v>40728</v>
      </c>
      <c r="G75" s="23">
        <v>44519</v>
      </c>
      <c r="H75" s="23">
        <v>45069</v>
      </c>
      <c r="I75" s="23">
        <v>51158</v>
      </c>
      <c r="J75" s="23">
        <v>50108</v>
      </c>
      <c r="K75" s="23">
        <v>46358</v>
      </c>
      <c r="L75" s="23">
        <v>46044</v>
      </c>
      <c r="M75" s="23">
        <v>43184</v>
      </c>
      <c r="N75" s="23">
        <v>40935</v>
      </c>
      <c r="O75" s="134"/>
    </row>
    <row r="76" spans="1:15" x14ac:dyDescent="0.25">
      <c r="A76" s="28"/>
      <c r="C76" s="23">
        <v>35247</v>
      </c>
      <c r="D76" s="23">
        <v>33309</v>
      </c>
      <c r="E76" s="23">
        <v>38696</v>
      </c>
      <c r="F76" s="23">
        <v>32798</v>
      </c>
      <c r="G76" s="23">
        <v>39002</v>
      </c>
      <c r="H76" s="23">
        <v>41021</v>
      </c>
      <c r="I76" s="23">
        <v>39145</v>
      </c>
      <c r="J76" s="23">
        <v>46442</v>
      </c>
      <c r="K76" s="23">
        <v>40340</v>
      </c>
      <c r="L76" s="23">
        <v>36841</v>
      </c>
      <c r="M76" s="23">
        <v>33114</v>
      </c>
      <c r="N76" s="23">
        <v>31073</v>
      </c>
      <c r="O76" s="134"/>
    </row>
    <row r="77" spans="1:15" x14ac:dyDescent="0.25">
      <c r="A77" s="28"/>
      <c r="C77" s="23">
        <v>77346</v>
      </c>
      <c r="D77" s="23">
        <v>68555</v>
      </c>
      <c r="E77" s="23">
        <v>80481</v>
      </c>
      <c r="F77" s="23">
        <v>76725</v>
      </c>
      <c r="G77" s="23">
        <v>84803</v>
      </c>
      <c r="H77" s="23">
        <v>82868</v>
      </c>
      <c r="I77" s="23">
        <v>85561</v>
      </c>
      <c r="J77" s="23">
        <v>77415</v>
      </c>
      <c r="K77" s="23">
        <v>41682</v>
      </c>
      <c r="L77" s="23">
        <v>58432</v>
      </c>
      <c r="M77" s="23">
        <v>74702</v>
      </c>
      <c r="N77" s="23">
        <v>67873</v>
      </c>
      <c r="O77" s="134"/>
    </row>
    <row r="78" spans="1:15" x14ac:dyDescent="0.25">
      <c r="A78" s="28"/>
      <c r="C78" s="23">
        <v>8176</v>
      </c>
      <c r="D78" s="23">
        <v>7597</v>
      </c>
      <c r="E78" s="23">
        <v>8390</v>
      </c>
      <c r="F78" s="23">
        <v>8697</v>
      </c>
      <c r="G78" s="23">
        <v>11330</v>
      </c>
      <c r="H78" s="23">
        <v>12693</v>
      </c>
      <c r="I78" s="23">
        <v>14001</v>
      </c>
      <c r="J78" s="23">
        <v>13135</v>
      </c>
      <c r="K78" s="23">
        <v>11017</v>
      </c>
      <c r="L78" s="23">
        <v>9039</v>
      </c>
      <c r="M78" s="23">
        <v>8336</v>
      </c>
      <c r="N78" s="23">
        <v>8476</v>
      </c>
      <c r="O78" s="134"/>
    </row>
    <row r="79" spans="1:15" x14ac:dyDescent="0.25">
      <c r="A79" s="28"/>
      <c r="C79" s="23">
        <v>32252</v>
      </c>
      <c r="D79" s="23">
        <v>30361</v>
      </c>
      <c r="E79" s="23">
        <v>34133</v>
      </c>
      <c r="F79" s="23">
        <v>34110</v>
      </c>
      <c r="G79" s="23">
        <v>38143</v>
      </c>
      <c r="H79" s="23">
        <v>40228</v>
      </c>
      <c r="I79" s="23">
        <v>40225</v>
      </c>
      <c r="J79" s="23">
        <v>41731</v>
      </c>
      <c r="K79" s="23">
        <v>35206</v>
      </c>
      <c r="L79" s="23">
        <v>35624</v>
      </c>
      <c r="M79" s="23">
        <v>36797</v>
      </c>
      <c r="N79" s="23">
        <v>37538</v>
      </c>
      <c r="O79" s="134"/>
    </row>
    <row r="80" spans="1:15" x14ac:dyDescent="0.25">
      <c r="A80" s="28"/>
      <c r="C80" s="23">
        <v>16527</v>
      </c>
      <c r="D80" s="23">
        <v>15009</v>
      </c>
      <c r="E80" s="23">
        <v>17747</v>
      </c>
      <c r="F80" s="23">
        <v>16619</v>
      </c>
      <c r="G80" s="23">
        <v>18049</v>
      </c>
      <c r="H80" s="23">
        <v>20589</v>
      </c>
      <c r="I80" s="23">
        <v>22159</v>
      </c>
      <c r="J80" s="23">
        <v>22646</v>
      </c>
      <c r="K80" s="23">
        <v>19202</v>
      </c>
      <c r="L80" s="23">
        <v>19217</v>
      </c>
      <c r="M80" s="23">
        <v>19914</v>
      </c>
      <c r="N80" s="23">
        <v>18061</v>
      </c>
      <c r="O80" s="134"/>
    </row>
    <row r="81" spans="1:15" x14ac:dyDescent="0.25">
      <c r="A81" s="28"/>
      <c r="C81" s="23">
        <v>8771</v>
      </c>
      <c r="D81" s="23">
        <v>9118</v>
      </c>
      <c r="E81" s="23">
        <v>12242</v>
      </c>
      <c r="F81" s="23">
        <v>12519</v>
      </c>
      <c r="G81" s="23">
        <v>12532</v>
      </c>
      <c r="H81" s="23">
        <v>11632</v>
      </c>
      <c r="I81" s="23">
        <v>12946</v>
      </c>
      <c r="J81" s="23">
        <v>12563</v>
      </c>
      <c r="K81" s="23">
        <v>10285</v>
      </c>
      <c r="L81" s="23">
        <v>8741</v>
      </c>
      <c r="M81" s="23">
        <v>7645</v>
      </c>
      <c r="N81" s="23">
        <v>8819</v>
      </c>
      <c r="O81" s="134"/>
    </row>
    <row r="82" spans="1:15" x14ac:dyDescent="0.25">
      <c r="A82" s="28"/>
      <c r="C82" s="23">
        <v>25499</v>
      </c>
      <c r="D82" s="23">
        <v>22613</v>
      </c>
      <c r="E82" s="23">
        <v>26008</v>
      </c>
      <c r="F82" s="23">
        <v>24779</v>
      </c>
      <c r="G82" s="23">
        <v>27108</v>
      </c>
      <c r="H82" s="23">
        <v>28927</v>
      </c>
      <c r="I82" s="23">
        <v>28733</v>
      </c>
      <c r="J82" s="23">
        <v>28665</v>
      </c>
      <c r="K82" s="23">
        <v>27157</v>
      </c>
      <c r="L82" s="23">
        <v>24805</v>
      </c>
      <c r="M82" s="23">
        <v>23518</v>
      </c>
      <c r="N82" s="23">
        <v>25788</v>
      </c>
      <c r="O82" s="134"/>
    </row>
    <row r="83" spans="1:15" x14ac:dyDescent="0.25">
      <c r="A83" s="28"/>
      <c r="C83" s="23">
        <v>110801</v>
      </c>
      <c r="D83" s="23">
        <v>96632</v>
      </c>
      <c r="E83" s="23">
        <v>113830</v>
      </c>
      <c r="F83" s="23">
        <v>107368</v>
      </c>
      <c r="G83" s="23">
        <v>115968</v>
      </c>
      <c r="H83" s="23">
        <v>150442</v>
      </c>
      <c r="I83" s="23">
        <v>118366</v>
      </c>
      <c r="J83" s="23">
        <v>137301</v>
      </c>
      <c r="K83" s="23">
        <v>124034</v>
      </c>
      <c r="L83" s="23">
        <v>118936</v>
      </c>
      <c r="M83" s="23">
        <v>110979</v>
      </c>
      <c r="N83" s="23">
        <v>109163</v>
      </c>
      <c r="O83" s="134"/>
    </row>
    <row r="84" spans="1:15" x14ac:dyDescent="0.25">
      <c r="A84" s="28"/>
      <c r="C84" s="23">
        <v>18486</v>
      </c>
      <c r="D84" s="23">
        <v>16244</v>
      </c>
      <c r="E84" s="23">
        <v>17130</v>
      </c>
      <c r="F84" s="23">
        <v>16453</v>
      </c>
      <c r="G84" s="23">
        <v>17822</v>
      </c>
      <c r="H84" s="23">
        <v>17743</v>
      </c>
      <c r="I84" s="23">
        <v>20490</v>
      </c>
      <c r="J84" s="23">
        <v>19577</v>
      </c>
      <c r="K84" s="23">
        <v>18582</v>
      </c>
      <c r="L84" s="23">
        <v>10648</v>
      </c>
      <c r="M84" s="23">
        <v>16946</v>
      </c>
      <c r="N84" s="23">
        <v>17911</v>
      </c>
      <c r="O84" s="134"/>
    </row>
    <row r="85" spans="1:15" x14ac:dyDescent="0.25">
      <c r="A85" s="28"/>
      <c r="C85" s="23">
        <v>18486</v>
      </c>
      <c r="D85" s="23">
        <v>15210</v>
      </c>
      <c r="E85" s="23">
        <v>12097</v>
      </c>
      <c r="F85" s="23">
        <v>12323</v>
      </c>
      <c r="G85" s="23">
        <v>11895</v>
      </c>
      <c r="H85" s="23">
        <v>10516</v>
      </c>
      <c r="I85" s="23">
        <v>12979</v>
      </c>
      <c r="J85" s="23">
        <v>15192</v>
      </c>
      <c r="K85" s="23">
        <v>15723</v>
      </c>
      <c r="L85" s="23">
        <v>8999</v>
      </c>
      <c r="M85" s="23">
        <v>5886</v>
      </c>
      <c r="N85" s="23">
        <v>13051</v>
      </c>
      <c r="O85" s="134"/>
    </row>
    <row r="86" spans="1:15" x14ac:dyDescent="0.25">
      <c r="A86" s="28"/>
      <c r="C86" s="23">
        <v>20668</v>
      </c>
      <c r="D86" s="23">
        <v>17291</v>
      </c>
      <c r="E86" s="23">
        <v>19495</v>
      </c>
      <c r="F86" s="23">
        <v>18391</v>
      </c>
      <c r="G86" s="23">
        <v>19383</v>
      </c>
      <c r="H86" s="23">
        <v>19483</v>
      </c>
      <c r="I86" s="23">
        <v>20411</v>
      </c>
      <c r="J86" s="23">
        <v>20284</v>
      </c>
      <c r="K86" s="23">
        <v>20218</v>
      </c>
      <c r="L86" s="23">
        <v>21068</v>
      </c>
      <c r="M86" s="23">
        <v>16364</v>
      </c>
      <c r="N86" s="23">
        <v>19317</v>
      </c>
      <c r="O86" s="134"/>
    </row>
    <row r="87" spans="1:15" x14ac:dyDescent="0.25">
      <c r="A87" s="28"/>
      <c r="C87" s="37">
        <f>SUM(C74:C86)</f>
        <v>471625</v>
      </c>
      <c r="D87" s="37">
        <f t="shared" ref="D87:N87" si="25">SUM(D74:D86)</f>
        <v>419401</v>
      </c>
      <c r="E87" s="37">
        <f t="shared" si="25"/>
        <v>478324</v>
      </c>
      <c r="F87" s="37">
        <f t="shared" si="25"/>
        <v>457366</v>
      </c>
      <c r="G87" s="37">
        <f t="shared" si="25"/>
        <v>498592</v>
      </c>
      <c r="H87" s="37">
        <f t="shared" si="25"/>
        <v>538533</v>
      </c>
      <c r="I87" s="37">
        <f t="shared" si="25"/>
        <v>523417</v>
      </c>
      <c r="J87" s="37">
        <f t="shared" si="25"/>
        <v>538432</v>
      </c>
      <c r="K87" s="37">
        <f t="shared" si="25"/>
        <v>451601</v>
      </c>
      <c r="L87" s="37">
        <f t="shared" si="25"/>
        <v>440719</v>
      </c>
      <c r="M87" s="37">
        <f t="shared" si="25"/>
        <v>439579</v>
      </c>
      <c r="N87" s="37">
        <f t="shared" si="25"/>
        <v>444049</v>
      </c>
      <c r="O87" s="134"/>
    </row>
    <row r="88" spans="1:15" x14ac:dyDescent="0.25">
      <c r="A88" s="28"/>
      <c r="O88" s="134"/>
    </row>
    <row r="89" spans="1:15" x14ac:dyDescent="0.25">
      <c r="A89" s="28"/>
      <c r="C89" s="231" t="s">
        <v>1117</v>
      </c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34"/>
    </row>
    <row r="90" spans="1:15" x14ac:dyDescent="0.25">
      <c r="A90" s="28"/>
      <c r="C90" s="23">
        <v>11230</v>
      </c>
      <c r="D90" s="23">
        <v>12327</v>
      </c>
      <c r="E90" s="23">
        <v>14233</v>
      </c>
      <c r="F90" s="23">
        <v>10405</v>
      </c>
      <c r="G90" s="23">
        <v>10288</v>
      </c>
      <c r="H90" s="23">
        <v>13194</v>
      </c>
      <c r="I90" s="23">
        <v>23653</v>
      </c>
      <c r="J90" s="23">
        <v>19886</v>
      </c>
      <c r="K90" s="23">
        <v>20634</v>
      </c>
      <c r="L90" s="23">
        <v>22582</v>
      </c>
      <c r="M90" s="23">
        <v>16091</v>
      </c>
      <c r="N90" s="23">
        <v>17709</v>
      </c>
      <c r="O90" s="134"/>
    </row>
    <row r="91" spans="1:15" x14ac:dyDescent="0.25">
      <c r="A91" s="28"/>
      <c r="C91" s="23">
        <v>8352</v>
      </c>
      <c r="D91" s="23">
        <v>9470</v>
      </c>
      <c r="E91" s="23">
        <v>10382</v>
      </c>
      <c r="F91" s="23">
        <v>7587</v>
      </c>
      <c r="G91" s="23">
        <v>7892</v>
      </c>
      <c r="H91" s="23">
        <v>10374</v>
      </c>
      <c r="I91" s="23">
        <v>21138</v>
      </c>
      <c r="J91" s="23">
        <v>18669</v>
      </c>
      <c r="K91" s="23">
        <v>22886</v>
      </c>
      <c r="L91" s="23">
        <v>24567</v>
      </c>
      <c r="M91" s="23">
        <v>16709</v>
      </c>
      <c r="N91" s="23">
        <v>15744</v>
      </c>
      <c r="O91" s="134"/>
    </row>
    <row r="92" spans="1:15" x14ac:dyDescent="0.25">
      <c r="A92" s="28"/>
      <c r="C92" s="23">
        <v>6946</v>
      </c>
      <c r="D92" s="23">
        <v>8301</v>
      </c>
      <c r="E92" s="23">
        <v>9712</v>
      </c>
      <c r="F92" s="23">
        <v>6110</v>
      </c>
      <c r="G92" s="23">
        <v>6914</v>
      </c>
      <c r="H92" s="23">
        <v>9442</v>
      </c>
      <c r="I92" s="23">
        <v>16175</v>
      </c>
      <c r="J92" s="23">
        <v>17303</v>
      </c>
      <c r="K92" s="23">
        <v>19915</v>
      </c>
      <c r="L92" s="23">
        <v>19656</v>
      </c>
      <c r="M92" s="23">
        <v>12628</v>
      </c>
      <c r="N92" s="23">
        <v>11951</v>
      </c>
      <c r="O92" s="134"/>
    </row>
    <row r="93" spans="1:15" x14ac:dyDescent="0.25">
      <c r="A93" s="28"/>
      <c r="C93" s="23">
        <v>15243</v>
      </c>
      <c r="D93" s="23">
        <v>17085</v>
      </c>
      <c r="E93" s="23">
        <v>20199</v>
      </c>
      <c r="F93" s="23">
        <v>14293</v>
      </c>
      <c r="G93" s="23">
        <v>15033</v>
      </c>
      <c r="H93" s="23">
        <v>19073</v>
      </c>
      <c r="I93" s="23">
        <v>35354</v>
      </c>
      <c r="J93" s="23">
        <v>28843</v>
      </c>
      <c r="K93" s="23">
        <v>18991</v>
      </c>
      <c r="L93" s="23">
        <v>31176</v>
      </c>
      <c r="M93" s="23">
        <v>28488</v>
      </c>
      <c r="N93" s="23">
        <v>26105</v>
      </c>
      <c r="O93" s="134"/>
    </row>
    <row r="94" spans="1:15" x14ac:dyDescent="0.25">
      <c r="A94" s="28"/>
      <c r="C94" s="23">
        <v>1611</v>
      </c>
      <c r="D94" s="23">
        <v>1844</v>
      </c>
      <c r="E94" s="23">
        <v>2106</v>
      </c>
      <c r="F94" s="23">
        <v>1620</v>
      </c>
      <c r="G94" s="23">
        <v>2008</v>
      </c>
      <c r="H94" s="23">
        <v>2922</v>
      </c>
      <c r="I94" s="23">
        <v>5785</v>
      </c>
      <c r="J94" s="23">
        <v>4894</v>
      </c>
      <c r="K94" s="23">
        <v>5439</v>
      </c>
      <c r="L94" s="23">
        <v>4823</v>
      </c>
      <c r="M94" s="23">
        <v>3179</v>
      </c>
      <c r="N94" s="23">
        <v>3260</v>
      </c>
      <c r="O94" s="134"/>
    </row>
    <row r="95" spans="1:15" x14ac:dyDescent="0.25">
      <c r="A95" s="28"/>
      <c r="C95" s="23">
        <v>6356</v>
      </c>
      <c r="D95" s="23">
        <v>7567</v>
      </c>
      <c r="E95" s="23">
        <v>8567</v>
      </c>
      <c r="F95" s="23">
        <v>6354</v>
      </c>
      <c r="G95" s="23">
        <v>6761</v>
      </c>
      <c r="H95" s="23">
        <v>9259</v>
      </c>
      <c r="I95" s="23">
        <v>16621</v>
      </c>
      <c r="J95" s="23">
        <v>15548</v>
      </c>
      <c r="K95" s="23">
        <v>17380</v>
      </c>
      <c r="L95" s="23">
        <v>19007</v>
      </c>
      <c r="M95" s="23">
        <v>14033</v>
      </c>
      <c r="N95" s="23">
        <v>14438</v>
      </c>
      <c r="O95" s="134"/>
    </row>
    <row r="96" spans="1:15" x14ac:dyDescent="0.25">
      <c r="A96" s="28"/>
      <c r="C96" s="23">
        <v>3257</v>
      </c>
      <c r="D96" s="23">
        <v>3741</v>
      </c>
      <c r="E96" s="23">
        <v>4454</v>
      </c>
      <c r="F96" s="23">
        <v>3096</v>
      </c>
      <c r="G96" s="23">
        <v>3200</v>
      </c>
      <c r="H96" s="23">
        <v>4739</v>
      </c>
      <c r="I96" s="23">
        <v>9156</v>
      </c>
      <c r="J96" s="23">
        <v>8438</v>
      </c>
      <c r="K96" s="23">
        <v>9480</v>
      </c>
      <c r="L96" s="23">
        <v>10253</v>
      </c>
      <c r="M96" s="23">
        <v>7594</v>
      </c>
      <c r="N96" s="23">
        <v>6946</v>
      </c>
      <c r="O96" s="134"/>
    </row>
    <row r="97" spans="1:15" x14ac:dyDescent="0.25">
      <c r="A97" s="28"/>
      <c r="C97" s="23">
        <v>1729</v>
      </c>
      <c r="D97" s="23">
        <v>2272</v>
      </c>
      <c r="E97" s="23">
        <v>3073</v>
      </c>
      <c r="F97" s="23">
        <v>2332</v>
      </c>
      <c r="G97" s="23">
        <v>2221</v>
      </c>
      <c r="H97" s="23">
        <v>2677</v>
      </c>
      <c r="I97" s="23">
        <v>5349</v>
      </c>
      <c r="J97" s="23">
        <v>4681</v>
      </c>
      <c r="K97" s="23">
        <v>5077</v>
      </c>
      <c r="L97" s="23">
        <v>4664</v>
      </c>
      <c r="M97" s="23">
        <v>2850</v>
      </c>
      <c r="N97" s="23">
        <v>3392</v>
      </c>
      <c r="O97" s="134"/>
    </row>
    <row r="98" spans="1:15" x14ac:dyDescent="0.25">
      <c r="A98" s="28"/>
      <c r="C98" s="23">
        <v>5025</v>
      </c>
      <c r="D98" s="23">
        <v>5636</v>
      </c>
      <c r="E98" s="23">
        <v>6527</v>
      </c>
      <c r="F98" s="23">
        <v>4616</v>
      </c>
      <c r="G98" s="23">
        <v>4805</v>
      </c>
      <c r="H98" s="23">
        <v>6658</v>
      </c>
      <c r="I98" s="23">
        <v>11872</v>
      </c>
      <c r="J98" s="23">
        <v>10680</v>
      </c>
      <c r="K98" s="23">
        <v>13407</v>
      </c>
      <c r="L98" s="23">
        <v>13235</v>
      </c>
      <c r="M98" s="23">
        <v>8969</v>
      </c>
      <c r="N98" s="23">
        <v>9919</v>
      </c>
      <c r="O98" s="134"/>
    </row>
    <row r="99" spans="1:15" x14ac:dyDescent="0.25">
      <c r="A99" s="28"/>
      <c r="C99" s="23">
        <v>21836</v>
      </c>
      <c r="D99" s="23">
        <v>27083</v>
      </c>
      <c r="E99" s="23">
        <v>28569</v>
      </c>
      <c r="F99" s="23">
        <v>20002</v>
      </c>
      <c r="G99" s="23">
        <v>20203</v>
      </c>
      <c r="H99" s="23">
        <v>28486</v>
      </c>
      <c r="I99" s="23">
        <v>46499</v>
      </c>
      <c r="J99" s="23">
        <v>48138</v>
      </c>
      <c r="K99" s="23">
        <v>59945</v>
      </c>
      <c r="L99" s="23">
        <v>63458</v>
      </c>
      <c r="M99" s="23">
        <v>42322</v>
      </c>
      <c r="N99" s="23">
        <v>39468</v>
      </c>
      <c r="O99" s="134"/>
    </row>
    <row r="100" spans="1:15" x14ac:dyDescent="0.25">
      <c r="A100" s="28"/>
      <c r="C100" s="23">
        <v>3643</v>
      </c>
      <c r="D100" s="23">
        <v>4048</v>
      </c>
      <c r="E100" s="23">
        <v>4299</v>
      </c>
      <c r="F100" s="23">
        <v>3065</v>
      </c>
      <c r="G100" s="23">
        <v>3159</v>
      </c>
      <c r="H100" s="23">
        <v>4084</v>
      </c>
      <c r="I100" s="23">
        <v>8466</v>
      </c>
      <c r="J100" s="23">
        <v>7294</v>
      </c>
      <c r="K100" s="23">
        <v>9173</v>
      </c>
      <c r="L100" s="23">
        <v>5681</v>
      </c>
      <c r="M100" s="23">
        <v>6462</v>
      </c>
      <c r="N100" s="23">
        <v>4882</v>
      </c>
      <c r="O100" s="134"/>
    </row>
    <row r="101" spans="1:15" x14ac:dyDescent="0.25">
      <c r="A101" s="28"/>
      <c r="C101" s="23">
        <v>3643</v>
      </c>
      <c r="D101" s="23">
        <v>3791</v>
      </c>
      <c r="E101" s="23">
        <v>3036</v>
      </c>
      <c r="F101" s="23">
        <v>2296</v>
      </c>
      <c r="G101" s="23">
        <v>2109</v>
      </c>
      <c r="H101" s="23">
        <v>2420</v>
      </c>
      <c r="I101" s="23">
        <v>5363</v>
      </c>
      <c r="J101" s="23">
        <v>5660</v>
      </c>
      <c r="K101" s="23">
        <v>7762</v>
      </c>
      <c r="L101" s="23">
        <v>4801</v>
      </c>
      <c r="M101" s="23">
        <v>1830</v>
      </c>
      <c r="N101" s="23">
        <v>3523</v>
      </c>
      <c r="O101" s="134"/>
    </row>
    <row r="102" spans="1:15" x14ac:dyDescent="0.25">
      <c r="A102" s="28"/>
      <c r="C102" s="23">
        <v>4073</v>
      </c>
      <c r="D102" s="23">
        <v>4309</v>
      </c>
      <c r="E102" s="23">
        <v>4893</v>
      </c>
      <c r="F102" s="23">
        <v>34526</v>
      </c>
      <c r="G102" s="23">
        <v>3436</v>
      </c>
      <c r="H102" s="23">
        <v>4484</v>
      </c>
      <c r="I102" s="23">
        <v>8434</v>
      </c>
      <c r="J102" s="23">
        <v>7558</v>
      </c>
      <c r="K102" s="23">
        <v>9981</v>
      </c>
      <c r="L102" s="23">
        <v>11241</v>
      </c>
      <c r="M102" s="23">
        <v>6241</v>
      </c>
      <c r="N102" s="23">
        <v>7429</v>
      </c>
      <c r="O102" s="134"/>
    </row>
    <row r="103" spans="1:15" x14ac:dyDescent="0.25">
      <c r="A103" s="28"/>
      <c r="C103" s="37">
        <f>SUM(C90:C102)</f>
        <v>92944</v>
      </c>
      <c r="D103" s="37">
        <f t="shared" ref="D103:N103" si="26">SUM(D90:D102)</f>
        <v>107474</v>
      </c>
      <c r="E103" s="37">
        <f t="shared" si="26"/>
        <v>120050</v>
      </c>
      <c r="F103" s="37">
        <f t="shared" si="26"/>
        <v>116302</v>
      </c>
      <c r="G103" s="37">
        <f t="shared" si="26"/>
        <v>88029</v>
      </c>
      <c r="H103" s="37">
        <f t="shared" si="26"/>
        <v>117812</v>
      </c>
      <c r="I103" s="37">
        <f t="shared" si="26"/>
        <v>213865</v>
      </c>
      <c r="J103" s="37">
        <f t="shared" si="26"/>
        <v>197592</v>
      </c>
      <c r="K103" s="37">
        <f t="shared" si="26"/>
        <v>220070</v>
      </c>
      <c r="L103" s="37">
        <f t="shared" si="26"/>
        <v>235144</v>
      </c>
      <c r="M103" s="37">
        <f t="shared" si="26"/>
        <v>167396</v>
      </c>
      <c r="N103" s="37">
        <f t="shared" si="26"/>
        <v>164766</v>
      </c>
      <c r="O103" s="134"/>
    </row>
    <row r="104" spans="1:15" x14ac:dyDescent="0.25">
      <c r="A104" s="28"/>
      <c r="O104" s="134"/>
    </row>
    <row r="105" spans="1:15" x14ac:dyDescent="0.25">
      <c r="A105" s="28"/>
      <c r="C105" s="231" t="s">
        <v>1118</v>
      </c>
      <c r="D105" s="198"/>
      <c r="E105" s="198"/>
      <c r="F105" s="198"/>
      <c r="G105" s="198"/>
      <c r="H105" s="198"/>
      <c r="I105" s="198"/>
      <c r="J105" s="198"/>
      <c r="K105" s="198"/>
      <c r="L105" s="198"/>
      <c r="M105" s="198"/>
      <c r="N105" s="198"/>
      <c r="O105" s="134"/>
    </row>
    <row r="106" spans="1:15" x14ac:dyDescent="0.25">
      <c r="A106" s="28"/>
      <c r="C106" s="23">
        <v>11488</v>
      </c>
      <c r="D106" s="23">
        <v>10681</v>
      </c>
      <c r="E106" s="23">
        <v>9266</v>
      </c>
      <c r="F106" s="23">
        <v>12452</v>
      </c>
      <c r="G106" s="23">
        <v>13359</v>
      </c>
      <c r="H106" s="23">
        <v>15811</v>
      </c>
      <c r="I106" s="23">
        <v>16932</v>
      </c>
      <c r="J106" s="23">
        <v>12751</v>
      </c>
      <c r="K106" s="23">
        <v>8879</v>
      </c>
      <c r="L106" s="23">
        <v>10881</v>
      </c>
      <c r="M106" s="23">
        <v>11063</v>
      </c>
      <c r="N106" s="23">
        <v>12352</v>
      </c>
      <c r="O106" s="134"/>
    </row>
    <row r="107" spans="1:15" x14ac:dyDescent="0.25">
      <c r="A107" s="28"/>
      <c r="C107" s="23">
        <v>8705</v>
      </c>
      <c r="D107" s="23">
        <v>8211</v>
      </c>
      <c r="E107" s="23">
        <v>6764</v>
      </c>
      <c r="F107" s="23">
        <v>9389</v>
      </c>
      <c r="G107" s="23">
        <v>10638</v>
      </c>
      <c r="H107" s="23">
        <v>12682</v>
      </c>
      <c r="I107" s="23">
        <v>15625</v>
      </c>
      <c r="J107" s="23">
        <v>12103</v>
      </c>
      <c r="K107" s="23">
        <v>9660</v>
      </c>
      <c r="L107" s="23">
        <v>11453</v>
      </c>
      <c r="M107" s="23">
        <v>11131</v>
      </c>
      <c r="N107" s="23">
        <v>11089</v>
      </c>
      <c r="O107" s="134"/>
    </row>
    <row r="108" spans="1:15" x14ac:dyDescent="0.25">
      <c r="A108" s="28"/>
      <c r="C108" s="23">
        <v>7624</v>
      </c>
      <c r="D108" s="23">
        <v>7106</v>
      </c>
      <c r="E108" s="23">
        <v>6414</v>
      </c>
      <c r="F108" s="23">
        <v>7823</v>
      </c>
      <c r="G108" s="23">
        <v>10286</v>
      </c>
      <c r="H108" s="23">
        <v>12011</v>
      </c>
      <c r="I108" s="23">
        <v>12701</v>
      </c>
      <c r="J108" s="23">
        <v>11692</v>
      </c>
      <c r="K108" s="23">
        <v>8920</v>
      </c>
      <c r="L108" s="23">
        <v>9429</v>
      </c>
      <c r="M108" s="23">
        <v>8717</v>
      </c>
      <c r="N108" s="23">
        <v>8884</v>
      </c>
      <c r="O108" s="134"/>
    </row>
    <row r="109" spans="1:15" x14ac:dyDescent="0.25">
      <c r="A109" s="28"/>
      <c r="C109" s="23">
        <v>15912</v>
      </c>
      <c r="D109" s="23">
        <v>14440</v>
      </c>
      <c r="E109" s="23">
        <v>12761</v>
      </c>
      <c r="F109" s="23">
        <v>17339</v>
      </c>
      <c r="G109" s="23">
        <v>20258</v>
      </c>
      <c r="H109" s="23">
        <v>22877</v>
      </c>
      <c r="I109" s="23">
        <v>25637</v>
      </c>
      <c r="J109" s="23">
        <v>18601</v>
      </c>
      <c r="K109" s="23">
        <v>9537</v>
      </c>
      <c r="L109" s="23">
        <v>15265</v>
      </c>
      <c r="M109" s="23">
        <v>18432</v>
      </c>
      <c r="N109" s="23">
        <v>18311</v>
      </c>
      <c r="O109" s="134"/>
    </row>
    <row r="110" spans="1:15" x14ac:dyDescent="0.25">
      <c r="A110" s="28"/>
      <c r="C110" s="23">
        <v>1878</v>
      </c>
      <c r="D110" s="23">
        <v>1799</v>
      </c>
      <c r="E110" s="23">
        <v>1494</v>
      </c>
      <c r="F110" s="23">
        <v>2163</v>
      </c>
      <c r="G110" s="23">
        <v>2851</v>
      </c>
      <c r="H110" s="23">
        <v>3692</v>
      </c>
      <c r="I110" s="23">
        <v>4288</v>
      </c>
      <c r="J110" s="23">
        <v>3255</v>
      </c>
      <c r="K110" s="23">
        <v>2361</v>
      </c>
      <c r="L110" s="23">
        <v>2449</v>
      </c>
      <c r="M110" s="23">
        <v>2304</v>
      </c>
      <c r="N110" s="23">
        <v>2500</v>
      </c>
      <c r="O110" s="134"/>
    </row>
    <row r="111" spans="1:15" x14ac:dyDescent="0.25">
      <c r="A111" s="28"/>
      <c r="C111" s="23">
        <v>6828</v>
      </c>
      <c r="D111" s="23">
        <v>6195</v>
      </c>
      <c r="E111" s="23">
        <v>5579</v>
      </c>
      <c r="F111" s="23">
        <v>7990</v>
      </c>
      <c r="G111" s="23">
        <v>9412</v>
      </c>
      <c r="H111" s="23">
        <v>11424</v>
      </c>
      <c r="I111" s="23">
        <v>12593</v>
      </c>
      <c r="J111" s="23">
        <v>10452</v>
      </c>
      <c r="K111" s="23">
        <v>7589</v>
      </c>
      <c r="L111" s="23">
        <v>8869</v>
      </c>
      <c r="M111" s="23">
        <v>9485</v>
      </c>
      <c r="N111" s="23">
        <v>10330</v>
      </c>
      <c r="O111" s="134"/>
    </row>
    <row r="112" spans="1:15" x14ac:dyDescent="0.25">
      <c r="A112" s="28"/>
      <c r="C112" s="23">
        <v>3423</v>
      </c>
      <c r="D112" s="23">
        <v>3068</v>
      </c>
      <c r="E112" s="23">
        <v>2840</v>
      </c>
      <c r="F112" s="23">
        <v>3894</v>
      </c>
      <c r="G112" s="23">
        <v>4504</v>
      </c>
      <c r="H112" s="23">
        <v>6025</v>
      </c>
      <c r="I112" s="23">
        <v>7071</v>
      </c>
      <c r="J112" s="23">
        <v>5763</v>
      </c>
      <c r="K112" s="23">
        <v>4185</v>
      </c>
      <c r="L112" s="23">
        <v>4866</v>
      </c>
      <c r="M112" s="23">
        <v>5052</v>
      </c>
      <c r="N112" s="23">
        <v>4825</v>
      </c>
      <c r="O112" s="134"/>
    </row>
    <row r="113" spans="1:15" x14ac:dyDescent="0.25">
      <c r="A113" s="28"/>
      <c r="C113" s="23">
        <v>1977</v>
      </c>
      <c r="D113" s="23">
        <v>2064</v>
      </c>
      <c r="E113" s="23">
        <v>1999</v>
      </c>
      <c r="F113" s="23">
        <v>2860</v>
      </c>
      <c r="G113" s="23">
        <v>3143</v>
      </c>
      <c r="H113" s="23">
        <v>3452</v>
      </c>
      <c r="I113" s="23">
        <v>3992</v>
      </c>
      <c r="J113" s="23">
        <v>3114</v>
      </c>
      <c r="K113" s="23">
        <v>2256</v>
      </c>
      <c r="L113" s="23">
        <v>2336</v>
      </c>
      <c r="M113" s="23">
        <v>2150</v>
      </c>
      <c r="N113" s="23">
        <v>2577</v>
      </c>
      <c r="O113" s="134"/>
    </row>
    <row r="114" spans="1:15" x14ac:dyDescent="0.25">
      <c r="A114" s="28"/>
      <c r="C114" s="23">
        <v>5017</v>
      </c>
      <c r="D114" s="23">
        <v>4619</v>
      </c>
      <c r="E114" s="23">
        <v>4407</v>
      </c>
      <c r="F114" s="23">
        <v>5443</v>
      </c>
      <c r="G114" s="23">
        <v>6679</v>
      </c>
      <c r="H114" s="23">
        <v>8548</v>
      </c>
      <c r="I114" s="23">
        <v>8659</v>
      </c>
      <c r="J114" s="23">
        <v>6883</v>
      </c>
      <c r="K114" s="23">
        <v>5663</v>
      </c>
      <c r="L114" s="23">
        <v>6303</v>
      </c>
      <c r="M114" s="23">
        <v>6150</v>
      </c>
      <c r="N114" s="23">
        <v>6674</v>
      </c>
      <c r="O114" s="134"/>
    </row>
    <row r="115" spans="1:15" x14ac:dyDescent="0.25">
      <c r="A115" s="28"/>
      <c r="C115" s="23">
        <v>23088</v>
      </c>
      <c r="D115" s="23">
        <v>21063</v>
      </c>
      <c r="E115" s="23">
        <v>18473</v>
      </c>
      <c r="F115" s="23">
        <v>25058</v>
      </c>
      <c r="G115" s="23">
        <v>26203</v>
      </c>
      <c r="H115" s="23">
        <v>31774</v>
      </c>
      <c r="I115" s="23">
        <v>32279</v>
      </c>
      <c r="J115" s="23">
        <v>28425</v>
      </c>
      <c r="K115" s="23">
        <v>23767</v>
      </c>
      <c r="L115" s="23">
        <v>28036</v>
      </c>
      <c r="M115" s="23">
        <v>27234</v>
      </c>
      <c r="N115" s="23">
        <v>27235</v>
      </c>
      <c r="O115" s="134"/>
    </row>
    <row r="116" spans="1:15" x14ac:dyDescent="0.25">
      <c r="A116" s="28"/>
      <c r="C116" s="23">
        <v>3799</v>
      </c>
      <c r="D116" s="23">
        <v>3473</v>
      </c>
      <c r="E116" s="23">
        <v>2759</v>
      </c>
      <c r="F116" s="23">
        <v>3751</v>
      </c>
      <c r="G116" s="23">
        <v>4282</v>
      </c>
      <c r="H116" s="23">
        <v>4970</v>
      </c>
      <c r="I116" s="23">
        <v>6064</v>
      </c>
      <c r="J116" s="23">
        <v>4668</v>
      </c>
      <c r="K116" s="23">
        <v>3828</v>
      </c>
      <c r="L116" s="23">
        <v>2887</v>
      </c>
      <c r="M116" s="23">
        <v>4437</v>
      </c>
      <c r="N116" s="23">
        <v>4882</v>
      </c>
      <c r="O116" s="134"/>
    </row>
    <row r="117" spans="1:15" x14ac:dyDescent="0.25">
      <c r="A117" s="28"/>
      <c r="C117" s="23">
        <v>3747</v>
      </c>
      <c r="D117" s="23">
        <v>3270</v>
      </c>
      <c r="E117" s="23">
        <v>2098</v>
      </c>
      <c r="F117" s="23">
        <v>2824</v>
      </c>
      <c r="G117" s="23">
        <v>2898</v>
      </c>
      <c r="H117" s="23">
        <v>3063</v>
      </c>
      <c r="I117" s="23">
        <v>3901</v>
      </c>
      <c r="J117" s="23">
        <v>3613</v>
      </c>
      <c r="K117" s="23">
        <v>3223</v>
      </c>
      <c r="L117" s="23">
        <v>2390</v>
      </c>
      <c r="M117" s="23">
        <v>1731</v>
      </c>
      <c r="N117" s="23">
        <v>3523</v>
      </c>
      <c r="O117" s="134"/>
    </row>
    <row r="118" spans="1:15" x14ac:dyDescent="0.25">
      <c r="A118" s="28"/>
      <c r="C118" s="23">
        <v>4323</v>
      </c>
      <c r="D118" s="23">
        <v>3764</v>
      </c>
      <c r="E118" s="23">
        <v>3265</v>
      </c>
      <c r="F118" s="23">
        <v>4392</v>
      </c>
      <c r="G118" s="23">
        <v>4852</v>
      </c>
      <c r="H118" s="23">
        <v>5638</v>
      </c>
      <c r="I118" s="23">
        <v>6417</v>
      </c>
      <c r="J118" s="23">
        <v>5105</v>
      </c>
      <c r="K118" s="23">
        <v>4237</v>
      </c>
      <c r="L118" s="23">
        <v>5234</v>
      </c>
      <c r="M118" s="23">
        <v>4412</v>
      </c>
      <c r="N118" s="23">
        <v>5287</v>
      </c>
      <c r="O118" s="134"/>
    </row>
    <row r="119" spans="1:15" x14ac:dyDescent="0.25">
      <c r="A119" s="28"/>
      <c r="C119" s="37">
        <f>SUM(C106:C118)</f>
        <v>97809</v>
      </c>
      <c r="D119" s="37">
        <f t="shared" ref="D119:N119" si="27">SUM(D106:D118)</f>
        <v>89753</v>
      </c>
      <c r="E119" s="37">
        <f t="shared" si="27"/>
        <v>78119</v>
      </c>
      <c r="F119" s="37">
        <f t="shared" si="27"/>
        <v>105378</v>
      </c>
      <c r="G119" s="37">
        <f t="shared" si="27"/>
        <v>119365</v>
      </c>
      <c r="H119" s="37">
        <f t="shared" si="27"/>
        <v>141967</v>
      </c>
      <c r="I119" s="37">
        <f t="shared" si="27"/>
        <v>156159</v>
      </c>
      <c r="J119" s="37">
        <f t="shared" si="27"/>
        <v>126425</v>
      </c>
      <c r="K119" s="37">
        <f t="shared" si="27"/>
        <v>94105</v>
      </c>
      <c r="L119" s="37">
        <f t="shared" si="27"/>
        <v>110398</v>
      </c>
      <c r="M119" s="37">
        <f t="shared" si="27"/>
        <v>112298</v>
      </c>
      <c r="N119" s="37">
        <f t="shared" si="27"/>
        <v>118469</v>
      </c>
      <c r="O119" s="134"/>
    </row>
    <row r="120" spans="1:15" x14ac:dyDescent="0.25">
      <c r="A120" s="28"/>
      <c r="O120" s="134"/>
    </row>
    <row r="121" spans="1:15" x14ac:dyDescent="0.25">
      <c r="A121" s="28"/>
      <c r="N121" s="27"/>
      <c r="O121" s="134"/>
    </row>
    <row r="122" spans="1:15" x14ac:dyDescent="0.25">
      <c r="A122" s="28"/>
      <c r="N122" s="27"/>
      <c r="O122" s="134"/>
    </row>
    <row r="123" spans="1:15" x14ac:dyDescent="0.25">
      <c r="A123" s="28"/>
      <c r="N123" s="27"/>
      <c r="O123" s="134"/>
    </row>
    <row r="124" spans="1:15" x14ac:dyDescent="0.25">
      <c r="A124" s="28"/>
      <c r="N124" s="27"/>
      <c r="O124" s="134"/>
    </row>
    <row r="125" spans="1:15" x14ac:dyDescent="0.25">
      <c r="A125" s="28"/>
      <c r="N125" s="27"/>
      <c r="O125" s="134"/>
    </row>
    <row r="126" spans="1:15" x14ac:dyDescent="0.25">
      <c r="A126" s="28"/>
      <c r="N126" s="27"/>
      <c r="O126" s="134"/>
    </row>
    <row r="127" spans="1:15" x14ac:dyDescent="0.25">
      <c r="A127" s="28"/>
      <c r="N127" s="27"/>
      <c r="O127" s="134"/>
    </row>
    <row r="128" spans="1:15" x14ac:dyDescent="0.25">
      <c r="A128" s="28"/>
      <c r="N128" s="27"/>
      <c r="O128" s="134"/>
    </row>
    <row r="129" spans="1:15" x14ac:dyDescent="0.25">
      <c r="A129" s="28"/>
      <c r="N129" s="27"/>
      <c r="O129" s="134"/>
    </row>
    <row r="130" spans="1:15" x14ac:dyDescent="0.25">
      <c r="A130" s="28"/>
      <c r="N130" s="27"/>
      <c r="O130" s="134"/>
    </row>
    <row r="131" spans="1:15" x14ac:dyDescent="0.25">
      <c r="A131" s="28"/>
      <c r="N131" s="27"/>
      <c r="O131" s="134"/>
    </row>
    <row r="132" spans="1:15" x14ac:dyDescent="0.25">
      <c r="A132" s="28"/>
      <c r="N132" s="27"/>
      <c r="O132" s="134"/>
    </row>
    <row r="133" spans="1:15" x14ac:dyDescent="0.25">
      <c r="A133" s="28"/>
      <c r="N133" s="27"/>
      <c r="O133" s="134"/>
    </row>
    <row r="134" spans="1:15" x14ac:dyDescent="0.25">
      <c r="A134" s="28"/>
      <c r="N134" s="27"/>
      <c r="O134" s="134"/>
    </row>
    <row r="135" spans="1:15" x14ac:dyDescent="0.25">
      <c r="A135" s="28"/>
      <c r="N135" s="27"/>
      <c r="O135" s="134"/>
    </row>
    <row r="136" spans="1:15" x14ac:dyDescent="0.25">
      <c r="A136" s="28"/>
      <c r="N136" s="27"/>
      <c r="O136" s="134"/>
    </row>
    <row r="137" spans="1:15" x14ac:dyDescent="0.25">
      <c r="A137" s="28"/>
      <c r="N137" s="27"/>
      <c r="O137" s="134"/>
    </row>
    <row r="138" spans="1:15" x14ac:dyDescent="0.25">
      <c r="A138" s="28"/>
      <c r="N138" s="27"/>
      <c r="O138" s="134"/>
    </row>
    <row r="139" spans="1:15" x14ac:dyDescent="0.25">
      <c r="A139" s="28"/>
      <c r="N139" s="27"/>
      <c r="O139" s="134"/>
    </row>
    <row r="140" spans="1:15" x14ac:dyDescent="0.25">
      <c r="A140" s="28"/>
      <c r="N140" s="27"/>
      <c r="O140" s="134"/>
    </row>
    <row r="141" spans="1:15" x14ac:dyDescent="0.25">
      <c r="A141" s="28"/>
      <c r="N141" s="27"/>
      <c r="O141" s="134"/>
    </row>
    <row r="142" spans="1:15" x14ac:dyDescent="0.25">
      <c r="A142" s="28"/>
      <c r="N142" s="27"/>
      <c r="O142" s="134"/>
    </row>
    <row r="143" spans="1:15" x14ac:dyDescent="0.25">
      <c r="A143" s="28"/>
      <c r="N143" s="27"/>
      <c r="O143" s="134"/>
    </row>
    <row r="144" spans="1:15" x14ac:dyDescent="0.25">
      <c r="A144" s="28"/>
      <c r="N144" s="27"/>
      <c r="O144" s="134"/>
    </row>
  </sheetData>
  <phoneticPr fontId="13" type="noConversion"/>
  <pageMargins left="0.45" right="0.45" top="1.25" bottom="0.75" header="0.55000000000000004" footer="0.3"/>
  <pageSetup scale="65" orientation="landscape" r:id="rId1"/>
  <headerFooter>
    <oddFooter>&amp;RExhibit JW-7
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89"/>
  <sheetViews>
    <sheetView view="pageBreakPreview" zoomScale="75" zoomScaleNormal="100" zoomScaleSheetLayoutView="75" workbookViewId="0">
      <selection activeCell="A51" sqref="A51:O144"/>
    </sheetView>
  </sheetViews>
  <sheetFormatPr defaultColWidth="9.109375" defaultRowHeight="13.2" x14ac:dyDescent="0.25"/>
  <cols>
    <col min="1" max="1" width="5.5546875" style="14" customWidth="1"/>
    <col min="2" max="2" width="30.5546875" style="28" customWidth="1"/>
    <col min="3" max="3" width="10.6640625" style="14" customWidth="1"/>
    <col min="4" max="4" width="13.33203125" style="14" customWidth="1"/>
    <col min="5" max="5" width="12.88671875" style="14" customWidth="1"/>
    <col min="6" max="6" width="14.88671875" style="14" customWidth="1"/>
    <col min="7" max="7" width="12.88671875" style="14" customWidth="1"/>
    <col min="8" max="8" width="12" style="14" bestFit="1" customWidth="1"/>
    <col min="9" max="9" width="9.109375" style="14" customWidth="1"/>
    <col min="10" max="10" width="4" style="14" customWidth="1"/>
    <col min="11" max="11" width="9.109375" style="14" customWidth="1"/>
    <col min="12" max="14" width="9.109375" style="14"/>
    <col min="15" max="15" width="9.109375" style="14" customWidth="1"/>
    <col min="16" max="16384" width="9.109375" style="14"/>
  </cols>
  <sheetData>
    <row r="1" spans="1:8" x14ac:dyDescent="0.25">
      <c r="A1" s="13" t="str">
        <f>'Summary of Returns'!A1</f>
        <v>SHELBY ENERGY</v>
      </c>
    </row>
    <row r="2" spans="1:8" x14ac:dyDescent="0.25">
      <c r="A2" s="13" t="s">
        <v>677</v>
      </c>
    </row>
    <row r="4" spans="1:8" ht="62.25" customHeight="1" thickBot="1" x14ac:dyDescent="0.3">
      <c r="A4" s="63" t="s">
        <v>944</v>
      </c>
      <c r="B4" s="87" t="s">
        <v>751</v>
      </c>
      <c r="C4" s="122" t="s">
        <v>867</v>
      </c>
      <c r="D4" s="81" t="s">
        <v>868</v>
      </c>
      <c r="E4" s="81" t="s">
        <v>869</v>
      </c>
      <c r="F4" s="81" t="s">
        <v>860</v>
      </c>
      <c r="G4" s="81" t="s">
        <v>870</v>
      </c>
      <c r="H4" s="82"/>
    </row>
    <row r="5" spans="1:8" x14ac:dyDescent="0.25">
      <c r="A5" s="28"/>
      <c r="B5" s="13"/>
      <c r="C5" s="58"/>
    </row>
    <row r="6" spans="1:8" x14ac:dyDescent="0.25">
      <c r="A6" s="28">
        <v>1</v>
      </c>
      <c r="B6" s="14" t="str">
        <f>'Summary of Returns'!B10</f>
        <v>Residential Service</v>
      </c>
      <c r="C6" s="123">
        <f>'Summary of Returns'!C10</f>
        <v>12</v>
      </c>
      <c r="D6" s="105">
        <f>'Billing Det'!C8</f>
        <v>12967.083333333334</v>
      </c>
      <c r="E6" s="124">
        <v>251.54750000000001</v>
      </c>
      <c r="F6" s="124">
        <f t="shared" ref="F6:F9" si="0">E6*D6</f>
        <v>3261837.3947916669</v>
      </c>
      <c r="G6" s="125">
        <f t="shared" ref="G6:G11" si="1">F6/$F$32</f>
        <v>0.7310823288889271</v>
      </c>
      <c r="H6" s="125"/>
    </row>
    <row r="7" spans="1:8" x14ac:dyDescent="0.25">
      <c r="A7" s="28">
        <v>2</v>
      </c>
      <c r="B7" s="14" t="str">
        <f>'Summary of Returns'!B11</f>
        <v>Off Peak Retail Marketing (ETS)</v>
      </c>
      <c r="C7" s="123">
        <f>'Summary of Returns'!C11</f>
        <v>9</v>
      </c>
      <c r="D7" s="105">
        <f>'Billing Det'!C9</f>
        <v>17.5</v>
      </c>
      <c r="E7" s="124">
        <v>251.54750000000001</v>
      </c>
      <c r="F7" s="124">
        <f t="shared" si="0"/>
        <v>4402.0812500000002</v>
      </c>
      <c r="G7" s="125">
        <f t="shared" si="1"/>
        <v>9.8664753103482983E-4</v>
      </c>
      <c r="H7" s="125"/>
    </row>
    <row r="8" spans="1:8" x14ac:dyDescent="0.25">
      <c r="A8" s="28">
        <v>3</v>
      </c>
      <c r="B8" s="14" t="str">
        <f>'Summary of Returns'!B12</f>
        <v>Prepay Service</v>
      </c>
      <c r="C8" s="123">
        <f>'Summary of Returns'!C12</f>
        <v>15</v>
      </c>
      <c r="D8" s="105">
        <f>'Billing Det'!C10</f>
        <v>812.41666666666663</v>
      </c>
      <c r="E8" s="124">
        <v>251.54750000000001</v>
      </c>
      <c r="F8" s="124">
        <f t="shared" si="0"/>
        <v>204361.38145833334</v>
      </c>
      <c r="G8" s="125">
        <f t="shared" si="1"/>
        <v>4.5803937047897883E-2</v>
      </c>
      <c r="H8" s="125"/>
    </row>
    <row r="9" spans="1:8" x14ac:dyDescent="0.25">
      <c r="A9" s="28">
        <v>4</v>
      </c>
      <c r="B9" s="14" t="str">
        <f>'Summary of Returns'!B13</f>
        <v>General Service</v>
      </c>
      <c r="C9" s="123">
        <f>'Summary of Returns'!C13</f>
        <v>11</v>
      </c>
      <c r="D9" s="105">
        <f>'Billing Det'!C11</f>
        <v>3755.8333333333335</v>
      </c>
      <c r="E9" s="124">
        <v>251.54750000000001</v>
      </c>
      <c r="F9" s="124">
        <f t="shared" si="0"/>
        <v>944770.48541666672</v>
      </c>
      <c r="G9" s="125">
        <f t="shared" si="1"/>
        <v>0.21175335344637991</v>
      </c>
      <c r="H9" s="125"/>
    </row>
    <row r="10" spans="1:8" x14ac:dyDescent="0.25">
      <c r="A10" s="28">
        <v>5</v>
      </c>
      <c r="B10" s="14" t="str">
        <f>'Summary of Returns'!B14</f>
        <v>Large Power Service</v>
      </c>
      <c r="C10" s="123">
        <f>'Summary of Returns'!C14</f>
        <v>2</v>
      </c>
      <c r="D10" s="105">
        <f>'Billing Det'!C12</f>
        <v>61.25</v>
      </c>
      <c r="E10" s="124">
        <v>755.65750000000003</v>
      </c>
      <c r="F10" s="124">
        <f>E10*D10</f>
        <v>46284.021874999999</v>
      </c>
      <c r="G10" s="125">
        <f t="shared" si="1"/>
        <v>1.0373733085760468E-2</v>
      </c>
      <c r="H10" s="125"/>
    </row>
    <row r="11" spans="1:8" x14ac:dyDescent="0.25">
      <c r="A11" s="28">
        <v>6</v>
      </c>
      <c r="B11" s="14" t="str">
        <f>'Summary of Returns'!B15</f>
        <v>Large Industrial Rate</v>
      </c>
      <c r="C11" s="123" t="str">
        <f>'Summary of Returns'!C15</f>
        <v>B1</v>
      </c>
      <c r="D11" s="105">
        <f>'Billing Det'!C13</f>
        <v>14</v>
      </c>
      <c r="E11" s="124">
        <v>0</v>
      </c>
      <c r="F11" s="124">
        <f>E11*D11</f>
        <v>0</v>
      </c>
      <c r="G11" s="125">
        <f t="shared" si="1"/>
        <v>0</v>
      </c>
      <c r="H11" s="125"/>
    </row>
    <row r="12" spans="1:8" x14ac:dyDescent="0.25">
      <c r="A12" s="28">
        <v>7</v>
      </c>
      <c r="B12" s="14" t="str">
        <f>'Summary of Returns'!B16</f>
        <v>Large Industrial Rate</v>
      </c>
      <c r="C12" s="123" t="str">
        <f>'Summary of Returns'!C16</f>
        <v>B2</v>
      </c>
      <c r="D12" s="105">
        <f>'Billing Det'!C14</f>
        <v>1</v>
      </c>
      <c r="E12" s="124">
        <v>0</v>
      </c>
      <c r="F12" s="124">
        <f>E12*D12</f>
        <v>0</v>
      </c>
      <c r="G12" s="125">
        <f t="shared" ref="G12" si="2">F12/$F$32</f>
        <v>0</v>
      </c>
      <c r="H12" s="125"/>
    </row>
    <row r="13" spans="1:8" x14ac:dyDescent="0.25">
      <c r="A13" s="28">
        <v>8</v>
      </c>
      <c r="B13" s="14" t="str">
        <f>'Summary of Returns'!B17</f>
        <v>Outdoor and Street Lighting</v>
      </c>
      <c r="C13" s="123">
        <f>'Summary of Returns'!C17</f>
        <v>3</v>
      </c>
      <c r="D13" s="105">
        <f>'Billing Det'!C15</f>
        <v>34</v>
      </c>
      <c r="E13" s="124">
        <v>0</v>
      </c>
      <c r="F13" s="124">
        <f>E13*D13</f>
        <v>0</v>
      </c>
      <c r="G13" s="125">
        <f t="shared" ref="G13" si="3">F13/$F$32</f>
        <v>0</v>
      </c>
      <c r="H13" s="125"/>
    </row>
    <row r="14" spans="1:8" hidden="1" x14ac:dyDescent="0.25">
      <c r="A14" s="28"/>
      <c r="B14" s="14"/>
      <c r="C14" s="28"/>
      <c r="D14" s="105"/>
      <c r="E14" s="148"/>
      <c r="F14" s="124"/>
      <c r="G14" s="125"/>
      <c r="H14" s="125"/>
    </row>
    <row r="15" spans="1:8" hidden="1" x14ac:dyDescent="0.25">
      <c r="A15" s="28"/>
      <c r="B15" s="14"/>
      <c r="C15" s="28"/>
      <c r="D15" s="105"/>
      <c r="E15" s="124"/>
      <c r="F15" s="124"/>
      <c r="G15" s="125"/>
      <c r="H15" s="125"/>
    </row>
    <row r="16" spans="1:8" hidden="1" x14ac:dyDescent="0.25">
      <c r="A16" s="28"/>
      <c r="B16" s="14"/>
      <c r="C16" s="28"/>
      <c r="D16" s="50"/>
      <c r="E16" s="114"/>
      <c r="F16" s="67"/>
      <c r="G16" s="68"/>
      <c r="H16" s="68"/>
    </row>
    <row r="17" spans="1:8" hidden="1" x14ac:dyDescent="0.25">
      <c r="A17" s="28"/>
      <c r="B17" s="14"/>
      <c r="C17" s="28"/>
      <c r="D17" s="50"/>
      <c r="E17" s="67"/>
      <c r="F17" s="67"/>
      <c r="G17" s="68"/>
      <c r="H17" s="68"/>
    </row>
    <row r="18" spans="1:8" hidden="1" x14ac:dyDescent="0.25">
      <c r="A18" s="28"/>
      <c r="B18" s="102"/>
      <c r="C18" s="28"/>
      <c r="D18" s="50"/>
      <c r="E18" s="114"/>
      <c r="F18" s="67"/>
      <c r="G18" s="68"/>
      <c r="H18" s="68"/>
    </row>
    <row r="19" spans="1:8" hidden="1" x14ac:dyDescent="0.25">
      <c r="A19" s="28"/>
      <c r="B19" s="14"/>
      <c r="C19" s="28"/>
      <c r="D19" s="50"/>
      <c r="E19" s="67"/>
      <c r="F19" s="67"/>
      <c r="G19" s="68"/>
      <c r="H19" s="68"/>
    </row>
    <row r="20" spans="1:8" hidden="1" x14ac:dyDescent="0.25">
      <c r="A20" s="28"/>
      <c r="B20" s="14"/>
      <c r="C20" s="28"/>
      <c r="D20" s="50"/>
      <c r="E20" s="114"/>
      <c r="F20" s="67"/>
      <c r="G20" s="68"/>
      <c r="H20" s="68"/>
    </row>
    <row r="21" spans="1:8" hidden="1" x14ac:dyDescent="0.25">
      <c r="A21" s="28"/>
      <c r="B21" s="14"/>
      <c r="C21" s="28"/>
      <c r="D21" s="50"/>
      <c r="E21" s="67"/>
      <c r="F21" s="67"/>
      <c r="G21" s="68"/>
      <c r="H21" s="68"/>
    </row>
    <row r="22" spans="1:8" hidden="1" x14ac:dyDescent="0.25">
      <c r="A22" s="28"/>
      <c r="B22" s="14"/>
      <c r="C22" s="28"/>
      <c r="D22" s="50"/>
      <c r="E22" s="114"/>
      <c r="F22" s="67"/>
      <c r="G22" s="68"/>
      <c r="H22" s="68"/>
    </row>
    <row r="23" spans="1:8" hidden="1" x14ac:dyDescent="0.25">
      <c r="A23" s="28"/>
      <c r="B23" s="14"/>
      <c r="C23" s="28"/>
      <c r="D23" s="50"/>
      <c r="E23" s="67"/>
      <c r="F23" s="67"/>
      <c r="G23" s="68"/>
      <c r="H23" s="68"/>
    </row>
    <row r="24" spans="1:8" hidden="1" x14ac:dyDescent="0.25">
      <c r="A24" s="28"/>
      <c r="B24" s="14"/>
      <c r="C24" s="28"/>
      <c r="D24" s="50"/>
      <c r="E24" s="114"/>
      <c r="F24" s="67"/>
      <c r="G24" s="68"/>
      <c r="H24" s="68"/>
    </row>
    <row r="25" spans="1:8" hidden="1" x14ac:dyDescent="0.25">
      <c r="A25" s="28"/>
      <c r="B25" s="14"/>
      <c r="C25" s="28"/>
      <c r="D25" s="50"/>
      <c r="E25" s="67"/>
      <c r="F25" s="67"/>
      <c r="G25" s="68"/>
      <c r="H25" s="68"/>
    </row>
    <row r="26" spans="1:8" hidden="1" x14ac:dyDescent="0.25">
      <c r="A26" s="28"/>
      <c r="B26" s="14"/>
      <c r="C26" s="28"/>
      <c r="D26" s="50"/>
      <c r="E26" s="114"/>
      <c r="F26" s="67"/>
      <c r="G26" s="68"/>
      <c r="H26" s="68"/>
    </row>
    <row r="27" spans="1:8" hidden="1" x14ac:dyDescent="0.25">
      <c r="A27" s="28"/>
      <c r="B27" s="14"/>
      <c r="C27" s="28"/>
      <c r="D27" s="50"/>
      <c r="E27" s="67"/>
      <c r="F27" s="67"/>
      <c r="G27" s="68"/>
      <c r="H27" s="68"/>
    </row>
    <row r="28" spans="1:8" hidden="1" x14ac:dyDescent="0.25">
      <c r="A28" s="28"/>
      <c r="B28" s="14"/>
      <c r="C28" s="28"/>
      <c r="D28" s="50"/>
      <c r="E28" s="114"/>
      <c r="F28" s="67"/>
      <c r="G28" s="68"/>
      <c r="H28" s="68"/>
    </row>
    <row r="29" spans="1:8" hidden="1" x14ac:dyDescent="0.25">
      <c r="A29" s="28"/>
      <c r="B29" s="14"/>
      <c r="C29" s="28"/>
      <c r="D29" s="50"/>
      <c r="E29" s="67"/>
      <c r="F29" s="67"/>
      <c r="G29" s="68"/>
      <c r="H29" s="68"/>
    </row>
    <row r="30" spans="1:8" hidden="1" x14ac:dyDescent="0.25">
      <c r="A30" s="28"/>
      <c r="B30" s="14"/>
      <c r="C30" s="28"/>
      <c r="D30" s="50"/>
      <c r="E30" s="114"/>
      <c r="F30" s="67"/>
      <c r="G30" s="68"/>
      <c r="H30" s="68"/>
    </row>
    <row r="31" spans="1:8" hidden="1" x14ac:dyDescent="0.25">
      <c r="A31" s="28"/>
      <c r="B31" s="14"/>
      <c r="C31" s="28"/>
      <c r="D31" s="50"/>
      <c r="E31" s="67"/>
      <c r="F31" s="67"/>
      <c r="G31" s="68"/>
      <c r="H31" s="68"/>
    </row>
    <row r="32" spans="1:8" ht="13.8" thickBot="1" x14ac:dyDescent="0.3">
      <c r="A32" s="28">
        <v>9</v>
      </c>
      <c r="B32" s="126" t="s">
        <v>0</v>
      </c>
      <c r="C32" s="127"/>
      <c r="D32" s="128">
        <f>SUM(D6:D31)</f>
        <v>17663.083333333332</v>
      </c>
      <c r="E32" s="129">
        <f>F32/D32</f>
        <v>252.5977645347877</v>
      </c>
      <c r="F32" s="130">
        <f>SUM(F6:F31)</f>
        <v>4461655.3647916662</v>
      </c>
      <c r="G32" s="131">
        <f>SUM(G6:G31)</f>
        <v>1.0000000000000002</v>
      </c>
      <c r="H32" s="47"/>
    </row>
    <row r="33" spans="1:16" ht="13.8" thickTop="1" x14ac:dyDescent="0.25">
      <c r="A33" s="28"/>
      <c r="B33" s="14"/>
      <c r="C33" s="132"/>
      <c r="D33" s="50"/>
    </row>
    <row r="34" spans="1:16" x14ac:dyDescent="0.25">
      <c r="B34" s="132"/>
      <c r="C34" s="50"/>
    </row>
    <row r="35" spans="1:16" x14ac:dyDescent="0.25">
      <c r="B35" s="132"/>
      <c r="C35" s="50"/>
    </row>
    <row r="36" spans="1:16" x14ac:dyDescent="0.25">
      <c r="B36" s="133"/>
      <c r="C36" s="134"/>
    </row>
    <row r="37" spans="1:16" s="13" customFormat="1" x14ac:dyDescent="0.25">
      <c r="A37" s="14"/>
      <c r="B37" s="133"/>
      <c r="C37" s="13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</row>
    <row r="38" spans="1:16" x14ac:dyDescent="0.25">
      <c r="B38" s="133"/>
      <c r="C38" s="134"/>
    </row>
    <row r="39" spans="1:16" x14ac:dyDescent="0.25">
      <c r="B39" s="132"/>
      <c r="C39" s="50"/>
    </row>
    <row r="40" spans="1:16" x14ac:dyDescent="0.25">
      <c r="B40" s="132"/>
      <c r="C40" s="50"/>
    </row>
    <row r="41" spans="1:16" x14ac:dyDescent="0.25">
      <c r="B41" s="132"/>
      <c r="C41" s="50"/>
    </row>
    <row r="42" spans="1:16" x14ac:dyDescent="0.25">
      <c r="B42" s="132"/>
      <c r="C42" s="50"/>
    </row>
    <row r="43" spans="1:16" x14ac:dyDescent="0.25">
      <c r="B43" s="132"/>
      <c r="C43" s="50"/>
    </row>
    <row r="44" spans="1:16" x14ac:dyDescent="0.25">
      <c r="B44" s="132"/>
      <c r="C44" s="50"/>
    </row>
    <row r="45" spans="1:16" x14ac:dyDescent="0.25">
      <c r="B45" s="132"/>
      <c r="C45" s="50"/>
    </row>
    <row r="46" spans="1:16" x14ac:dyDescent="0.25">
      <c r="B46" s="132"/>
      <c r="C46" s="50"/>
    </row>
    <row r="47" spans="1:16" x14ac:dyDescent="0.25">
      <c r="B47" s="132"/>
      <c r="C47" s="50"/>
    </row>
    <row r="48" spans="1:16" x14ac:dyDescent="0.25">
      <c r="B48" s="132"/>
      <c r="C48" s="50"/>
    </row>
    <row r="49" spans="2:3" x14ac:dyDescent="0.25">
      <c r="B49" s="132"/>
      <c r="C49" s="50"/>
    </row>
    <row r="50" spans="2:3" x14ac:dyDescent="0.25">
      <c r="B50" s="132"/>
      <c r="C50" s="50"/>
    </row>
    <row r="51" spans="2:3" x14ac:dyDescent="0.25">
      <c r="B51" s="132"/>
      <c r="C51" s="50"/>
    </row>
    <row r="52" spans="2:3" x14ac:dyDescent="0.25">
      <c r="B52" s="132"/>
      <c r="C52" s="50"/>
    </row>
    <row r="53" spans="2:3" x14ac:dyDescent="0.25">
      <c r="B53" s="132"/>
      <c r="C53" s="50"/>
    </row>
    <row r="54" spans="2:3" x14ac:dyDescent="0.25">
      <c r="B54" s="132"/>
      <c r="C54" s="50"/>
    </row>
    <row r="55" spans="2:3" x14ac:dyDescent="0.25">
      <c r="B55" s="132"/>
      <c r="C55" s="50"/>
    </row>
    <row r="56" spans="2:3" x14ac:dyDescent="0.25">
      <c r="B56" s="132"/>
      <c r="C56" s="50"/>
    </row>
    <row r="57" spans="2:3" x14ac:dyDescent="0.25">
      <c r="B57" s="132"/>
      <c r="C57" s="50"/>
    </row>
    <row r="58" spans="2:3" x14ac:dyDescent="0.25">
      <c r="B58" s="132"/>
      <c r="C58" s="50"/>
    </row>
    <row r="59" spans="2:3" x14ac:dyDescent="0.25">
      <c r="B59" s="132"/>
      <c r="C59" s="50"/>
    </row>
    <row r="60" spans="2:3" x14ac:dyDescent="0.25">
      <c r="B60" s="132"/>
      <c r="C60" s="50"/>
    </row>
    <row r="61" spans="2:3" x14ac:dyDescent="0.25">
      <c r="B61" s="132"/>
      <c r="C61" s="50"/>
    </row>
    <row r="62" spans="2:3" x14ac:dyDescent="0.25">
      <c r="B62" s="132"/>
      <c r="C62" s="50"/>
    </row>
    <row r="63" spans="2:3" x14ac:dyDescent="0.25">
      <c r="B63" s="132"/>
      <c r="C63" s="50"/>
    </row>
    <row r="64" spans="2:3" x14ac:dyDescent="0.25">
      <c r="B64" s="132"/>
      <c r="C64" s="50"/>
    </row>
    <row r="65" spans="2:3" x14ac:dyDescent="0.25">
      <c r="B65" s="132"/>
      <c r="C65" s="50"/>
    </row>
    <row r="66" spans="2:3" x14ac:dyDescent="0.25">
      <c r="B66" s="132"/>
      <c r="C66" s="50"/>
    </row>
    <row r="67" spans="2:3" x14ac:dyDescent="0.25">
      <c r="B67" s="132"/>
      <c r="C67" s="50"/>
    </row>
    <row r="68" spans="2:3" x14ac:dyDescent="0.25">
      <c r="B68" s="132"/>
      <c r="C68" s="50"/>
    </row>
    <row r="69" spans="2:3" x14ac:dyDescent="0.25">
      <c r="B69" s="132"/>
      <c r="C69" s="50"/>
    </row>
    <row r="70" spans="2:3" x14ac:dyDescent="0.25">
      <c r="B70" s="132"/>
      <c r="C70" s="50"/>
    </row>
    <row r="71" spans="2:3" x14ac:dyDescent="0.25">
      <c r="B71" s="132"/>
      <c r="C71" s="50"/>
    </row>
    <row r="72" spans="2:3" x14ac:dyDescent="0.25">
      <c r="B72" s="132"/>
      <c r="C72" s="50"/>
    </row>
    <row r="73" spans="2:3" x14ac:dyDescent="0.25">
      <c r="B73" s="132"/>
      <c r="C73" s="50"/>
    </row>
    <row r="74" spans="2:3" x14ac:dyDescent="0.25">
      <c r="B74" s="132"/>
      <c r="C74" s="50"/>
    </row>
    <row r="75" spans="2:3" x14ac:dyDescent="0.25">
      <c r="B75" s="132"/>
      <c r="C75" s="50"/>
    </row>
    <row r="76" spans="2:3" x14ac:dyDescent="0.25">
      <c r="B76" s="132"/>
      <c r="C76" s="50"/>
    </row>
    <row r="77" spans="2:3" x14ac:dyDescent="0.25">
      <c r="B77" s="132"/>
      <c r="C77" s="50"/>
    </row>
    <row r="78" spans="2:3" x14ac:dyDescent="0.25">
      <c r="B78" s="132"/>
      <c r="C78" s="50"/>
    </row>
    <row r="79" spans="2:3" x14ac:dyDescent="0.25">
      <c r="B79" s="132"/>
      <c r="C79" s="50"/>
    </row>
    <row r="80" spans="2:3" x14ac:dyDescent="0.25">
      <c r="B80" s="132"/>
      <c r="C80" s="50"/>
    </row>
    <row r="81" spans="2:3" x14ac:dyDescent="0.25">
      <c r="B81" s="132"/>
      <c r="C81" s="50"/>
    </row>
    <row r="82" spans="2:3" x14ac:dyDescent="0.25">
      <c r="B82" s="132"/>
      <c r="C82" s="50"/>
    </row>
    <row r="83" spans="2:3" x14ac:dyDescent="0.25">
      <c r="B83" s="132"/>
      <c r="C83" s="50"/>
    </row>
    <row r="84" spans="2:3" x14ac:dyDescent="0.25">
      <c r="B84" s="132"/>
      <c r="C84" s="50"/>
    </row>
    <row r="85" spans="2:3" x14ac:dyDescent="0.25">
      <c r="B85" s="132"/>
      <c r="C85" s="50"/>
    </row>
    <row r="86" spans="2:3" x14ac:dyDescent="0.25">
      <c r="B86" s="132"/>
      <c r="C86" s="50"/>
    </row>
    <row r="87" spans="2:3" x14ac:dyDescent="0.25">
      <c r="B87" s="135"/>
    </row>
    <row r="88" spans="2:3" x14ac:dyDescent="0.25">
      <c r="B88" s="135"/>
    </row>
    <row r="89" spans="2:3" x14ac:dyDescent="0.25">
      <c r="B89" s="135"/>
    </row>
  </sheetData>
  <phoneticPr fontId="0" type="noConversion"/>
  <pageMargins left="0.75" right="0.75" top="1" bottom="1" header="0.5" footer="0.5"/>
  <pageSetup orientation="landscape" r:id="rId1"/>
  <headerFooter alignWithMargins="0">
    <oddFooter>&amp;RExhibit JW-7
Page &amp;P of &amp;N</oddFooter>
  </headerFooter>
  <ignoredErrors>
    <ignoredError sqref="E32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72"/>
  <sheetViews>
    <sheetView view="pageBreakPreview" zoomScale="75" zoomScaleNormal="100" zoomScaleSheetLayoutView="75" workbookViewId="0">
      <selection activeCell="A51" sqref="A51:O144"/>
    </sheetView>
  </sheetViews>
  <sheetFormatPr defaultColWidth="9.109375" defaultRowHeight="13.2" x14ac:dyDescent="0.25"/>
  <cols>
    <col min="1" max="1" width="6.6640625" style="14" customWidth="1"/>
    <col min="2" max="2" width="30.88671875" style="28" customWidth="1"/>
    <col min="3" max="3" width="8.44140625" style="27" customWidth="1"/>
    <col min="4" max="4" width="13.33203125" style="27" customWidth="1"/>
    <col min="5" max="5" width="12.88671875" style="27" customWidth="1"/>
    <col min="6" max="6" width="15.44140625" style="27" customWidth="1"/>
    <col min="7" max="7" width="11.88671875" style="14" customWidth="1"/>
    <col min="8" max="8" width="15.44140625" style="14" customWidth="1"/>
    <col min="9" max="9" width="15" style="14" customWidth="1"/>
    <col min="10" max="16384" width="9.109375" style="14"/>
  </cols>
  <sheetData>
    <row r="1" spans="1:7" x14ac:dyDescent="0.25">
      <c r="A1" s="13" t="str">
        <f>'Summary of Returns'!A1</f>
        <v>SHELBY ENERGY</v>
      </c>
    </row>
    <row r="2" spans="1:7" x14ac:dyDescent="0.25">
      <c r="A2" s="13" t="s">
        <v>698</v>
      </c>
    </row>
    <row r="4" spans="1:7" ht="45.75" customHeight="1" thickBot="1" x14ac:dyDescent="0.3">
      <c r="A4" s="63" t="s">
        <v>944</v>
      </c>
      <c r="B4" s="87" t="s">
        <v>751</v>
      </c>
      <c r="C4" s="122" t="s">
        <v>758</v>
      </c>
      <c r="D4" s="81" t="s">
        <v>872</v>
      </c>
      <c r="E4" s="81" t="s">
        <v>871</v>
      </c>
      <c r="F4" s="81" t="s">
        <v>859</v>
      </c>
      <c r="G4" s="81" t="s">
        <v>752</v>
      </c>
    </row>
    <row r="5" spans="1:7" x14ac:dyDescent="0.25">
      <c r="A5" s="28"/>
      <c r="B5" s="13"/>
      <c r="C5" s="58"/>
      <c r="G5" s="27"/>
    </row>
    <row r="6" spans="1:7" x14ac:dyDescent="0.25">
      <c r="A6" s="28">
        <v>1</v>
      </c>
      <c r="B6" s="14" t="str">
        <f>'Summary of Returns'!B10</f>
        <v>Residential Service</v>
      </c>
      <c r="C6" s="123">
        <f>'Summary of Returns'!C10</f>
        <v>12</v>
      </c>
      <c r="D6" s="105">
        <f>'Billing Det'!C8</f>
        <v>12967.083333333334</v>
      </c>
      <c r="E6" s="124">
        <v>12393.6425</v>
      </c>
      <c r="F6" s="105">
        <f>E6*D6</f>
        <v>160709395.10104167</v>
      </c>
      <c r="G6" s="125">
        <f>F6/F$33</f>
        <v>0.70796631697592072</v>
      </c>
    </row>
    <row r="7" spans="1:7" x14ac:dyDescent="0.25">
      <c r="A7" s="28">
        <v>2</v>
      </c>
      <c r="B7" s="14" t="str">
        <f>'Summary of Returns'!B11</f>
        <v>Off Peak Retail Marketing (ETS)</v>
      </c>
      <c r="C7" s="123">
        <f>'Summary of Returns'!C11</f>
        <v>9</v>
      </c>
      <c r="D7" s="105">
        <f>'Billing Det'!C9</f>
        <v>17.5</v>
      </c>
      <c r="E7" s="124">
        <f>E6</f>
        <v>12393.6425</v>
      </c>
      <c r="F7" s="105">
        <f t="shared" ref="F7:F12" si="0">E7*D7</f>
        <v>216888.74374999999</v>
      </c>
      <c r="G7" s="125">
        <f t="shared" ref="G7:G33" si="1">F7/F$33</f>
        <v>9.5545083104619599E-4</v>
      </c>
    </row>
    <row r="8" spans="1:7" x14ac:dyDescent="0.25">
      <c r="A8" s="28">
        <v>3</v>
      </c>
      <c r="B8" s="14" t="str">
        <f>'Summary of Returns'!B12</f>
        <v>Prepay Service</v>
      </c>
      <c r="C8" s="123">
        <f>'Summary of Returns'!C12</f>
        <v>15</v>
      </c>
      <c r="D8" s="105">
        <f>'Billing Det'!C10</f>
        <v>812.41666666666663</v>
      </c>
      <c r="E8" s="124">
        <v>12393.6425</v>
      </c>
      <c r="F8" s="105">
        <f t="shared" si="0"/>
        <v>10068801.727708332</v>
      </c>
      <c r="G8" s="125">
        <f t="shared" si="1"/>
        <v>4.4355667389854116E-2</v>
      </c>
    </row>
    <row r="9" spans="1:7" x14ac:dyDescent="0.25">
      <c r="A9" s="28">
        <v>4</v>
      </c>
      <c r="B9" s="14" t="str">
        <f>'Summary of Returns'!B13</f>
        <v>General Service</v>
      </c>
      <c r="C9" s="123">
        <f>'Summary of Returns'!C13</f>
        <v>11</v>
      </c>
      <c r="D9" s="105">
        <f>'Billing Det'!C11</f>
        <v>3755.8333333333335</v>
      </c>
      <c r="E9" s="124">
        <v>13470.841250000001</v>
      </c>
      <c r="F9" s="105">
        <f t="shared" si="0"/>
        <v>50594234.594791673</v>
      </c>
      <c r="G9" s="125">
        <f t="shared" si="1"/>
        <v>0.22288064679585248</v>
      </c>
    </row>
    <row r="10" spans="1:7" x14ac:dyDescent="0.25">
      <c r="A10" s="28">
        <v>5</v>
      </c>
      <c r="B10" s="14" t="str">
        <f>'Summary of Returns'!B14</f>
        <v>Large Power Service</v>
      </c>
      <c r="C10" s="123">
        <f>'Summary of Returns'!C14</f>
        <v>2</v>
      </c>
      <c r="D10" s="105">
        <f>'Billing Det'!C12</f>
        <v>61.25</v>
      </c>
      <c r="E10" s="124">
        <v>88361.64</v>
      </c>
      <c r="F10" s="105">
        <f t="shared" si="0"/>
        <v>5412150.4500000002</v>
      </c>
      <c r="G10" s="125">
        <f t="shared" si="1"/>
        <v>2.3841918007326483E-2</v>
      </c>
    </row>
    <row r="11" spans="1:7" x14ac:dyDescent="0.25">
      <c r="A11" s="28">
        <v>6</v>
      </c>
      <c r="B11" s="14" t="str">
        <f>'Summary of Returns'!B15</f>
        <v>Large Industrial Rate</v>
      </c>
      <c r="C11" s="123" t="str">
        <f>'Summary of Returns'!C15</f>
        <v>B1</v>
      </c>
      <c r="D11" s="105">
        <f>'Billing Det'!C13</f>
        <v>14</v>
      </c>
      <c r="E11" s="124">
        <v>0</v>
      </c>
      <c r="F11" s="105">
        <f t="shared" si="0"/>
        <v>0</v>
      </c>
      <c r="G11" s="125">
        <f t="shared" si="1"/>
        <v>0</v>
      </c>
    </row>
    <row r="12" spans="1:7" x14ac:dyDescent="0.25">
      <c r="A12" s="28">
        <v>7</v>
      </c>
      <c r="B12" s="14" t="str">
        <f>'Summary of Returns'!B16</f>
        <v>Large Industrial Rate</v>
      </c>
      <c r="C12" s="123" t="str">
        <f>'Summary of Returns'!C16</f>
        <v>B2</v>
      </c>
      <c r="D12" s="105">
        <f>'Billing Det'!C14</f>
        <v>1</v>
      </c>
      <c r="E12" s="124">
        <f>E11</f>
        <v>0</v>
      </c>
      <c r="F12" s="105">
        <f t="shared" si="0"/>
        <v>0</v>
      </c>
      <c r="G12" s="125">
        <f t="shared" si="1"/>
        <v>0</v>
      </c>
    </row>
    <row r="13" spans="1:7" x14ac:dyDescent="0.25">
      <c r="A13" s="28">
        <v>8</v>
      </c>
      <c r="B13" s="14" t="str">
        <f>'Summary of Returns'!B17</f>
        <v>Outdoor and Street Lighting</v>
      </c>
      <c r="C13" s="123">
        <f>'Summary of Returns'!C17</f>
        <v>3</v>
      </c>
      <c r="D13" s="105">
        <f>'Billing Det'!C15</f>
        <v>34</v>
      </c>
      <c r="E13" s="124">
        <v>0</v>
      </c>
      <c r="F13" s="105">
        <f t="shared" ref="F13" si="2">E13*D13</f>
        <v>0</v>
      </c>
      <c r="G13" s="125">
        <f t="shared" ref="G13" si="3">F13/F$33</f>
        <v>0</v>
      </c>
    </row>
    <row r="14" spans="1:7" hidden="1" x14ac:dyDescent="0.25">
      <c r="A14" s="28"/>
      <c r="B14" s="14"/>
      <c r="C14" s="123"/>
      <c r="D14" s="105"/>
      <c r="E14" s="124"/>
      <c r="F14" s="124"/>
      <c r="G14" s="125">
        <f t="shared" si="1"/>
        <v>0</v>
      </c>
    </row>
    <row r="15" spans="1:7" hidden="1" x14ac:dyDescent="0.25">
      <c r="A15" s="28"/>
      <c r="B15" s="14"/>
      <c r="C15" s="123"/>
      <c r="D15" s="105"/>
      <c r="E15" s="124"/>
      <c r="F15" s="124"/>
      <c r="G15" s="125">
        <f t="shared" si="1"/>
        <v>0</v>
      </c>
    </row>
    <row r="16" spans="1:7" hidden="1" x14ac:dyDescent="0.25">
      <c r="A16" s="28"/>
      <c r="B16" s="14"/>
      <c r="C16" s="28"/>
      <c r="D16" s="105"/>
      <c r="E16" s="124"/>
      <c r="F16" s="124"/>
      <c r="G16" s="125">
        <f t="shared" si="1"/>
        <v>0</v>
      </c>
    </row>
    <row r="17" spans="1:7" hidden="1" x14ac:dyDescent="0.25">
      <c r="A17" s="28"/>
      <c r="B17" s="14"/>
      <c r="C17" s="28"/>
      <c r="D17" s="105"/>
      <c r="E17" s="124"/>
      <c r="F17" s="124"/>
      <c r="G17" s="125">
        <f t="shared" si="1"/>
        <v>0</v>
      </c>
    </row>
    <row r="18" spans="1:7" hidden="1" x14ac:dyDescent="0.25">
      <c r="A18" s="28"/>
      <c r="B18" s="102"/>
      <c r="C18" s="28"/>
      <c r="D18" s="105"/>
      <c r="E18" s="124"/>
      <c r="F18" s="124"/>
      <c r="G18" s="125">
        <f t="shared" si="1"/>
        <v>0</v>
      </c>
    </row>
    <row r="19" spans="1:7" hidden="1" x14ac:dyDescent="0.25">
      <c r="A19" s="28"/>
      <c r="B19" s="14"/>
      <c r="C19" s="28"/>
      <c r="D19" s="105"/>
      <c r="E19" s="124"/>
      <c r="F19" s="124"/>
      <c r="G19" s="125">
        <f t="shared" si="1"/>
        <v>0</v>
      </c>
    </row>
    <row r="20" spans="1:7" hidden="1" x14ac:dyDescent="0.25">
      <c r="A20" s="28"/>
      <c r="B20" s="14"/>
      <c r="C20" s="28"/>
      <c r="D20" s="105"/>
      <c r="E20" s="124"/>
      <c r="F20" s="124"/>
      <c r="G20" s="125">
        <f t="shared" si="1"/>
        <v>0</v>
      </c>
    </row>
    <row r="21" spans="1:7" hidden="1" x14ac:dyDescent="0.25">
      <c r="A21" s="28"/>
      <c r="B21" s="14"/>
      <c r="C21" s="28"/>
      <c r="D21" s="105"/>
      <c r="E21" s="124"/>
      <c r="F21" s="124"/>
      <c r="G21" s="125">
        <f t="shared" si="1"/>
        <v>0</v>
      </c>
    </row>
    <row r="22" spans="1:7" hidden="1" x14ac:dyDescent="0.25">
      <c r="A22" s="28"/>
      <c r="B22" s="14"/>
      <c r="C22" s="28"/>
      <c r="D22" s="105"/>
      <c r="E22" s="124"/>
      <c r="F22" s="124"/>
      <c r="G22" s="125">
        <f t="shared" si="1"/>
        <v>0</v>
      </c>
    </row>
    <row r="23" spans="1:7" hidden="1" x14ac:dyDescent="0.25">
      <c r="A23" s="28"/>
      <c r="B23" s="14"/>
      <c r="C23" s="28"/>
      <c r="D23" s="105"/>
      <c r="E23" s="124"/>
      <c r="F23" s="124"/>
      <c r="G23" s="125">
        <f t="shared" si="1"/>
        <v>0</v>
      </c>
    </row>
    <row r="24" spans="1:7" hidden="1" x14ac:dyDescent="0.25">
      <c r="A24" s="28"/>
      <c r="B24" s="14"/>
      <c r="C24" s="28"/>
      <c r="D24" s="105"/>
      <c r="E24" s="124"/>
      <c r="F24" s="124"/>
      <c r="G24" s="125">
        <f t="shared" si="1"/>
        <v>0</v>
      </c>
    </row>
    <row r="25" spans="1:7" hidden="1" x14ac:dyDescent="0.25">
      <c r="A25" s="28"/>
      <c r="B25" s="14"/>
      <c r="C25" s="28"/>
      <c r="D25" s="105"/>
      <c r="E25" s="124"/>
      <c r="F25" s="124"/>
      <c r="G25" s="125">
        <f t="shared" si="1"/>
        <v>0</v>
      </c>
    </row>
    <row r="26" spans="1:7" hidden="1" x14ac:dyDescent="0.25">
      <c r="A26" s="28"/>
      <c r="B26" s="14"/>
      <c r="C26" s="28"/>
      <c r="D26" s="105"/>
      <c r="E26" s="124"/>
      <c r="F26" s="124"/>
      <c r="G26" s="125">
        <f t="shared" si="1"/>
        <v>0</v>
      </c>
    </row>
    <row r="27" spans="1:7" hidden="1" x14ac:dyDescent="0.25">
      <c r="A27" s="28"/>
      <c r="B27" s="14"/>
      <c r="C27" s="28"/>
      <c r="D27" s="105"/>
      <c r="E27" s="124"/>
      <c r="F27" s="124"/>
      <c r="G27" s="125">
        <f t="shared" si="1"/>
        <v>0</v>
      </c>
    </row>
    <row r="28" spans="1:7" hidden="1" x14ac:dyDescent="0.25">
      <c r="A28" s="28"/>
      <c r="B28" s="14"/>
      <c r="C28" s="28"/>
      <c r="D28" s="105"/>
      <c r="E28" s="124"/>
      <c r="F28" s="124"/>
      <c r="G28" s="125">
        <f t="shared" si="1"/>
        <v>0</v>
      </c>
    </row>
    <row r="29" spans="1:7" hidden="1" x14ac:dyDescent="0.25">
      <c r="A29" s="28"/>
      <c r="B29" s="14"/>
      <c r="C29" s="28"/>
      <c r="D29" s="105"/>
      <c r="E29" s="124"/>
      <c r="F29" s="124"/>
      <c r="G29" s="125">
        <f t="shared" si="1"/>
        <v>0</v>
      </c>
    </row>
    <row r="30" spans="1:7" hidden="1" x14ac:dyDescent="0.25">
      <c r="A30" s="28"/>
      <c r="B30" s="14"/>
      <c r="C30" s="28"/>
      <c r="D30" s="105"/>
      <c r="E30" s="124"/>
      <c r="F30" s="124"/>
      <c r="G30" s="125">
        <f t="shared" si="1"/>
        <v>0</v>
      </c>
    </row>
    <row r="31" spans="1:7" hidden="1" x14ac:dyDescent="0.25">
      <c r="A31" s="28"/>
      <c r="B31" s="14"/>
      <c r="C31" s="28"/>
      <c r="D31" s="105"/>
      <c r="E31" s="124"/>
      <c r="F31" s="124"/>
      <c r="G31" s="125">
        <f t="shared" si="1"/>
        <v>0</v>
      </c>
    </row>
    <row r="32" spans="1:7" hidden="1" x14ac:dyDescent="0.25">
      <c r="A32" s="28"/>
      <c r="B32" s="14"/>
      <c r="C32" s="28"/>
      <c r="D32" s="105"/>
      <c r="E32" s="124"/>
      <c r="F32" s="124"/>
      <c r="G32" s="125">
        <f t="shared" si="1"/>
        <v>0</v>
      </c>
    </row>
    <row r="33" spans="1:7" ht="13.8" thickBot="1" x14ac:dyDescent="0.3">
      <c r="A33" s="28">
        <v>9</v>
      </c>
      <c r="B33" s="126" t="s">
        <v>0</v>
      </c>
      <c r="C33" s="127"/>
      <c r="D33" s="136">
        <f>SUM(D6:D32)</f>
        <v>17663.083333333332</v>
      </c>
      <c r="E33" s="137">
        <f>F33/D33</f>
        <v>12851.74656844313</v>
      </c>
      <c r="F33" s="138">
        <f>SUM(F6:F32)</f>
        <v>227001470.61729169</v>
      </c>
      <c r="G33" s="170">
        <f t="shared" si="1"/>
        <v>1</v>
      </c>
    </row>
    <row r="34" spans="1:7" ht="13.8" thickTop="1" x14ac:dyDescent="0.25">
      <c r="B34" s="133"/>
      <c r="C34" s="139"/>
    </row>
    <row r="35" spans="1:7" x14ac:dyDescent="0.25">
      <c r="B35" s="133"/>
      <c r="C35" s="139"/>
    </row>
    <row r="36" spans="1:7" x14ac:dyDescent="0.25">
      <c r="B36" s="133"/>
      <c r="C36" s="139"/>
    </row>
    <row r="37" spans="1:7" x14ac:dyDescent="0.25">
      <c r="B37" s="133"/>
      <c r="C37" s="139"/>
    </row>
    <row r="38" spans="1:7" x14ac:dyDescent="0.25">
      <c r="B38" s="133"/>
      <c r="C38" s="139"/>
    </row>
    <row r="39" spans="1:7" x14ac:dyDescent="0.25">
      <c r="B39" s="133"/>
      <c r="C39" s="139"/>
    </row>
    <row r="40" spans="1:7" x14ac:dyDescent="0.25">
      <c r="B40" s="133"/>
      <c r="C40" s="139"/>
    </row>
    <row r="41" spans="1:7" x14ac:dyDescent="0.25">
      <c r="B41" s="133"/>
      <c r="C41" s="139"/>
    </row>
    <row r="42" spans="1:7" x14ac:dyDescent="0.25">
      <c r="B42" s="133"/>
      <c r="C42" s="139"/>
    </row>
    <row r="43" spans="1:7" x14ac:dyDescent="0.25">
      <c r="B43" s="133"/>
      <c r="C43" s="139"/>
    </row>
    <row r="44" spans="1:7" x14ac:dyDescent="0.25">
      <c r="B44" s="133"/>
      <c r="C44" s="139"/>
    </row>
    <row r="45" spans="1:7" x14ac:dyDescent="0.25">
      <c r="B45" s="133"/>
      <c r="C45" s="139"/>
    </row>
    <row r="46" spans="1:7" x14ac:dyDescent="0.25">
      <c r="B46" s="133"/>
      <c r="C46" s="139"/>
    </row>
    <row r="47" spans="1:7" x14ac:dyDescent="0.25">
      <c r="B47" s="133"/>
      <c r="C47" s="139"/>
    </row>
    <row r="48" spans="1:7" x14ac:dyDescent="0.25">
      <c r="B48" s="133"/>
      <c r="C48" s="139"/>
    </row>
    <row r="49" spans="2:3" x14ac:dyDescent="0.25">
      <c r="B49" s="133"/>
      <c r="C49" s="139"/>
    </row>
    <row r="50" spans="2:3" x14ac:dyDescent="0.25">
      <c r="B50" s="133"/>
      <c r="C50" s="139"/>
    </row>
    <row r="51" spans="2:3" x14ac:dyDescent="0.25">
      <c r="B51" s="133"/>
      <c r="C51" s="139"/>
    </row>
    <row r="52" spans="2:3" x14ac:dyDescent="0.25">
      <c r="B52" s="133"/>
      <c r="C52" s="139"/>
    </row>
    <row r="53" spans="2:3" x14ac:dyDescent="0.25">
      <c r="B53" s="133"/>
      <c r="C53" s="139"/>
    </row>
    <row r="54" spans="2:3" x14ac:dyDescent="0.25">
      <c r="B54" s="133"/>
      <c r="C54" s="139"/>
    </row>
    <row r="55" spans="2:3" x14ac:dyDescent="0.25">
      <c r="B55" s="133"/>
      <c r="C55" s="139"/>
    </row>
    <row r="56" spans="2:3" x14ac:dyDescent="0.25">
      <c r="B56" s="133"/>
      <c r="C56" s="139"/>
    </row>
    <row r="57" spans="2:3" x14ac:dyDescent="0.25">
      <c r="B57" s="133"/>
      <c r="C57" s="139"/>
    </row>
    <row r="58" spans="2:3" x14ac:dyDescent="0.25">
      <c r="B58" s="133"/>
      <c r="C58" s="139"/>
    </row>
    <row r="59" spans="2:3" x14ac:dyDescent="0.25">
      <c r="B59" s="133"/>
      <c r="C59" s="139"/>
    </row>
    <row r="60" spans="2:3" x14ac:dyDescent="0.25">
      <c r="B60" s="133"/>
      <c r="C60" s="139"/>
    </row>
    <row r="61" spans="2:3" x14ac:dyDescent="0.25">
      <c r="B61" s="133"/>
      <c r="C61" s="139"/>
    </row>
    <row r="62" spans="2:3" x14ac:dyDescent="0.25">
      <c r="B62" s="133"/>
      <c r="C62" s="139"/>
    </row>
    <row r="63" spans="2:3" x14ac:dyDescent="0.25">
      <c r="B63" s="133"/>
      <c r="C63" s="139"/>
    </row>
    <row r="64" spans="2:3" x14ac:dyDescent="0.25">
      <c r="B64" s="133"/>
      <c r="C64" s="139"/>
    </row>
    <row r="65" spans="2:3" x14ac:dyDescent="0.25">
      <c r="B65" s="133"/>
      <c r="C65" s="139"/>
    </row>
    <row r="66" spans="2:3" x14ac:dyDescent="0.25">
      <c r="B66" s="133"/>
      <c r="C66" s="139"/>
    </row>
    <row r="67" spans="2:3" x14ac:dyDescent="0.25">
      <c r="B67" s="133"/>
      <c r="C67" s="139"/>
    </row>
    <row r="68" spans="2:3" x14ac:dyDescent="0.25">
      <c r="B68" s="133"/>
      <c r="C68" s="139"/>
    </row>
    <row r="69" spans="2:3" x14ac:dyDescent="0.25">
      <c r="B69" s="133"/>
      <c r="C69" s="139"/>
    </row>
    <row r="70" spans="2:3" x14ac:dyDescent="0.25">
      <c r="B70" s="133"/>
      <c r="C70" s="139"/>
    </row>
    <row r="71" spans="2:3" x14ac:dyDescent="0.25">
      <c r="B71" s="133"/>
      <c r="C71" s="139"/>
    </row>
    <row r="72" spans="2:3" x14ac:dyDescent="0.25">
      <c r="B72" s="133"/>
      <c r="C72" s="139"/>
    </row>
  </sheetData>
  <phoneticPr fontId="0" type="noConversion"/>
  <pageMargins left="0.75" right="0.75" top="1" bottom="1" header="0.5" footer="0.5"/>
  <pageSetup orientation="landscape" r:id="rId1"/>
  <headerFooter alignWithMargins="0">
    <oddFooter>&amp;RExhibit JW-7
Page &amp;P of &amp;N</oddFooter>
  </headerFooter>
  <ignoredErrors>
    <ignoredError sqref="E33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L12"/>
  <sheetViews>
    <sheetView workbookViewId="0">
      <selection activeCell="J24" sqref="J24"/>
    </sheetView>
  </sheetViews>
  <sheetFormatPr defaultRowHeight="13.8" x14ac:dyDescent="0.25"/>
  <cols>
    <col min="1" max="1" width="22" bestFit="1" customWidth="1"/>
    <col min="3" max="3" width="7" bestFit="1" customWidth="1"/>
    <col min="4" max="4" width="10.44140625" bestFit="1" customWidth="1"/>
    <col min="5" max="5" width="12" bestFit="1" customWidth="1"/>
    <col min="6" max="6" width="13.6640625" bestFit="1" customWidth="1"/>
    <col min="7" max="7" width="17.5546875" bestFit="1" customWidth="1"/>
    <col min="8" max="8" width="12.88671875" customWidth="1"/>
    <col min="9" max="9" width="14" bestFit="1" customWidth="1"/>
    <col min="10" max="10" width="22.88671875" bestFit="1" customWidth="1"/>
    <col min="11" max="11" width="15.109375" bestFit="1" customWidth="1"/>
    <col min="12" max="12" width="19.33203125" bestFit="1" customWidth="1"/>
    <col min="13" max="13" width="13.6640625" bestFit="1" customWidth="1"/>
    <col min="14" max="14" width="12" bestFit="1" customWidth="1"/>
    <col min="15" max="15" width="13.6640625" bestFit="1" customWidth="1"/>
    <col min="16" max="16" width="14.109375" bestFit="1" customWidth="1"/>
    <col min="17" max="17" width="13.88671875" customWidth="1"/>
    <col min="18" max="18" width="16.33203125" bestFit="1" customWidth="1"/>
    <col min="19" max="19" width="13.6640625" bestFit="1" customWidth="1"/>
    <col min="20" max="20" width="6.6640625" bestFit="1" customWidth="1"/>
  </cols>
  <sheetData>
    <row r="1" spans="1:38" x14ac:dyDescent="0.25">
      <c r="A1" s="1"/>
      <c r="B1" s="1"/>
      <c r="C1" s="1"/>
      <c r="D1" s="1"/>
    </row>
    <row r="2" spans="1:38" ht="55.2" x14ac:dyDescent="0.25">
      <c r="A2" s="2"/>
      <c r="B2" s="2"/>
      <c r="C2" s="5"/>
      <c r="D2" s="6" t="s">
        <v>206</v>
      </c>
      <c r="E2" s="5" t="s">
        <v>0</v>
      </c>
      <c r="F2" s="10" t="s">
        <v>713</v>
      </c>
      <c r="G2" s="10" t="s">
        <v>720</v>
      </c>
      <c r="H2" s="10" t="s">
        <v>724</v>
      </c>
      <c r="I2" s="10" t="s">
        <v>725</v>
      </c>
      <c r="J2" s="10" t="s">
        <v>726</v>
      </c>
      <c r="K2" s="10" t="s">
        <v>727</v>
      </c>
      <c r="L2" s="10" t="s">
        <v>728</v>
      </c>
      <c r="M2" s="10" t="s">
        <v>729</v>
      </c>
      <c r="N2" s="10" t="s">
        <v>716</v>
      </c>
      <c r="O2" s="10" t="s">
        <v>717</v>
      </c>
      <c r="P2" s="10" t="s">
        <v>718</v>
      </c>
      <c r="Q2" s="10" t="s">
        <v>719</v>
      </c>
      <c r="R2" s="10" t="s">
        <v>730</v>
      </c>
      <c r="S2" s="2"/>
      <c r="T2" s="2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</row>
    <row r="3" spans="1:38" ht="14.4" thickBot="1" x14ac:dyDescent="0.3">
      <c r="A3" s="7" t="s">
        <v>6</v>
      </c>
      <c r="B3" s="7"/>
      <c r="C3" s="8" t="s">
        <v>7</v>
      </c>
      <c r="D3" s="8" t="s">
        <v>8</v>
      </c>
      <c r="E3" s="9" t="s">
        <v>9</v>
      </c>
      <c r="F3" s="9" t="s">
        <v>723</v>
      </c>
      <c r="G3" s="9" t="s">
        <v>735</v>
      </c>
      <c r="H3" s="9" t="s">
        <v>734</v>
      </c>
      <c r="I3" s="9" t="s">
        <v>732</v>
      </c>
      <c r="J3" s="9" t="s">
        <v>733</v>
      </c>
      <c r="K3" s="9" t="s">
        <v>714</v>
      </c>
      <c r="L3" s="9" t="s">
        <v>701</v>
      </c>
      <c r="M3" s="9" t="s">
        <v>736</v>
      </c>
      <c r="N3" s="9" t="s">
        <v>737</v>
      </c>
      <c r="O3" s="9" t="s">
        <v>738</v>
      </c>
      <c r="P3" s="9" t="s">
        <v>739</v>
      </c>
      <c r="Q3" s="9" t="s">
        <v>740</v>
      </c>
      <c r="R3" s="9" t="s">
        <v>731</v>
      </c>
      <c r="S3" s="9" t="s">
        <v>13</v>
      </c>
      <c r="T3" s="9" t="s">
        <v>14</v>
      </c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</row>
    <row r="6" spans="1:38" x14ac:dyDescent="0.25">
      <c r="A6" t="s">
        <v>11</v>
      </c>
      <c r="C6" t="s">
        <v>741</v>
      </c>
      <c r="E6">
        <v>627658396</v>
      </c>
      <c r="F6">
        <v>234442443</v>
      </c>
      <c r="G6">
        <v>29430668</v>
      </c>
      <c r="H6">
        <v>151558</v>
      </c>
      <c r="I6">
        <v>72078019</v>
      </c>
      <c r="J6">
        <v>893794</v>
      </c>
      <c r="K6">
        <v>91720927</v>
      </c>
      <c r="L6">
        <v>1679700</v>
      </c>
      <c r="M6">
        <v>1146779</v>
      </c>
      <c r="N6">
        <v>15538140</v>
      </c>
      <c r="O6">
        <v>176471400</v>
      </c>
      <c r="P6">
        <v>1286846</v>
      </c>
      <c r="Q6">
        <v>18751</v>
      </c>
      <c r="R6">
        <v>2799371</v>
      </c>
      <c r="S6">
        <f>SUM(F6:R6)</f>
        <v>627658396</v>
      </c>
      <c r="T6" s="4" t="str">
        <f>IF(ABS(E6-S6)&lt;0.01,"ok","err")</f>
        <v>ok</v>
      </c>
    </row>
    <row r="7" spans="1:38" x14ac:dyDescent="0.25">
      <c r="A7" t="s">
        <v>742</v>
      </c>
      <c r="E7" s="3">
        <v>4.253478393504951E-2</v>
      </c>
      <c r="F7" s="12">
        <v>4.9813835559603975E-2</v>
      </c>
      <c r="G7" s="12">
        <f>F7</f>
        <v>4.9813835559603975E-2</v>
      </c>
      <c r="H7" s="12">
        <f>F7</f>
        <v>4.9813835559603975E-2</v>
      </c>
      <c r="I7" s="12">
        <f>F7</f>
        <v>4.9813835559603975E-2</v>
      </c>
      <c r="J7" s="12">
        <f>F7</f>
        <v>4.9813835559603975E-2</v>
      </c>
      <c r="K7" s="12">
        <f>F7-0.01</f>
        <v>3.9813835559603973E-2</v>
      </c>
      <c r="L7" s="12">
        <f>F7-0.01</f>
        <v>3.9813835559603973E-2</v>
      </c>
      <c r="M7" s="12">
        <f>F7</f>
        <v>4.9813835559603975E-2</v>
      </c>
      <c r="N7" s="12">
        <v>1.4999999999999999E-2</v>
      </c>
      <c r="O7" s="12">
        <v>0.01</v>
      </c>
      <c r="P7" s="12">
        <f>F7</f>
        <v>4.9813835559603975E-2</v>
      </c>
      <c r="Q7" s="12">
        <f>F7</f>
        <v>4.9813835559603975E-2</v>
      </c>
      <c r="R7" s="12">
        <f>F7</f>
        <v>4.9813835559603975E-2</v>
      </c>
      <c r="S7" s="3">
        <f>AVERAGE(F7:R7)</f>
        <v>4.253478393504951E-2</v>
      </c>
      <c r="T7" s="4" t="str">
        <f>IF(ABS(E7-S7)&lt;0.001,"ok","err")</f>
        <v>ok</v>
      </c>
    </row>
    <row r="8" spans="1:38" x14ac:dyDescent="0.25">
      <c r="A8" t="s">
        <v>743</v>
      </c>
      <c r="C8" t="s">
        <v>11</v>
      </c>
      <c r="E8">
        <v>651492867.00002527</v>
      </c>
      <c r="F8">
        <f t="shared" ref="F8:R8" si="0">F6/(1-F7)</f>
        <v>246733168.48185518</v>
      </c>
      <c r="G8">
        <f t="shared" si="0"/>
        <v>30973580.863843601</v>
      </c>
      <c r="H8">
        <f t="shared" si="0"/>
        <v>159503.4801304003</v>
      </c>
      <c r="I8">
        <f t="shared" si="0"/>
        <v>75856733.866936207</v>
      </c>
      <c r="J8">
        <f t="shared" si="0"/>
        <v>940651.45699778979</v>
      </c>
      <c r="K8">
        <f t="shared" si="0"/>
        <v>95524108.133192763</v>
      </c>
      <c r="L8">
        <f t="shared" si="0"/>
        <v>1749348.2641243245</v>
      </c>
      <c r="M8">
        <f t="shared" si="0"/>
        <v>1206899.2823899784</v>
      </c>
      <c r="N8">
        <f t="shared" si="0"/>
        <v>15774761.421319798</v>
      </c>
      <c r="O8">
        <f t="shared" si="0"/>
        <v>178253939.39393941</v>
      </c>
      <c r="P8">
        <f t="shared" si="0"/>
        <v>1354309.3429042685</v>
      </c>
      <c r="Q8">
        <f t="shared" si="0"/>
        <v>19734.027606098894</v>
      </c>
      <c r="R8">
        <f t="shared" si="0"/>
        <v>2946128.9847854874</v>
      </c>
      <c r="S8">
        <f>SUM(F8:R8)</f>
        <v>651492867.00002527</v>
      </c>
      <c r="T8" s="4" t="str">
        <f>IF(ABS(E8-S8)&lt;0.01,"ok","err")</f>
        <v>ok</v>
      </c>
    </row>
    <row r="11" spans="1:38" x14ac:dyDescent="0.25">
      <c r="S11">
        <v>651492867</v>
      </c>
    </row>
    <row r="12" spans="1:38" x14ac:dyDescent="0.25">
      <c r="E12">
        <v>651492867</v>
      </c>
    </row>
  </sheetData>
  <dataConsolidate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09"/>
  <sheetViews>
    <sheetView view="pageBreakPreview" topLeftCell="A85" zoomScale="75" zoomScaleNormal="100" zoomScaleSheetLayoutView="75" workbookViewId="0">
      <selection activeCell="L98" sqref="L98"/>
    </sheetView>
  </sheetViews>
  <sheetFormatPr defaultColWidth="9.109375" defaultRowHeight="13.2" x14ac:dyDescent="0.25"/>
  <cols>
    <col min="1" max="1" width="3.109375" style="14" customWidth="1"/>
    <col min="2" max="2" width="33.6640625" style="14" customWidth="1"/>
    <col min="3" max="3" width="10.44140625" style="14" bestFit="1" customWidth="1"/>
    <col min="4" max="4" width="16.88671875" style="14" bestFit="1" customWidth="1"/>
    <col min="5" max="5" width="12.6640625" style="14" bestFit="1" customWidth="1"/>
    <col min="6" max="6" width="11.5546875" style="14" bestFit="1" customWidth="1"/>
    <col min="7" max="7" width="3.6640625" style="14" customWidth="1"/>
    <col min="8" max="8" width="12" style="14" bestFit="1" customWidth="1"/>
    <col min="9" max="9" width="14" style="14" bestFit="1" customWidth="1"/>
    <col min="10" max="10" width="11.33203125" style="14" customWidth="1"/>
    <col min="11" max="11" width="2.33203125" style="14" customWidth="1"/>
    <col min="12" max="12" width="6.33203125" style="28" customWidth="1"/>
    <col min="13" max="13" width="8.6640625" style="14" bestFit="1" customWidth="1"/>
    <col min="14" max="16384" width="9.109375" style="14"/>
  </cols>
  <sheetData>
    <row r="1" spans="1:13" x14ac:dyDescent="0.25">
      <c r="A1" s="13" t="str">
        <f>'Summary of Returns'!A1</f>
        <v>SHELBY ENERGY</v>
      </c>
    </row>
    <row r="2" spans="1:13" x14ac:dyDescent="0.25">
      <c r="A2" s="13" t="s">
        <v>993</v>
      </c>
    </row>
    <row r="4" spans="1:13" x14ac:dyDescent="0.25">
      <c r="A4" s="13" t="s">
        <v>981</v>
      </c>
      <c r="B4" s="15"/>
      <c r="D4" s="33"/>
      <c r="E4" s="33"/>
      <c r="F4" s="33"/>
      <c r="G4" s="33"/>
      <c r="H4" s="33"/>
      <c r="I4" s="33"/>
      <c r="J4" s="33"/>
      <c r="K4" s="33"/>
      <c r="L4" s="34"/>
      <c r="M4" s="33"/>
    </row>
    <row r="5" spans="1:13" x14ac:dyDescent="0.25">
      <c r="F5" s="58" t="s">
        <v>956</v>
      </c>
      <c r="I5" s="58" t="s">
        <v>957</v>
      </c>
    </row>
    <row r="6" spans="1:13" x14ac:dyDescent="0.25">
      <c r="C6" s="16"/>
      <c r="D6" s="58"/>
      <c r="E6" s="17"/>
      <c r="F6" s="58" t="s">
        <v>958</v>
      </c>
      <c r="H6" s="58"/>
      <c r="I6" s="58"/>
      <c r="J6" s="58"/>
      <c r="K6" s="58"/>
    </row>
    <row r="7" spans="1:13" x14ac:dyDescent="0.25">
      <c r="B7" s="18" t="s">
        <v>6</v>
      </c>
      <c r="C7" s="19" t="s">
        <v>959</v>
      </c>
      <c r="D7" s="106" t="s">
        <v>960</v>
      </c>
      <c r="E7" s="20" t="s">
        <v>961</v>
      </c>
      <c r="F7" s="106" t="s">
        <v>962</v>
      </c>
      <c r="H7" s="21" t="s">
        <v>963</v>
      </c>
      <c r="I7" s="21" t="s">
        <v>964</v>
      </c>
      <c r="J7" s="21" t="s">
        <v>965</v>
      </c>
      <c r="K7" s="22"/>
    </row>
    <row r="8" spans="1:13" x14ac:dyDescent="0.25">
      <c r="B8" s="14" t="s">
        <v>1047</v>
      </c>
      <c r="C8" s="24">
        <v>105.53</v>
      </c>
      <c r="D8" s="41">
        <v>8803201</v>
      </c>
      <c r="E8" s="23">
        <v>13031157</v>
      </c>
      <c r="F8" s="24">
        <f t="shared" ref="F8" si="0">D8/E8</f>
        <v>0.67555022167256518</v>
      </c>
      <c r="G8" s="35"/>
      <c r="H8" s="24">
        <f t="shared" ref="H8" si="1">F8*E8^0.5</f>
        <v>2438.6480654202951</v>
      </c>
      <c r="I8" s="24">
        <f t="shared" ref="I8:I9" si="2">E8^0.5</f>
        <v>3609.8693882189145</v>
      </c>
      <c r="J8" s="24">
        <f t="shared" ref="J8:J9" si="3">C8*E8^0.5</f>
        <v>380949.51653874206</v>
      </c>
      <c r="K8" s="24"/>
    </row>
    <row r="9" spans="1:13" x14ac:dyDescent="0.25">
      <c r="B9" s="14" t="s">
        <v>1046</v>
      </c>
      <c r="C9" s="24">
        <v>167.8</v>
      </c>
      <c r="D9" s="24">
        <v>4602127.8499999996</v>
      </c>
      <c r="E9" s="23">
        <v>4617948</v>
      </c>
      <c r="F9" s="24">
        <f t="shared" ref="F9" si="4">D9/E9</f>
        <v>0.99657420352069781</v>
      </c>
      <c r="G9" s="35"/>
      <c r="H9" s="24">
        <f t="shared" ref="H9" si="5">F9*E9^0.5</f>
        <v>2141.5792996324394</v>
      </c>
      <c r="I9" s="24">
        <f t="shared" si="2"/>
        <v>2148.941134605599</v>
      </c>
      <c r="J9" s="24">
        <f t="shared" si="3"/>
        <v>360592.32238681952</v>
      </c>
      <c r="K9" s="24"/>
    </row>
    <row r="10" spans="1:13" x14ac:dyDescent="0.25">
      <c r="B10" s="25" t="s">
        <v>857</v>
      </c>
      <c r="D10" s="36">
        <f>SUM(D8:D9)</f>
        <v>13405328.85</v>
      </c>
      <c r="E10" s="37">
        <f>SUM(E8:E9)</f>
        <v>17649105</v>
      </c>
    </row>
    <row r="12" spans="1:13" x14ac:dyDescent="0.25">
      <c r="B12" s="18" t="s">
        <v>966</v>
      </c>
      <c r="H12" s="259" t="s">
        <v>967</v>
      </c>
      <c r="I12" s="259"/>
    </row>
    <row r="14" spans="1:13" x14ac:dyDescent="0.25">
      <c r="B14" s="14" t="s">
        <v>968</v>
      </c>
      <c r="D14" s="38">
        <f>H14</f>
        <v>5.155355417506547E-3</v>
      </c>
      <c r="H14" s="38">
        <f t="array" ref="H14:I16">LINEST(H8:H9,I8:J9,FALSE,TRUE)</f>
        <v>5.155355417506547E-3</v>
      </c>
      <c r="I14" s="38">
        <v>0.13150556446309947</v>
      </c>
    </row>
    <row r="15" spans="1:13" x14ac:dyDescent="0.25">
      <c r="B15" s="14" t="s">
        <v>969</v>
      </c>
      <c r="D15" s="38">
        <f>I14</f>
        <v>0.13150556446309947</v>
      </c>
      <c r="H15" s="38">
        <v>0</v>
      </c>
      <c r="I15" s="38">
        <v>0</v>
      </c>
    </row>
    <row r="16" spans="1:13" x14ac:dyDescent="0.25">
      <c r="B16" s="14" t="s">
        <v>970</v>
      </c>
      <c r="D16" s="39">
        <f>H16</f>
        <v>1</v>
      </c>
      <c r="H16" s="38">
        <v>1</v>
      </c>
      <c r="I16" s="38">
        <v>0</v>
      </c>
    </row>
    <row r="17" spans="1:13" x14ac:dyDescent="0.25">
      <c r="H17" s="38"/>
      <c r="I17" s="38"/>
    </row>
    <row r="18" spans="1:13" x14ac:dyDescent="0.25">
      <c r="B18" s="26" t="s">
        <v>971</v>
      </c>
      <c r="C18" s="40"/>
    </row>
    <row r="19" spans="1:13" x14ac:dyDescent="0.25">
      <c r="C19" s="40"/>
    </row>
    <row r="20" spans="1:13" x14ac:dyDescent="0.25">
      <c r="B20" s="14" t="s">
        <v>972</v>
      </c>
      <c r="C20" s="40"/>
      <c r="D20" s="35">
        <f>E10</f>
        <v>17649105</v>
      </c>
    </row>
    <row r="21" spans="1:13" x14ac:dyDescent="0.25">
      <c r="B21" s="14" t="s">
        <v>973</v>
      </c>
      <c r="C21" s="40"/>
      <c r="D21" s="41">
        <f>D15</f>
        <v>0.13150556446309947</v>
      </c>
      <c r="E21" s="27"/>
      <c r="F21" s="28"/>
    </row>
    <row r="22" spans="1:13" x14ac:dyDescent="0.25">
      <c r="B22" s="14" t="s">
        <v>974</v>
      </c>
      <c r="C22" s="40"/>
      <c r="D22" s="41">
        <f>MIN(F8:F9)</f>
        <v>0.67555022167256518</v>
      </c>
    </row>
    <row r="23" spans="1:13" x14ac:dyDescent="0.25">
      <c r="B23" s="14" t="s">
        <v>975</v>
      </c>
      <c r="C23" s="40"/>
      <c r="D23" s="152" t="s">
        <v>982</v>
      </c>
    </row>
    <row r="24" spans="1:13" x14ac:dyDescent="0.25">
      <c r="B24" s="14" t="s">
        <v>976</v>
      </c>
      <c r="C24" s="40"/>
      <c r="D24" s="42">
        <f>IF(D23="Z",D20*D21,D20*D22)</f>
        <v>2320955.5152935111</v>
      </c>
    </row>
    <row r="25" spans="1:13" x14ac:dyDescent="0.25">
      <c r="B25" s="14" t="s">
        <v>977</v>
      </c>
      <c r="C25" s="40"/>
      <c r="D25" s="42">
        <f>D10</f>
        <v>13405328.85</v>
      </c>
    </row>
    <row r="26" spans="1:13" x14ac:dyDescent="0.25">
      <c r="B26" s="14" t="s">
        <v>978</v>
      </c>
      <c r="C26" s="40"/>
      <c r="D26" s="43">
        <f>D24/D25</f>
        <v>0.17313678323478884</v>
      </c>
    </row>
    <row r="27" spans="1:13" x14ac:dyDescent="0.25">
      <c r="B27" s="14" t="s">
        <v>979</v>
      </c>
      <c r="C27" s="40"/>
      <c r="D27" s="44">
        <f>D26</f>
        <v>0.17313678323478884</v>
      </c>
    </row>
    <row r="28" spans="1:13" x14ac:dyDescent="0.25">
      <c r="B28" s="14" t="s">
        <v>980</v>
      </c>
      <c r="C28" s="40"/>
      <c r="D28" s="45">
        <f>1-D27</f>
        <v>0.82686321676521113</v>
      </c>
    </row>
    <row r="30" spans="1:13" x14ac:dyDescent="0.25">
      <c r="A30" s="13" t="s">
        <v>983</v>
      </c>
      <c r="B30" s="15"/>
      <c r="D30" s="33"/>
      <c r="E30" s="33"/>
      <c r="F30" s="33"/>
      <c r="G30" s="33"/>
      <c r="H30" s="33"/>
      <c r="I30" s="33"/>
      <c r="J30" s="33"/>
      <c r="K30" s="33"/>
      <c r="L30" s="34"/>
      <c r="M30" s="33"/>
    </row>
    <row r="31" spans="1:13" x14ac:dyDescent="0.25">
      <c r="F31" s="58" t="s">
        <v>956</v>
      </c>
      <c r="I31" s="58" t="s">
        <v>957</v>
      </c>
    </row>
    <row r="32" spans="1:13" x14ac:dyDescent="0.25">
      <c r="C32" s="16"/>
      <c r="D32" s="58"/>
      <c r="E32" s="17"/>
      <c r="F32" s="58" t="s">
        <v>958</v>
      </c>
      <c r="H32" s="58"/>
      <c r="I32" s="58"/>
      <c r="J32" s="58"/>
      <c r="K32" s="58"/>
    </row>
    <row r="33" spans="2:11" x14ac:dyDescent="0.25">
      <c r="B33" s="18" t="s">
        <v>6</v>
      </c>
      <c r="C33" s="19" t="s">
        <v>959</v>
      </c>
      <c r="D33" s="106" t="s">
        <v>960</v>
      </c>
      <c r="E33" s="20" t="s">
        <v>961</v>
      </c>
      <c r="F33" s="106" t="s">
        <v>962</v>
      </c>
      <c r="H33" s="21" t="s">
        <v>963</v>
      </c>
      <c r="I33" s="21" t="s">
        <v>964</v>
      </c>
      <c r="J33" s="21" t="s">
        <v>965</v>
      </c>
      <c r="K33" s="22"/>
    </row>
    <row r="34" spans="2:11" x14ac:dyDescent="0.25">
      <c r="B34" s="14" t="s">
        <v>1048</v>
      </c>
      <c r="C34" s="24">
        <v>105.53</v>
      </c>
      <c r="D34" s="41">
        <v>130352.8</v>
      </c>
      <c r="E34" s="23">
        <v>44888</v>
      </c>
      <c r="F34" s="24">
        <f t="shared" ref="F34:F37" si="6">D34/E34</f>
        <v>2.903956513990376</v>
      </c>
      <c r="H34" s="24">
        <f t="shared" ref="H34:H37" si="7">F34*E34^0.5</f>
        <v>615.25511999241803</v>
      </c>
      <c r="I34" s="24">
        <f t="shared" ref="I34:I37" si="8">E34^0.5</f>
        <v>211.8678833613061</v>
      </c>
      <c r="J34" s="24">
        <f t="shared" ref="J34:J37" si="9">C34*E34^0.5</f>
        <v>22358.417731118632</v>
      </c>
      <c r="K34" s="24"/>
    </row>
    <row r="35" spans="2:11" x14ac:dyDescent="0.25">
      <c r="B35" s="14" t="s">
        <v>1049</v>
      </c>
      <c r="C35" s="24">
        <v>211.59</v>
      </c>
      <c r="D35" s="24">
        <v>856116.3</v>
      </c>
      <c r="E35" s="23">
        <v>132180</v>
      </c>
      <c r="F35" s="24">
        <f t="shared" si="6"/>
        <v>6.4768974126191559</v>
      </c>
      <c r="H35" s="24">
        <f t="shared" si="7"/>
        <v>2354.7775793843216</v>
      </c>
      <c r="I35" s="24">
        <f t="shared" si="8"/>
        <v>363.56567494745707</v>
      </c>
      <c r="J35" s="24">
        <f t="shared" si="9"/>
        <v>76926.861162132438</v>
      </c>
      <c r="K35" s="24"/>
    </row>
    <row r="36" spans="2:11" x14ac:dyDescent="0.25">
      <c r="B36" s="14" t="s">
        <v>1050</v>
      </c>
      <c r="C36" s="24">
        <v>105.53</v>
      </c>
      <c r="D36" s="24">
        <v>3991679</v>
      </c>
      <c r="E36" s="23">
        <v>832671</v>
      </c>
      <c r="F36" s="24">
        <f t="shared" si="6"/>
        <v>4.7938249320559985</v>
      </c>
      <c r="H36" s="24">
        <f t="shared" si="7"/>
        <v>4374.4039949419803</v>
      </c>
      <c r="I36" s="24">
        <f t="shared" si="8"/>
        <v>912.5080821559884</v>
      </c>
      <c r="J36" s="24">
        <f t="shared" si="9"/>
        <v>96296.97790992145</v>
      </c>
      <c r="K36" s="24"/>
    </row>
    <row r="37" spans="2:11" x14ac:dyDescent="0.25">
      <c r="B37" s="14" t="s">
        <v>1051</v>
      </c>
      <c r="C37" s="24">
        <v>211.59</v>
      </c>
      <c r="D37" s="24">
        <v>492614.59</v>
      </c>
      <c r="E37" s="23">
        <v>71583</v>
      </c>
      <c r="F37" s="24">
        <f t="shared" si="6"/>
        <v>6.8817259684561982</v>
      </c>
      <c r="H37" s="24">
        <f t="shared" si="7"/>
        <v>1841.2057507088673</v>
      </c>
      <c r="I37" s="24">
        <f t="shared" si="8"/>
        <v>267.54999532797603</v>
      </c>
      <c r="J37" s="24">
        <f t="shared" si="9"/>
        <v>56610.90351144645</v>
      </c>
      <c r="K37" s="24"/>
    </row>
    <row r="38" spans="2:11" x14ac:dyDescent="0.25">
      <c r="B38" s="25" t="s">
        <v>857</v>
      </c>
      <c r="D38" s="36">
        <f>SUM(D34:D37)</f>
        <v>5470762.6899999995</v>
      </c>
      <c r="E38" s="37">
        <f>SUM(E34:E37)</f>
        <v>1081322</v>
      </c>
    </row>
    <row r="40" spans="2:11" x14ac:dyDescent="0.25">
      <c r="B40" s="18" t="s">
        <v>966</v>
      </c>
      <c r="H40" s="259" t="s">
        <v>967</v>
      </c>
      <c r="I40" s="259"/>
    </row>
    <row r="42" spans="2:11" x14ac:dyDescent="0.25">
      <c r="B42" s="14" t="s">
        <v>968</v>
      </c>
      <c r="D42" s="38">
        <f>H42</f>
        <v>1.8121435696040654E-2</v>
      </c>
      <c r="H42" s="38">
        <f t="array" ref="H42:I44">LINEST(H34:H37,I34:J37,FALSE,TRUE)</f>
        <v>1.8121435696040654E-2</v>
      </c>
      <c r="I42" s="38">
        <v>2.7848012075521829</v>
      </c>
    </row>
    <row r="43" spans="2:11" x14ac:dyDescent="0.25">
      <c r="B43" s="14" t="s">
        <v>969</v>
      </c>
      <c r="D43" s="38">
        <f>I42</f>
        <v>2.7848012075521829</v>
      </c>
      <c r="H43" s="38">
        <v>6.5524769685977695E-3</v>
      </c>
      <c r="I43" s="38">
        <v>0.86617904694019487</v>
      </c>
    </row>
    <row r="44" spans="2:11" x14ac:dyDescent="0.25">
      <c r="B44" s="14" t="s">
        <v>970</v>
      </c>
      <c r="D44" s="39">
        <f>H44</f>
        <v>0.99438532807797797</v>
      </c>
      <c r="H44" s="38">
        <v>0.99438532807797797</v>
      </c>
      <c r="I44" s="38">
        <v>282.60538417990301</v>
      </c>
    </row>
    <row r="45" spans="2:11" x14ac:dyDescent="0.25">
      <c r="H45" s="38"/>
      <c r="I45" s="38"/>
    </row>
    <row r="46" spans="2:11" x14ac:dyDescent="0.25">
      <c r="B46" s="26" t="s">
        <v>971</v>
      </c>
      <c r="C46" s="40"/>
    </row>
    <row r="47" spans="2:11" x14ac:dyDescent="0.25">
      <c r="C47" s="40"/>
    </row>
    <row r="48" spans="2:11" x14ac:dyDescent="0.25">
      <c r="B48" s="14" t="s">
        <v>972</v>
      </c>
      <c r="C48" s="40"/>
      <c r="D48" s="35">
        <f>E38</f>
        <v>1081322</v>
      </c>
    </row>
    <row r="49" spans="1:13" x14ac:dyDescent="0.25">
      <c r="B49" s="14" t="s">
        <v>973</v>
      </c>
      <c r="C49" s="40"/>
      <c r="D49" s="41">
        <f>D43</f>
        <v>2.7848012075521829</v>
      </c>
      <c r="E49" s="27"/>
      <c r="F49" s="28"/>
    </row>
    <row r="50" spans="1:13" x14ac:dyDescent="0.25">
      <c r="B50" s="14" t="s">
        <v>974</v>
      </c>
      <c r="C50" s="40"/>
      <c r="D50" s="41">
        <f>MIN(F34:F37)</f>
        <v>2.903956513990376</v>
      </c>
    </row>
    <row r="51" spans="1:13" x14ac:dyDescent="0.25">
      <c r="B51" s="14" t="s">
        <v>975</v>
      </c>
      <c r="C51" s="40"/>
      <c r="D51" s="152" t="s">
        <v>982</v>
      </c>
    </row>
    <row r="52" spans="1:13" x14ac:dyDescent="0.25">
      <c r="B52" s="14" t="s">
        <v>976</v>
      </c>
      <c r="C52" s="40"/>
      <c r="D52" s="42">
        <f>IF(D51="Z",D48*D49,D48*D50)</f>
        <v>3011266.8113527414</v>
      </c>
    </row>
    <row r="53" spans="1:13" x14ac:dyDescent="0.25">
      <c r="B53" s="14" t="s">
        <v>977</v>
      </c>
      <c r="C53" s="40"/>
      <c r="D53" s="42">
        <f>D38</f>
        <v>5470762.6899999995</v>
      </c>
    </row>
    <row r="54" spans="1:13" x14ac:dyDescent="0.25">
      <c r="B54" s="14" t="s">
        <v>978</v>
      </c>
      <c r="C54" s="40"/>
      <c r="D54" s="43">
        <f>D52/D53</f>
        <v>0.55042906848382078</v>
      </c>
    </row>
    <row r="55" spans="1:13" x14ac:dyDescent="0.25">
      <c r="B55" s="14" t="s">
        <v>979</v>
      </c>
      <c r="C55" s="40"/>
      <c r="D55" s="44">
        <f>D54</f>
        <v>0.55042906848382078</v>
      </c>
    </row>
    <row r="56" spans="1:13" x14ac:dyDescent="0.25">
      <c r="B56" s="14" t="s">
        <v>980</v>
      </c>
      <c r="C56" s="40"/>
      <c r="D56" s="45">
        <f>1-D55</f>
        <v>0.44957093151617922</v>
      </c>
    </row>
    <row r="58" spans="1:13" x14ac:dyDescent="0.25">
      <c r="A58" s="13" t="s">
        <v>984</v>
      </c>
      <c r="B58" s="15"/>
      <c r="C58" s="33"/>
      <c r="D58" s="33"/>
      <c r="E58" s="33"/>
      <c r="F58" s="33"/>
      <c r="G58" s="33"/>
      <c r="H58" s="33"/>
      <c r="I58" s="33"/>
      <c r="J58" s="33"/>
      <c r="K58" s="33"/>
      <c r="L58" s="34"/>
      <c r="M58" s="33"/>
    </row>
    <row r="59" spans="1:13" x14ac:dyDescent="0.25">
      <c r="F59" s="58" t="s">
        <v>956</v>
      </c>
      <c r="I59" s="58" t="s">
        <v>957</v>
      </c>
      <c r="L59" s="260" t="s">
        <v>985</v>
      </c>
      <c r="M59" s="260"/>
    </row>
    <row r="60" spans="1:13" x14ac:dyDescent="0.25">
      <c r="C60" s="16"/>
      <c r="D60" s="58"/>
      <c r="E60" s="17"/>
      <c r="F60" s="58" t="s">
        <v>958</v>
      </c>
      <c r="H60" s="58"/>
      <c r="I60" s="58"/>
      <c r="J60" s="58"/>
      <c r="K60" s="58"/>
    </row>
    <row r="61" spans="1:13" x14ac:dyDescent="0.25">
      <c r="B61" s="18" t="s">
        <v>6</v>
      </c>
      <c r="C61" s="19" t="s">
        <v>959</v>
      </c>
      <c r="D61" s="106" t="s">
        <v>960</v>
      </c>
      <c r="E61" s="20" t="s">
        <v>961</v>
      </c>
      <c r="F61" s="106" t="s">
        <v>962</v>
      </c>
      <c r="H61" s="21" t="s">
        <v>963</v>
      </c>
      <c r="I61" s="21" t="s">
        <v>964</v>
      </c>
      <c r="J61" s="21" t="s">
        <v>965</v>
      </c>
      <c r="K61" s="22"/>
      <c r="L61" s="20" t="s">
        <v>986</v>
      </c>
      <c r="M61" s="29" t="s">
        <v>987</v>
      </c>
    </row>
    <row r="62" spans="1:13" x14ac:dyDescent="0.25">
      <c r="B62" s="14" t="s">
        <v>1052</v>
      </c>
      <c r="C62" s="24">
        <v>1.5</v>
      </c>
      <c r="D62" s="41">
        <v>46907.39</v>
      </c>
      <c r="E62" s="23">
        <v>55</v>
      </c>
      <c r="F62" s="24">
        <f t="shared" ref="F62:F83" si="10">D62/E62</f>
        <v>852.86163636363631</v>
      </c>
      <c r="G62" s="35"/>
      <c r="H62" s="24">
        <f t="shared" ref="H62:H83" si="11">F62*E62^0.5</f>
        <v>6324.9911773019312</v>
      </c>
      <c r="I62" s="24">
        <f t="shared" ref="I62:I83" si="12">E62^0.5</f>
        <v>7.416198487095663</v>
      </c>
      <c r="J62" s="24">
        <f t="shared" ref="J62:J83" si="13">C62*E62^0.5</f>
        <v>11.124297730643494</v>
      </c>
      <c r="K62" s="24"/>
      <c r="L62" s="28">
        <f>IF(C62&gt;50,0,1)</f>
        <v>1</v>
      </c>
      <c r="M62" s="35">
        <f t="shared" ref="M62:M83" si="14">L62*E62</f>
        <v>55</v>
      </c>
    </row>
    <row r="63" spans="1:13" x14ac:dyDescent="0.25">
      <c r="B63" s="14" t="s">
        <v>1053</v>
      </c>
      <c r="C63" s="24">
        <v>3</v>
      </c>
      <c r="D63" s="24">
        <v>6759.34</v>
      </c>
      <c r="E63" s="23">
        <v>46</v>
      </c>
      <c r="F63" s="24">
        <f t="shared" si="10"/>
        <v>146.94217391304349</v>
      </c>
      <c r="G63" s="35"/>
      <c r="H63" s="24">
        <f t="shared" si="11"/>
        <v>996.61031191604252</v>
      </c>
      <c r="I63" s="24">
        <f t="shared" si="12"/>
        <v>6.7823299831252681</v>
      </c>
      <c r="J63" s="24">
        <f t="shared" si="13"/>
        <v>20.346989949375804</v>
      </c>
      <c r="K63" s="24"/>
      <c r="L63" s="28">
        <f t="shared" ref="L63:L83" si="15">IF(C63&gt;50,0,1)</f>
        <v>1</v>
      </c>
      <c r="M63" s="35">
        <f t="shared" si="14"/>
        <v>46</v>
      </c>
    </row>
    <row r="64" spans="1:13" x14ac:dyDescent="0.25">
      <c r="B64" s="14" t="s">
        <v>1054</v>
      </c>
      <c r="C64" s="24">
        <v>5</v>
      </c>
      <c r="D64" s="24">
        <v>25517.51</v>
      </c>
      <c r="E64" s="23">
        <v>178</v>
      </c>
      <c r="F64" s="24">
        <f t="shared" ref="F64" si="16">D64/E64</f>
        <v>143.35679775280897</v>
      </c>
      <c r="G64" s="35"/>
      <c r="H64" s="24">
        <f t="shared" ref="H64" si="17">F64*E64^0.5</f>
        <v>1912.6182369268784</v>
      </c>
      <c r="I64" s="24">
        <f t="shared" ref="I64" si="18">E64^0.5</f>
        <v>13.341664064126334</v>
      </c>
      <c r="J64" s="24">
        <f t="shared" ref="J64" si="19">C64*E64^0.5</f>
        <v>66.708320320631671</v>
      </c>
      <c r="K64" s="24"/>
      <c r="L64" s="28">
        <f t="shared" ref="L64" si="20">IF(C64&gt;50,0,1)</f>
        <v>1</v>
      </c>
      <c r="M64" s="35">
        <f t="shared" ref="M64" si="21">L64*E64</f>
        <v>178</v>
      </c>
    </row>
    <row r="65" spans="2:13" x14ac:dyDescent="0.25">
      <c r="B65" s="14" t="s">
        <v>1055</v>
      </c>
      <c r="C65" s="24">
        <v>10</v>
      </c>
      <c r="D65" s="24">
        <v>702677.84</v>
      </c>
      <c r="E65" s="23">
        <v>1873</v>
      </c>
      <c r="F65" s="24">
        <f t="shared" si="10"/>
        <v>375.16168713294178</v>
      </c>
      <c r="G65" s="35"/>
      <c r="H65" s="24">
        <f t="shared" si="11"/>
        <v>16236.311279515779</v>
      </c>
      <c r="I65" s="24">
        <f t="shared" si="12"/>
        <v>43.278170016764804</v>
      </c>
      <c r="J65" s="24">
        <f t="shared" si="13"/>
        <v>432.78170016764807</v>
      </c>
      <c r="K65" s="24"/>
      <c r="L65" s="28">
        <f t="shared" si="15"/>
        <v>1</v>
      </c>
      <c r="M65" s="35">
        <f t="shared" si="14"/>
        <v>1873</v>
      </c>
    </row>
    <row r="66" spans="2:13" x14ac:dyDescent="0.25">
      <c r="B66" s="14" t="s">
        <v>1056</v>
      </c>
      <c r="C66" s="24">
        <v>15</v>
      </c>
      <c r="D66" s="24">
        <v>5252214.78</v>
      </c>
      <c r="E66" s="23">
        <v>8298</v>
      </c>
      <c r="F66" s="24">
        <f t="shared" si="10"/>
        <v>632.94947939262477</v>
      </c>
      <c r="G66" s="35"/>
      <c r="H66" s="24">
        <f t="shared" si="11"/>
        <v>57657.493967907154</v>
      </c>
      <c r="I66" s="24">
        <f t="shared" si="12"/>
        <v>91.093358704133863</v>
      </c>
      <c r="J66" s="24">
        <f t="shared" si="13"/>
        <v>1366.400380562008</v>
      </c>
      <c r="K66" s="24"/>
      <c r="L66" s="28">
        <f t="shared" si="15"/>
        <v>1</v>
      </c>
      <c r="M66" s="35">
        <f t="shared" si="14"/>
        <v>8298</v>
      </c>
    </row>
    <row r="67" spans="2:13" x14ac:dyDescent="0.25">
      <c r="B67" s="14" t="s">
        <v>1057</v>
      </c>
      <c r="C67" s="24">
        <v>25</v>
      </c>
      <c r="D67" s="24">
        <v>2117737.7200000002</v>
      </c>
      <c r="E67" s="23">
        <v>2656</v>
      </c>
      <c r="F67" s="24">
        <f t="shared" si="10"/>
        <v>797.34100903614467</v>
      </c>
      <c r="G67" s="35"/>
      <c r="H67" s="24">
        <f t="shared" si="11"/>
        <v>41092.081117153277</v>
      </c>
      <c r="I67" s="24">
        <f t="shared" si="12"/>
        <v>51.536394906900505</v>
      </c>
      <c r="J67" s="24">
        <f t="shared" si="13"/>
        <v>1288.4098726725126</v>
      </c>
      <c r="K67" s="24"/>
      <c r="L67" s="28">
        <f t="shared" si="15"/>
        <v>1</v>
      </c>
      <c r="M67" s="35">
        <f t="shared" si="14"/>
        <v>2656</v>
      </c>
    </row>
    <row r="68" spans="2:13" x14ac:dyDescent="0.25">
      <c r="B68" s="14" t="s">
        <v>1058</v>
      </c>
      <c r="C68" s="24">
        <v>37.5</v>
      </c>
      <c r="D68" s="24">
        <v>302020.81</v>
      </c>
      <c r="E68" s="23">
        <v>324</v>
      </c>
      <c r="F68" s="24">
        <f t="shared" si="10"/>
        <v>932.16299382716045</v>
      </c>
      <c r="G68" s="35"/>
      <c r="H68" s="24">
        <f t="shared" si="11"/>
        <v>16778.933888888889</v>
      </c>
      <c r="I68" s="24">
        <f t="shared" si="12"/>
        <v>18</v>
      </c>
      <c r="J68" s="24">
        <f t="shared" si="13"/>
        <v>675</v>
      </c>
      <c r="K68" s="24"/>
      <c r="L68" s="28">
        <f t="shared" si="15"/>
        <v>1</v>
      </c>
      <c r="M68" s="35">
        <f t="shared" si="14"/>
        <v>324</v>
      </c>
    </row>
    <row r="69" spans="2:13" x14ac:dyDescent="0.25">
      <c r="B69" s="14" t="s">
        <v>1059</v>
      </c>
      <c r="C69" s="24">
        <v>50</v>
      </c>
      <c r="D69" s="24">
        <v>175028.74</v>
      </c>
      <c r="E69" s="23">
        <v>174</v>
      </c>
      <c r="F69" s="24">
        <f t="shared" si="10"/>
        <v>1005.9122988505746</v>
      </c>
      <c r="G69" s="35"/>
      <c r="H69" s="24">
        <f t="shared" si="11"/>
        <v>13268.894536408056</v>
      </c>
      <c r="I69" s="24">
        <f t="shared" si="12"/>
        <v>13.19090595827292</v>
      </c>
      <c r="J69" s="24">
        <f t="shared" si="13"/>
        <v>659.54529791364598</v>
      </c>
      <c r="K69" s="24"/>
      <c r="L69" s="28">
        <f t="shared" si="15"/>
        <v>1</v>
      </c>
      <c r="M69" s="35">
        <f t="shared" si="14"/>
        <v>174</v>
      </c>
    </row>
    <row r="70" spans="2:13" x14ac:dyDescent="0.25">
      <c r="B70" s="14" t="s">
        <v>1060</v>
      </c>
      <c r="C70" s="24">
        <v>75</v>
      </c>
      <c r="D70" s="24">
        <v>100448.77</v>
      </c>
      <c r="E70" s="23">
        <v>68</v>
      </c>
      <c r="F70" s="24">
        <f t="shared" si="10"/>
        <v>1477.1877941176472</v>
      </c>
      <c r="G70" s="35"/>
      <c r="H70" s="24">
        <f t="shared" si="11"/>
        <v>12181.202608040427</v>
      </c>
      <c r="I70" s="24">
        <f t="shared" si="12"/>
        <v>8.2462112512353212</v>
      </c>
      <c r="J70" s="24">
        <f t="shared" si="13"/>
        <v>618.46584384264906</v>
      </c>
      <c r="K70" s="24"/>
      <c r="L70" s="28">
        <f t="shared" si="15"/>
        <v>0</v>
      </c>
      <c r="M70" s="35">
        <f t="shared" si="14"/>
        <v>0</v>
      </c>
    </row>
    <row r="71" spans="2:13" x14ac:dyDescent="0.25">
      <c r="B71" s="14" t="s">
        <v>1061</v>
      </c>
      <c r="C71" s="24">
        <v>100</v>
      </c>
      <c r="D71" s="24">
        <v>44441.18</v>
      </c>
      <c r="E71" s="23">
        <v>20</v>
      </c>
      <c r="F71" s="24">
        <f t="shared" si="10"/>
        <v>2222.0590000000002</v>
      </c>
      <c r="G71" s="35"/>
      <c r="H71" s="24">
        <f t="shared" si="11"/>
        <v>9937.3499480304126</v>
      </c>
      <c r="I71" s="24">
        <f t="shared" si="12"/>
        <v>4.4721359549995796</v>
      </c>
      <c r="J71" s="24">
        <f t="shared" si="13"/>
        <v>447.21359549995793</v>
      </c>
      <c r="K71" s="24"/>
      <c r="L71" s="28">
        <f t="shared" si="15"/>
        <v>0</v>
      </c>
      <c r="M71" s="35">
        <f t="shared" si="14"/>
        <v>0</v>
      </c>
    </row>
    <row r="72" spans="2:13" x14ac:dyDescent="0.25">
      <c r="B72" s="14" t="s">
        <v>1062</v>
      </c>
      <c r="C72" s="24">
        <v>167</v>
      </c>
      <c r="D72" s="24">
        <v>29447.81</v>
      </c>
      <c r="E72" s="23">
        <v>18</v>
      </c>
      <c r="F72" s="24">
        <f t="shared" si="10"/>
        <v>1635.9894444444444</v>
      </c>
      <c r="G72" s="35"/>
      <c r="H72" s="24">
        <f t="shared" si="11"/>
        <v>6940.9153806976747</v>
      </c>
      <c r="I72" s="24">
        <f t="shared" si="12"/>
        <v>4.2426406871192848</v>
      </c>
      <c r="J72" s="24">
        <f t="shared" si="13"/>
        <v>708.52099474892054</v>
      </c>
      <c r="K72" s="24"/>
      <c r="L72" s="28">
        <f t="shared" si="15"/>
        <v>0</v>
      </c>
      <c r="M72" s="35">
        <f t="shared" si="14"/>
        <v>0</v>
      </c>
    </row>
    <row r="73" spans="2:13" x14ac:dyDescent="0.25">
      <c r="B73" s="14" t="s">
        <v>1063</v>
      </c>
      <c r="C73" s="24">
        <v>250</v>
      </c>
      <c r="D73" s="24">
        <v>27650.04</v>
      </c>
      <c r="E73" s="23">
        <v>7</v>
      </c>
      <c r="F73" s="24">
        <f t="shared" si="10"/>
        <v>3950.0057142857145</v>
      </c>
      <c r="G73" s="35"/>
      <c r="H73" s="24">
        <f t="shared" si="11"/>
        <v>10450.732797284054</v>
      </c>
      <c r="I73" s="24">
        <f t="shared" si="12"/>
        <v>2.6457513110645907</v>
      </c>
      <c r="J73" s="24">
        <f t="shared" si="13"/>
        <v>661.43782776614773</v>
      </c>
      <c r="K73" s="24"/>
      <c r="L73" s="28">
        <f t="shared" si="15"/>
        <v>0</v>
      </c>
      <c r="M73" s="35">
        <f t="shared" si="14"/>
        <v>0</v>
      </c>
    </row>
    <row r="74" spans="2:13" x14ac:dyDescent="0.25">
      <c r="B74" s="14" t="s">
        <v>1064</v>
      </c>
      <c r="C74" s="24">
        <v>500</v>
      </c>
      <c r="D74" s="24">
        <v>40740.79</v>
      </c>
      <c r="E74" s="23">
        <v>11</v>
      </c>
      <c r="F74" s="24">
        <f t="shared" si="10"/>
        <v>3703.7081818181819</v>
      </c>
      <c r="G74" s="35"/>
      <c r="H74" s="24">
        <f t="shared" si="11"/>
        <v>12283.810372060307</v>
      </c>
      <c r="I74" s="24">
        <f t="shared" si="12"/>
        <v>3.3166247903553998</v>
      </c>
      <c r="J74" s="24">
        <f t="shared" si="13"/>
        <v>1658.3123951777</v>
      </c>
      <c r="K74" s="24"/>
      <c r="L74" s="28">
        <f t="shared" si="15"/>
        <v>0</v>
      </c>
      <c r="M74" s="35">
        <f t="shared" si="14"/>
        <v>0</v>
      </c>
    </row>
    <row r="75" spans="2:13" x14ac:dyDescent="0.25">
      <c r="B75" s="14" t="s">
        <v>1065</v>
      </c>
      <c r="C75" s="24">
        <v>1000</v>
      </c>
      <c r="D75" s="24">
        <v>39732.92</v>
      </c>
      <c r="E75" s="23">
        <v>7</v>
      </c>
      <c r="F75" s="24">
        <f t="shared" si="10"/>
        <v>5676.1314285714279</v>
      </c>
      <c r="G75" s="35"/>
      <c r="H75" s="24">
        <f t="shared" si="11"/>
        <v>15017.632168917784</v>
      </c>
      <c r="I75" s="24">
        <f t="shared" si="12"/>
        <v>2.6457513110645907</v>
      </c>
      <c r="J75" s="24">
        <f t="shared" si="13"/>
        <v>2645.7513110645909</v>
      </c>
      <c r="K75" s="24"/>
      <c r="L75" s="28">
        <f t="shared" si="15"/>
        <v>0</v>
      </c>
      <c r="M75" s="35">
        <f t="shared" si="14"/>
        <v>0</v>
      </c>
    </row>
    <row r="76" spans="2:13" x14ac:dyDescent="0.25">
      <c r="B76" s="14" t="s">
        <v>1066</v>
      </c>
      <c r="C76" s="24">
        <v>300</v>
      </c>
      <c r="D76" s="24">
        <v>135698.9</v>
      </c>
      <c r="E76" s="23">
        <v>17</v>
      </c>
      <c r="F76" s="24">
        <f t="shared" si="10"/>
        <v>7982.2882352941169</v>
      </c>
      <c r="G76" s="35"/>
      <c r="H76" s="24">
        <f t="shared" si="11"/>
        <v>32911.817528242842</v>
      </c>
      <c r="I76" s="24">
        <f t="shared" si="12"/>
        <v>4.1231056256176606</v>
      </c>
      <c r="J76" s="24">
        <f t="shared" si="13"/>
        <v>1236.9316876852981</v>
      </c>
      <c r="K76" s="24"/>
      <c r="L76" s="28">
        <f t="shared" si="15"/>
        <v>0</v>
      </c>
      <c r="M76" s="35">
        <f t="shared" si="14"/>
        <v>0</v>
      </c>
    </row>
    <row r="77" spans="2:13" x14ac:dyDescent="0.25">
      <c r="B77" s="14" t="s">
        <v>1067</v>
      </c>
      <c r="C77" s="24">
        <v>750</v>
      </c>
      <c r="D77" s="24">
        <v>172395.28</v>
      </c>
      <c r="E77" s="23">
        <v>15</v>
      </c>
      <c r="F77" s="24">
        <f t="shared" si="10"/>
        <v>11493.018666666667</v>
      </c>
      <c r="G77" s="35"/>
      <c r="H77" s="24">
        <f t="shared" si="11"/>
        <v>44512.269893650977</v>
      </c>
      <c r="I77" s="24">
        <f t="shared" si="12"/>
        <v>3.872983346207417</v>
      </c>
      <c r="J77" s="24">
        <f t="shared" si="13"/>
        <v>2904.7375096555629</v>
      </c>
      <c r="K77" s="24"/>
      <c r="L77" s="28">
        <f t="shared" si="15"/>
        <v>0</v>
      </c>
      <c r="M77" s="35">
        <f t="shared" si="14"/>
        <v>0</v>
      </c>
    </row>
    <row r="78" spans="2:13" x14ac:dyDescent="0.25">
      <c r="B78" s="14" t="s">
        <v>1068</v>
      </c>
      <c r="C78" s="24">
        <v>2500</v>
      </c>
      <c r="D78" s="24">
        <v>451155.3</v>
      </c>
      <c r="E78" s="23">
        <v>17</v>
      </c>
      <c r="F78" s="24">
        <f t="shared" si="10"/>
        <v>26538.547058823529</v>
      </c>
      <c r="G78" s="35"/>
      <c r="H78" s="24">
        <f t="shared" si="11"/>
        <v>109421.23267395432</v>
      </c>
      <c r="I78" s="24">
        <f t="shared" si="12"/>
        <v>4.1231056256176606</v>
      </c>
      <c r="J78" s="24">
        <f t="shared" si="13"/>
        <v>10307.764064044151</v>
      </c>
      <c r="K78" s="24"/>
      <c r="L78" s="28">
        <f t="shared" si="15"/>
        <v>0</v>
      </c>
      <c r="M78" s="35">
        <f t="shared" si="14"/>
        <v>0</v>
      </c>
    </row>
    <row r="79" spans="2:13" x14ac:dyDescent="0.25">
      <c r="B79" s="14" t="s">
        <v>1069</v>
      </c>
      <c r="C79" s="24">
        <v>500</v>
      </c>
      <c r="D79" s="24">
        <v>114844.67</v>
      </c>
      <c r="E79" s="23">
        <v>16</v>
      </c>
      <c r="F79" s="24">
        <f t="shared" si="10"/>
        <v>7177.7918749999999</v>
      </c>
      <c r="G79" s="35"/>
      <c r="H79" s="24">
        <f t="shared" si="11"/>
        <v>28711.1675</v>
      </c>
      <c r="I79" s="24">
        <f t="shared" si="12"/>
        <v>4</v>
      </c>
      <c r="J79" s="24">
        <f t="shared" si="13"/>
        <v>2000</v>
      </c>
      <c r="K79" s="24"/>
      <c r="L79" s="28">
        <f t="shared" si="15"/>
        <v>0</v>
      </c>
      <c r="M79" s="35">
        <f t="shared" si="14"/>
        <v>0</v>
      </c>
    </row>
    <row r="80" spans="2:13" x14ac:dyDescent="0.25">
      <c r="B80" s="14" t="s">
        <v>1070</v>
      </c>
      <c r="C80" s="24">
        <v>225</v>
      </c>
      <c r="D80" s="24">
        <v>53628.3</v>
      </c>
      <c r="E80" s="23">
        <v>8</v>
      </c>
      <c r="F80" s="24">
        <f t="shared" si="10"/>
        <v>6703.5375000000004</v>
      </c>
      <c r="H80" s="24">
        <f t="shared" si="11"/>
        <v>18960.467296753264</v>
      </c>
      <c r="I80" s="24">
        <f t="shared" si="12"/>
        <v>2.8284271247461903</v>
      </c>
      <c r="J80" s="24">
        <f t="shared" si="13"/>
        <v>636.3961030678928</v>
      </c>
      <c r="K80" s="24"/>
      <c r="L80" s="28">
        <f t="shared" si="15"/>
        <v>0</v>
      </c>
      <c r="M80" s="35">
        <f t="shared" si="14"/>
        <v>0</v>
      </c>
    </row>
    <row r="81" spans="2:13" x14ac:dyDescent="0.25">
      <c r="B81" s="14" t="s">
        <v>1071</v>
      </c>
      <c r="C81" s="24">
        <v>1500</v>
      </c>
      <c r="D81" s="24">
        <v>149016.17000000001</v>
      </c>
      <c r="E81" s="23">
        <v>9</v>
      </c>
      <c r="F81" s="24">
        <f t="shared" si="10"/>
        <v>16557.352222222224</v>
      </c>
      <c r="G81" s="35"/>
      <c r="H81" s="24">
        <f t="shared" si="11"/>
        <v>49672.056666666671</v>
      </c>
      <c r="I81" s="24">
        <f t="shared" si="12"/>
        <v>3</v>
      </c>
      <c r="J81" s="24">
        <f t="shared" si="13"/>
        <v>4500</v>
      </c>
      <c r="K81" s="24"/>
      <c r="L81" s="28">
        <f t="shared" si="15"/>
        <v>0</v>
      </c>
      <c r="M81" s="35">
        <f t="shared" si="14"/>
        <v>0</v>
      </c>
    </row>
    <row r="82" spans="2:13" x14ac:dyDescent="0.25">
      <c r="B82" s="14" t="s">
        <v>1072</v>
      </c>
      <c r="C82" s="24">
        <v>2000</v>
      </c>
      <c r="D82" s="24">
        <v>157341.68</v>
      </c>
      <c r="E82" s="23">
        <v>6</v>
      </c>
      <c r="F82" s="24">
        <f t="shared" si="10"/>
        <v>26223.613333333331</v>
      </c>
      <c r="G82" s="35"/>
      <c r="H82" s="24">
        <f t="shared" si="11"/>
        <v>64234.471878712175</v>
      </c>
      <c r="I82" s="24">
        <f t="shared" si="12"/>
        <v>2.4494897427831779</v>
      </c>
      <c r="J82" s="24">
        <f t="shared" si="13"/>
        <v>4898.9794855663558</v>
      </c>
      <c r="K82" s="24"/>
      <c r="L82" s="28">
        <f t="shared" si="15"/>
        <v>0</v>
      </c>
      <c r="M82" s="35">
        <f t="shared" si="14"/>
        <v>0</v>
      </c>
    </row>
    <row r="83" spans="2:13" x14ac:dyDescent="0.25">
      <c r="B83" s="14" t="s">
        <v>1073</v>
      </c>
      <c r="C83" s="24">
        <v>1000</v>
      </c>
      <c r="D83" s="24">
        <v>58063.99</v>
      </c>
      <c r="E83" s="23">
        <v>6</v>
      </c>
      <c r="F83" s="24">
        <f t="shared" si="10"/>
        <v>9677.3316666666669</v>
      </c>
      <c r="G83" s="35"/>
      <c r="H83" s="24">
        <f t="shared" si="11"/>
        <v>23704.524655010835</v>
      </c>
      <c r="I83" s="24">
        <f t="shared" si="12"/>
        <v>2.4494897427831779</v>
      </c>
      <c r="J83" s="24">
        <f t="shared" si="13"/>
        <v>2449.4897427831779</v>
      </c>
      <c r="K83" s="24"/>
      <c r="L83" s="28">
        <f t="shared" si="15"/>
        <v>0</v>
      </c>
      <c r="M83" s="35">
        <f t="shared" si="14"/>
        <v>0</v>
      </c>
    </row>
    <row r="84" spans="2:13" x14ac:dyDescent="0.25">
      <c r="B84" s="25" t="s">
        <v>857</v>
      </c>
      <c r="D84" s="36">
        <f>SUM(D62:D83)</f>
        <v>10203469.93</v>
      </c>
      <c r="E84" s="37">
        <f>SUM(E62:E83)</f>
        <v>13829</v>
      </c>
      <c r="M84" s="37">
        <f>SUM(M62:M83)</f>
        <v>13604</v>
      </c>
    </row>
    <row r="86" spans="2:13" x14ac:dyDescent="0.25">
      <c r="B86" s="18" t="s">
        <v>966</v>
      </c>
      <c r="H86" s="259" t="s">
        <v>967</v>
      </c>
      <c r="I86" s="259"/>
    </row>
    <row r="88" spans="2:13" x14ac:dyDescent="0.25">
      <c r="B88" s="14" t="s">
        <v>968</v>
      </c>
      <c r="D88" s="38">
        <f>H88</f>
        <v>10.700807025537337</v>
      </c>
      <c r="H88" s="38">
        <f t="array" ref="H88:I90">LINEST(H62:H80,I62:J80,FALSE,TRUE)</f>
        <v>10.700807025537337</v>
      </c>
      <c r="I88" s="38">
        <v>461.03161982516923</v>
      </c>
    </row>
    <row r="89" spans="2:13" x14ac:dyDescent="0.25">
      <c r="B89" s="14" t="s">
        <v>969</v>
      </c>
      <c r="D89" s="38">
        <f>I88</f>
        <v>461.03161982516923</v>
      </c>
      <c r="H89" s="38">
        <v>0.67999407652711019</v>
      </c>
      <c r="I89" s="38">
        <v>67.610347571674623</v>
      </c>
    </row>
    <row r="90" spans="2:13" x14ac:dyDescent="0.25">
      <c r="B90" s="14" t="s">
        <v>970</v>
      </c>
      <c r="D90" s="39">
        <f>H90</f>
        <v>0.95553138442786911</v>
      </c>
      <c r="H90" s="38">
        <v>0.95553138442786911</v>
      </c>
      <c r="I90" s="38">
        <v>7719.5144705477778</v>
      </c>
    </row>
    <row r="91" spans="2:13" x14ac:dyDescent="0.25">
      <c r="H91" s="38"/>
      <c r="I91" s="38"/>
    </row>
    <row r="92" spans="2:13" x14ac:dyDescent="0.25">
      <c r="B92" s="26" t="s">
        <v>971</v>
      </c>
      <c r="C92" s="40"/>
    </row>
    <row r="93" spans="2:13" x14ac:dyDescent="0.25">
      <c r="C93" s="40"/>
      <c r="F93" s="31"/>
    </row>
    <row r="94" spans="2:13" x14ac:dyDescent="0.25">
      <c r="B94" s="14" t="s">
        <v>972</v>
      </c>
      <c r="C94" s="30" t="s">
        <v>988</v>
      </c>
      <c r="D94" s="35">
        <f>M84</f>
        <v>13604</v>
      </c>
      <c r="F94" s="31" t="s">
        <v>989</v>
      </c>
    </row>
    <row r="95" spans="2:13" x14ac:dyDescent="0.25">
      <c r="B95" s="14" t="s">
        <v>973</v>
      </c>
      <c r="C95" s="40"/>
      <c r="D95" s="41">
        <f>D89</f>
        <v>461.03161982516923</v>
      </c>
      <c r="E95" s="27"/>
      <c r="F95" s="31" t="s">
        <v>990</v>
      </c>
    </row>
    <row r="96" spans="2:13" x14ac:dyDescent="0.25">
      <c r="B96" s="14" t="s">
        <v>974</v>
      </c>
      <c r="C96" s="40"/>
      <c r="D96" s="41">
        <f>MIN(F62:F80)</f>
        <v>143.35679775280897</v>
      </c>
      <c r="E96" s="27"/>
    </row>
    <row r="97" spans="1:12" x14ac:dyDescent="0.25">
      <c r="B97" s="14" t="s">
        <v>975</v>
      </c>
      <c r="C97" s="40"/>
      <c r="D97" s="152" t="s">
        <v>982</v>
      </c>
      <c r="E97" s="27"/>
    </row>
    <row r="98" spans="1:12" x14ac:dyDescent="0.25">
      <c r="B98" s="14" t="s">
        <v>976</v>
      </c>
      <c r="C98" s="40"/>
      <c r="D98" s="42">
        <f>IF(D97="Z",D94*D95,D94*D96)</f>
        <v>6271874.1561016021</v>
      </c>
    </row>
    <row r="99" spans="1:12" x14ac:dyDescent="0.25">
      <c r="B99" s="14" t="s">
        <v>977</v>
      </c>
      <c r="C99" s="40"/>
      <c r="D99" s="42">
        <f>D84</f>
        <v>10203469.93</v>
      </c>
    </row>
    <row r="100" spans="1:12" x14ac:dyDescent="0.25">
      <c r="B100" s="14" t="s">
        <v>978</v>
      </c>
      <c r="C100" s="40"/>
      <c r="D100" s="43">
        <f>D98/D99</f>
        <v>0.61468051546476232</v>
      </c>
    </row>
    <row r="101" spans="1:12" x14ac:dyDescent="0.25">
      <c r="B101" s="14" t="s">
        <v>979</v>
      </c>
      <c r="C101" s="40"/>
      <c r="D101" s="44">
        <f>D100</f>
        <v>0.61468051546476232</v>
      </c>
    </row>
    <row r="102" spans="1:12" x14ac:dyDescent="0.25">
      <c r="B102" s="14" t="s">
        <v>980</v>
      </c>
      <c r="C102" s="40"/>
      <c r="D102" s="45">
        <f>1-D101</f>
        <v>0.38531948453523768</v>
      </c>
    </row>
    <row r="104" spans="1:12" x14ac:dyDescent="0.25">
      <c r="B104" s="140" t="s">
        <v>857</v>
      </c>
      <c r="L104" s="14"/>
    </row>
    <row r="105" spans="1:12" x14ac:dyDescent="0.25">
      <c r="A105" s="13"/>
      <c r="L105" s="14"/>
    </row>
    <row r="106" spans="1:12" x14ac:dyDescent="0.25">
      <c r="A106" s="13"/>
      <c r="B106" s="140" t="s">
        <v>991</v>
      </c>
      <c r="C106" s="63" t="s">
        <v>992</v>
      </c>
      <c r="D106" s="141" t="s">
        <v>10</v>
      </c>
      <c r="E106" s="141" t="s">
        <v>12</v>
      </c>
      <c r="H106" s="63" t="s">
        <v>1021</v>
      </c>
      <c r="L106" s="14"/>
    </row>
    <row r="107" spans="1:12" x14ac:dyDescent="0.25">
      <c r="B107" s="14" t="s">
        <v>199</v>
      </c>
      <c r="C107" s="28">
        <v>365</v>
      </c>
      <c r="D107" s="39">
        <f>D28</f>
        <v>0.82686321676521113</v>
      </c>
      <c r="E107" s="39">
        <f>D27</f>
        <v>0.17313678323478884</v>
      </c>
      <c r="G107" s="150"/>
      <c r="H107" s="155" t="str">
        <f>D23</f>
        <v>Z</v>
      </c>
      <c r="L107" s="14"/>
    </row>
    <row r="108" spans="1:12" x14ac:dyDescent="0.25">
      <c r="B108" s="14" t="s">
        <v>200</v>
      </c>
      <c r="C108" s="28">
        <v>367</v>
      </c>
      <c r="D108" s="39">
        <f>D56</f>
        <v>0.44957093151617922</v>
      </c>
      <c r="E108" s="39">
        <f>D55</f>
        <v>0.55042906848382078</v>
      </c>
      <c r="G108" s="150"/>
      <c r="H108" s="155" t="str">
        <f>D51</f>
        <v>Z</v>
      </c>
      <c r="L108" s="14"/>
    </row>
    <row r="109" spans="1:12" x14ac:dyDescent="0.25">
      <c r="B109" s="14" t="s">
        <v>201</v>
      </c>
      <c r="C109" s="28">
        <v>368</v>
      </c>
      <c r="D109" s="142">
        <f>D102</f>
        <v>0.38531948453523768</v>
      </c>
      <c r="E109" s="142">
        <f>D101</f>
        <v>0.61468051546476232</v>
      </c>
      <c r="G109" s="150"/>
      <c r="H109" s="155" t="str">
        <f>D97</f>
        <v>Z</v>
      </c>
      <c r="L109" s="14"/>
    </row>
  </sheetData>
  <mergeCells count="4">
    <mergeCell ref="H12:I12"/>
    <mergeCell ref="H40:I40"/>
    <mergeCell ref="L59:M59"/>
    <mergeCell ref="H86:I86"/>
  </mergeCells>
  <pageMargins left="0.7" right="0.7" top="0.75" bottom="0.75" header="0.3" footer="0.3"/>
  <pageSetup scale="70" fitToHeight="3" orientation="landscape" r:id="rId1"/>
  <headerFooter>
    <oddFooter>&amp;RExhibit JW-8
Page &amp;P of &amp;N</oddFooter>
  </headerFooter>
  <rowBreaks count="3" manualBreakCount="3">
    <brk id="28" max="16383" man="1"/>
    <brk id="56" max="16383" man="1"/>
    <brk id="102" max="16383" man="1"/>
  </rowBreaks>
  <ignoredErrors>
    <ignoredError sqref="D15 D43 D8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13</vt:i4>
      </vt:variant>
    </vt:vector>
  </HeadingPairs>
  <TitlesOfParts>
    <vt:vector size="23" baseType="lpstr">
      <vt:lpstr>Summary of Returns</vt:lpstr>
      <vt:lpstr>Summary of Rates</vt:lpstr>
      <vt:lpstr>Func &amp; Classif</vt:lpstr>
      <vt:lpstr>Alloc &amp; Returns</vt:lpstr>
      <vt:lpstr>Billing Det</vt:lpstr>
      <vt:lpstr>Purchased Power</vt:lpstr>
      <vt:lpstr>Meters</vt:lpstr>
      <vt:lpstr>Services</vt:lpstr>
      <vt:lpstr>Line Loss Calculation</vt:lpstr>
      <vt:lpstr>ZeroInt</vt:lpstr>
      <vt:lpstr>'Alloc &amp; Returns'!Print_Area</vt:lpstr>
      <vt:lpstr>'Billing Det'!Print_Area</vt:lpstr>
      <vt:lpstr>'Func &amp; Classif'!Print_Area</vt:lpstr>
      <vt:lpstr>Meters!Print_Area</vt:lpstr>
      <vt:lpstr>'Purchased Power'!Print_Area</vt:lpstr>
      <vt:lpstr>Services!Print_Area</vt:lpstr>
      <vt:lpstr>'Summary of Rates'!Print_Area</vt:lpstr>
      <vt:lpstr>'Summary of Returns'!Print_Area</vt:lpstr>
      <vt:lpstr>ZeroInt!Print_Area</vt:lpstr>
      <vt:lpstr>'Alloc &amp; Returns'!Print_Titles</vt:lpstr>
      <vt:lpstr>'Billing Det'!Print_Titles</vt:lpstr>
      <vt:lpstr>'Func &amp; Classif'!Print_Titles</vt:lpstr>
      <vt:lpstr>ZeroInt!Print_Titles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Wolfram</dc:creator>
  <cp:lastModifiedBy>John Wolfram</cp:lastModifiedBy>
  <cp:lastPrinted>2023-07-25T02:28:57Z</cp:lastPrinted>
  <dcterms:created xsi:type="dcterms:W3CDTF">1999-02-10T22:20:33Z</dcterms:created>
  <dcterms:modified xsi:type="dcterms:W3CDTF">2023-09-12T03:58:00Z</dcterms:modified>
</cp:coreProperties>
</file>