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ate Case - 2023-00213\Rate Case Application\Application &amp; Exhibits\Exhibit 8 - Testimony - Michael Moriarty\"/>
    </mc:Choice>
  </mc:AlternateContent>
  <xr:revisionPtr revIDLastSave="0" documentId="8_{405427A3-C947-4A32-A887-D53C32751325}" xr6:coauthVersionLast="47" xr6:coauthVersionMax="47" xr10:uidLastSave="{00000000-0000-0000-0000-000000000000}"/>
  <bookViews>
    <workbookView xWindow="28680" yWindow="-120" windowWidth="29040" windowHeight="15720" activeTab="2" xr2:uid="{3D14BD3A-94E8-465E-A036-2090A2B4EE2D}"/>
  </bookViews>
  <sheets>
    <sheet name="Sheet1" sheetId="1" r:id="rId1"/>
    <sheet name="Operating Statement" sheetId="2" r:id="rId2"/>
    <sheet name="Rate Case Exhibit" sheetId="6" r:id="rId3"/>
    <sheet name="Weather Data" sheetId="5" r:id="rId4"/>
    <sheet name="Sheet2" sheetId="3" r:id="rId5"/>
    <sheet name="Bank Account structure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1" i="2" l="1"/>
  <c r="L21" i="2"/>
  <c r="M21" i="2"/>
  <c r="K21" i="2"/>
  <c r="O15" i="5"/>
  <c r="O16" i="5" s="1"/>
  <c r="H16" i="5"/>
  <c r="G16" i="5"/>
  <c r="F16" i="5"/>
  <c r="E16" i="5"/>
  <c r="D16" i="5"/>
  <c r="C16" i="5"/>
  <c r="H15" i="5"/>
  <c r="G15" i="5"/>
  <c r="F15" i="5"/>
  <c r="E15" i="5"/>
  <c r="D15" i="5"/>
  <c r="C15" i="5"/>
  <c r="O14" i="5"/>
  <c r="O13" i="5"/>
  <c r="H14" i="5"/>
  <c r="G14" i="5"/>
  <c r="F14" i="5"/>
  <c r="E14" i="5"/>
  <c r="D14" i="5"/>
  <c r="C14" i="5"/>
  <c r="H13" i="5"/>
  <c r="G13" i="5"/>
  <c r="F13" i="5"/>
  <c r="E13" i="5"/>
  <c r="D13" i="5"/>
  <c r="C13" i="5"/>
  <c r="C30" i="5"/>
  <c r="C31" i="5" s="1"/>
  <c r="H28" i="5"/>
  <c r="G28" i="5"/>
  <c r="F28" i="5"/>
  <c r="E28" i="5"/>
  <c r="D28" i="5"/>
  <c r="C28" i="5"/>
  <c r="H29" i="5"/>
  <c r="H30" i="5" s="1"/>
  <c r="H31" i="5" s="1"/>
  <c r="G29" i="5"/>
  <c r="G30" i="5" s="1"/>
  <c r="G31" i="5" s="1"/>
  <c r="F29" i="5"/>
  <c r="F30" i="5" s="1"/>
  <c r="F31" i="5" s="1"/>
  <c r="E29" i="5"/>
  <c r="E30" i="5" s="1"/>
  <c r="E31" i="5" s="1"/>
  <c r="D29" i="5"/>
  <c r="O29" i="5" s="1"/>
  <c r="C29" i="5"/>
  <c r="N40" i="5"/>
  <c r="M40" i="5"/>
  <c r="L40" i="5"/>
  <c r="K40" i="5"/>
  <c r="J40" i="5"/>
  <c r="I40" i="5"/>
  <c r="H40" i="5"/>
  <c r="H43" i="5" s="1"/>
  <c r="G40" i="5"/>
  <c r="G43" i="5" s="1"/>
  <c r="F40" i="5"/>
  <c r="F43" i="5" s="1"/>
  <c r="E40" i="5"/>
  <c r="E43" i="5" s="1"/>
  <c r="D40" i="5"/>
  <c r="D43" i="5" s="1"/>
  <c r="C40" i="5"/>
  <c r="C43" i="5" s="1"/>
  <c r="N39" i="5"/>
  <c r="M39" i="5"/>
  <c r="L39" i="5"/>
  <c r="K39" i="5"/>
  <c r="J39" i="5"/>
  <c r="I39" i="5"/>
  <c r="H39" i="5"/>
  <c r="G39" i="5"/>
  <c r="F39" i="5"/>
  <c r="E39" i="5"/>
  <c r="D39" i="5"/>
  <c r="N38" i="5"/>
  <c r="M38" i="5"/>
  <c r="L38" i="5"/>
  <c r="K38" i="5"/>
  <c r="J38" i="5"/>
  <c r="I38" i="5"/>
  <c r="H38" i="5"/>
  <c r="G38" i="5"/>
  <c r="F38" i="5"/>
  <c r="E38" i="5"/>
  <c r="D38" i="5"/>
  <c r="N37" i="5"/>
  <c r="M37" i="5"/>
  <c r="L37" i="5"/>
  <c r="K37" i="5"/>
  <c r="J37" i="5"/>
  <c r="I37" i="5"/>
  <c r="H37" i="5"/>
  <c r="G37" i="5"/>
  <c r="F37" i="5"/>
  <c r="E37" i="5"/>
  <c r="D37" i="5"/>
  <c r="N36" i="5"/>
  <c r="M36" i="5"/>
  <c r="L36" i="5"/>
  <c r="K36" i="5"/>
  <c r="J36" i="5"/>
  <c r="I36" i="5"/>
  <c r="H36" i="5"/>
  <c r="G36" i="5"/>
  <c r="F36" i="5"/>
  <c r="E36" i="5"/>
  <c r="D36" i="5"/>
  <c r="N35" i="5"/>
  <c r="M35" i="5"/>
  <c r="L35" i="5"/>
  <c r="K35" i="5"/>
  <c r="J35" i="5"/>
  <c r="I35" i="5"/>
  <c r="H35" i="5"/>
  <c r="G35" i="5"/>
  <c r="F35" i="5"/>
  <c r="E35" i="5"/>
  <c r="D35" i="5"/>
  <c r="N34" i="5"/>
  <c r="M34" i="5"/>
  <c r="L34" i="5"/>
  <c r="K34" i="5"/>
  <c r="J34" i="5"/>
  <c r="I34" i="5"/>
  <c r="H34" i="5"/>
  <c r="G34" i="5"/>
  <c r="F34" i="5"/>
  <c r="E34" i="5"/>
  <c r="D34" i="5"/>
  <c r="C39" i="5"/>
  <c r="C38" i="5"/>
  <c r="C37" i="5"/>
  <c r="C36" i="5"/>
  <c r="C35" i="5"/>
  <c r="C34" i="5"/>
  <c r="O25" i="5"/>
  <c r="O24" i="5"/>
  <c r="O23" i="5"/>
  <c r="O22" i="5"/>
  <c r="O21" i="5"/>
  <c r="O20" i="5"/>
  <c r="O10" i="5"/>
  <c r="O9" i="5"/>
  <c r="O8" i="5"/>
  <c r="O7" i="5"/>
  <c r="O6" i="5"/>
  <c r="O5" i="5"/>
  <c r="O30" i="5" l="1"/>
  <c r="O31" i="5" s="1"/>
  <c r="O43" i="5"/>
  <c r="D30" i="5"/>
  <c r="D31" i="5" s="1"/>
  <c r="O28" i="5"/>
  <c r="C42" i="5"/>
  <c r="C44" i="5" s="1"/>
  <c r="C45" i="5" s="1"/>
  <c r="D42" i="5"/>
  <c r="D44" i="5" s="1"/>
  <c r="D45" i="5" s="1"/>
  <c r="E42" i="5"/>
  <c r="E44" i="5" s="1"/>
  <c r="E45" i="5" s="1"/>
  <c r="G42" i="5"/>
  <c r="F42" i="5"/>
  <c r="H42" i="5"/>
  <c r="O42" i="5"/>
  <c r="O40" i="5"/>
  <c r="O34" i="5"/>
  <c r="O35" i="5"/>
  <c r="O36" i="5"/>
  <c r="O37" i="5"/>
  <c r="O38" i="5"/>
  <c r="O39" i="5"/>
  <c r="O44" i="5" l="1"/>
  <c r="O45" i="5" s="1"/>
  <c r="H45" i="5"/>
  <c r="G44" i="5"/>
  <c r="G45" i="5" s="1"/>
  <c r="H44" i="5"/>
  <c r="F44" i="5"/>
  <c r="F45" i="5" s="1"/>
  <c r="D11" i="2"/>
  <c r="D6" i="2"/>
  <c r="D5" i="2"/>
  <c r="D13" i="2" s="1"/>
  <c r="C41" i="2"/>
  <c r="C48" i="2" s="1"/>
  <c r="C23" i="2"/>
  <c r="C29" i="2" s="1"/>
  <c r="D41" i="2"/>
  <c r="D44" i="2" s="1"/>
  <c r="D23" i="2"/>
  <c r="D29" i="2" s="1"/>
  <c r="E41" i="2"/>
  <c r="E48" i="2" s="1"/>
  <c r="E23" i="2"/>
  <c r="E29" i="2" s="1"/>
  <c r="F41" i="2"/>
  <c r="F44" i="2" s="1"/>
  <c r="F23" i="2"/>
  <c r="F29" i="2" s="1"/>
  <c r="G41" i="2"/>
  <c r="G48" i="2" s="1"/>
  <c r="G23" i="2"/>
  <c r="G29" i="2" s="1"/>
  <c r="H41" i="2"/>
  <c r="H44" i="2" s="1"/>
  <c r="H23" i="2"/>
  <c r="H30" i="2" s="1"/>
  <c r="I41" i="2"/>
  <c r="I48" i="2" s="1"/>
  <c r="I23" i="2"/>
  <c r="I29" i="2" s="1"/>
  <c r="C13" i="2"/>
  <c r="C11" i="2"/>
  <c r="C7" i="2"/>
  <c r="D7" i="2"/>
  <c r="D22" i="3"/>
  <c r="C22" i="3"/>
  <c r="I10" i="3"/>
  <c r="E10" i="3"/>
  <c r="H10" i="3"/>
  <c r="G10" i="3"/>
  <c r="D10" i="3"/>
  <c r="C10" i="3"/>
  <c r="H11" i="2"/>
  <c r="G11" i="2"/>
  <c r="I11" i="2"/>
  <c r="I6" i="2"/>
  <c r="I5" i="2"/>
  <c r="I13" i="2" s="1"/>
  <c r="H6" i="2"/>
  <c r="H5" i="2"/>
  <c r="G6" i="2"/>
  <c r="G5" i="2"/>
  <c r="F11" i="2"/>
  <c r="F6" i="2"/>
  <c r="F5" i="2"/>
  <c r="F13" i="2" s="1"/>
  <c r="E11" i="2"/>
  <c r="E6" i="2"/>
  <c r="E5" i="2"/>
  <c r="F21" i="1"/>
  <c r="E21" i="1"/>
  <c r="D21" i="1"/>
  <c r="C21" i="1"/>
  <c r="F10" i="1"/>
  <c r="E10" i="1"/>
  <c r="D10" i="1"/>
  <c r="C10" i="1"/>
  <c r="D20" i="1"/>
  <c r="C20" i="1"/>
  <c r="F48" i="2" l="1"/>
  <c r="G24" i="2"/>
  <c r="G31" i="2"/>
  <c r="F24" i="2"/>
  <c r="H24" i="2"/>
  <c r="E24" i="2"/>
  <c r="D24" i="2"/>
  <c r="D46" i="2"/>
  <c r="G13" i="2"/>
  <c r="G30" i="2"/>
  <c r="H45" i="2"/>
  <c r="H46" i="2"/>
  <c r="H47" i="2"/>
  <c r="F45" i="2"/>
  <c r="H48" i="2"/>
  <c r="F46" i="2"/>
  <c r="C31" i="2"/>
  <c r="I30" i="2"/>
  <c r="I31" i="2"/>
  <c r="F47" i="2"/>
  <c r="D45" i="2"/>
  <c r="E30" i="2"/>
  <c r="D48" i="2"/>
  <c r="E31" i="2"/>
  <c r="D47" i="2"/>
  <c r="C30" i="2"/>
  <c r="H27" i="2"/>
  <c r="F27" i="2"/>
  <c r="H28" i="2"/>
  <c r="D28" i="2"/>
  <c r="F7" i="2"/>
  <c r="I44" i="2"/>
  <c r="H29" i="2"/>
  <c r="I45" i="2"/>
  <c r="E45" i="2"/>
  <c r="D30" i="2"/>
  <c r="I27" i="2"/>
  <c r="I46" i="2"/>
  <c r="H31" i="2"/>
  <c r="G27" i="2"/>
  <c r="G46" i="2"/>
  <c r="F31" i="2"/>
  <c r="E27" i="2"/>
  <c r="E46" i="2"/>
  <c r="D31" i="2"/>
  <c r="C27" i="2"/>
  <c r="C46" i="2"/>
  <c r="D27" i="2"/>
  <c r="G44" i="2"/>
  <c r="E44" i="2"/>
  <c r="C44" i="2"/>
  <c r="F30" i="2"/>
  <c r="C45" i="2"/>
  <c r="I28" i="2"/>
  <c r="I47" i="2"/>
  <c r="G28" i="2"/>
  <c r="G47" i="2"/>
  <c r="E28" i="2"/>
  <c r="E47" i="2"/>
  <c r="C28" i="2"/>
  <c r="C47" i="2"/>
  <c r="F28" i="2"/>
  <c r="G45" i="2"/>
  <c r="E13" i="2"/>
  <c r="H13" i="2"/>
  <c r="G7" i="2"/>
  <c r="E7" i="2"/>
  <c r="H7" i="2"/>
  <c r="I7" i="2"/>
  <c r="F15" i="1"/>
  <c r="E15" i="1"/>
  <c r="D15" i="1"/>
  <c r="C15" i="1"/>
  <c r="F16" i="1"/>
  <c r="E16" i="1" l="1"/>
  <c r="D16" i="1" l="1"/>
  <c r="C16" i="1"/>
  <c r="E24" i="1"/>
  <c r="D24" i="1"/>
  <c r="C24" i="1"/>
  <c r="F24" i="1"/>
  <c r="C19" i="1"/>
  <c r="G18" i="1"/>
  <c r="F18" i="1"/>
  <c r="F20" i="1" s="1"/>
  <c r="E18" i="1"/>
  <c r="E13" i="1"/>
  <c r="D13" i="1"/>
  <c r="C13" i="1"/>
  <c r="F13" i="1"/>
  <c r="G7" i="1"/>
  <c r="F7" i="1"/>
  <c r="E7" i="1"/>
  <c r="D7" i="1"/>
  <c r="C7" i="1"/>
  <c r="E6" i="1"/>
  <c r="D6" i="1"/>
  <c r="C6" i="1"/>
  <c r="F6" i="1"/>
  <c r="C4" i="1"/>
  <c r="D4" i="1"/>
  <c r="E4" i="1"/>
  <c r="F4" i="1"/>
  <c r="D19" i="1" l="1"/>
  <c r="E20" i="1"/>
  <c r="F19" i="1"/>
  <c r="E19" i="1"/>
</calcChain>
</file>

<file path=xl/sharedStrings.xml><?xml version="1.0" encoding="utf-8"?>
<sst xmlns="http://schemas.openxmlformats.org/spreadsheetml/2006/main" count="124" uniqueCount="71">
  <si>
    <t>Total Utility Plant</t>
  </si>
  <si>
    <t>Accumulated Depreciation</t>
  </si>
  <si>
    <t>Acc Depr / Total Plant</t>
  </si>
  <si>
    <t>Materials</t>
  </si>
  <si>
    <t>Long-Term Debt</t>
  </si>
  <si>
    <t>Total Equity</t>
  </si>
  <si>
    <t>Total Purchases</t>
  </si>
  <si>
    <t>Material Turnover</t>
  </si>
  <si>
    <t>Year to Year % Change</t>
  </si>
  <si>
    <t>Debt / Equity</t>
  </si>
  <si>
    <t>Debt / Total Assets</t>
  </si>
  <si>
    <t>Total Assets</t>
  </si>
  <si>
    <t>Revenue</t>
  </si>
  <si>
    <t>Power Cost</t>
  </si>
  <si>
    <t>O&amp;M</t>
  </si>
  <si>
    <t>G &amp; A</t>
  </si>
  <si>
    <t>Operating Income</t>
  </si>
  <si>
    <t>Depreciation</t>
  </si>
  <si>
    <t>Interest</t>
  </si>
  <si>
    <t>Jan</t>
  </si>
  <si>
    <t>Feb</t>
  </si>
  <si>
    <t>Mar</t>
  </si>
  <si>
    <t>Apr</t>
  </si>
  <si>
    <t>May</t>
  </si>
  <si>
    <t>Check/Cash</t>
  </si>
  <si>
    <t>ACH</t>
  </si>
  <si>
    <t>Credit Card</t>
  </si>
  <si>
    <t>Payment Amount</t>
  </si>
  <si>
    <t># of Payments</t>
  </si>
  <si>
    <t># of checks</t>
  </si>
  <si>
    <t>Amount</t>
  </si>
  <si>
    <t>Cash disbursements</t>
  </si>
  <si>
    <t>Shelby Energy Cooperative, Inc.</t>
  </si>
  <si>
    <t>Bank Account Structure</t>
  </si>
  <si>
    <t>2023 (budget)</t>
  </si>
  <si>
    <t>Residential</t>
  </si>
  <si>
    <t>Seasonal</t>
  </si>
  <si>
    <t>Small Commercial</t>
  </si>
  <si>
    <t>Large Commercial</t>
  </si>
  <si>
    <t>Street Lighting</t>
  </si>
  <si>
    <t>Total</t>
  </si>
  <si>
    <t>Sales Mix (kWh)</t>
  </si>
  <si>
    <t>Sales Mix ($)</t>
  </si>
  <si>
    <t>% of Total:</t>
  </si>
  <si>
    <t>Op Cost</t>
  </si>
  <si>
    <t>% Increase(Decrease)</t>
  </si>
  <si>
    <t>HDD</t>
  </si>
  <si>
    <t>Jun</t>
  </si>
  <si>
    <t>Jul</t>
  </si>
  <si>
    <t>Aug</t>
  </si>
  <si>
    <t>Sep</t>
  </si>
  <si>
    <t>Oct</t>
  </si>
  <si>
    <t>Nov</t>
  </si>
  <si>
    <t>Dec</t>
  </si>
  <si>
    <t>CDD</t>
  </si>
  <si>
    <t>Total Degree Days</t>
  </si>
  <si>
    <t>2017-2022 Average</t>
  </si>
  <si>
    <t>Current Year</t>
  </si>
  <si>
    <t>Year</t>
  </si>
  <si>
    <t>Net Margins</t>
  </si>
  <si>
    <t>Operating Margins</t>
  </si>
  <si>
    <t>TIER</t>
  </si>
  <si>
    <t>OTIER</t>
  </si>
  <si>
    <t>Equity to Assets</t>
  </si>
  <si>
    <t>Residential kWh Sales</t>
  </si>
  <si>
    <t>% Change in Residential kWh Sales</t>
  </si>
  <si>
    <t>Interest on LTD</t>
  </si>
  <si>
    <t>DSC</t>
  </si>
  <si>
    <t>Case No. 2023-00213</t>
  </si>
  <si>
    <t>Exhibit MM-1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</si>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</sst>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43" fontId="0" fillId="0" borderId="0" xfId="1" applyFont="1"/>
    <xf numFmtId="164" fontId="0" fillId="0" borderId="0" xfId="1" applyNumberFormat="1" applyFont="1"/>
    <xf numFmtId="9" fontId="0" fillId="0" borderId="0" xfId="2" applyFont="1"/>
    <xf numFmtId="0" fontId="0" fillId="0" borderId="0" xfId="0" applyAlignment="1">
      <alignment horizontal="right"/>
    </xf>
    <xf numFmtId="0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/>
    <xf numFmtId="0" fontId="0" fillId="0" borderId="5" xfId="0" applyBorder="1"/>
    <xf numFmtId="166" fontId="0" fillId="0" borderId="0" xfId="3" applyNumberFormat="1" applyFont="1" applyBorder="1"/>
    <xf numFmtId="166" fontId="0" fillId="0" borderId="7" xfId="3" applyNumberFormat="1" applyFont="1" applyBorder="1"/>
    <xf numFmtId="164" fontId="0" fillId="0" borderId="0" xfId="1" applyNumberFormat="1" applyFont="1" applyBorder="1"/>
    <xf numFmtId="0" fontId="0" fillId="0" borderId="7" xfId="0" applyBorder="1"/>
    <xf numFmtId="165" fontId="0" fillId="0" borderId="0" xfId="2" applyNumberFormat="1" applyFont="1" applyBorder="1"/>
    <xf numFmtId="165" fontId="0" fillId="0" borderId="7" xfId="2" applyNumberFormat="1" applyFont="1" applyBorder="1"/>
    <xf numFmtId="0" fontId="0" fillId="0" borderId="8" xfId="0" applyBorder="1"/>
    <xf numFmtId="165" fontId="0" fillId="0" borderId="9" xfId="2" applyNumberFormat="1" applyFont="1" applyBorder="1"/>
    <xf numFmtId="165" fontId="0" fillId="0" borderId="10" xfId="2" applyNumberFormat="1" applyFont="1" applyBorder="1"/>
    <xf numFmtId="164" fontId="0" fillId="0" borderId="7" xfId="1" applyNumberFormat="1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0" fillId="0" borderId="0" xfId="2" applyNumberFormat="1" applyFont="1" applyFill="1" applyBorder="1"/>
    <xf numFmtId="9" fontId="2" fillId="0" borderId="0" xfId="2" applyFont="1"/>
    <xf numFmtId="166" fontId="0" fillId="0" borderId="0" xfId="3" applyNumberFormat="1" applyFont="1"/>
    <xf numFmtId="10" fontId="0" fillId="0" borderId="0" xfId="2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165" fontId="0" fillId="0" borderId="0" xfId="2" applyNumberFormat="1" applyFont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</xdr:row>
      <xdr:rowOff>190499</xdr:rowOff>
    </xdr:from>
    <xdr:to>
      <xdr:col>4</xdr:col>
      <xdr:colOff>66675</xdr:colOff>
      <xdr:row>6</xdr:row>
      <xdr:rowOff>0</xdr:rowOff>
    </xdr:to>
    <xdr:sp macro="" textlink="">
      <xdr:nvSpPr>
        <xdr:cNvPr id="2" name="Flowchart: Process 1">
          <a:extLst>
            <a:ext uri="{FF2B5EF4-FFF2-40B4-BE49-F238E27FC236}">
              <a16:creationId xmlns:a16="http://schemas.microsoft.com/office/drawing/2014/main" id="{5399E432-0692-60B0-3EF8-CE87E34B485C}"/>
            </a:ext>
          </a:extLst>
        </xdr:cNvPr>
        <xdr:cNvSpPr/>
      </xdr:nvSpPr>
      <xdr:spPr>
        <a:xfrm>
          <a:off x="628649" y="380999"/>
          <a:ext cx="1876426" cy="571501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/>
            <a:t>General Operating Account </a:t>
          </a:r>
          <a:r>
            <a:rPr lang="en-US" sz="1100"/>
            <a:t>- $150k</a:t>
          </a:r>
          <a:r>
            <a:rPr lang="en-US" sz="1100" baseline="0"/>
            <a:t> daily balance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100"/>
        </a:p>
      </xdr:txBody>
    </xdr:sp>
    <xdr:clientData/>
  </xdr:twoCellAnchor>
  <xdr:twoCellAnchor>
    <xdr:from>
      <xdr:col>1</xdr:col>
      <xdr:colOff>9525</xdr:colOff>
      <xdr:row>9</xdr:row>
      <xdr:rowOff>57149</xdr:rowOff>
    </xdr:from>
    <xdr:to>
      <xdr:col>4</xdr:col>
      <xdr:colOff>57151</xdr:colOff>
      <xdr:row>12</xdr:row>
      <xdr:rowOff>180974</xdr:rowOff>
    </xdr:to>
    <xdr:sp macro="" textlink="">
      <xdr:nvSpPr>
        <xdr:cNvPr id="3" name="Flowchart: Process 2">
          <a:extLst>
            <a:ext uri="{FF2B5EF4-FFF2-40B4-BE49-F238E27FC236}">
              <a16:creationId xmlns:a16="http://schemas.microsoft.com/office/drawing/2014/main" id="{CA3BC3F6-3D11-4514-959B-FE244B8339B7}"/>
            </a:ext>
          </a:extLst>
        </xdr:cNvPr>
        <xdr:cNvSpPr/>
      </xdr:nvSpPr>
      <xdr:spPr>
        <a:xfrm>
          <a:off x="619125" y="1581149"/>
          <a:ext cx="1876426" cy="695325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General Sweep Account - </a:t>
          </a:r>
          <a:r>
            <a:rPr lang="en-US" sz="1100" b="0"/>
            <a:t>general operating account funds in excess of $150k</a:t>
          </a:r>
          <a:endParaRPr lang="en-US" sz="1100" b="1"/>
        </a:p>
      </xdr:txBody>
    </xdr:sp>
    <xdr:clientData/>
  </xdr:twoCellAnchor>
  <xdr:twoCellAnchor>
    <xdr:from>
      <xdr:col>2</xdr:col>
      <xdr:colOff>57150</xdr:colOff>
      <xdr:row>6</xdr:row>
      <xdr:rowOff>76200</xdr:rowOff>
    </xdr:from>
    <xdr:to>
      <xdr:col>2</xdr:col>
      <xdr:colOff>541782</xdr:colOff>
      <xdr:row>8</xdr:row>
      <xdr:rowOff>142875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2CB15148-1FC7-9CC5-6299-8BB3E6098F2B}"/>
            </a:ext>
          </a:extLst>
        </xdr:cNvPr>
        <xdr:cNvSpPr/>
      </xdr:nvSpPr>
      <xdr:spPr>
        <a:xfrm>
          <a:off x="1276350" y="1028700"/>
          <a:ext cx="484632" cy="4476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28574</xdr:colOff>
      <xdr:row>2</xdr:row>
      <xdr:rowOff>190499</xdr:rowOff>
    </xdr:from>
    <xdr:to>
      <xdr:col>8</xdr:col>
      <xdr:colOff>76200</xdr:colOff>
      <xdr:row>6</xdr:row>
      <xdr:rowOff>0</xdr:rowOff>
    </xdr:to>
    <xdr:sp macro="" textlink="">
      <xdr:nvSpPr>
        <xdr:cNvPr id="5" name="Flowchart: Process 4">
          <a:extLst>
            <a:ext uri="{FF2B5EF4-FFF2-40B4-BE49-F238E27FC236}">
              <a16:creationId xmlns:a16="http://schemas.microsoft.com/office/drawing/2014/main" id="{286FF777-6F3B-440C-A642-ACCE4C29180D}"/>
            </a:ext>
          </a:extLst>
        </xdr:cNvPr>
        <xdr:cNvSpPr/>
      </xdr:nvSpPr>
      <xdr:spPr>
        <a:xfrm>
          <a:off x="3076574" y="380999"/>
          <a:ext cx="1876426" cy="571501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/>
            <a:t>Economic Development Account </a:t>
          </a:r>
          <a:r>
            <a:rPr lang="en-US" sz="1100"/>
            <a:t>- $10k</a:t>
          </a:r>
          <a:r>
            <a:rPr lang="en-US" sz="1100" baseline="0"/>
            <a:t> daily balance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100"/>
        </a:p>
      </xdr:txBody>
    </xdr:sp>
    <xdr:clientData/>
  </xdr:twoCellAnchor>
  <xdr:twoCellAnchor>
    <xdr:from>
      <xdr:col>6</xdr:col>
      <xdr:colOff>95250</xdr:colOff>
      <xdr:row>6</xdr:row>
      <xdr:rowOff>76200</xdr:rowOff>
    </xdr:from>
    <xdr:to>
      <xdr:col>6</xdr:col>
      <xdr:colOff>579882</xdr:colOff>
      <xdr:row>8</xdr:row>
      <xdr:rowOff>142875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E3D6E105-2BC6-46AF-84D5-B0B51F36A33D}"/>
            </a:ext>
          </a:extLst>
        </xdr:cNvPr>
        <xdr:cNvSpPr/>
      </xdr:nvSpPr>
      <xdr:spPr>
        <a:xfrm>
          <a:off x="3752850" y="1028700"/>
          <a:ext cx="484632" cy="4476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28575</xdr:colOff>
      <xdr:row>9</xdr:row>
      <xdr:rowOff>76200</xdr:rowOff>
    </xdr:from>
    <xdr:to>
      <xdr:col>8</xdr:col>
      <xdr:colOff>76201</xdr:colOff>
      <xdr:row>13</xdr:row>
      <xdr:rowOff>9525</xdr:rowOff>
    </xdr:to>
    <xdr:sp macro="" textlink="">
      <xdr:nvSpPr>
        <xdr:cNvPr id="7" name="Flowchart: Process 6">
          <a:extLst>
            <a:ext uri="{FF2B5EF4-FFF2-40B4-BE49-F238E27FC236}">
              <a16:creationId xmlns:a16="http://schemas.microsoft.com/office/drawing/2014/main" id="{9DA5BF62-4F13-45B8-A0B9-08E113578D55}"/>
            </a:ext>
          </a:extLst>
        </xdr:cNvPr>
        <xdr:cNvSpPr/>
      </xdr:nvSpPr>
      <xdr:spPr>
        <a:xfrm>
          <a:off x="3076575" y="1600200"/>
          <a:ext cx="1876426" cy="695325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Economic Development Sweep Account - </a:t>
          </a:r>
          <a:r>
            <a:rPr lang="en-US" sz="1100" b="0"/>
            <a:t>economic dev. funds in excess of $10k</a:t>
          </a:r>
          <a:endParaRPr lang="en-US" sz="1100" b="1"/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12</xdr:col>
      <xdr:colOff>47626</xdr:colOff>
      <xdr:row>6</xdr:row>
      <xdr:rowOff>1</xdr:rowOff>
    </xdr:to>
    <xdr:sp macro="" textlink="">
      <xdr:nvSpPr>
        <xdr:cNvPr id="8" name="Flowchart: Process 7">
          <a:extLst>
            <a:ext uri="{FF2B5EF4-FFF2-40B4-BE49-F238E27FC236}">
              <a16:creationId xmlns:a16="http://schemas.microsoft.com/office/drawing/2014/main" id="{D0AE16FA-BC74-407C-8712-ED74627D2566}"/>
            </a:ext>
          </a:extLst>
        </xdr:cNvPr>
        <xdr:cNvSpPr/>
      </xdr:nvSpPr>
      <xdr:spPr>
        <a:xfrm>
          <a:off x="5486400" y="381000"/>
          <a:ext cx="1876426" cy="571501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/>
            <a:t>Capital Credit Refund</a:t>
          </a:r>
          <a:r>
            <a:rPr lang="en-US" sz="1100" b="1" baseline="0"/>
            <a:t> Account</a:t>
          </a:r>
          <a:endParaRPr lang="en-US" sz="1100"/>
        </a:p>
      </xdr:txBody>
    </xdr:sp>
    <xdr:clientData/>
  </xdr:twoCellAnchor>
  <xdr:twoCellAnchor>
    <xdr:from>
      <xdr:col>13</xdr:col>
      <xdr:colOff>9525</xdr:colOff>
      <xdr:row>3</xdr:row>
      <xdr:rowOff>0</xdr:rowOff>
    </xdr:from>
    <xdr:to>
      <xdr:col>16</xdr:col>
      <xdr:colOff>57151</xdr:colOff>
      <xdr:row>6</xdr:row>
      <xdr:rowOff>1</xdr:rowOff>
    </xdr:to>
    <xdr:sp macro="" textlink="">
      <xdr:nvSpPr>
        <xdr:cNvPr id="9" name="Flowchart: Process 8">
          <a:extLst>
            <a:ext uri="{FF2B5EF4-FFF2-40B4-BE49-F238E27FC236}">
              <a16:creationId xmlns:a16="http://schemas.microsoft.com/office/drawing/2014/main" id="{59CDBA5D-2A32-4D69-8AB4-486BD5CA588D}"/>
            </a:ext>
          </a:extLst>
        </xdr:cNvPr>
        <xdr:cNvSpPr/>
      </xdr:nvSpPr>
      <xdr:spPr>
        <a:xfrm>
          <a:off x="7934325" y="381000"/>
          <a:ext cx="1876426" cy="571501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/>
            <a:t>Construction Fund</a:t>
          </a:r>
          <a:r>
            <a:rPr lang="en-US" sz="1100" b="1" baseline="0"/>
            <a:t> Account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EF364-242A-4449-8909-29E115BFCCF0}">
  <dimension ref="A2:H50"/>
  <sheetViews>
    <sheetView workbookViewId="0">
      <selection activeCell="G14" sqref="G14"/>
    </sheetView>
  </sheetViews>
  <sheetFormatPr defaultRowHeight="15" x14ac:dyDescent="0.25"/>
  <cols>
    <col min="1" max="1" width="24.85546875" bestFit="1" customWidth="1"/>
    <col min="3" max="3" width="15.28515625" bestFit="1" customWidth="1"/>
    <col min="4" max="5" width="13.28515625" bestFit="1" customWidth="1"/>
    <col min="6" max="6" width="12.5703125" bestFit="1" customWidth="1"/>
    <col min="7" max="7" width="13.28515625" bestFit="1" customWidth="1"/>
  </cols>
  <sheetData>
    <row r="2" spans="1:8" x14ac:dyDescent="0.25">
      <c r="C2">
        <v>2021</v>
      </c>
      <c r="D2">
        <v>2020</v>
      </c>
      <c r="E2">
        <v>2019</v>
      </c>
      <c r="F2">
        <v>2018</v>
      </c>
      <c r="G2">
        <v>2017</v>
      </c>
    </row>
    <row r="3" spans="1:8" x14ac:dyDescent="0.25">
      <c r="A3" t="s">
        <v>0</v>
      </c>
      <c r="C3" s="2">
        <v>109387018</v>
      </c>
      <c r="D3" s="2">
        <v>103942237</v>
      </c>
      <c r="E3" s="2">
        <v>100417640</v>
      </c>
      <c r="F3" s="2">
        <v>96355085</v>
      </c>
      <c r="G3" s="2">
        <v>93513669</v>
      </c>
      <c r="H3" s="1"/>
    </row>
    <row r="4" spans="1:8" x14ac:dyDescent="0.25">
      <c r="A4" s="4" t="s">
        <v>8</v>
      </c>
      <c r="C4" s="3">
        <f>(C3-D3)/D3</f>
        <v>5.2382757550234367E-2</v>
      </c>
      <c r="D4" s="3">
        <f>(D3-E3)/E3</f>
        <v>3.5099380945419548E-2</v>
      </c>
      <c r="E4" s="3">
        <f>(E3-F3)/F3</f>
        <v>4.2162331131771612E-2</v>
      </c>
      <c r="F4" s="3">
        <f>(F3-G3)/G3</f>
        <v>3.0385033871358422E-2</v>
      </c>
      <c r="G4" s="2"/>
      <c r="H4" s="1"/>
    </row>
    <row r="5" spans="1:8" x14ac:dyDescent="0.25">
      <c r="A5" t="s">
        <v>1</v>
      </c>
      <c r="C5" s="2">
        <v>-23408706</v>
      </c>
      <c r="D5" s="2">
        <v>-21684507</v>
      </c>
      <c r="E5" s="2">
        <v>-20307643</v>
      </c>
      <c r="F5" s="2">
        <v>-18576135</v>
      </c>
      <c r="G5" s="2">
        <v>-17683024</v>
      </c>
      <c r="H5" s="1"/>
    </row>
    <row r="6" spans="1:8" x14ac:dyDescent="0.25">
      <c r="A6" s="4" t="s">
        <v>8</v>
      </c>
      <c r="C6" s="3">
        <f t="shared" ref="C6:E6" si="0">(C5-D5)/D5</f>
        <v>7.9512944426174875E-2</v>
      </c>
      <c r="D6" s="3">
        <f t="shared" si="0"/>
        <v>6.7800285833269774E-2</v>
      </c>
      <c r="E6" s="3">
        <f t="shared" si="0"/>
        <v>9.3211424227913939E-2</v>
      </c>
      <c r="F6" s="3">
        <f>(F5-G5)/G5</f>
        <v>5.0506689353585675E-2</v>
      </c>
      <c r="G6" s="2"/>
      <c r="H6" s="1"/>
    </row>
    <row r="7" spans="1:8" x14ac:dyDescent="0.25">
      <c r="A7" t="s">
        <v>2</v>
      </c>
      <c r="C7" s="3">
        <f>-C5/C3</f>
        <v>0.21399894089808719</v>
      </c>
      <c r="D7" s="3">
        <f t="shared" ref="D7:G7" si="1">-D5/D3</f>
        <v>0.20862074577055717</v>
      </c>
      <c r="E7" s="3">
        <f t="shared" si="1"/>
        <v>0.20223182898940864</v>
      </c>
      <c r="F7" s="3">
        <f t="shared" si="1"/>
        <v>0.19278832040882948</v>
      </c>
      <c r="G7" s="3">
        <f t="shared" si="1"/>
        <v>0.1890956069748477</v>
      </c>
      <c r="H7" s="1"/>
    </row>
    <row r="8" spans="1:8" x14ac:dyDescent="0.25">
      <c r="C8" s="2"/>
      <c r="D8" s="2"/>
      <c r="E8" s="2"/>
      <c r="F8" s="2"/>
      <c r="G8" s="2"/>
      <c r="H8" s="1"/>
    </row>
    <row r="9" spans="1:8" x14ac:dyDescent="0.25">
      <c r="A9" t="s">
        <v>11</v>
      </c>
      <c r="C9" s="2">
        <v>128412826</v>
      </c>
      <c r="D9" s="2">
        <v>122000868</v>
      </c>
      <c r="E9" s="2">
        <v>117387080</v>
      </c>
      <c r="F9" s="2">
        <v>113345020</v>
      </c>
      <c r="G9" s="2">
        <v>110047493</v>
      </c>
      <c r="H9" s="1"/>
    </row>
    <row r="10" spans="1:8" x14ac:dyDescent="0.25">
      <c r="A10" s="4" t="s">
        <v>8</v>
      </c>
      <c r="C10" s="3">
        <f t="shared" ref="C10" si="2">(C9-D9)/D9</f>
        <v>5.2556658859181232E-2</v>
      </c>
      <c r="D10" s="3">
        <f t="shared" ref="D10" si="3">(D9-E9)/E9</f>
        <v>3.9304052882140013E-2</v>
      </c>
      <c r="E10" s="3">
        <f t="shared" ref="E10" si="4">(E9-F9)/F9</f>
        <v>3.5661557958170546E-2</v>
      </c>
      <c r="F10" s="3">
        <f t="shared" ref="F10" si="5">(F9-G9)/G9</f>
        <v>2.9964580837838806E-2</v>
      </c>
      <c r="G10" s="2"/>
      <c r="H10" s="1"/>
    </row>
    <row r="11" spans="1:8" x14ac:dyDescent="0.25">
      <c r="A11" s="4"/>
      <c r="C11" s="2"/>
      <c r="D11" s="2"/>
      <c r="E11" s="2"/>
      <c r="F11" s="2"/>
      <c r="G11" s="2"/>
      <c r="H11" s="1"/>
    </row>
    <row r="12" spans="1:8" x14ac:dyDescent="0.25">
      <c r="A12" t="s">
        <v>3</v>
      </c>
      <c r="C12" s="2">
        <v>593163</v>
      </c>
      <c r="D12" s="2">
        <v>478544</v>
      </c>
      <c r="E12" s="2">
        <v>601750</v>
      </c>
      <c r="F12" s="2">
        <v>585551</v>
      </c>
      <c r="G12" s="2">
        <v>700615</v>
      </c>
      <c r="H12" s="1"/>
    </row>
    <row r="13" spans="1:8" x14ac:dyDescent="0.25">
      <c r="A13" s="4" t="s">
        <v>8</v>
      </c>
      <c r="C13" s="3">
        <f t="shared" ref="C13:F15" si="6">(C12-D12)/D12</f>
        <v>0.2395161155505032</v>
      </c>
      <c r="D13" s="3">
        <f t="shared" si="6"/>
        <v>-0.20474615704196095</v>
      </c>
      <c r="E13" s="3">
        <f t="shared" si="6"/>
        <v>2.7664541602695582E-2</v>
      </c>
      <c r="F13" s="3">
        <f>(F12-G12)/G12</f>
        <v>-0.16423285256524625</v>
      </c>
      <c r="G13" s="2"/>
      <c r="H13" s="1"/>
    </row>
    <row r="14" spans="1:8" x14ac:dyDescent="0.25">
      <c r="A14" t="s">
        <v>6</v>
      </c>
      <c r="C14" s="1">
        <v>1282759.7</v>
      </c>
      <c r="D14" s="1">
        <v>1019328.46</v>
      </c>
      <c r="E14" s="1">
        <v>1027569.12</v>
      </c>
      <c r="F14" s="1">
        <v>845385.07</v>
      </c>
      <c r="G14" s="1">
        <v>1098463.2</v>
      </c>
      <c r="H14" s="1"/>
    </row>
    <row r="15" spans="1:8" x14ac:dyDescent="0.25">
      <c r="A15" s="4" t="s">
        <v>8</v>
      </c>
      <c r="C15" s="3">
        <f t="shared" si="6"/>
        <v>0.25843606878199005</v>
      </c>
      <c r="D15" s="3">
        <f t="shared" si="6"/>
        <v>-8.0195675790646886E-3</v>
      </c>
      <c r="E15" s="3">
        <f t="shared" si="6"/>
        <v>0.2155042198698873</v>
      </c>
      <c r="F15" s="3">
        <f t="shared" si="6"/>
        <v>-0.23039290710876797</v>
      </c>
      <c r="G15" s="1"/>
      <c r="H15" s="1"/>
    </row>
    <row r="16" spans="1:8" x14ac:dyDescent="0.25">
      <c r="A16" s="4" t="s">
        <v>7</v>
      </c>
      <c r="C16" s="1">
        <f>C14/((C12+D12)/2)</f>
        <v>2.3938626882160889</v>
      </c>
      <c r="D16" s="1">
        <f>D14/((D12+E12)/2)</f>
        <v>1.8871315771447401</v>
      </c>
      <c r="E16" s="1">
        <f>E14/((E12+F12)/2)</f>
        <v>1.7309327963170249</v>
      </c>
      <c r="F16" s="1">
        <f>F14/((F12+G12)/2)</f>
        <v>1.3145815858917123</v>
      </c>
      <c r="G16" s="2"/>
      <c r="H16" s="1"/>
    </row>
    <row r="17" spans="1:8" x14ac:dyDescent="0.25">
      <c r="C17" s="3"/>
      <c r="D17" s="3"/>
      <c r="E17" s="3"/>
      <c r="F17" s="2"/>
      <c r="G17" s="2"/>
      <c r="H17" s="1"/>
    </row>
    <row r="18" spans="1:8" x14ac:dyDescent="0.25">
      <c r="A18" t="s">
        <v>4</v>
      </c>
      <c r="C18" s="2">
        <v>66884909</v>
      </c>
      <c r="D18" s="2">
        <v>64501192</v>
      </c>
      <c r="E18" s="2">
        <f>58899853+2213099</f>
        <v>61112952</v>
      </c>
      <c r="F18" s="2">
        <f>57822912+2190000</f>
        <v>60012912</v>
      </c>
      <c r="G18" s="2">
        <f>54517642+2115000</f>
        <v>56632642</v>
      </c>
      <c r="H18" s="1"/>
    </row>
    <row r="19" spans="1:8" x14ac:dyDescent="0.25">
      <c r="A19" s="4" t="s">
        <v>8</v>
      </c>
      <c r="C19" s="3">
        <f t="shared" ref="C19:E19" si="7">(C18-D18)/D18</f>
        <v>3.695616974024294E-2</v>
      </c>
      <c r="D19" s="3">
        <f t="shared" si="7"/>
        <v>5.5442257150333699E-2</v>
      </c>
      <c r="E19" s="3">
        <f t="shared" si="7"/>
        <v>1.8330055372083928E-2</v>
      </c>
      <c r="F19" s="3">
        <f>(F18-G18)/G18</f>
        <v>5.9687662108364993E-2</v>
      </c>
      <c r="G19" s="2"/>
      <c r="H19" s="1"/>
    </row>
    <row r="20" spans="1:8" x14ac:dyDescent="0.25">
      <c r="A20" s="4" t="s">
        <v>9</v>
      </c>
      <c r="C20" s="1">
        <f>C18/C23</f>
        <v>1.2563020911292744</v>
      </c>
      <c r="D20" s="1">
        <f>D18/D23</f>
        <v>1.2890545740846542</v>
      </c>
      <c r="E20" s="1">
        <f>E18/E23</f>
        <v>1.2634483664283893</v>
      </c>
      <c r="F20" s="1">
        <f>F18/F23</f>
        <v>1.3166517851207447</v>
      </c>
      <c r="G20" s="2"/>
      <c r="H20" s="1"/>
    </row>
    <row r="21" spans="1:8" x14ac:dyDescent="0.25">
      <c r="A21" s="4" t="s">
        <v>10</v>
      </c>
      <c r="C21" s="1">
        <f>C18/C9</f>
        <v>0.52085847717423495</v>
      </c>
      <c r="D21" s="1">
        <f>D18/D9</f>
        <v>0.52869453355036788</v>
      </c>
      <c r="E21" s="1">
        <f>E18/E9</f>
        <v>0.52061054760029812</v>
      </c>
      <c r="F21" s="1">
        <f>F18/F9</f>
        <v>0.52947109630401057</v>
      </c>
      <c r="G21" s="2"/>
      <c r="H21" s="1"/>
    </row>
    <row r="22" spans="1:8" x14ac:dyDescent="0.25">
      <c r="C22" s="2"/>
      <c r="D22" s="2"/>
      <c r="E22" s="2"/>
      <c r="F22" s="2"/>
      <c r="G22" s="2"/>
      <c r="H22" s="1"/>
    </row>
    <row r="23" spans="1:8" x14ac:dyDescent="0.25">
      <c r="A23" t="s">
        <v>5</v>
      </c>
      <c r="C23" s="2">
        <v>53239511</v>
      </c>
      <c r="D23" s="2">
        <v>50037596</v>
      </c>
      <c r="E23" s="2">
        <v>48369964</v>
      </c>
      <c r="F23" s="2">
        <v>45579942</v>
      </c>
      <c r="G23" s="2">
        <v>42818315</v>
      </c>
      <c r="H23" s="1"/>
    </row>
    <row r="24" spans="1:8" x14ac:dyDescent="0.25">
      <c r="C24" s="3">
        <f t="shared" ref="C24:E24" si="8">(C23-D23)/D23</f>
        <v>6.3990184500470407E-2</v>
      </c>
      <c r="D24" s="3">
        <f t="shared" si="8"/>
        <v>3.4476602049982923E-2</v>
      </c>
      <c r="E24" s="3">
        <f t="shared" si="8"/>
        <v>6.1211618040233576E-2</v>
      </c>
      <c r="F24" s="3">
        <f>(F23-G23)/G23</f>
        <v>6.4496395993163202E-2</v>
      </c>
      <c r="G24" s="2"/>
      <c r="H24" s="1"/>
    </row>
    <row r="25" spans="1:8" x14ac:dyDescent="0.25">
      <c r="C25" s="2"/>
      <c r="D25" s="2"/>
      <c r="E25" s="2"/>
      <c r="F25" s="2"/>
      <c r="G25" s="2"/>
      <c r="H25" s="1"/>
    </row>
    <row r="26" spans="1:8" x14ac:dyDescent="0.25">
      <c r="C26" s="2"/>
      <c r="D26" s="2"/>
      <c r="E26" s="2"/>
      <c r="F26" s="2"/>
      <c r="G26" s="2"/>
      <c r="H26" s="1"/>
    </row>
    <row r="27" spans="1:8" x14ac:dyDescent="0.25">
      <c r="C27" s="2"/>
      <c r="D27" s="2"/>
      <c r="E27" s="2"/>
      <c r="F27" s="2"/>
      <c r="G27" s="2"/>
      <c r="H27" s="1"/>
    </row>
    <row r="28" spans="1:8" x14ac:dyDescent="0.25">
      <c r="C28" s="2"/>
      <c r="D28" s="2"/>
      <c r="E28" s="2"/>
      <c r="F28" s="2"/>
      <c r="G28" s="2"/>
      <c r="H28" s="1"/>
    </row>
    <row r="29" spans="1:8" x14ac:dyDescent="0.25">
      <c r="C29" s="2"/>
      <c r="D29" s="2"/>
      <c r="E29" s="2"/>
      <c r="F29" s="2"/>
      <c r="G29" s="2"/>
      <c r="H29" s="1"/>
    </row>
    <row r="30" spans="1:8" x14ac:dyDescent="0.25">
      <c r="C30" s="2"/>
      <c r="D30" s="2"/>
      <c r="E30" s="2"/>
      <c r="F30" s="2"/>
      <c r="G30" s="2"/>
      <c r="H30" s="1"/>
    </row>
    <row r="31" spans="1:8" x14ac:dyDescent="0.25">
      <c r="C31" s="2"/>
      <c r="D31" s="2"/>
      <c r="E31" s="2"/>
      <c r="F31" s="2"/>
      <c r="G31" s="2"/>
      <c r="H31" s="1"/>
    </row>
    <row r="32" spans="1:8" x14ac:dyDescent="0.25">
      <c r="C32" s="2"/>
      <c r="D32" s="2"/>
      <c r="E32" s="2"/>
      <c r="F32" s="2"/>
      <c r="G32" s="2"/>
      <c r="H32" s="1"/>
    </row>
    <row r="33" spans="3:8" x14ac:dyDescent="0.25">
      <c r="C33" s="2"/>
      <c r="D33" s="2"/>
      <c r="E33" s="2"/>
      <c r="F33" s="2"/>
      <c r="G33" s="2"/>
      <c r="H33" s="1"/>
    </row>
    <row r="34" spans="3:8" x14ac:dyDescent="0.25">
      <c r="C34" s="2"/>
      <c r="D34" s="2"/>
      <c r="E34" s="2"/>
      <c r="F34" s="2"/>
      <c r="G34" s="2"/>
      <c r="H34" s="1"/>
    </row>
    <row r="35" spans="3:8" x14ac:dyDescent="0.25">
      <c r="C35" s="2"/>
      <c r="D35" s="2"/>
      <c r="E35" s="2"/>
      <c r="F35" s="2"/>
      <c r="G35" s="2"/>
      <c r="H35" s="1"/>
    </row>
    <row r="36" spans="3:8" x14ac:dyDescent="0.25">
      <c r="C36" s="2"/>
      <c r="D36" s="2"/>
      <c r="E36" s="2"/>
      <c r="F36" s="2"/>
      <c r="G36" s="2"/>
      <c r="H36" s="1"/>
    </row>
    <row r="37" spans="3:8" x14ac:dyDescent="0.25">
      <c r="C37" s="2"/>
      <c r="D37" s="2"/>
      <c r="E37" s="2"/>
      <c r="F37" s="2"/>
      <c r="G37" s="2"/>
      <c r="H37" s="1"/>
    </row>
    <row r="38" spans="3:8" x14ac:dyDescent="0.25">
      <c r="C38" s="2"/>
      <c r="D38" s="2"/>
      <c r="E38" s="2"/>
      <c r="F38" s="2"/>
      <c r="G38" s="2"/>
      <c r="H38" s="1"/>
    </row>
    <row r="39" spans="3:8" x14ac:dyDescent="0.25">
      <c r="C39" s="2"/>
      <c r="D39" s="2"/>
      <c r="E39" s="2"/>
      <c r="F39" s="2"/>
      <c r="G39" s="2"/>
      <c r="H39" s="1"/>
    </row>
    <row r="40" spans="3:8" x14ac:dyDescent="0.25">
      <c r="C40" s="2"/>
      <c r="D40" s="2"/>
      <c r="E40" s="2"/>
      <c r="F40" s="2"/>
      <c r="G40" s="2"/>
      <c r="H40" s="1"/>
    </row>
    <row r="41" spans="3:8" x14ac:dyDescent="0.25">
      <c r="C41" s="2"/>
      <c r="D41" s="2"/>
      <c r="E41" s="2"/>
      <c r="F41" s="2"/>
      <c r="G41" s="2"/>
      <c r="H41" s="1"/>
    </row>
    <row r="42" spans="3:8" x14ac:dyDescent="0.25">
      <c r="C42" s="2"/>
      <c r="D42" s="2"/>
      <c r="E42" s="2"/>
      <c r="F42" s="2"/>
      <c r="G42" s="2"/>
      <c r="H42" s="1"/>
    </row>
    <row r="43" spans="3:8" x14ac:dyDescent="0.25">
      <c r="C43" s="2"/>
      <c r="D43" s="2"/>
      <c r="E43" s="2"/>
      <c r="F43" s="2"/>
      <c r="G43" s="2"/>
      <c r="H43" s="1"/>
    </row>
    <row r="44" spans="3:8" x14ac:dyDescent="0.25">
      <c r="C44" s="2"/>
      <c r="D44" s="2"/>
      <c r="E44" s="2"/>
      <c r="F44" s="2"/>
      <c r="G44" s="2"/>
      <c r="H44" s="1"/>
    </row>
    <row r="45" spans="3:8" x14ac:dyDescent="0.25">
      <c r="C45" s="2"/>
      <c r="D45" s="2"/>
      <c r="E45" s="2"/>
      <c r="F45" s="2"/>
      <c r="G45" s="2"/>
      <c r="H45" s="1"/>
    </row>
    <row r="46" spans="3:8" x14ac:dyDescent="0.25">
      <c r="C46" s="2"/>
      <c r="D46" s="2"/>
      <c r="E46" s="2"/>
      <c r="F46" s="2"/>
      <c r="G46" s="2"/>
      <c r="H46" s="1"/>
    </row>
    <row r="47" spans="3:8" x14ac:dyDescent="0.25">
      <c r="C47" s="2"/>
      <c r="D47" s="2"/>
      <c r="E47" s="2"/>
      <c r="F47" s="2"/>
      <c r="G47" s="2"/>
      <c r="H47" s="1"/>
    </row>
    <row r="48" spans="3:8" x14ac:dyDescent="0.25">
      <c r="C48" s="2"/>
      <c r="D48" s="2"/>
      <c r="E48" s="2"/>
      <c r="F48" s="2"/>
      <c r="G48" s="2"/>
      <c r="H48" s="1"/>
    </row>
    <row r="49" spans="3:8" x14ac:dyDescent="0.25">
      <c r="C49" s="2"/>
      <c r="D49" s="2"/>
      <c r="E49" s="2"/>
      <c r="F49" s="2"/>
      <c r="G49" s="2"/>
      <c r="H49" s="1"/>
    </row>
    <row r="50" spans="3:8" x14ac:dyDescent="0.25">
      <c r="C50" s="2"/>
      <c r="D50" s="2"/>
      <c r="E50" s="2"/>
      <c r="F50" s="2"/>
      <c r="G50" s="2"/>
      <c r="H5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0F179-FF70-445A-9027-14A9D1E9FE5B}">
  <sheetPr>
    <pageSetUpPr fitToPage="1"/>
  </sheetPr>
  <dimension ref="B2:N50"/>
  <sheetViews>
    <sheetView topLeftCell="A10" workbookViewId="0">
      <selection activeCell="N21" sqref="N21"/>
    </sheetView>
  </sheetViews>
  <sheetFormatPr defaultRowHeight="15" x14ac:dyDescent="0.25"/>
  <cols>
    <col min="2" max="2" width="17" bestFit="1" customWidth="1"/>
    <col min="3" max="4" width="17" customWidth="1"/>
    <col min="5" max="5" width="14.28515625" style="2" bestFit="1" customWidth="1"/>
    <col min="6" max="8" width="12.5703125" bestFit="1" customWidth="1"/>
    <col min="9" max="9" width="15.28515625" bestFit="1" customWidth="1"/>
    <col min="12" max="13" width="12.5703125" bestFit="1" customWidth="1"/>
  </cols>
  <sheetData>
    <row r="2" spans="2:9" x14ac:dyDescent="0.25">
      <c r="C2" s="6" t="s">
        <v>34</v>
      </c>
      <c r="D2" s="6">
        <v>2022</v>
      </c>
      <c r="E2" s="5">
        <v>2021</v>
      </c>
      <c r="F2" s="6">
        <v>2020</v>
      </c>
      <c r="G2" s="6">
        <v>2019</v>
      </c>
      <c r="H2" s="6">
        <v>2018</v>
      </c>
      <c r="I2" s="6">
        <v>2017</v>
      </c>
    </row>
    <row r="3" spans="2:9" x14ac:dyDescent="0.25">
      <c r="B3" t="s">
        <v>12</v>
      </c>
      <c r="C3" s="2">
        <v>55912967</v>
      </c>
      <c r="D3" s="2">
        <v>55470887</v>
      </c>
      <c r="E3" s="2">
        <v>46797182</v>
      </c>
      <c r="F3" s="2">
        <v>42329039</v>
      </c>
      <c r="G3" s="2">
        <v>46117909</v>
      </c>
      <c r="H3" s="2">
        <v>47163668</v>
      </c>
      <c r="I3" s="2">
        <v>43993485</v>
      </c>
    </row>
    <row r="4" spans="2:9" x14ac:dyDescent="0.25">
      <c r="B4" t="s">
        <v>13</v>
      </c>
      <c r="C4" s="2">
        <v>41354317</v>
      </c>
      <c r="D4" s="2">
        <v>41971379</v>
      </c>
      <c r="E4" s="2">
        <v>33493466</v>
      </c>
      <c r="F4" s="2">
        <v>29533708</v>
      </c>
      <c r="G4" s="2">
        <v>33130833</v>
      </c>
      <c r="H4" s="2">
        <v>33950034</v>
      </c>
      <c r="I4" s="2">
        <v>32429954</v>
      </c>
    </row>
    <row r="5" spans="2:9" x14ac:dyDescent="0.25">
      <c r="B5" t="s">
        <v>14</v>
      </c>
      <c r="C5" s="2">
        <v>7540937</v>
      </c>
      <c r="D5" s="2">
        <f>48926296-41971379</f>
        <v>6954917</v>
      </c>
      <c r="E5" s="2">
        <f>39880934-33493466</f>
        <v>6387468</v>
      </c>
      <c r="F5" s="2">
        <f>36135793-29533708</f>
        <v>6602085</v>
      </c>
      <c r="G5" s="2">
        <f>39585411-33130833</f>
        <v>6454578</v>
      </c>
      <c r="H5" s="2">
        <f>40953042-33950034</f>
        <v>7003008</v>
      </c>
      <c r="I5" s="2">
        <f>39503224-32429954</f>
        <v>7073270</v>
      </c>
    </row>
    <row r="6" spans="2:9" x14ac:dyDescent="0.25">
      <c r="B6" t="s">
        <v>15</v>
      </c>
      <c r="C6" s="2">
        <v>6816082</v>
      </c>
      <c r="D6" s="2">
        <f>55104707-48926296</f>
        <v>6178411</v>
      </c>
      <c r="E6" s="2">
        <f>45717275-39880934</f>
        <v>5836341</v>
      </c>
      <c r="F6" s="2">
        <f>41925437-36135793</f>
        <v>5789644</v>
      </c>
      <c r="G6" s="2">
        <f>45322025-39585411</f>
        <v>5736614</v>
      </c>
      <c r="H6" s="2">
        <f>46319680-40953042</f>
        <v>5366638</v>
      </c>
      <c r="I6" s="2">
        <f>44356423-39503224</f>
        <v>4853199</v>
      </c>
    </row>
    <row r="7" spans="2:9" x14ac:dyDescent="0.25">
      <c r="B7" t="s">
        <v>16</v>
      </c>
      <c r="C7" s="2">
        <f t="shared" ref="C7:I7" si="0">C3-SUM(C4:C6)</f>
        <v>201631</v>
      </c>
      <c r="D7" s="2">
        <f t="shared" si="0"/>
        <v>366180</v>
      </c>
      <c r="E7" s="2">
        <f t="shared" si="0"/>
        <v>1079907</v>
      </c>
      <c r="F7" s="2">
        <f t="shared" si="0"/>
        <v>403602</v>
      </c>
      <c r="G7" s="2">
        <f t="shared" si="0"/>
        <v>795884</v>
      </c>
      <c r="H7" s="2">
        <f t="shared" si="0"/>
        <v>843988</v>
      </c>
      <c r="I7" s="2">
        <f t="shared" si="0"/>
        <v>-362938</v>
      </c>
    </row>
    <row r="8" spans="2:9" x14ac:dyDescent="0.25">
      <c r="F8" s="2"/>
      <c r="G8" s="2"/>
      <c r="H8" s="2"/>
      <c r="I8" s="2"/>
    </row>
    <row r="9" spans="2:9" x14ac:dyDescent="0.25">
      <c r="F9" s="2"/>
      <c r="G9" s="2"/>
      <c r="H9" s="2"/>
      <c r="I9" s="2"/>
    </row>
    <row r="10" spans="2:9" x14ac:dyDescent="0.25">
      <c r="B10" t="s">
        <v>17</v>
      </c>
      <c r="C10" s="2">
        <v>4203563</v>
      </c>
      <c r="D10" s="2">
        <v>3919633</v>
      </c>
      <c r="E10" s="2">
        <v>3703179</v>
      </c>
      <c r="F10" s="2">
        <v>3578004</v>
      </c>
      <c r="G10" s="2">
        <v>3408008</v>
      </c>
      <c r="H10" s="2">
        <v>3275963</v>
      </c>
      <c r="I10" s="2">
        <v>2958561</v>
      </c>
    </row>
    <row r="11" spans="2:9" x14ac:dyDescent="0.25">
      <c r="B11" t="s">
        <v>18</v>
      </c>
      <c r="C11" s="2">
        <f>2485497+61500</f>
        <v>2546997</v>
      </c>
      <c r="D11" s="2">
        <f>2134628+23555</f>
        <v>2158183</v>
      </c>
      <c r="E11" s="2">
        <f>2044854+23123</f>
        <v>2067977</v>
      </c>
      <c r="F11" s="2">
        <f>2096517+26656</f>
        <v>2123173</v>
      </c>
      <c r="G11" s="2">
        <f>2135613+47486</f>
        <v>2183099</v>
      </c>
      <c r="H11" s="2">
        <f>1971796+42983</f>
        <v>2014779</v>
      </c>
      <c r="I11" s="2">
        <f>1772736+44851</f>
        <v>1817587</v>
      </c>
    </row>
    <row r="13" spans="2:9" x14ac:dyDescent="0.25">
      <c r="B13" t="s">
        <v>44</v>
      </c>
      <c r="C13" s="2">
        <f>SUM(C4:C6)-C10</f>
        <v>51507773</v>
      </c>
      <c r="D13" s="2">
        <f>SUM(D4:D6)-D10</f>
        <v>51185074</v>
      </c>
      <c r="E13" s="2">
        <f>SUM(E4:E6)-E10</f>
        <v>42014096</v>
      </c>
      <c r="F13" s="2">
        <f t="shared" ref="F13:I13" si="1">SUM(F4:F6)-F10</f>
        <v>38347433</v>
      </c>
      <c r="G13" s="2">
        <f t="shared" si="1"/>
        <v>41914017</v>
      </c>
      <c r="H13" s="2">
        <f t="shared" si="1"/>
        <v>43043717</v>
      </c>
      <c r="I13" s="2">
        <f t="shared" si="1"/>
        <v>41397862</v>
      </c>
    </row>
    <row r="15" spans="2:9" ht="15.75" thickBot="1" x14ac:dyDescent="0.3"/>
    <row r="16" spans="2:9" x14ac:dyDescent="0.25">
      <c r="B16" s="30" t="s">
        <v>41</v>
      </c>
      <c r="C16" s="31"/>
      <c r="D16" s="31"/>
      <c r="E16" s="31"/>
      <c r="F16" s="31"/>
      <c r="G16" s="31"/>
      <c r="H16" s="31"/>
      <c r="I16" s="32"/>
    </row>
    <row r="17" spans="2:14" x14ac:dyDescent="0.25">
      <c r="B17" s="22"/>
      <c r="C17" s="23" t="s">
        <v>34</v>
      </c>
      <c r="D17" s="23">
        <v>2022</v>
      </c>
      <c r="E17" s="24">
        <v>2021</v>
      </c>
      <c r="F17" s="23">
        <v>2020</v>
      </c>
      <c r="G17" s="23">
        <v>2019</v>
      </c>
      <c r="H17" s="23">
        <v>2018</v>
      </c>
      <c r="I17" s="25">
        <v>2017</v>
      </c>
    </row>
    <row r="18" spans="2:14" x14ac:dyDescent="0.25">
      <c r="B18" s="10" t="s">
        <v>35</v>
      </c>
      <c r="C18" s="13">
        <v>253849737</v>
      </c>
      <c r="D18" s="13">
        <v>252205779</v>
      </c>
      <c r="E18" s="13">
        <v>245954829</v>
      </c>
      <c r="F18" s="13">
        <v>241277804</v>
      </c>
      <c r="G18" s="13">
        <v>242995258</v>
      </c>
      <c r="H18" s="13">
        <v>247767083</v>
      </c>
      <c r="I18" s="20">
        <v>224148181</v>
      </c>
    </row>
    <row r="19" spans="2:14" x14ac:dyDescent="0.25">
      <c r="B19" s="10" t="s">
        <v>36</v>
      </c>
      <c r="C19" s="13">
        <v>1488114</v>
      </c>
      <c r="D19" s="13">
        <v>752560</v>
      </c>
      <c r="E19" s="13">
        <v>488975</v>
      </c>
      <c r="F19" s="13">
        <v>662029</v>
      </c>
      <c r="G19" s="13">
        <v>662530</v>
      </c>
      <c r="H19" s="13">
        <v>621478</v>
      </c>
      <c r="I19" s="20">
        <v>533920</v>
      </c>
    </row>
    <row r="20" spans="2:14" x14ac:dyDescent="0.25">
      <c r="B20" s="10" t="s">
        <v>37</v>
      </c>
      <c r="C20" s="13">
        <v>92824093</v>
      </c>
      <c r="D20" s="13">
        <v>92055865</v>
      </c>
      <c r="E20" s="13">
        <v>92272302</v>
      </c>
      <c r="F20" s="13">
        <v>82079854</v>
      </c>
      <c r="G20" s="13">
        <v>89400248</v>
      </c>
      <c r="H20" s="13">
        <v>89086062</v>
      </c>
      <c r="I20" s="20">
        <v>88841125</v>
      </c>
    </row>
    <row r="21" spans="2:14" x14ac:dyDescent="0.25">
      <c r="B21" s="10" t="s">
        <v>38</v>
      </c>
      <c r="C21" s="13">
        <v>145171157</v>
      </c>
      <c r="D21" s="13">
        <v>138592372</v>
      </c>
      <c r="E21" s="13">
        <v>129652197</v>
      </c>
      <c r="F21" s="13">
        <v>149931303</v>
      </c>
      <c r="G21" s="13">
        <v>164702447</v>
      </c>
      <c r="H21" s="13">
        <v>166965152</v>
      </c>
      <c r="I21" s="20">
        <v>171066977</v>
      </c>
      <c r="K21">
        <f>(D21-I21)/I21</f>
        <v>-0.18983561625690035</v>
      </c>
      <c r="L21" s="8">
        <f>SUM(D20:D21)</f>
        <v>230648237</v>
      </c>
      <c r="M21" s="8">
        <f>SUM(I20:I21)</f>
        <v>259908102</v>
      </c>
      <c r="N21">
        <f>(L21-M21)/M21</f>
        <v>-0.1125777333405328</v>
      </c>
    </row>
    <row r="22" spans="2:14" x14ac:dyDescent="0.25">
      <c r="B22" s="10" t="s">
        <v>39</v>
      </c>
      <c r="C22" s="13">
        <v>142412</v>
      </c>
      <c r="D22" s="13">
        <v>134508</v>
      </c>
      <c r="E22" s="13">
        <v>137934</v>
      </c>
      <c r="F22" s="13">
        <v>145847</v>
      </c>
      <c r="G22" s="13">
        <v>144800</v>
      </c>
      <c r="H22" s="13">
        <v>159438</v>
      </c>
      <c r="I22" s="20">
        <v>170452</v>
      </c>
    </row>
    <row r="23" spans="2:14" x14ac:dyDescent="0.25">
      <c r="B23" s="10" t="s">
        <v>40</v>
      </c>
      <c r="C23" s="13">
        <f t="shared" ref="C23:I23" si="2">SUM(C18:C22)</f>
        <v>493475513</v>
      </c>
      <c r="D23" s="13">
        <f t="shared" si="2"/>
        <v>483741084</v>
      </c>
      <c r="E23" s="13">
        <f t="shared" si="2"/>
        <v>468506237</v>
      </c>
      <c r="F23" s="13">
        <f t="shared" si="2"/>
        <v>474096837</v>
      </c>
      <c r="G23" s="13">
        <f t="shared" si="2"/>
        <v>497905283</v>
      </c>
      <c r="H23" s="13">
        <f t="shared" si="2"/>
        <v>504599213</v>
      </c>
      <c r="I23" s="20">
        <f t="shared" si="2"/>
        <v>484760655</v>
      </c>
    </row>
    <row r="24" spans="2:14" x14ac:dyDescent="0.25">
      <c r="B24" s="10" t="s">
        <v>45</v>
      </c>
      <c r="D24" s="27">
        <f>(D23-E23)/E23</f>
        <v>3.2517917152082652E-2</v>
      </c>
      <c r="E24" s="27">
        <f>(E23-F23)/F23</f>
        <v>-1.1792105670597419E-2</v>
      </c>
      <c r="F24" s="27">
        <f>(F23-G23)/G23</f>
        <v>-4.7817219083413499E-2</v>
      </c>
      <c r="G24" s="27">
        <f>(G23-H23)/H23</f>
        <v>-1.3265835196615734E-2</v>
      </c>
      <c r="H24" s="27">
        <f>(H23-I23)/I23</f>
        <v>4.0924439298812315E-2</v>
      </c>
      <c r="I24" s="14"/>
    </row>
    <row r="25" spans="2:14" x14ac:dyDescent="0.25">
      <c r="B25" s="10"/>
      <c r="D25" s="3"/>
      <c r="E25" s="3"/>
      <c r="F25" s="3"/>
      <c r="G25" s="3"/>
      <c r="H25" s="3"/>
      <c r="I25" s="14"/>
    </row>
    <row r="26" spans="2:14" x14ac:dyDescent="0.25">
      <c r="B26" s="21" t="s">
        <v>43</v>
      </c>
      <c r="E26" s="13"/>
      <c r="I26" s="14"/>
    </row>
    <row r="27" spans="2:14" x14ac:dyDescent="0.25">
      <c r="B27" s="10" t="s">
        <v>35</v>
      </c>
      <c r="C27" s="15">
        <f>C18/$C$23</f>
        <v>0.51441202311491396</v>
      </c>
      <c r="D27" s="15">
        <f>D18/$D$23</f>
        <v>0.52136522479037573</v>
      </c>
      <c r="E27" s="15">
        <f>E18/$E$23</f>
        <v>0.52497663761090974</v>
      </c>
      <c r="F27" s="15">
        <f>F18/$F$23</f>
        <v>0.50892093169564845</v>
      </c>
      <c r="G27" s="15">
        <f>G18/$G$23</f>
        <v>0.48803510686991447</v>
      </c>
      <c r="H27" s="15">
        <f>H18/$H$23</f>
        <v>0.49101757715186922</v>
      </c>
      <c r="I27" s="16">
        <f>I18/$I$23</f>
        <v>0.46238938471605129</v>
      </c>
    </row>
    <row r="28" spans="2:14" x14ac:dyDescent="0.25">
      <c r="B28" s="10" t="s">
        <v>36</v>
      </c>
      <c r="C28" s="15">
        <f>C19/$C$23</f>
        <v>3.0155782015469528E-3</v>
      </c>
      <c r="D28" s="15">
        <f>D19/$D$23</f>
        <v>1.5557082598343043E-3</v>
      </c>
      <c r="E28" s="15">
        <f>E19/$E$23</f>
        <v>1.0436894141069887E-3</v>
      </c>
      <c r="F28" s="15">
        <f>F19/$F$23</f>
        <v>1.3964003729474365E-3</v>
      </c>
      <c r="G28" s="15">
        <f>G19/$G$23</f>
        <v>1.3306346058593638E-3</v>
      </c>
      <c r="H28" s="15">
        <f>H19/$H$23</f>
        <v>1.2316269704526867E-3</v>
      </c>
      <c r="I28" s="16">
        <f>I19/$I$23</f>
        <v>1.10140951930185E-3</v>
      </c>
    </row>
    <row r="29" spans="2:14" x14ac:dyDescent="0.25">
      <c r="B29" s="10" t="s">
        <v>37</v>
      </c>
      <c r="C29" s="15">
        <f>C20/$C$23</f>
        <v>0.18810273368113403</v>
      </c>
      <c r="D29" s="15">
        <f>D20/$D$23</f>
        <v>0.1902998691754699</v>
      </c>
      <c r="E29" s="15">
        <f>E20/$E$23</f>
        <v>0.19694999706055141</v>
      </c>
      <c r="F29" s="15">
        <f>F20/$F$23</f>
        <v>0.17312887915343758</v>
      </c>
      <c r="G29" s="15">
        <f>G20/$G$23</f>
        <v>0.17955272027109623</v>
      </c>
      <c r="H29" s="15">
        <f>H20/$H$23</f>
        <v>0.1765481588256064</v>
      </c>
      <c r="I29" s="16">
        <f>I20/$I$23</f>
        <v>0.18326801914235388</v>
      </c>
    </row>
    <row r="30" spans="2:14" x14ac:dyDescent="0.25">
      <c r="B30" s="10" t="s">
        <v>38</v>
      </c>
      <c r="C30" s="15">
        <f>C21/$C$23</f>
        <v>0.2941810752015977</v>
      </c>
      <c r="D30" s="15">
        <f>D21/$D$23</f>
        <v>0.28650113993625564</v>
      </c>
      <c r="E30" s="15">
        <f>E21/$E$23</f>
        <v>0.27673526361186951</v>
      </c>
      <c r="F30" s="15">
        <f>F21/$F$23</f>
        <v>0.31624615753342389</v>
      </c>
      <c r="G30" s="15">
        <f>G21/$G$23</f>
        <v>0.33079071988878656</v>
      </c>
      <c r="H30" s="15">
        <f>H21/$H$23</f>
        <v>0.33088666747484602</v>
      </c>
      <c r="I30" s="16">
        <f>I21/$I$23</f>
        <v>0.35288956567648833</v>
      </c>
    </row>
    <row r="31" spans="2:14" ht="15.75" thickBot="1" x14ac:dyDescent="0.3">
      <c r="B31" s="17" t="s">
        <v>39</v>
      </c>
      <c r="C31" s="18">
        <f>C22/$C$23</f>
        <v>2.8858980080740098E-4</v>
      </c>
      <c r="D31" s="18">
        <f>D22/$D$23</f>
        <v>2.7805783806446343E-4</v>
      </c>
      <c r="E31" s="18">
        <f>E22/$E$23</f>
        <v>2.9441230256236695E-4</v>
      </c>
      <c r="F31" s="18">
        <f>F22/$F$23</f>
        <v>3.0763124454255748E-4</v>
      </c>
      <c r="G31" s="18">
        <f>G22/$G$23</f>
        <v>2.9081836434340466E-4</v>
      </c>
      <c r="H31" s="18">
        <f>H22/$H$23</f>
        <v>3.1596957722563869E-4</v>
      </c>
      <c r="I31" s="19">
        <f>I22/$I$23</f>
        <v>3.516209458046879E-4</v>
      </c>
    </row>
    <row r="33" spans="2:9" ht="15.75" thickBot="1" x14ac:dyDescent="0.3"/>
    <row r="34" spans="2:9" x14ac:dyDescent="0.25">
      <c r="B34" s="30" t="s">
        <v>42</v>
      </c>
      <c r="C34" s="31"/>
      <c r="D34" s="31"/>
      <c r="E34" s="31"/>
      <c r="F34" s="31"/>
      <c r="G34" s="31"/>
      <c r="H34" s="31"/>
      <c r="I34" s="32"/>
    </row>
    <row r="35" spans="2:9" x14ac:dyDescent="0.25">
      <c r="B35" s="22"/>
      <c r="C35" s="23" t="s">
        <v>34</v>
      </c>
      <c r="D35" s="23">
        <v>2022</v>
      </c>
      <c r="E35" s="24">
        <v>2021</v>
      </c>
      <c r="F35" s="23">
        <v>2020</v>
      </c>
      <c r="G35" s="23">
        <v>2019</v>
      </c>
      <c r="H35" s="23">
        <v>2018</v>
      </c>
      <c r="I35" s="25">
        <v>2017</v>
      </c>
    </row>
    <row r="36" spans="2:9" x14ac:dyDescent="0.25">
      <c r="B36" s="10" t="s">
        <v>35</v>
      </c>
      <c r="C36" s="11">
        <v>32771908</v>
      </c>
      <c r="D36" s="11">
        <v>32798782</v>
      </c>
      <c r="E36" s="11">
        <v>28174027</v>
      </c>
      <c r="F36" s="11">
        <v>25343378</v>
      </c>
      <c r="G36" s="11">
        <v>26555005</v>
      </c>
      <c r="H36" s="11">
        <v>27127107</v>
      </c>
      <c r="I36" s="12">
        <v>24171706</v>
      </c>
    </row>
    <row r="37" spans="2:9" x14ac:dyDescent="0.25">
      <c r="B37" s="10" t="s">
        <v>36</v>
      </c>
      <c r="C37" s="11">
        <v>302008</v>
      </c>
      <c r="D37" s="11">
        <v>168151</v>
      </c>
      <c r="E37" s="11">
        <v>68867</v>
      </c>
      <c r="F37" s="11">
        <v>93583</v>
      </c>
      <c r="G37" s="11">
        <v>94833</v>
      </c>
      <c r="H37" s="11">
        <v>90584</v>
      </c>
      <c r="I37" s="12">
        <v>76484</v>
      </c>
    </row>
    <row r="38" spans="2:9" x14ac:dyDescent="0.25">
      <c r="B38" s="10" t="s">
        <v>37</v>
      </c>
      <c r="C38" s="11">
        <v>9635136</v>
      </c>
      <c r="D38" s="11">
        <v>9644909</v>
      </c>
      <c r="E38" s="11">
        <v>8303477</v>
      </c>
      <c r="F38" s="11">
        <v>6877488</v>
      </c>
      <c r="G38" s="11">
        <v>7845985</v>
      </c>
      <c r="H38" s="11">
        <v>7958530</v>
      </c>
      <c r="I38" s="12">
        <v>7914699</v>
      </c>
    </row>
    <row r="39" spans="2:9" x14ac:dyDescent="0.25">
      <c r="B39" s="10" t="s">
        <v>38</v>
      </c>
      <c r="C39" s="11">
        <v>12263156</v>
      </c>
      <c r="D39" s="11">
        <v>11865313</v>
      </c>
      <c r="E39" s="11">
        <v>9377911</v>
      </c>
      <c r="F39" s="11">
        <v>9424872</v>
      </c>
      <c r="G39" s="11">
        <v>10742617</v>
      </c>
      <c r="H39" s="11">
        <v>11021586</v>
      </c>
      <c r="I39" s="12">
        <v>11022149</v>
      </c>
    </row>
    <row r="40" spans="2:9" x14ac:dyDescent="0.25">
      <c r="B40" s="10" t="s">
        <v>39</v>
      </c>
      <c r="C40" s="11">
        <v>66861</v>
      </c>
      <c r="D40" s="11">
        <v>63802</v>
      </c>
      <c r="E40" s="11">
        <v>63008</v>
      </c>
      <c r="F40" s="11">
        <v>57967</v>
      </c>
      <c r="G40" s="11">
        <v>56060</v>
      </c>
      <c r="H40" s="11">
        <v>56664</v>
      </c>
      <c r="I40" s="12">
        <v>51794</v>
      </c>
    </row>
    <row r="41" spans="2:9" x14ac:dyDescent="0.25">
      <c r="B41" s="10" t="s">
        <v>40</v>
      </c>
      <c r="C41" s="11">
        <f t="shared" ref="C41:I41" si="3">SUM(C36:C40)</f>
        <v>55039069</v>
      </c>
      <c r="D41" s="11">
        <f t="shared" si="3"/>
        <v>54540957</v>
      </c>
      <c r="E41" s="11">
        <f t="shared" si="3"/>
        <v>45987290</v>
      </c>
      <c r="F41" s="11">
        <f t="shared" si="3"/>
        <v>41797288</v>
      </c>
      <c r="G41" s="11">
        <f t="shared" si="3"/>
        <v>45294500</v>
      </c>
      <c r="H41" s="11">
        <f t="shared" si="3"/>
        <v>46254471</v>
      </c>
      <c r="I41" s="12">
        <f t="shared" si="3"/>
        <v>43236832</v>
      </c>
    </row>
    <row r="42" spans="2:9" x14ac:dyDescent="0.25">
      <c r="B42" s="10"/>
      <c r="E42" s="13"/>
      <c r="I42" s="14"/>
    </row>
    <row r="43" spans="2:9" x14ac:dyDescent="0.25">
      <c r="B43" s="21" t="s">
        <v>43</v>
      </c>
      <c r="E43" s="13"/>
      <c r="I43" s="14"/>
    </row>
    <row r="44" spans="2:9" x14ac:dyDescent="0.25">
      <c r="B44" s="10" t="s">
        <v>35</v>
      </c>
      <c r="C44" s="15">
        <f>C36/$C$41</f>
        <v>0.59542991179592808</v>
      </c>
      <c r="D44" s="15">
        <f>D36/$D$41</f>
        <v>0.60136058852065977</v>
      </c>
      <c r="E44" s="15">
        <f>E36/$E$41</f>
        <v>0.61264812516675804</v>
      </c>
      <c r="F44" s="15">
        <f>F36/$F$41</f>
        <v>0.60634024867833525</v>
      </c>
      <c r="G44" s="15">
        <f>G36/$G$41</f>
        <v>0.58627438209937188</v>
      </c>
      <c r="H44" s="15">
        <f>H36/$H$41</f>
        <v>0.5864753485127957</v>
      </c>
      <c r="I44" s="16">
        <f>I36/$I$41</f>
        <v>0.55905358653473969</v>
      </c>
    </row>
    <row r="45" spans="2:9" x14ac:dyDescent="0.25">
      <c r="B45" s="10" t="s">
        <v>36</v>
      </c>
      <c r="C45" s="15">
        <f t="shared" ref="C45:C48" si="4">C37/$C$41</f>
        <v>5.4871567685856023E-3</v>
      </c>
      <c r="D45" s="15">
        <f t="shared" ref="D45:D48" si="5">D37/$D$41</f>
        <v>3.0830225439571952E-3</v>
      </c>
      <c r="E45" s="15">
        <f t="shared" ref="E45:E48" si="6">E37/$E$41</f>
        <v>1.4975224676209448E-3</v>
      </c>
      <c r="F45" s="15">
        <f t="shared" ref="F45:F48" si="7">F37/$F$41</f>
        <v>2.2389730166225137E-3</v>
      </c>
      <c r="G45" s="15">
        <f t="shared" ref="G45:G48" si="8">G37/$G$41</f>
        <v>2.0936979103423153E-3</v>
      </c>
      <c r="H45" s="15">
        <f t="shared" ref="H45:H48" si="9">H37/$H$41</f>
        <v>1.9583836554957035E-3</v>
      </c>
      <c r="I45" s="16">
        <f t="shared" ref="I45:I48" si="10">I37/$I$41</f>
        <v>1.7689547652334934E-3</v>
      </c>
    </row>
    <row r="46" spans="2:9" x14ac:dyDescent="0.25">
      <c r="B46" s="10" t="s">
        <v>37</v>
      </c>
      <c r="C46" s="15">
        <f t="shared" si="4"/>
        <v>0.1750599378779463</v>
      </c>
      <c r="D46" s="15">
        <f t="shared" si="5"/>
        <v>0.17683791283676961</v>
      </c>
      <c r="E46" s="15">
        <f t="shared" si="6"/>
        <v>0.18056025914986509</v>
      </c>
      <c r="F46" s="15">
        <f t="shared" si="7"/>
        <v>0.16454388141163609</v>
      </c>
      <c r="G46" s="15">
        <f t="shared" si="8"/>
        <v>0.17322158319442757</v>
      </c>
      <c r="H46" s="15">
        <f t="shared" si="9"/>
        <v>0.17205969126746687</v>
      </c>
      <c r="I46" s="16">
        <f t="shared" si="10"/>
        <v>0.18305455404318244</v>
      </c>
    </row>
    <row r="47" spans="2:9" x14ac:dyDescent="0.25">
      <c r="B47" s="10" t="s">
        <v>38</v>
      </c>
      <c r="C47" s="15">
        <f t="shared" si="4"/>
        <v>0.22280820193379361</v>
      </c>
      <c r="D47" s="15">
        <f t="shared" si="5"/>
        <v>0.21754867630943842</v>
      </c>
      <c r="E47" s="15">
        <f t="shared" si="6"/>
        <v>0.20392397551584363</v>
      </c>
      <c r="F47" s="15">
        <f t="shared" si="7"/>
        <v>0.22549003657844977</v>
      </c>
      <c r="G47" s="15">
        <f t="shared" si="8"/>
        <v>0.23717265893209993</v>
      </c>
      <c r="H47" s="15">
        <f t="shared" si="9"/>
        <v>0.23828152742250583</v>
      </c>
      <c r="I47" s="16">
        <f t="shared" si="10"/>
        <v>0.25492499080413661</v>
      </c>
    </row>
    <row r="48" spans="2:9" ht="15.75" thickBot="1" x14ac:dyDescent="0.3">
      <c r="B48" s="17" t="s">
        <v>39</v>
      </c>
      <c r="C48" s="18">
        <f t="shared" si="4"/>
        <v>1.2147916237463972E-3</v>
      </c>
      <c r="D48" s="18">
        <f t="shared" si="5"/>
        <v>1.1697997891749498E-3</v>
      </c>
      <c r="E48" s="18">
        <f t="shared" si="6"/>
        <v>1.3701176999123019E-3</v>
      </c>
      <c r="F48" s="18">
        <f t="shared" si="7"/>
        <v>1.3868603149563197E-3</v>
      </c>
      <c r="G48" s="18">
        <f t="shared" si="8"/>
        <v>1.2376778637582929E-3</v>
      </c>
      <c r="H48" s="18">
        <f t="shared" si="9"/>
        <v>1.2250491417359415E-3</v>
      </c>
      <c r="I48" s="19">
        <f t="shared" si="10"/>
        <v>1.1979138527078025E-3</v>
      </c>
    </row>
    <row r="50" spans="4:9" x14ac:dyDescent="0.25">
      <c r="D50" s="26"/>
      <c r="E50" s="26"/>
      <c r="F50" s="26"/>
      <c r="G50" s="26"/>
      <c r="H50" s="26"/>
      <c r="I50" s="26"/>
    </row>
  </sheetData>
  <mergeCells count="2">
    <mergeCell ref="B34:I34"/>
    <mergeCell ref="B16:I16"/>
  </mergeCells>
  <pageMargins left="0.7" right="0.7" top="0.75" bottom="0.75" header="0.3" footer="0.3"/>
  <pageSetup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B2D95-9263-457A-8153-E0B1BEC4C497}">
  <dimension ref="A1:R11"/>
  <sheetViews>
    <sheetView tabSelected="1" workbookViewId="0">
      <selection activeCell="H16" sqref="H16"/>
    </sheetView>
  </sheetViews>
  <sheetFormatPr defaultRowHeight="15" x14ac:dyDescent="0.25"/>
  <cols>
    <col min="2" max="2" width="12.5703125" bestFit="1" customWidth="1"/>
    <col min="3" max="3" width="11.85546875" customWidth="1"/>
    <col min="8" max="8" width="14.28515625" customWidth="1"/>
    <col min="9" max="9" width="14.5703125" customWidth="1"/>
    <col min="10" max="10" width="14.28515625" bestFit="1" customWidth="1"/>
    <col min="16" max="16" width="10" bestFit="1" customWidth="1"/>
    <col min="17" max="17" width="11.28515625" bestFit="1" customWidth="1"/>
  </cols>
  <sheetData>
    <row r="1" spans="1:18" x14ac:dyDescent="0.25">
      <c r="J1" s="4" t="s">
        <v>68</v>
      </c>
    </row>
    <row r="2" spans="1:18" x14ac:dyDescent="0.25">
      <c r="J2" s="4" t="s">
        <v>69</v>
      </c>
    </row>
    <row r="3" spans="1:18" x14ac:dyDescent="0.25">
      <c r="J3" s="4" t="s">
        <v>70</v>
      </c>
    </row>
    <row r="5" spans="1:18" ht="45" x14ac:dyDescent="0.25">
      <c r="A5" s="23" t="s">
        <v>58</v>
      </c>
      <c r="B5" s="34" t="s">
        <v>59</v>
      </c>
      <c r="C5" s="34" t="s">
        <v>60</v>
      </c>
      <c r="D5" s="34" t="s">
        <v>61</v>
      </c>
      <c r="E5" s="34" t="s">
        <v>62</v>
      </c>
      <c r="F5" s="34" t="s">
        <v>63</v>
      </c>
      <c r="G5" s="34" t="s">
        <v>67</v>
      </c>
      <c r="H5" s="34" t="s">
        <v>64</v>
      </c>
      <c r="I5" s="34" t="s">
        <v>65</v>
      </c>
      <c r="J5" s="34" t="s">
        <v>66</v>
      </c>
    </row>
    <row r="6" spans="1:18" x14ac:dyDescent="0.25">
      <c r="A6" s="7">
        <v>2017</v>
      </c>
      <c r="B6" s="28">
        <v>960341</v>
      </c>
      <c r="C6" s="28">
        <v>-362938</v>
      </c>
      <c r="D6" s="35">
        <v>1.5417281535434493</v>
      </c>
      <c r="E6" s="35">
        <v>0.81634039134986824</v>
      </c>
      <c r="F6" s="36">
        <v>0.38908942705309968</v>
      </c>
      <c r="G6" s="35">
        <v>1.5102683284920477</v>
      </c>
      <c r="H6" s="2">
        <v>224682101</v>
      </c>
      <c r="I6" s="37">
        <v>-3.6499999999999998E-2</v>
      </c>
      <c r="J6" s="28">
        <v>1772736</v>
      </c>
      <c r="Q6" s="8"/>
      <c r="R6" s="29"/>
    </row>
    <row r="7" spans="1:18" x14ac:dyDescent="0.25">
      <c r="A7" s="7">
        <v>2018</v>
      </c>
      <c r="B7" s="28">
        <v>3121805</v>
      </c>
      <c r="C7" s="28">
        <v>843988</v>
      </c>
      <c r="D7" s="35">
        <v>2.5832291981523445</v>
      </c>
      <c r="E7" s="35">
        <v>1.4471568052678878</v>
      </c>
      <c r="F7" s="36">
        <v>0.40213449166094811</v>
      </c>
      <c r="G7" s="35">
        <v>2.0516996410196571</v>
      </c>
      <c r="H7" s="2">
        <v>248388561</v>
      </c>
      <c r="I7" s="37">
        <v>0.10551111946385083</v>
      </c>
      <c r="J7" s="28">
        <v>1971796</v>
      </c>
    </row>
    <row r="8" spans="1:18" x14ac:dyDescent="0.25">
      <c r="A8" s="7">
        <v>2019</v>
      </c>
      <c r="B8" s="28">
        <v>3015191</v>
      </c>
      <c r="C8" s="28">
        <v>795884</v>
      </c>
      <c r="D8" s="35">
        <v>2.4118620742615819</v>
      </c>
      <c r="E8" s="35">
        <v>1.4370913643998233</v>
      </c>
      <c r="F8" s="36">
        <v>0.41205526195898218</v>
      </c>
      <c r="G8" s="35">
        <v>2.0149546395708682</v>
      </c>
      <c r="H8" s="2">
        <v>243657788</v>
      </c>
      <c r="I8" s="37">
        <v>-1.9045856946689265E-2</v>
      </c>
      <c r="J8" s="28">
        <v>2135613</v>
      </c>
    </row>
    <row r="9" spans="1:18" x14ac:dyDescent="0.25">
      <c r="A9" s="7">
        <v>2020</v>
      </c>
      <c r="B9" s="28">
        <v>2024786</v>
      </c>
      <c r="C9" s="28">
        <v>403602</v>
      </c>
      <c r="D9" s="35">
        <v>1.9657856339824575</v>
      </c>
      <c r="E9" s="35">
        <v>1.3110301514368832</v>
      </c>
      <c r="F9" s="36">
        <v>0.41014131145362015</v>
      </c>
      <c r="G9" s="35">
        <v>1.7345563281409109</v>
      </c>
      <c r="H9" s="2">
        <v>241939833</v>
      </c>
      <c r="I9" s="37">
        <v>-7.0506878277988797E-3</v>
      </c>
      <c r="J9" s="28">
        <v>2096517</v>
      </c>
    </row>
    <row r="10" spans="1:18" x14ac:dyDescent="0.25">
      <c r="A10" s="7">
        <v>2021</v>
      </c>
      <c r="B10" s="28">
        <v>3046749</v>
      </c>
      <c r="C10" s="28">
        <v>1079907</v>
      </c>
      <c r="D10" s="35">
        <v>2.4899591853501519</v>
      </c>
      <c r="E10" s="35">
        <v>1.5457587681076497</v>
      </c>
      <c r="F10" s="36">
        <v>0.41222884987298308</v>
      </c>
      <c r="G10" s="35">
        <v>1.938450307768298</v>
      </c>
      <c r="H10" s="2">
        <v>246443804</v>
      </c>
      <c r="I10" s="37">
        <v>1.8616078816587427E-2</v>
      </c>
      <c r="J10" s="28">
        <v>2044854</v>
      </c>
    </row>
    <row r="11" spans="1:18" x14ac:dyDescent="0.25">
      <c r="A11" s="7">
        <v>2022</v>
      </c>
      <c r="B11" s="28">
        <v>2707550</v>
      </c>
      <c r="C11" s="28">
        <v>366180</v>
      </c>
      <c r="D11" s="35">
        <v>2.268394305705725</v>
      </c>
      <c r="E11" s="35">
        <v>1.1878303854348393</v>
      </c>
      <c r="F11" s="36">
        <v>0.40423651965396062</v>
      </c>
      <c r="G11" s="35">
        <v>1.8480688824426084</v>
      </c>
      <c r="H11" s="2">
        <v>252958339</v>
      </c>
      <c r="I11" s="37">
        <v>2.6434160219341526E-2</v>
      </c>
      <c r="J11" s="28">
        <v>2134628</v>
      </c>
    </row>
  </sheetData>
  <printOptions horizontalCentered="1"/>
  <pageMargins left="0.7" right="0.7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73E96-C661-4DAA-846D-5E7AA57D527F}">
  <dimension ref="B3:O45"/>
  <sheetViews>
    <sheetView topLeftCell="A16" workbookViewId="0">
      <selection activeCell="H40" sqref="H40"/>
    </sheetView>
  </sheetViews>
  <sheetFormatPr defaultRowHeight="15" x14ac:dyDescent="0.25"/>
  <cols>
    <col min="2" max="2" width="17.7109375" bestFit="1" customWidth="1"/>
    <col min="15" max="15" width="9.5703125" style="2" bestFit="1" customWidth="1"/>
  </cols>
  <sheetData>
    <row r="3" spans="2:15" x14ac:dyDescent="0.25">
      <c r="C3" t="s">
        <v>46</v>
      </c>
    </row>
    <row r="4" spans="2:15" x14ac:dyDescent="0.25">
      <c r="C4" t="s">
        <v>19</v>
      </c>
      <c r="D4" t="s">
        <v>20</v>
      </c>
      <c r="E4" t="s">
        <v>21</v>
      </c>
      <c r="F4" t="s">
        <v>22</v>
      </c>
      <c r="G4" t="s">
        <v>23</v>
      </c>
      <c r="H4" t="s">
        <v>47</v>
      </c>
      <c r="I4" t="s">
        <v>48</v>
      </c>
      <c r="J4" t="s">
        <v>49</v>
      </c>
      <c r="K4" t="s">
        <v>50</v>
      </c>
      <c r="L4" t="s">
        <v>51</v>
      </c>
      <c r="M4" t="s">
        <v>52</v>
      </c>
      <c r="N4" t="s">
        <v>53</v>
      </c>
    </row>
    <row r="5" spans="2:15" x14ac:dyDescent="0.25">
      <c r="B5">
        <v>2017</v>
      </c>
      <c r="C5">
        <v>721</v>
      </c>
      <c r="D5">
        <v>446</v>
      </c>
      <c r="E5">
        <v>458</v>
      </c>
      <c r="F5">
        <v>90</v>
      </c>
      <c r="G5">
        <v>74</v>
      </c>
      <c r="H5">
        <v>0</v>
      </c>
      <c r="I5">
        <v>0</v>
      </c>
      <c r="J5">
        <v>0</v>
      </c>
      <c r="K5">
        <v>13</v>
      </c>
      <c r="L5">
        <v>182</v>
      </c>
      <c r="M5">
        <v>471</v>
      </c>
      <c r="N5">
        <v>863</v>
      </c>
      <c r="O5" s="2">
        <f>SUM(C5:N5)</f>
        <v>3318</v>
      </c>
    </row>
    <row r="6" spans="2:15" x14ac:dyDescent="0.25">
      <c r="B6">
        <v>2018</v>
      </c>
      <c r="C6">
        <v>993</v>
      </c>
      <c r="D6">
        <v>566</v>
      </c>
      <c r="E6">
        <v>601</v>
      </c>
      <c r="F6">
        <v>370</v>
      </c>
      <c r="G6">
        <v>0</v>
      </c>
      <c r="H6">
        <v>0</v>
      </c>
      <c r="I6">
        <v>0</v>
      </c>
      <c r="J6">
        <v>0</v>
      </c>
      <c r="K6">
        <v>8</v>
      </c>
      <c r="L6">
        <v>245</v>
      </c>
      <c r="M6">
        <v>643</v>
      </c>
      <c r="N6">
        <v>675</v>
      </c>
      <c r="O6" s="2">
        <f t="shared" ref="O6:O10" si="0">SUM(C6:N6)</f>
        <v>4101</v>
      </c>
    </row>
    <row r="7" spans="2:15" x14ac:dyDescent="0.25">
      <c r="B7">
        <v>2019</v>
      </c>
      <c r="C7">
        <v>915</v>
      </c>
      <c r="D7">
        <v>611</v>
      </c>
      <c r="E7">
        <v>611</v>
      </c>
      <c r="F7">
        <v>150</v>
      </c>
      <c r="G7">
        <v>33</v>
      </c>
      <c r="H7">
        <v>0</v>
      </c>
      <c r="I7">
        <v>0</v>
      </c>
      <c r="J7">
        <v>0</v>
      </c>
      <c r="K7">
        <v>0</v>
      </c>
      <c r="L7">
        <v>167</v>
      </c>
      <c r="M7">
        <v>653</v>
      </c>
      <c r="N7">
        <v>641</v>
      </c>
      <c r="O7" s="2">
        <f t="shared" si="0"/>
        <v>3781</v>
      </c>
    </row>
    <row r="8" spans="2:15" x14ac:dyDescent="0.25">
      <c r="B8">
        <v>2020</v>
      </c>
      <c r="C8">
        <v>716</v>
      </c>
      <c r="D8">
        <v>706</v>
      </c>
      <c r="E8">
        <v>372</v>
      </c>
      <c r="F8">
        <v>283</v>
      </c>
      <c r="G8">
        <v>118</v>
      </c>
      <c r="H8">
        <v>0</v>
      </c>
      <c r="I8">
        <v>0</v>
      </c>
      <c r="J8">
        <v>0</v>
      </c>
      <c r="K8">
        <v>16</v>
      </c>
      <c r="L8">
        <v>199</v>
      </c>
      <c r="M8">
        <v>369</v>
      </c>
      <c r="N8">
        <v>773</v>
      </c>
      <c r="O8" s="2">
        <f t="shared" si="0"/>
        <v>3552</v>
      </c>
    </row>
    <row r="9" spans="2:15" x14ac:dyDescent="0.25">
      <c r="B9">
        <v>2021</v>
      </c>
      <c r="C9">
        <v>870</v>
      </c>
      <c r="D9">
        <v>880</v>
      </c>
      <c r="E9">
        <v>379</v>
      </c>
      <c r="F9">
        <v>238</v>
      </c>
      <c r="G9">
        <v>101</v>
      </c>
      <c r="H9">
        <v>0</v>
      </c>
      <c r="I9">
        <v>0</v>
      </c>
      <c r="J9">
        <v>0</v>
      </c>
      <c r="K9">
        <v>10</v>
      </c>
      <c r="L9">
        <v>107</v>
      </c>
      <c r="M9">
        <v>555</v>
      </c>
      <c r="N9">
        <v>462</v>
      </c>
      <c r="O9" s="2">
        <f t="shared" si="0"/>
        <v>3602</v>
      </c>
    </row>
    <row r="10" spans="2:15" x14ac:dyDescent="0.25">
      <c r="B10">
        <v>2022</v>
      </c>
      <c r="C10">
        <v>1001</v>
      </c>
      <c r="D10">
        <v>704</v>
      </c>
      <c r="E10">
        <v>405</v>
      </c>
      <c r="F10">
        <v>271</v>
      </c>
      <c r="G10">
        <v>18</v>
      </c>
      <c r="H10">
        <v>0</v>
      </c>
      <c r="I10">
        <v>0</v>
      </c>
      <c r="J10">
        <v>0</v>
      </c>
      <c r="K10">
        <v>30</v>
      </c>
      <c r="L10">
        <v>205</v>
      </c>
      <c r="M10">
        <v>474</v>
      </c>
      <c r="N10">
        <v>787</v>
      </c>
      <c r="O10" s="2">
        <f t="shared" si="0"/>
        <v>3895</v>
      </c>
    </row>
    <row r="11" spans="2:15" x14ac:dyDescent="0.25">
      <c r="B11">
        <v>2023</v>
      </c>
      <c r="C11">
        <v>660</v>
      </c>
      <c r="D11">
        <v>490</v>
      </c>
      <c r="E11">
        <v>487</v>
      </c>
      <c r="F11">
        <v>208</v>
      </c>
      <c r="G11">
        <v>38</v>
      </c>
      <c r="H11">
        <v>0</v>
      </c>
    </row>
    <row r="13" spans="2:15" x14ac:dyDescent="0.25">
      <c r="B13" t="s">
        <v>56</v>
      </c>
      <c r="C13">
        <f>ROUND(AVERAGE(C5:C10),0)</f>
        <v>869</v>
      </c>
      <c r="D13">
        <f t="shared" ref="D13:H13" si="1">ROUND(AVERAGE(D5:D10),0)</f>
        <v>652</v>
      </c>
      <c r="E13">
        <f t="shared" si="1"/>
        <v>471</v>
      </c>
      <c r="F13">
        <f t="shared" si="1"/>
        <v>234</v>
      </c>
      <c r="G13">
        <f t="shared" si="1"/>
        <v>57</v>
      </c>
      <c r="H13">
        <f t="shared" si="1"/>
        <v>0</v>
      </c>
      <c r="O13" s="2">
        <f>SUM(C13:N13)</f>
        <v>2283</v>
      </c>
    </row>
    <row r="14" spans="2:15" x14ac:dyDescent="0.25">
      <c r="B14" t="s">
        <v>57</v>
      </c>
      <c r="C14">
        <f>C11</f>
        <v>660</v>
      </c>
      <c r="D14">
        <f t="shared" ref="D14:H14" si="2">D11</f>
        <v>490</v>
      </c>
      <c r="E14">
        <f t="shared" si="2"/>
        <v>487</v>
      </c>
      <c r="F14">
        <f t="shared" si="2"/>
        <v>208</v>
      </c>
      <c r="G14">
        <f t="shared" si="2"/>
        <v>38</v>
      </c>
      <c r="H14">
        <f t="shared" si="2"/>
        <v>0</v>
      </c>
      <c r="O14" s="2">
        <f>SUM(C14:N14)</f>
        <v>1883</v>
      </c>
    </row>
    <row r="15" spans="2:15" x14ac:dyDescent="0.25">
      <c r="C15">
        <f>C14-C13</f>
        <v>-209</v>
      </c>
      <c r="D15">
        <f t="shared" ref="D15:H15" si="3">D14-D13</f>
        <v>-162</v>
      </c>
      <c r="E15">
        <f t="shared" si="3"/>
        <v>16</v>
      </c>
      <c r="F15">
        <f t="shared" si="3"/>
        <v>-26</v>
      </c>
      <c r="G15">
        <f t="shared" si="3"/>
        <v>-19</v>
      </c>
      <c r="H15">
        <f t="shared" si="3"/>
        <v>0</v>
      </c>
      <c r="O15">
        <f t="shared" ref="O15" si="4">O14-O13</f>
        <v>-400</v>
      </c>
    </row>
    <row r="16" spans="2:15" x14ac:dyDescent="0.25">
      <c r="C16" s="3">
        <f>C15/C13</f>
        <v>-0.24050632911392406</v>
      </c>
      <c r="D16" s="3">
        <f t="shared" ref="D16:H16" si="5">D15/D13</f>
        <v>-0.24846625766871167</v>
      </c>
      <c r="E16" s="3">
        <f t="shared" si="5"/>
        <v>3.3970276008492568E-2</v>
      </c>
      <c r="F16" s="3">
        <f t="shared" si="5"/>
        <v>-0.1111111111111111</v>
      </c>
      <c r="G16" s="3">
        <f t="shared" si="5"/>
        <v>-0.33333333333333331</v>
      </c>
      <c r="H16" s="3" t="e">
        <f t="shared" si="5"/>
        <v>#DIV/0!</v>
      </c>
      <c r="I16" s="3"/>
      <c r="J16" s="3"/>
      <c r="K16" s="3"/>
      <c r="L16" s="3"/>
      <c r="M16" s="3"/>
      <c r="N16" s="3"/>
      <c r="O16" s="3">
        <f t="shared" ref="O16" si="6">O15/O13</f>
        <v>-0.17520805957074026</v>
      </c>
    </row>
    <row r="18" spans="2:15" x14ac:dyDescent="0.25">
      <c r="C18" t="s">
        <v>54</v>
      </c>
    </row>
    <row r="19" spans="2:15" x14ac:dyDescent="0.25">
      <c r="C19" t="s">
        <v>19</v>
      </c>
      <c r="D19" t="s">
        <v>20</v>
      </c>
      <c r="E19" t="s">
        <v>21</v>
      </c>
      <c r="F19" t="s">
        <v>22</v>
      </c>
      <c r="G19" t="s">
        <v>23</v>
      </c>
      <c r="H19" t="s">
        <v>47</v>
      </c>
      <c r="I19" t="s">
        <v>48</v>
      </c>
      <c r="J19" t="s">
        <v>49</v>
      </c>
      <c r="K19" t="s">
        <v>50</v>
      </c>
      <c r="L19" t="s">
        <v>51</v>
      </c>
      <c r="M19" t="s">
        <v>52</v>
      </c>
      <c r="N19" t="s">
        <v>53</v>
      </c>
    </row>
    <row r="20" spans="2:15" x14ac:dyDescent="0.25">
      <c r="B20">
        <v>2017</v>
      </c>
      <c r="C20">
        <v>0</v>
      </c>
      <c r="D20">
        <v>5</v>
      </c>
      <c r="E20">
        <v>11</v>
      </c>
      <c r="F20">
        <v>107</v>
      </c>
      <c r="G20">
        <v>169</v>
      </c>
      <c r="H20">
        <v>334</v>
      </c>
      <c r="I20">
        <v>493</v>
      </c>
      <c r="J20">
        <v>375</v>
      </c>
      <c r="K20">
        <v>210</v>
      </c>
      <c r="L20">
        <v>77</v>
      </c>
      <c r="M20">
        <v>8</v>
      </c>
      <c r="N20">
        <v>0</v>
      </c>
      <c r="O20" s="2">
        <f>SUM(C20:N20)</f>
        <v>1789</v>
      </c>
    </row>
    <row r="21" spans="2:15" x14ac:dyDescent="0.25">
      <c r="B21">
        <v>2018</v>
      </c>
      <c r="C21">
        <v>0</v>
      </c>
      <c r="D21">
        <v>12</v>
      </c>
      <c r="E21">
        <v>0</v>
      </c>
      <c r="F21">
        <v>19</v>
      </c>
      <c r="G21">
        <v>346</v>
      </c>
      <c r="H21">
        <v>432</v>
      </c>
      <c r="I21">
        <v>469</v>
      </c>
      <c r="J21">
        <v>455</v>
      </c>
      <c r="K21">
        <v>312</v>
      </c>
      <c r="L21">
        <v>143</v>
      </c>
      <c r="M21">
        <v>0</v>
      </c>
      <c r="N21">
        <v>0</v>
      </c>
      <c r="O21" s="2">
        <f t="shared" ref="O21:O25" si="7">SUM(C21:N21)</f>
        <v>2188</v>
      </c>
    </row>
    <row r="22" spans="2:15" x14ac:dyDescent="0.25">
      <c r="B22">
        <v>2019</v>
      </c>
      <c r="C22">
        <v>0</v>
      </c>
      <c r="D22">
        <v>0</v>
      </c>
      <c r="E22">
        <v>3</v>
      </c>
      <c r="F22">
        <v>43</v>
      </c>
      <c r="G22">
        <v>228</v>
      </c>
      <c r="H22">
        <v>322</v>
      </c>
      <c r="I22">
        <v>522</v>
      </c>
      <c r="J22">
        <v>465</v>
      </c>
      <c r="K22">
        <v>449</v>
      </c>
      <c r="L22">
        <v>80</v>
      </c>
      <c r="M22">
        <v>0</v>
      </c>
      <c r="N22">
        <v>0</v>
      </c>
      <c r="O22" s="2">
        <f t="shared" si="7"/>
        <v>2112</v>
      </c>
    </row>
    <row r="23" spans="2:15" x14ac:dyDescent="0.25">
      <c r="B23">
        <v>2020</v>
      </c>
      <c r="C23">
        <v>0</v>
      </c>
      <c r="D23">
        <v>0</v>
      </c>
      <c r="E23">
        <v>17</v>
      </c>
      <c r="F23">
        <v>16</v>
      </c>
      <c r="G23">
        <v>138</v>
      </c>
      <c r="H23">
        <v>360</v>
      </c>
      <c r="I23">
        <v>542</v>
      </c>
      <c r="J23">
        <v>409</v>
      </c>
      <c r="K23">
        <v>212</v>
      </c>
      <c r="L23">
        <v>52</v>
      </c>
      <c r="M23">
        <v>12</v>
      </c>
      <c r="N23">
        <v>0</v>
      </c>
      <c r="O23" s="2">
        <f t="shared" si="7"/>
        <v>1758</v>
      </c>
    </row>
    <row r="24" spans="2:15" x14ac:dyDescent="0.25">
      <c r="B24">
        <v>2021</v>
      </c>
      <c r="C24">
        <v>0</v>
      </c>
      <c r="D24">
        <v>0</v>
      </c>
      <c r="E24">
        <v>4</v>
      </c>
      <c r="F24">
        <v>36</v>
      </c>
      <c r="G24">
        <v>140</v>
      </c>
      <c r="H24">
        <v>390</v>
      </c>
      <c r="I24">
        <v>464</v>
      </c>
      <c r="J24">
        <v>498</v>
      </c>
      <c r="K24">
        <v>270</v>
      </c>
      <c r="L24">
        <v>116</v>
      </c>
      <c r="M24">
        <v>2</v>
      </c>
      <c r="N24">
        <v>0</v>
      </c>
      <c r="O24" s="2">
        <f t="shared" si="7"/>
        <v>1920</v>
      </c>
    </row>
    <row r="25" spans="2:15" x14ac:dyDescent="0.25">
      <c r="B25">
        <v>2022</v>
      </c>
      <c r="C25">
        <v>0</v>
      </c>
      <c r="D25">
        <v>0</v>
      </c>
      <c r="E25">
        <v>3</v>
      </c>
      <c r="F25">
        <v>40</v>
      </c>
      <c r="G25">
        <v>210</v>
      </c>
      <c r="H25">
        <v>402</v>
      </c>
      <c r="I25">
        <v>533</v>
      </c>
      <c r="J25">
        <v>441</v>
      </c>
      <c r="K25">
        <v>245</v>
      </c>
      <c r="L25">
        <v>19</v>
      </c>
      <c r="M25">
        <v>6</v>
      </c>
      <c r="N25">
        <v>0</v>
      </c>
      <c r="O25" s="2">
        <f t="shared" si="7"/>
        <v>1899</v>
      </c>
    </row>
    <row r="26" spans="2:15" x14ac:dyDescent="0.25">
      <c r="B26">
        <v>2023</v>
      </c>
      <c r="C26">
        <v>0</v>
      </c>
      <c r="D26">
        <v>2</v>
      </c>
      <c r="E26">
        <v>0</v>
      </c>
      <c r="F26">
        <v>40</v>
      </c>
      <c r="G26">
        <v>126</v>
      </c>
      <c r="H26">
        <v>290</v>
      </c>
    </row>
    <row r="28" spans="2:15" x14ac:dyDescent="0.25">
      <c r="B28" t="s">
        <v>56</v>
      </c>
      <c r="C28">
        <f>ROUND(AVERAGE(C20:C25),0)</f>
        <v>0</v>
      </c>
      <c r="D28">
        <f t="shared" ref="D28:H28" si="8">ROUND(AVERAGE(D20:D25),0)</f>
        <v>3</v>
      </c>
      <c r="E28">
        <f t="shared" si="8"/>
        <v>6</v>
      </c>
      <c r="F28">
        <f t="shared" si="8"/>
        <v>44</v>
      </c>
      <c r="G28">
        <f t="shared" si="8"/>
        <v>205</v>
      </c>
      <c r="H28">
        <f t="shared" si="8"/>
        <v>373</v>
      </c>
      <c r="O28" s="2">
        <f>SUM(C28:N28)</f>
        <v>631</v>
      </c>
    </row>
    <row r="29" spans="2:15" x14ac:dyDescent="0.25">
      <c r="B29" t="s">
        <v>57</v>
      </c>
      <c r="C29">
        <f>C26</f>
        <v>0</v>
      </c>
      <c r="D29">
        <f t="shared" ref="D29:H29" si="9">D26</f>
        <v>2</v>
      </c>
      <c r="E29">
        <f t="shared" si="9"/>
        <v>0</v>
      </c>
      <c r="F29">
        <f t="shared" si="9"/>
        <v>40</v>
      </c>
      <c r="G29">
        <f t="shared" si="9"/>
        <v>126</v>
      </c>
      <c r="H29">
        <f t="shared" si="9"/>
        <v>290</v>
      </c>
      <c r="O29" s="2">
        <f>SUM(C29:N29)</f>
        <v>458</v>
      </c>
    </row>
    <row r="30" spans="2:15" x14ac:dyDescent="0.25">
      <c r="C30">
        <f>C29-C28</f>
        <v>0</v>
      </c>
      <c r="D30">
        <f t="shared" ref="D30:H30" si="10">D29-D28</f>
        <v>-1</v>
      </c>
      <c r="E30">
        <f t="shared" si="10"/>
        <v>-6</v>
      </c>
      <c r="F30">
        <f t="shared" si="10"/>
        <v>-4</v>
      </c>
      <c r="G30">
        <f t="shared" si="10"/>
        <v>-79</v>
      </c>
      <c r="H30">
        <f t="shared" si="10"/>
        <v>-83</v>
      </c>
      <c r="O30">
        <f t="shared" ref="O30" si="11">O29-O28</f>
        <v>-173</v>
      </c>
    </row>
    <row r="31" spans="2:15" x14ac:dyDescent="0.25">
      <c r="C31" s="3" t="e">
        <f>C30/C28</f>
        <v>#DIV/0!</v>
      </c>
      <c r="D31" s="3">
        <f t="shared" ref="D31:H31" si="12">D30/D28</f>
        <v>-0.33333333333333331</v>
      </c>
      <c r="E31" s="3">
        <f t="shared" si="12"/>
        <v>-1</v>
      </c>
      <c r="F31" s="3">
        <f t="shared" si="12"/>
        <v>-9.0909090909090912E-2</v>
      </c>
      <c r="G31" s="3">
        <f t="shared" si="12"/>
        <v>-0.38536585365853659</v>
      </c>
      <c r="H31" s="3">
        <f t="shared" si="12"/>
        <v>-0.22252010723860591</v>
      </c>
      <c r="I31" s="3"/>
      <c r="J31" s="3"/>
      <c r="K31" s="3"/>
      <c r="L31" s="3"/>
      <c r="M31" s="3"/>
      <c r="N31" s="3"/>
      <c r="O31" s="3">
        <f t="shared" ref="O31" si="13">O30/O28</f>
        <v>-0.27416798732171155</v>
      </c>
    </row>
    <row r="33" spans="2:15" x14ac:dyDescent="0.25">
      <c r="C33" t="s">
        <v>55</v>
      </c>
    </row>
    <row r="34" spans="2:15" x14ac:dyDescent="0.25">
      <c r="B34">
        <v>2017</v>
      </c>
      <c r="C34">
        <f t="shared" ref="C34:C40" si="14">C5+C20</f>
        <v>721</v>
      </c>
      <c r="D34">
        <f t="shared" ref="D34:N34" si="15">D5+D20</f>
        <v>451</v>
      </c>
      <c r="E34">
        <f t="shared" si="15"/>
        <v>469</v>
      </c>
      <c r="F34">
        <f t="shared" si="15"/>
        <v>197</v>
      </c>
      <c r="G34">
        <f t="shared" si="15"/>
        <v>243</v>
      </c>
      <c r="H34">
        <f t="shared" si="15"/>
        <v>334</v>
      </c>
      <c r="I34">
        <f t="shared" si="15"/>
        <v>493</v>
      </c>
      <c r="J34">
        <f t="shared" si="15"/>
        <v>375</v>
      </c>
      <c r="K34">
        <f t="shared" si="15"/>
        <v>223</v>
      </c>
      <c r="L34">
        <f t="shared" si="15"/>
        <v>259</v>
      </c>
      <c r="M34">
        <f t="shared" si="15"/>
        <v>479</v>
      </c>
      <c r="N34">
        <f t="shared" si="15"/>
        <v>863</v>
      </c>
      <c r="O34" s="2">
        <f>SUM(C34:N34)</f>
        <v>5107</v>
      </c>
    </row>
    <row r="35" spans="2:15" x14ac:dyDescent="0.25">
      <c r="B35">
        <v>2018</v>
      </c>
      <c r="C35">
        <f t="shared" si="14"/>
        <v>993</v>
      </c>
      <c r="D35">
        <f t="shared" ref="D35:N35" si="16">D6+D21</f>
        <v>578</v>
      </c>
      <c r="E35">
        <f t="shared" si="16"/>
        <v>601</v>
      </c>
      <c r="F35">
        <f t="shared" si="16"/>
        <v>389</v>
      </c>
      <c r="G35">
        <f t="shared" si="16"/>
        <v>346</v>
      </c>
      <c r="H35">
        <f t="shared" si="16"/>
        <v>432</v>
      </c>
      <c r="I35">
        <f t="shared" si="16"/>
        <v>469</v>
      </c>
      <c r="J35">
        <f t="shared" si="16"/>
        <v>455</v>
      </c>
      <c r="K35">
        <f t="shared" si="16"/>
        <v>320</v>
      </c>
      <c r="L35">
        <f t="shared" si="16"/>
        <v>388</v>
      </c>
      <c r="M35">
        <f t="shared" si="16"/>
        <v>643</v>
      </c>
      <c r="N35">
        <f t="shared" si="16"/>
        <v>675</v>
      </c>
      <c r="O35" s="2">
        <f t="shared" ref="O35:O40" si="17">SUM(C35:N35)</f>
        <v>6289</v>
      </c>
    </row>
    <row r="36" spans="2:15" x14ac:dyDescent="0.25">
      <c r="B36">
        <v>2019</v>
      </c>
      <c r="C36">
        <f t="shared" si="14"/>
        <v>915</v>
      </c>
      <c r="D36">
        <f t="shared" ref="D36:N36" si="18">D7+D22</f>
        <v>611</v>
      </c>
      <c r="E36">
        <f t="shared" si="18"/>
        <v>614</v>
      </c>
      <c r="F36">
        <f t="shared" si="18"/>
        <v>193</v>
      </c>
      <c r="G36">
        <f t="shared" si="18"/>
        <v>261</v>
      </c>
      <c r="H36">
        <f t="shared" si="18"/>
        <v>322</v>
      </c>
      <c r="I36">
        <f t="shared" si="18"/>
        <v>522</v>
      </c>
      <c r="J36">
        <f t="shared" si="18"/>
        <v>465</v>
      </c>
      <c r="K36">
        <f t="shared" si="18"/>
        <v>449</v>
      </c>
      <c r="L36">
        <f t="shared" si="18"/>
        <v>247</v>
      </c>
      <c r="M36">
        <f t="shared" si="18"/>
        <v>653</v>
      </c>
      <c r="N36">
        <f t="shared" si="18"/>
        <v>641</v>
      </c>
      <c r="O36" s="2">
        <f t="shared" si="17"/>
        <v>5893</v>
      </c>
    </row>
    <row r="37" spans="2:15" x14ac:dyDescent="0.25">
      <c r="B37">
        <v>2020</v>
      </c>
      <c r="C37">
        <f t="shared" si="14"/>
        <v>716</v>
      </c>
      <c r="D37">
        <f t="shared" ref="D37:N37" si="19">D8+D23</f>
        <v>706</v>
      </c>
      <c r="E37">
        <f t="shared" si="19"/>
        <v>389</v>
      </c>
      <c r="F37">
        <f t="shared" si="19"/>
        <v>299</v>
      </c>
      <c r="G37">
        <f t="shared" si="19"/>
        <v>256</v>
      </c>
      <c r="H37">
        <f t="shared" si="19"/>
        <v>360</v>
      </c>
      <c r="I37">
        <f t="shared" si="19"/>
        <v>542</v>
      </c>
      <c r="J37">
        <f t="shared" si="19"/>
        <v>409</v>
      </c>
      <c r="K37">
        <f t="shared" si="19"/>
        <v>228</v>
      </c>
      <c r="L37">
        <f t="shared" si="19"/>
        <v>251</v>
      </c>
      <c r="M37">
        <f t="shared" si="19"/>
        <v>381</v>
      </c>
      <c r="N37">
        <f t="shared" si="19"/>
        <v>773</v>
      </c>
      <c r="O37" s="2">
        <f t="shared" si="17"/>
        <v>5310</v>
      </c>
    </row>
    <row r="38" spans="2:15" x14ac:dyDescent="0.25">
      <c r="B38">
        <v>2021</v>
      </c>
      <c r="C38">
        <f t="shared" si="14"/>
        <v>870</v>
      </c>
      <c r="D38">
        <f t="shared" ref="D38:N38" si="20">D9+D24</f>
        <v>880</v>
      </c>
      <c r="E38">
        <f t="shared" si="20"/>
        <v>383</v>
      </c>
      <c r="F38">
        <f t="shared" si="20"/>
        <v>274</v>
      </c>
      <c r="G38">
        <f t="shared" si="20"/>
        <v>241</v>
      </c>
      <c r="H38">
        <f t="shared" si="20"/>
        <v>390</v>
      </c>
      <c r="I38">
        <f t="shared" si="20"/>
        <v>464</v>
      </c>
      <c r="J38">
        <f t="shared" si="20"/>
        <v>498</v>
      </c>
      <c r="K38">
        <f t="shared" si="20"/>
        <v>280</v>
      </c>
      <c r="L38">
        <f t="shared" si="20"/>
        <v>223</v>
      </c>
      <c r="M38">
        <f t="shared" si="20"/>
        <v>557</v>
      </c>
      <c r="N38">
        <f t="shared" si="20"/>
        <v>462</v>
      </c>
      <c r="O38" s="2">
        <f t="shared" si="17"/>
        <v>5522</v>
      </c>
    </row>
    <row r="39" spans="2:15" x14ac:dyDescent="0.25">
      <c r="B39">
        <v>2022</v>
      </c>
      <c r="C39">
        <f t="shared" si="14"/>
        <v>1001</v>
      </c>
      <c r="D39">
        <f t="shared" ref="D39:N39" si="21">D10+D25</f>
        <v>704</v>
      </c>
      <c r="E39">
        <f t="shared" si="21"/>
        <v>408</v>
      </c>
      <c r="F39">
        <f t="shared" si="21"/>
        <v>311</v>
      </c>
      <c r="G39">
        <f t="shared" si="21"/>
        <v>228</v>
      </c>
      <c r="H39">
        <f t="shared" si="21"/>
        <v>402</v>
      </c>
      <c r="I39">
        <f t="shared" si="21"/>
        <v>533</v>
      </c>
      <c r="J39">
        <f t="shared" si="21"/>
        <v>441</v>
      </c>
      <c r="K39">
        <f t="shared" si="21"/>
        <v>275</v>
      </c>
      <c r="L39">
        <f t="shared" si="21"/>
        <v>224</v>
      </c>
      <c r="M39">
        <f t="shared" si="21"/>
        <v>480</v>
      </c>
      <c r="N39">
        <f t="shared" si="21"/>
        <v>787</v>
      </c>
      <c r="O39" s="2">
        <f t="shared" si="17"/>
        <v>5794</v>
      </c>
    </row>
    <row r="40" spans="2:15" x14ac:dyDescent="0.25">
      <c r="B40">
        <v>2023</v>
      </c>
      <c r="C40">
        <f t="shared" si="14"/>
        <v>660</v>
      </c>
      <c r="D40">
        <f t="shared" ref="D40:N40" si="22">D11+D26</f>
        <v>492</v>
      </c>
      <c r="E40">
        <f t="shared" si="22"/>
        <v>487</v>
      </c>
      <c r="F40">
        <f t="shared" si="22"/>
        <v>248</v>
      </c>
      <c r="G40">
        <f t="shared" si="22"/>
        <v>164</v>
      </c>
      <c r="H40">
        <f t="shared" si="22"/>
        <v>290</v>
      </c>
      <c r="I40">
        <f t="shared" si="22"/>
        <v>0</v>
      </c>
      <c r="J40">
        <f t="shared" si="22"/>
        <v>0</v>
      </c>
      <c r="K40">
        <f t="shared" si="22"/>
        <v>0</v>
      </c>
      <c r="L40">
        <f t="shared" si="22"/>
        <v>0</v>
      </c>
      <c r="M40">
        <f t="shared" si="22"/>
        <v>0</v>
      </c>
      <c r="N40">
        <f t="shared" si="22"/>
        <v>0</v>
      </c>
      <c r="O40" s="2">
        <f t="shared" si="17"/>
        <v>2341</v>
      </c>
    </row>
    <row r="42" spans="2:15" x14ac:dyDescent="0.25">
      <c r="B42" t="s">
        <v>56</v>
      </c>
      <c r="C42">
        <f>ROUND(AVERAGE(C34:C39),0)</f>
        <v>869</v>
      </c>
      <c r="D42">
        <f t="shared" ref="D42:H42" si="23">ROUND(AVERAGE(D34:D39),0)</f>
        <v>655</v>
      </c>
      <c r="E42">
        <f t="shared" si="23"/>
        <v>477</v>
      </c>
      <c r="F42">
        <f t="shared" si="23"/>
        <v>277</v>
      </c>
      <c r="G42">
        <f t="shared" si="23"/>
        <v>263</v>
      </c>
      <c r="H42">
        <f t="shared" si="23"/>
        <v>373</v>
      </c>
      <c r="O42" s="2">
        <f>SUM(C42:N42)</f>
        <v>2914</v>
      </c>
    </row>
    <row r="43" spans="2:15" x14ac:dyDescent="0.25">
      <c r="B43" t="s">
        <v>57</v>
      </c>
      <c r="C43">
        <f>C40</f>
        <v>660</v>
      </c>
      <c r="D43">
        <f t="shared" ref="D43:H43" si="24">D40</f>
        <v>492</v>
      </c>
      <c r="E43">
        <f t="shared" si="24"/>
        <v>487</v>
      </c>
      <c r="F43">
        <f t="shared" si="24"/>
        <v>248</v>
      </c>
      <c r="G43">
        <f t="shared" si="24"/>
        <v>164</v>
      </c>
      <c r="H43">
        <f t="shared" si="24"/>
        <v>290</v>
      </c>
      <c r="O43" s="2">
        <f>SUM(C43:N43)</f>
        <v>2341</v>
      </c>
    </row>
    <row r="44" spans="2:15" x14ac:dyDescent="0.25">
      <c r="C44">
        <f>C43-C42</f>
        <v>-209</v>
      </c>
      <c r="D44">
        <f t="shared" ref="D44:H44" si="25">D43-D42</f>
        <v>-163</v>
      </c>
      <c r="E44">
        <f t="shared" si="25"/>
        <v>10</v>
      </c>
      <c r="F44">
        <f t="shared" si="25"/>
        <v>-29</v>
      </c>
      <c r="G44">
        <f t="shared" si="25"/>
        <v>-99</v>
      </c>
      <c r="H44">
        <f t="shared" si="25"/>
        <v>-83</v>
      </c>
      <c r="O44">
        <f t="shared" ref="O44" si="26">O43-O42</f>
        <v>-573</v>
      </c>
    </row>
    <row r="45" spans="2:15" x14ac:dyDescent="0.25">
      <c r="C45" s="3">
        <f>C44/C42</f>
        <v>-0.24050632911392406</v>
      </c>
      <c r="D45" s="3">
        <f t="shared" ref="D45:H45" si="27">D44/D42</f>
        <v>-0.24885496183206107</v>
      </c>
      <c r="E45" s="3">
        <f t="shared" si="27"/>
        <v>2.0964360587002098E-2</v>
      </c>
      <c r="F45" s="3">
        <f t="shared" si="27"/>
        <v>-0.10469314079422383</v>
      </c>
      <c r="G45" s="3">
        <f t="shared" si="27"/>
        <v>-0.37642585551330798</v>
      </c>
      <c r="H45" s="3">
        <f t="shared" si="27"/>
        <v>-0.22252010723860591</v>
      </c>
      <c r="O45" s="3">
        <f t="shared" ref="O45" si="28">O44/O42</f>
        <v>-0.19663692518874398</v>
      </c>
    </row>
  </sheetData>
  <phoneticPr fontId="3" type="noConversion"/>
  <pageMargins left="0.7" right="0.7" top="0.75" bottom="0.75" header="0.3" footer="0.3"/>
  <ignoredErrors>
    <ignoredError sqref="C28:H28 C13:H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CF694-A35E-4F07-8819-004D6F8C7718}">
  <dimension ref="B1:I22"/>
  <sheetViews>
    <sheetView workbookViewId="0">
      <selection activeCell="D29" sqref="D29"/>
    </sheetView>
  </sheetViews>
  <sheetFormatPr defaultRowHeight="15" x14ac:dyDescent="0.25"/>
  <cols>
    <col min="3" max="3" width="11.7109375" customWidth="1"/>
    <col min="4" max="4" width="13.28515625" bestFit="1" customWidth="1"/>
    <col min="5" max="6" width="11.7109375" customWidth="1"/>
    <col min="7" max="9" width="13.28515625" bestFit="1" customWidth="1"/>
  </cols>
  <sheetData>
    <row r="1" spans="2:9" x14ac:dyDescent="0.25">
      <c r="C1" s="33" t="s">
        <v>28</v>
      </c>
      <c r="D1" s="33"/>
      <c r="E1" s="33"/>
      <c r="G1" s="33" t="s">
        <v>27</v>
      </c>
      <c r="H1" s="33"/>
      <c r="I1" s="33"/>
    </row>
    <row r="2" spans="2:9" x14ac:dyDescent="0.25">
      <c r="C2" s="7" t="s">
        <v>24</v>
      </c>
      <c r="D2" s="7" t="s">
        <v>25</v>
      </c>
      <c r="E2" s="7" t="s">
        <v>26</v>
      </c>
      <c r="G2" s="7" t="s">
        <v>24</v>
      </c>
      <c r="H2" s="7" t="s">
        <v>25</v>
      </c>
      <c r="I2" s="7" t="s">
        <v>26</v>
      </c>
    </row>
    <row r="3" spans="2:9" x14ac:dyDescent="0.25">
      <c r="B3" t="s">
        <v>19</v>
      </c>
      <c r="C3" s="2">
        <v>6497</v>
      </c>
      <c r="D3" s="2">
        <v>4710</v>
      </c>
      <c r="E3" s="2">
        <v>11545</v>
      </c>
      <c r="G3" s="1">
        <v>1902651.42</v>
      </c>
      <c r="H3" s="1">
        <v>1074348.05</v>
      </c>
      <c r="I3" s="1">
        <v>1428436.28</v>
      </c>
    </row>
    <row r="4" spans="2:9" x14ac:dyDescent="0.25">
      <c r="B4" t="s">
        <v>20</v>
      </c>
      <c r="C4" s="2">
        <v>5150</v>
      </c>
      <c r="D4" s="2">
        <v>4748</v>
      </c>
      <c r="E4" s="2">
        <v>10302</v>
      </c>
      <c r="G4" s="1">
        <v>1747300.8</v>
      </c>
      <c r="H4" s="1">
        <v>1455935.87</v>
      </c>
      <c r="I4" s="1">
        <v>1810190.75</v>
      </c>
    </row>
    <row r="5" spans="2:9" x14ac:dyDescent="0.25">
      <c r="B5" t="s">
        <v>21</v>
      </c>
      <c r="C5" s="2">
        <v>5414</v>
      </c>
      <c r="D5" s="2">
        <v>4775</v>
      </c>
      <c r="E5" s="2">
        <v>10721</v>
      </c>
      <c r="G5" s="1">
        <v>2327016.6800000002</v>
      </c>
      <c r="H5" s="1">
        <v>1367963.12</v>
      </c>
      <c r="I5" s="1">
        <v>1982347.83</v>
      </c>
    </row>
    <row r="6" spans="2:9" x14ac:dyDescent="0.25">
      <c r="B6" t="s">
        <v>22</v>
      </c>
      <c r="C6" s="2">
        <v>5121</v>
      </c>
      <c r="D6" s="2">
        <v>4773</v>
      </c>
      <c r="E6" s="2">
        <v>9908</v>
      </c>
      <c r="G6" s="1">
        <v>2271448.36</v>
      </c>
      <c r="H6" s="1">
        <v>1073477.46</v>
      </c>
      <c r="I6" s="1">
        <v>1385608.41</v>
      </c>
    </row>
    <row r="7" spans="2:9" x14ac:dyDescent="0.25">
      <c r="B7" t="s">
        <v>23</v>
      </c>
      <c r="C7" s="2">
        <v>5252</v>
      </c>
      <c r="D7" s="2">
        <v>3315</v>
      </c>
      <c r="E7" s="2">
        <v>9827</v>
      </c>
      <c r="G7" s="1">
        <v>1463815.1</v>
      </c>
      <c r="H7" s="1">
        <v>774445.27</v>
      </c>
      <c r="I7" s="1">
        <v>1239715.3600000001</v>
      </c>
    </row>
    <row r="10" spans="2:9" x14ac:dyDescent="0.25">
      <c r="C10" s="8">
        <f>AVERAGE(C3:C6)</f>
        <v>5545.5</v>
      </c>
      <c r="D10" s="8">
        <f>AVERAGE(D3:D6)</f>
        <v>4751.5</v>
      </c>
      <c r="E10" s="8">
        <f>AVERAGE(E3:E7)</f>
        <v>10460.6</v>
      </c>
      <c r="G10" s="8">
        <f t="shared" ref="G10:H10" si="0">AVERAGE(G3:G6)</f>
        <v>2062104.3149999999</v>
      </c>
      <c r="H10" s="8">
        <f t="shared" si="0"/>
        <v>1242931.125</v>
      </c>
      <c r="I10" s="8">
        <f>AVERAGE(I3:I7)</f>
        <v>1569259.7260000003</v>
      </c>
    </row>
    <row r="14" spans="2:9" x14ac:dyDescent="0.25">
      <c r="C14" s="33" t="s">
        <v>31</v>
      </c>
      <c r="D14" s="33"/>
    </row>
    <row r="15" spans="2:9" x14ac:dyDescent="0.25">
      <c r="C15" t="s">
        <v>29</v>
      </c>
      <c r="D15" t="s">
        <v>30</v>
      </c>
    </row>
    <row r="16" spans="2:9" x14ac:dyDescent="0.25">
      <c r="B16" t="s">
        <v>19</v>
      </c>
      <c r="C16">
        <v>172</v>
      </c>
      <c r="D16" s="1">
        <v>1301898.67</v>
      </c>
    </row>
    <row r="17" spans="2:4" x14ac:dyDescent="0.25">
      <c r="B17" t="s">
        <v>20</v>
      </c>
      <c r="C17">
        <v>161</v>
      </c>
      <c r="D17" s="1">
        <v>1429554.75</v>
      </c>
    </row>
    <row r="18" spans="2:4" x14ac:dyDescent="0.25">
      <c r="B18" t="s">
        <v>21</v>
      </c>
      <c r="C18">
        <v>196</v>
      </c>
      <c r="D18" s="1">
        <v>1454828.45</v>
      </c>
    </row>
    <row r="19" spans="2:4" x14ac:dyDescent="0.25">
      <c r="B19" t="s">
        <v>22</v>
      </c>
      <c r="C19">
        <v>220</v>
      </c>
      <c r="D19" s="1">
        <v>1706312.47</v>
      </c>
    </row>
    <row r="20" spans="2:4" x14ac:dyDescent="0.25">
      <c r="B20" t="s">
        <v>23</v>
      </c>
      <c r="D20" s="1"/>
    </row>
    <row r="22" spans="2:4" x14ac:dyDescent="0.25">
      <c r="C22">
        <f>AVERAGE(C16:C19)</f>
        <v>187.25</v>
      </c>
      <c r="D22" s="1">
        <f>AVERAGE(D16:D19)</f>
        <v>1473148.585</v>
      </c>
    </row>
  </sheetData>
  <mergeCells count="3">
    <mergeCell ref="C1:E1"/>
    <mergeCell ref="G1:I1"/>
    <mergeCell ref="C14:D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60185-701A-4C96-BBED-05EDF3171E75}">
  <sheetPr>
    <pageSetUpPr fitToPage="1"/>
  </sheetPr>
  <dimension ref="A1:A2"/>
  <sheetViews>
    <sheetView workbookViewId="0">
      <selection activeCell="A4" sqref="A4"/>
    </sheetView>
  </sheetViews>
  <sheetFormatPr defaultRowHeight="15" x14ac:dyDescent="0.25"/>
  <sheetData>
    <row r="1" spans="1:1" x14ac:dyDescent="0.25">
      <c r="A1" s="9" t="s">
        <v>32</v>
      </c>
    </row>
    <row r="2" spans="1:1" x14ac:dyDescent="0.25">
      <c r="A2" s="9" t="s">
        <v>33</v>
      </c>
    </row>
  </sheetData>
  <pageMargins left="0.7" right="0.7" top="0.75" bottom="0.75" header="0.3" footer="0.3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Operating Statement</vt:lpstr>
      <vt:lpstr>Rate Case Exhibit</vt:lpstr>
      <vt:lpstr>Weather Data</vt:lpstr>
      <vt:lpstr>Sheet2</vt:lpstr>
      <vt:lpstr>Bank Account structure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Moriarty</dc:creator>
  <cp:lastModifiedBy>Michael Moriarty</cp:lastModifiedBy>
  <cp:lastPrinted>2023-07-17T18:08:10Z</cp:lastPrinted>
  <dcterms:created xsi:type="dcterms:W3CDTF">2022-02-09T12:13:41Z</dcterms:created>
  <dcterms:modified xsi:type="dcterms:W3CDTF">2023-07-17T18:09:22Z</dcterms:modified>
</cp:coreProperties>
</file>