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d.docs.live.net/2ac385686f0d07d2/Documents/CATALYST Consulting/Clients/Shelby Enegy/2022 Rate Filing 2023-00213/COS ^0 Rates/"/>
    </mc:Choice>
  </mc:AlternateContent>
  <xr:revisionPtr revIDLastSave="40" documentId="8_{5FC12C0C-F4AC-4590-8E1C-985BA4E5880A}" xr6:coauthVersionLast="47" xr6:coauthVersionMax="47" xr10:uidLastSave="{5FF049D0-90C7-4ADC-BE6A-5A0D9D280522}"/>
  <bookViews>
    <workbookView xWindow="-108" yWindow="-108" windowWidth="23256" windowHeight="12456" tabRatio="869" xr2:uid="{00000000-000D-0000-FFFF-FFFF00000000}"/>
  </bookViews>
  <sheets>
    <sheet name="RevReq" sheetId="35" r:id="rId1"/>
    <sheet name="Adj List" sheetId="2" r:id="rId2"/>
    <sheet name="Adj BS" sheetId="17" r:id="rId3"/>
    <sheet name="Adj IS" sheetId="18" r:id="rId4"/>
    <sheet name="1.01 FAC" sheetId="22" r:id="rId5"/>
    <sheet name="1.02 ES" sheetId="24" r:id="rId6"/>
    <sheet name="1.03 NonRecur" sheetId="38" r:id="rId7"/>
    <sheet name="1.04 DonaAdsDues" sheetId="36" r:id="rId8"/>
    <sheet name="1.05 401k" sheetId="41" r:id="rId9"/>
    <sheet name="1.06 LifeInsur" sheetId="43" r:id="rId10"/>
    <sheet name="1.07 RC" sheetId="40" r:id="rId11"/>
    <sheet name="1.08 Interest" sheetId="37" r:id="rId12"/>
    <sheet name="1.09 YearEndCust" sheetId="10" r:id="rId13"/>
    <sheet name="1.10 Wages" sheetId="39" r:id="rId14"/>
    <sheet name="1.11 Depr" sheetId="45" r:id="rId15"/>
    <sheet name="1.12 BOD" sheetId="44" r:id="rId16"/>
    <sheet name="1.13 Right of Way" sheetId="42" r:id="rId17"/>
    <sheet name="1.14 G&amp;TCC" sheetId="28" r:id="rId18"/>
    <sheet name="1.xx Wages" sheetId="12" state="hidden" r:id="rId19"/>
    <sheet name="1.xx Health" sheetId="27" state="hidden" r:id="rId20"/>
  </sheets>
  <definedNames>
    <definedName name="_xlnm.Print_Area" localSheetId="4">'1.01 FAC'!$A$1:$F$34</definedName>
    <definedName name="_xlnm.Print_Area" localSheetId="5">'1.02 ES'!$A$1:$F$34</definedName>
    <definedName name="_xlnm.Print_Area" localSheetId="6">'1.03 NonRecur'!$A$1:$E$23</definedName>
    <definedName name="_xlnm.Print_Area" localSheetId="7">'1.04 DonaAdsDues'!$A$1:$N$27</definedName>
    <definedName name="_xlnm.Print_Area" localSheetId="8">'1.05 401k'!$A$1:$N$29</definedName>
    <definedName name="_xlnm.Print_Area" localSheetId="9">'1.06 LifeInsur'!$B$1:$I$66</definedName>
    <definedName name="_xlnm.Print_Area" localSheetId="10">'1.07 RC'!$A$1:$D$29</definedName>
    <definedName name="_xlnm.Print_Area" localSheetId="11">'1.08 Interest'!$A$1:$F$30</definedName>
    <definedName name="_xlnm.Print_Area" localSheetId="12">'1.09 YearEndCust'!$A$1:$K$59</definedName>
    <definedName name="_xlnm.Print_Area" localSheetId="13">'1.10 Wages'!$A$1:$X$93</definedName>
    <definedName name="_xlnm.Print_Area" localSheetId="14">'1.11 Depr'!$A$1:$J$59</definedName>
    <definedName name="_xlnm.Print_Area" localSheetId="15">'1.12 BOD'!$A$1:$H$30</definedName>
    <definedName name="_xlnm.Print_Area" localSheetId="16">'1.13 Right of Way'!$A$1:$C$16</definedName>
    <definedName name="_xlnm.Print_Area" localSheetId="17">'1.14 G&amp;TCC'!$A$1:$C$19</definedName>
    <definedName name="_xlnm.Print_Area" localSheetId="19">'1.xx Health'!$B$1:$H$26</definedName>
    <definedName name="_xlnm.Print_Area" localSheetId="18">'1.xx Wages'!$A$1:$X$129</definedName>
    <definedName name="_xlnm.Print_Area" localSheetId="2">'Adj BS'!$A$1:$F$64</definedName>
    <definedName name="_xlnm.Print_Area" localSheetId="3">'Adj IS'!$A$1:$R$40</definedName>
    <definedName name="_xlnm.Print_Area" localSheetId="1">'Adj List'!$A$1:$G$25</definedName>
    <definedName name="_xlnm.Print_Area" localSheetId="0">RevReq!$A$1:$H$61</definedName>
    <definedName name="_xlnm.Print_Titles" localSheetId="12">'1.09 YearEndCust'!$1:$11</definedName>
    <definedName name="_xlnm.Print_Titles" localSheetId="13">'1.10 Wages'!$1:$7</definedName>
    <definedName name="_xlnm.Print_Titles" localSheetId="18">'1.xx Wages'!$1:$7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35" l="1"/>
  <c r="A13" i="28" l="1"/>
  <c r="A14" i="28"/>
  <c r="A15" i="28" s="1"/>
  <c r="C11" i="28"/>
  <c r="C15" i="28" s="1"/>
  <c r="F20" i="2" s="1"/>
  <c r="E19" i="2"/>
  <c r="E18" i="2"/>
  <c r="E17" i="2" l="1"/>
  <c r="E16" i="2"/>
  <c r="E14" i="2"/>
  <c r="E13" i="2"/>
  <c r="E12" i="2"/>
  <c r="E11" i="2"/>
  <c r="E10" i="2"/>
  <c r="E9" i="2"/>
  <c r="E17" i="38"/>
  <c r="A14" i="38"/>
  <c r="A15" i="38"/>
  <c r="A16" i="38"/>
  <c r="A17" i="38" s="1"/>
  <c r="E13" i="38"/>
  <c r="E12" i="38"/>
  <c r="E11" i="38"/>
  <c r="D10" i="38"/>
  <c r="E10" i="38"/>
  <c r="E14" i="38" s="1"/>
  <c r="E55" i="45"/>
  <c r="E59" i="45" s="1"/>
  <c r="I40" i="45"/>
  <c r="F40" i="45"/>
  <c r="E40" i="45"/>
  <c r="G39" i="45"/>
  <c r="H39" i="45" s="1"/>
  <c r="J39" i="45" s="1"/>
  <c r="H38" i="45"/>
  <c r="H40" i="45" s="1"/>
  <c r="G38" i="45"/>
  <c r="F35" i="45"/>
  <c r="F34" i="45"/>
  <c r="E34" i="45"/>
  <c r="G33" i="45"/>
  <c r="H33" i="45" s="1"/>
  <c r="J33" i="45" s="1"/>
  <c r="G32" i="45"/>
  <c r="H32" i="45" s="1"/>
  <c r="J32" i="45" s="1"/>
  <c r="G31" i="45"/>
  <c r="H31" i="45" s="1"/>
  <c r="J31" i="45" s="1"/>
  <c r="G30" i="45"/>
  <c r="H30" i="45" s="1"/>
  <c r="J30" i="45" s="1"/>
  <c r="H29" i="45"/>
  <c r="J29" i="45" s="1"/>
  <c r="I28" i="45"/>
  <c r="I34" i="45" s="1"/>
  <c r="I35" i="45" s="1"/>
  <c r="G28" i="45"/>
  <c r="H28" i="45" s="1"/>
  <c r="H27" i="45"/>
  <c r="J27" i="45" s="1"/>
  <c r="G27" i="45"/>
  <c r="J26" i="45"/>
  <c r="H26" i="45"/>
  <c r="J25" i="45"/>
  <c r="H25" i="45"/>
  <c r="F22" i="45"/>
  <c r="E22" i="45"/>
  <c r="E35" i="45" s="1"/>
  <c r="H21" i="45"/>
  <c r="G21" i="45"/>
  <c r="H20" i="45"/>
  <c r="G20" i="45"/>
  <c r="H19" i="45"/>
  <c r="G19" i="45"/>
  <c r="G18" i="45"/>
  <c r="H18" i="45" s="1"/>
  <c r="H17" i="45"/>
  <c r="G17" i="45"/>
  <c r="G16" i="45"/>
  <c r="H16" i="45" s="1"/>
  <c r="G15" i="45"/>
  <c r="H15" i="45" s="1"/>
  <c r="G14" i="45"/>
  <c r="H14" i="45" s="1"/>
  <c r="H13" i="45"/>
  <c r="G13" i="45"/>
  <c r="A13" i="45"/>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H12" i="45"/>
  <c r="G12" i="45"/>
  <c r="A12" i="45"/>
  <c r="H22" i="45" l="1"/>
  <c r="H34" i="45"/>
  <c r="J34" i="45" s="1"/>
  <c r="J28" i="45"/>
  <c r="J38" i="45"/>
  <c r="J40" i="45" s="1"/>
  <c r="F51" i="45" l="1"/>
  <c r="F54" i="45"/>
  <c r="F50" i="45"/>
  <c r="F57" i="45"/>
  <c r="F53" i="45"/>
  <c r="F52" i="45"/>
  <c r="H35" i="45"/>
  <c r="J22" i="45"/>
  <c r="J35" i="45" s="1"/>
  <c r="F55" i="45" l="1"/>
  <c r="F59" i="45" l="1"/>
  <c r="J41" i="45"/>
  <c r="J44" i="45" s="1"/>
  <c r="C25" i="44" l="1"/>
  <c r="C24" i="44"/>
  <c r="C22" i="44"/>
  <c r="C21" i="44"/>
  <c r="G16" i="44"/>
  <c r="F16" i="44"/>
  <c r="E16" i="44"/>
  <c r="H15" i="44"/>
  <c r="H16" i="44" s="1"/>
  <c r="G15" i="44"/>
  <c r="F15" i="44"/>
  <c r="E15" i="44"/>
  <c r="D15" i="44"/>
  <c r="D16" i="44" s="1"/>
  <c r="C15" i="44"/>
  <c r="C16" i="44" s="1"/>
  <c r="E12" i="44"/>
  <c r="C23" i="44" s="1"/>
  <c r="A11" i="44"/>
  <c r="A12" i="44" s="1"/>
  <c r="A13" i="44" s="1"/>
  <c r="A14" i="44" s="1"/>
  <c r="A15" i="44" s="1"/>
  <c r="A16" i="44" s="1"/>
  <c r="A17" i="44" s="1"/>
  <c r="A18" i="44" s="1"/>
  <c r="A19" i="44" s="1"/>
  <c r="A20" i="44" s="1"/>
  <c r="A21" i="44" s="1"/>
  <c r="A22" i="44" s="1"/>
  <c r="A23" i="44" s="1"/>
  <c r="A24" i="44" s="1"/>
  <c r="A25" i="44" s="1"/>
  <c r="A26" i="44" s="1"/>
  <c r="A27" i="44" s="1"/>
  <c r="C26" i="44" l="1"/>
  <c r="C27" i="44" s="1"/>
  <c r="H24" i="44" s="1"/>
  <c r="H27" i="44" s="1"/>
  <c r="F54" i="43" l="1"/>
  <c r="H54" i="43" s="1"/>
  <c r="C54" i="43"/>
  <c r="H53" i="43"/>
  <c r="G53" i="43"/>
  <c r="I53" i="43" s="1"/>
  <c r="F53" i="43"/>
  <c r="C53" i="43"/>
  <c r="F52" i="43"/>
  <c r="H52" i="43" s="1"/>
  <c r="C52" i="43"/>
  <c r="I51" i="43"/>
  <c r="H51" i="43"/>
  <c r="G51" i="43"/>
  <c r="F51" i="43"/>
  <c r="C51" i="43"/>
  <c r="F50" i="43"/>
  <c r="H50" i="43" s="1"/>
  <c r="C50" i="43"/>
  <c r="G49" i="43"/>
  <c r="F49" i="43"/>
  <c r="H49" i="43" s="1"/>
  <c r="I49" i="43" s="1"/>
  <c r="C49" i="43"/>
  <c r="H48" i="43"/>
  <c r="I48" i="43" s="1"/>
  <c r="F48" i="43"/>
  <c r="G48" i="43" s="1"/>
  <c r="C48" i="43"/>
  <c r="G47" i="43"/>
  <c r="F47" i="43"/>
  <c r="H47" i="43" s="1"/>
  <c r="I47" i="43" s="1"/>
  <c r="C47" i="43"/>
  <c r="H46" i="43"/>
  <c r="F46" i="43"/>
  <c r="G46" i="43" s="1"/>
  <c r="C46" i="43"/>
  <c r="H45" i="43"/>
  <c r="G45" i="43"/>
  <c r="I45" i="43" s="1"/>
  <c r="F45" i="43"/>
  <c r="C45" i="43"/>
  <c r="F44" i="43"/>
  <c r="H44" i="43" s="1"/>
  <c r="C44" i="43"/>
  <c r="I43" i="43"/>
  <c r="H43" i="43"/>
  <c r="G43" i="43"/>
  <c r="F43" i="43"/>
  <c r="C43" i="43"/>
  <c r="F42" i="43"/>
  <c r="H42" i="43" s="1"/>
  <c r="C42" i="43"/>
  <c r="G41" i="43"/>
  <c r="F41" i="43"/>
  <c r="H41" i="43" s="1"/>
  <c r="I41" i="43" s="1"/>
  <c r="C41" i="43"/>
  <c r="H40" i="43"/>
  <c r="F40" i="43"/>
  <c r="G40" i="43" s="1"/>
  <c r="C40" i="43"/>
  <c r="G39" i="43"/>
  <c r="F39" i="43"/>
  <c r="H39" i="43" s="1"/>
  <c r="I39" i="43" s="1"/>
  <c r="C39" i="43"/>
  <c r="H38" i="43"/>
  <c r="I38" i="43" s="1"/>
  <c r="F38" i="43"/>
  <c r="G38" i="43" s="1"/>
  <c r="C38" i="43"/>
  <c r="H37" i="43"/>
  <c r="G37" i="43"/>
  <c r="I37" i="43" s="1"/>
  <c r="F37" i="43"/>
  <c r="C37" i="43"/>
  <c r="F36" i="43"/>
  <c r="H36" i="43" s="1"/>
  <c r="C36" i="43"/>
  <c r="G35" i="43"/>
  <c r="F35" i="43"/>
  <c r="H35" i="43" s="1"/>
  <c r="I35" i="43" s="1"/>
  <c r="C35" i="43"/>
  <c r="F34" i="43"/>
  <c r="H34" i="43" s="1"/>
  <c r="C34" i="43"/>
  <c r="G33" i="43"/>
  <c r="F33" i="43"/>
  <c r="H33" i="43" s="1"/>
  <c r="I33" i="43" s="1"/>
  <c r="C33" i="43"/>
  <c r="H32" i="43"/>
  <c r="I32" i="43" s="1"/>
  <c r="F32" i="43"/>
  <c r="G32" i="43" s="1"/>
  <c r="C32" i="43"/>
  <c r="G31" i="43"/>
  <c r="F31" i="43"/>
  <c r="H31" i="43" s="1"/>
  <c r="I31" i="43" s="1"/>
  <c r="C31" i="43"/>
  <c r="H30" i="43"/>
  <c r="F30" i="43"/>
  <c r="G30" i="43" s="1"/>
  <c r="C30" i="43"/>
  <c r="H29" i="43"/>
  <c r="G29" i="43"/>
  <c r="I29" i="43" s="1"/>
  <c r="C75" i="43" s="1"/>
  <c r="F29" i="43"/>
  <c r="C29" i="43"/>
  <c r="F28" i="43"/>
  <c r="H28" i="43" s="1"/>
  <c r="C28" i="43"/>
  <c r="G27" i="43"/>
  <c r="F27" i="43"/>
  <c r="H27" i="43" s="1"/>
  <c r="I27" i="43" s="1"/>
  <c r="C27" i="43"/>
  <c r="F26" i="43"/>
  <c r="H26" i="43" s="1"/>
  <c r="H25" i="43"/>
  <c r="I25" i="43" s="1"/>
  <c r="F25" i="43"/>
  <c r="G25" i="43" s="1"/>
  <c r="C25" i="43"/>
  <c r="H24" i="43"/>
  <c r="G24" i="43"/>
  <c r="I24" i="43" s="1"/>
  <c r="F24" i="43"/>
  <c r="C24" i="43"/>
  <c r="F23" i="43"/>
  <c r="H23" i="43" s="1"/>
  <c r="C23" i="43"/>
  <c r="G22" i="43"/>
  <c r="F22" i="43"/>
  <c r="H22" i="43" s="1"/>
  <c r="I22" i="43" s="1"/>
  <c r="C22" i="43"/>
  <c r="F21" i="43"/>
  <c r="H21" i="43" s="1"/>
  <c r="C21" i="43"/>
  <c r="I20" i="43"/>
  <c r="H20" i="43"/>
  <c r="G20" i="43"/>
  <c r="F20" i="43"/>
  <c r="C20" i="43"/>
  <c r="F19" i="43"/>
  <c r="G19" i="43" s="1"/>
  <c r="F18" i="43"/>
  <c r="H18" i="43" s="1"/>
  <c r="C18" i="43"/>
  <c r="G17" i="43"/>
  <c r="F17" i="43"/>
  <c r="H17" i="43" s="1"/>
  <c r="I17" i="43" s="1"/>
  <c r="C17" i="43"/>
  <c r="F16" i="43"/>
  <c r="H16" i="43" s="1"/>
  <c r="C16" i="43"/>
  <c r="I15" i="43"/>
  <c r="H15" i="43"/>
  <c r="G15" i="43"/>
  <c r="F15" i="43"/>
  <c r="C15" i="43"/>
  <c r="F14" i="43"/>
  <c r="G14" i="43" s="1"/>
  <c r="C14" i="43"/>
  <c r="G13" i="43"/>
  <c r="F13" i="43"/>
  <c r="H13" i="43" s="1"/>
  <c r="I13" i="43" s="1"/>
  <c r="C13" i="43"/>
  <c r="C55" i="43" s="1"/>
  <c r="H12" i="43"/>
  <c r="I12" i="43" s="1"/>
  <c r="F12" i="43"/>
  <c r="G12" i="43" s="1"/>
  <c r="C12" i="43"/>
  <c r="D75" i="43" l="1"/>
  <c r="I40" i="43"/>
  <c r="I60" i="43"/>
  <c r="I30" i="43"/>
  <c r="I36" i="43"/>
  <c r="I46" i="43"/>
  <c r="I54" i="43"/>
  <c r="H14" i="43"/>
  <c r="I14" i="43" s="1"/>
  <c r="C78" i="43" s="1"/>
  <c r="H19" i="43"/>
  <c r="I19" i="43" s="1"/>
  <c r="G16" i="43"/>
  <c r="I16" i="43" s="1"/>
  <c r="G21" i="43"/>
  <c r="I21" i="43" s="1"/>
  <c r="C72" i="43" s="1"/>
  <c r="G26" i="43"/>
  <c r="I26" i="43" s="1"/>
  <c r="C76" i="43" s="1"/>
  <c r="G34" i="43"/>
  <c r="I34" i="43" s="1"/>
  <c r="C74" i="43" s="1"/>
  <c r="D74" i="43" s="1"/>
  <c r="G42" i="43"/>
  <c r="I42" i="43" s="1"/>
  <c r="G50" i="43"/>
  <c r="I50" i="43" s="1"/>
  <c r="G18" i="43"/>
  <c r="I18" i="43" s="1"/>
  <c r="C77" i="43" s="1"/>
  <c r="D77" i="43" s="1"/>
  <c r="G23" i="43"/>
  <c r="I23" i="43" s="1"/>
  <c r="G28" i="43"/>
  <c r="I28" i="43" s="1"/>
  <c r="G36" i="43"/>
  <c r="G44" i="43"/>
  <c r="I44" i="43" s="1"/>
  <c r="G52" i="43"/>
  <c r="I52" i="43" s="1"/>
  <c r="G54" i="43"/>
  <c r="D72" i="43" l="1"/>
  <c r="C73" i="43"/>
  <c r="D73" i="43" s="1"/>
  <c r="I55" i="43"/>
  <c r="I57" i="43" s="1"/>
  <c r="I62" i="43" s="1"/>
  <c r="I64" i="43" s="1"/>
  <c r="D76" i="43"/>
  <c r="E82" i="43"/>
  <c r="E85" i="43"/>
  <c r="D78" i="43"/>
  <c r="E80" i="43" l="1"/>
  <c r="E86" i="43" s="1"/>
  <c r="C14" i="42" l="1"/>
  <c r="A14" i="42"/>
  <c r="A13" i="42"/>
  <c r="N41" i="41"/>
  <c r="M41" i="41"/>
  <c r="L41" i="41"/>
  <c r="K41" i="41"/>
  <c r="J41" i="41"/>
  <c r="I41" i="41"/>
  <c r="H41" i="41"/>
  <c r="G41" i="41"/>
  <c r="F41" i="41"/>
  <c r="E41" i="41"/>
  <c r="D41" i="41"/>
  <c r="C41" i="41"/>
  <c r="B41" i="41"/>
  <c r="M40" i="41"/>
  <c r="L40" i="41"/>
  <c r="K40" i="41"/>
  <c r="J40" i="41"/>
  <c r="I40" i="41"/>
  <c r="H40" i="41"/>
  <c r="G40" i="41"/>
  <c r="F40" i="41"/>
  <c r="E40" i="41"/>
  <c r="D40" i="41"/>
  <c r="C40" i="41"/>
  <c r="B40" i="41"/>
  <c r="N39" i="41"/>
  <c r="M39" i="41"/>
  <c r="L39" i="41"/>
  <c r="K39" i="41"/>
  <c r="J39" i="41"/>
  <c r="I39" i="41"/>
  <c r="H39" i="41"/>
  <c r="G39" i="41"/>
  <c r="F39" i="41"/>
  <c r="E39" i="41"/>
  <c r="D39" i="41"/>
  <c r="C39" i="41"/>
  <c r="B39" i="41"/>
  <c r="M38" i="41"/>
  <c r="L38" i="41"/>
  <c r="K38" i="41"/>
  <c r="J38" i="41"/>
  <c r="I38" i="41"/>
  <c r="H38" i="41"/>
  <c r="G38" i="41"/>
  <c r="F38" i="41"/>
  <c r="E38" i="41"/>
  <c r="D38" i="41"/>
  <c r="C38" i="41"/>
  <c r="B38" i="41"/>
  <c r="M37" i="41"/>
  <c r="L37" i="41"/>
  <c r="K37" i="41"/>
  <c r="J37" i="41"/>
  <c r="I37" i="41"/>
  <c r="H37" i="41"/>
  <c r="G37" i="41"/>
  <c r="F37" i="41"/>
  <c r="B37" i="41"/>
  <c r="M36" i="41"/>
  <c r="L36" i="41"/>
  <c r="K36" i="41"/>
  <c r="J36" i="41"/>
  <c r="I36" i="41"/>
  <c r="H36" i="41"/>
  <c r="G36" i="41"/>
  <c r="F36" i="41"/>
  <c r="E36" i="41"/>
  <c r="D36" i="41"/>
  <c r="C36" i="41"/>
  <c r="B36" i="41"/>
  <c r="M35" i="41"/>
  <c r="L35" i="41"/>
  <c r="K35" i="41"/>
  <c r="J35" i="41"/>
  <c r="I35" i="41"/>
  <c r="H35" i="41"/>
  <c r="G35" i="41"/>
  <c r="F35" i="41"/>
  <c r="E35" i="41"/>
  <c r="D35" i="41"/>
  <c r="C35" i="41"/>
  <c r="B35" i="41"/>
  <c r="N34" i="41"/>
  <c r="M34" i="41"/>
  <c r="M42" i="41" s="1"/>
  <c r="M44" i="41" s="1"/>
  <c r="L34" i="41"/>
  <c r="L42" i="41" s="1"/>
  <c r="L44" i="41" s="1"/>
  <c r="K34" i="41"/>
  <c r="K42" i="41" s="1"/>
  <c r="K44" i="41" s="1"/>
  <c r="J34" i="41"/>
  <c r="J42" i="41" s="1"/>
  <c r="J44" i="41" s="1"/>
  <c r="I34" i="41"/>
  <c r="I42" i="41" s="1"/>
  <c r="I44" i="41" s="1"/>
  <c r="H34" i="41"/>
  <c r="H42" i="41" s="1"/>
  <c r="H44" i="41" s="1"/>
  <c r="G34" i="41"/>
  <c r="G42" i="41" s="1"/>
  <c r="G44" i="41" s="1"/>
  <c r="F34" i="41"/>
  <c r="F42" i="41" s="1"/>
  <c r="F44" i="41" s="1"/>
  <c r="E34" i="41"/>
  <c r="D34" i="41"/>
  <c r="C34" i="41"/>
  <c r="B34" i="41"/>
  <c r="B42" i="41" s="1"/>
  <c r="B44" i="41" s="1"/>
  <c r="M21" i="41"/>
  <c r="L21" i="41"/>
  <c r="K21" i="41"/>
  <c r="J21" i="41"/>
  <c r="I21" i="41"/>
  <c r="H21" i="41"/>
  <c r="G21" i="41"/>
  <c r="F21" i="41"/>
  <c r="N20" i="41"/>
  <c r="N19" i="41"/>
  <c r="N18" i="41"/>
  <c r="N17" i="41"/>
  <c r="N38" i="41" s="1"/>
  <c r="E16" i="41"/>
  <c r="E21" i="41" s="1"/>
  <c r="D16" i="41"/>
  <c r="D37" i="41" s="1"/>
  <c r="C16" i="41"/>
  <c r="C37" i="41" s="1"/>
  <c r="B16" i="41"/>
  <c r="B21" i="41" s="1"/>
  <c r="N15" i="41"/>
  <c r="N14" i="41"/>
  <c r="N36" i="41" s="1"/>
  <c r="N13" i="41"/>
  <c r="N40" i="41" s="1"/>
  <c r="N12" i="41"/>
  <c r="N11" i="41"/>
  <c r="N35" i="41" s="1"/>
  <c r="C42" i="41" l="1"/>
  <c r="D42" i="41"/>
  <c r="N37" i="41"/>
  <c r="N42" i="41" s="1"/>
  <c r="C21" i="41"/>
  <c r="E37" i="41"/>
  <c r="E42" i="41" s="1"/>
  <c r="E44" i="41" s="1"/>
  <c r="D21" i="41"/>
  <c r="N16" i="41"/>
  <c r="N21" i="41" s="1"/>
  <c r="N24" i="41" s="1"/>
  <c r="N26" i="41" s="1"/>
  <c r="N44" i="41" l="1"/>
  <c r="D44" i="41"/>
  <c r="C44" i="41"/>
  <c r="D16" i="40" l="1"/>
  <c r="D18" i="40" s="1"/>
  <c r="D20" i="40" s="1"/>
  <c r="D24" i="40" s="1"/>
  <c r="D26" i="40" s="1"/>
  <c r="A13" i="40"/>
  <c r="A14" i="40" s="1"/>
  <c r="A15" i="40" s="1"/>
  <c r="A16" i="40" s="1"/>
  <c r="A17" i="40" s="1"/>
  <c r="A18" i="40" s="1"/>
  <c r="A19" i="40" s="1"/>
  <c r="A20" i="40" s="1"/>
  <c r="A21" i="40" s="1"/>
  <c r="A22" i="40" s="1"/>
  <c r="A23" i="40" s="1"/>
  <c r="A24" i="40" s="1"/>
  <c r="A25" i="40" s="1"/>
  <c r="A26" i="40" s="1"/>
  <c r="L103" i="39" l="1"/>
  <c r="K129" i="39" s="1"/>
  <c r="L88" i="39"/>
  <c r="K90" i="39" s="1"/>
  <c r="L85" i="39"/>
  <c r="L84" i="39"/>
  <c r="L83" i="39"/>
  <c r="L82" i="39"/>
  <c r="L81" i="39"/>
  <c r="K86" i="39" s="1"/>
  <c r="K92" i="39" s="1"/>
  <c r="L69" i="39"/>
  <c r="J69" i="39"/>
  <c r="H69" i="39"/>
  <c r="C69" i="39"/>
  <c r="U68" i="39"/>
  <c r="T68" i="39"/>
  <c r="S68" i="39"/>
  <c r="V68" i="39" s="1"/>
  <c r="X68" i="39" s="1"/>
  <c r="O68" i="39"/>
  <c r="U67" i="39"/>
  <c r="T67" i="39"/>
  <c r="S67" i="39"/>
  <c r="V67" i="39" s="1"/>
  <c r="X67" i="39" s="1"/>
  <c r="O67" i="39"/>
  <c r="U66" i="39"/>
  <c r="T66" i="39"/>
  <c r="S66" i="39"/>
  <c r="V66" i="39" s="1"/>
  <c r="X66" i="39" s="1"/>
  <c r="O66" i="39"/>
  <c r="M66" i="39"/>
  <c r="U65" i="39"/>
  <c r="T65" i="39"/>
  <c r="S65" i="39"/>
  <c r="V65" i="39" s="1"/>
  <c r="X65" i="39" s="1"/>
  <c r="O65" i="39"/>
  <c r="M65" i="39"/>
  <c r="U64" i="39"/>
  <c r="T64" i="39"/>
  <c r="S64" i="39"/>
  <c r="V64" i="39" s="1"/>
  <c r="X64" i="39" s="1"/>
  <c r="O64" i="39"/>
  <c r="D63" i="39"/>
  <c r="F63" i="39" s="1"/>
  <c r="H63" i="39" s="1"/>
  <c r="I63" i="39" s="1"/>
  <c r="J63" i="39" s="1"/>
  <c r="L63" i="39" s="1"/>
  <c r="M63" i="39" s="1"/>
  <c r="N63" i="39" s="1"/>
  <c r="O63" i="39" s="1"/>
  <c r="Q63" i="39" s="1"/>
  <c r="S63" i="39" s="1"/>
  <c r="T63" i="39" s="1"/>
  <c r="U63" i="39" s="1"/>
  <c r="V63" i="39" s="1"/>
  <c r="X63" i="39" s="1"/>
  <c r="T59" i="39"/>
  <c r="S59" i="39"/>
  <c r="N59" i="39"/>
  <c r="U59" i="39" s="1"/>
  <c r="V59" i="39" s="1"/>
  <c r="M59" i="39"/>
  <c r="O59" i="39" s="1"/>
  <c r="U58" i="39"/>
  <c r="T58" i="39"/>
  <c r="S58" i="39"/>
  <c r="V58" i="39" s="1"/>
  <c r="X58" i="39" s="1"/>
  <c r="O58" i="39"/>
  <c r="T57" i="39"/>
  <c r="S57" i="39"/>
  <c r="N57" i="39"/>
  <c r="U57" i="39" s="1"/>
  <c r="V57" i="39" s="1"/>
  <c r="T56" i="39"/>
  <c r="S56" i="39"/>
  <c r="N56" i="39"/>
  <c r="U56" i="39" s="1"/>
  <c r="V56" i="39" s="1"/>
  <c r="X56" i="39" s="1"/>
  <c r="M56" i="39"/>
  <c r="O56" i="39" s="1"/>
  <c r="T55" i="39"/>
  <c r="S55" i="39"/>
  <c r="V55" i="39" s="1"/>
  <c r="N55" i="39"/>
  <c r="U55" i="39" s="1"/>
  <c r="M55" i="39"/>
  <c r="T54" i="39"/>
  <c r="S54" i="39"/>
  <c r="V54" i="39" s="1"/>
  <c r="X54" i="39" s="1"/>
  <c r="O54" i="39"/>
  <c r="N54" i="39"/>
  <c r="U54" i="39" s="1"/>
  <c r="M54" i="39"/>
  <c r="L54" i="39"/>
  <c r="U53" i="39"/>
  <c r="T53" i="39"/>
  <c r="V53" i="39" s="1"/>
  <c r="X53" i="39" s="1"/>
  <c r="S53" i="39"/>
  <c r="O53" i="39"/>
  <c r="N53" i="39"/>
  <c r="M53" i="39"/>
  <c r="U52" i="39"/>
  <c r="T52" i="39"/>
  <c r="S52" i="39"/>
  <c r="V52" i="39" s="1"/>
  <c r="N52" i="39"/>
  <c r="O52" i="39" s="1"/>
  <c r="M52" i="39"/>
  <c r="T51" i="39"/>
  <c r="S51" i="39"/>
  <c r="O51" i="39"/>
  <c r="N51" i="39"/>
  <c r="U51" i="39" s="1"/>
  <c r="V51" i="39" s="1"/>
  <c r="X51" i="39" s="1"/>
  <c r="M51" i="39"/>
  <c r="U50" i="39"/>
  <c r="T50" i="39"/>
  <c r="S50" i="39"/>
  <c r="V50" i="39" s="1"/>
  <c r="X50" i="39" s="1"/>
  <c r="O50" i="39"/>
  <c r="T49" i="39"/>
  <c r="S49" i="39"/>
  <c r="O49" i="39"/>
  <c r="N49" i="39"/>
  <c r="U49" i="39" s="1"/>
  <c r="V49" i="39" s="1"/>
  <c r="X49" i="39" s="1"/>
  <c r="M49" i="39"/>
  <c r="U48" i="39"/>
  <c r="T48" i="39"/>
  <c r="S48" i="39"/>
  <c r="V48" i="39" s="1"/>
  <c r="X48" i="39" s="1"/>
  <c r="N48" i="39"/>
  <c r="M48" i="39"/>
  <c r="O48" i="39" s="1"/>
  <c r="V47" i="39"/>
  <c r="X47" i="39" s="1"/>
  <c r="U47" i="39"/>
  <c r="T47" i="39"/>
  <c r="S47" i="39"/>
  <c r="O47" i="39"/>
  <c r="U46" i="39"/>
  <c r="T46" i="39"/>
  <c r="S46" i="39"/>
  <c r="V46" i="39" s="1"/>
  <c r="N46" i="39"/>
  <c r="O46" i="39" s="1"/>
  <c r="U45" i="39"/>
  <c r="T45" i="39"/>
  <c r="S45" i="39"/>
  <c r="V45" i="39" s="1"/>
  <c r="N45" i="39"/>
  <c r="O45" i="39" s="1"/>
  <c r="U44" i="39"/>
  <c r="S44" i="39"/>
  <c r="V44" i="39" s="1"/>
  <c r="X44" i="39" s="1"/>
  <c r="N44" i="39"/>
  <c r="M44" i="39"/>
  <c r="O44" i="39" s="1"/>
  <c r="I44" i="39"/>
  <c r="T44" i="39" s="1"/>
  <c r="U43" i="39"/>
  <c r="T43" i="39"/>
  <c r="S43" i="39"/>
  <c r="V43" i="39" s="1"/>
  <c r="X43" i="39" s="1"/>
  <c r="O43" i="39"/>
  <c r="S42" i="39"/>
  <c r="N42" i="39"/>
  <c r="U42" i="39" s="1"/>
  <c r="M42" i="39"/>
  <c r="O42" i="39" s="1"/>
  <c r="L42" i="39"/>
  <c r="I42" i="39"/>
  <c r="T42" i="39" s="1"/>
  <c r="T41" i="39"/>
  <c r="S41" i="39"/>
  <c r="N41" i="39"/>
  <c r="N69" i="39" s="1"/>
  <c r="M41" i="39"/>
  <c r="O41" i="39" s="1"/>
  <c r="I41" i="39"/>
  <c r="I69" i="39" s="1"/>
  <c r="I71" i="39" s="1"/>
  <c r="T40" i="39"/>
  <c r="V40" i="39" s="1"/>
  <c r="X40" i="39" s="1"/>
  <c r="S40" i="39"/>
  <c r="O40" i="39"/>
  <c r="U39" i="39"/>
  <c r="T39" i="39"/>
  <c r="T69" i="39" s="1"/>
  <c r="T71" i="39" s="1"/>
  <c r="S39" i="39"/>
  <c r="V39" i="39" s="1"/>
  <c r="X39" i="39" s="1"/>
  <c r="O39" i="39"/>
  <c r="U38" i="39"/>
  <c r="T38" i="39"/>
  <c r="S38" i="39"/>
  <c r="S69" i="39" s="1"/>
  <c r="O38" i="39"/>
  <c r="M38" i="39"/>
  <c r="M69" i="39" s="1"/>
  <c r="M71" i="39" s="1"/>
  <c r="T35" i="39"/>
  <c r="M35" i="39"/>
  <c r="I35" i="39"/>
  <c r="C35" i="39"/>
  <c r="C71" i="39" s="1"/>
  <c r="S34" i="39"/>
  <c r="N34" i="39"/>
  <c r="O34" i="39" s="1"/>
  <c r="S33" i="39"/>
  <c r="N33" i="39"/>
  <c r="U33" i="39" s="1"/>
  <c r="V33" i="39" s="1"/>
  <c r="V32" i="39"/>
  <c r="X32" i="39" s="1"/>
  <c r="S32" i="39"/>
  <c r="O32" i="39"/>
  <c r="N32" i="39"/>
  <c r="V31" i="39"/>
  <c r="X31" i="39" s="1"/>
  <c r="S31" i="39"/>
  <c r="O31" i="39"/>
  <c r="S30" i="39"/>
  <c r="O30" i="39"/>
  <c r="N30" i="39"/>
  <c r="J30" i="39"/>
  <c r="U30" i="39" s="1"/>
  <c r="U29" i="39"/>
  <c r="S29" i="39"/>
  <c r="V29" i="39" s="1"/>
  <c r="X29" i="39" s="1"/>
  <c r="O29" i="39"/>
  <c r="L29" i="39"/>
  <c r="S28" i="39"/>
  <c r="N28" i="39"/>
  <c r="O28" i="39" s="1"/>
  <c r="H28" i="39"/>
  <c r="S27" i="39"/>
  <c r="N27" i="39"/>
  <c r="O27" i="39" s="1"/>
  <c r="J27" i="39"/>
  <c r="S26" i="39"/>
  <c r="V26" i="39" s="1"/>
  <c r="N26" i="39"/>
  <c r="U26" i="39" s="1"/>
  <c r="U25" i="39"/>
  <c r="V25" i="39" s="1"/>
  <c r="X25" i="39" s="1"/>
  <c r="S25" i="39"/>
  <c r="L25" i="39"/>
  <c r="O25" i="39" s="1"/>
  <c r="S24" i="39"/>
  <c r="N24" i="39"/>
  <c r="U24" i="39" s="1"/>
  <c r="V24" i="39" s="1"/>
  <c r="J24" i="39"/>
  <c r="S23" i="39"/>
  <c r="N23" i="39"/>
  <c r="U23" i="39" s="1"/>
  <c r="V23" i="39" s="1"/>
  <c r="L23" i="39"/>
  <c r="O23" i="39" s="1"/>
  <c r="J23" i="39"/>
  <c r="S22" i="39"/>
  <c r="N22" i="39"/>
  <c r="U22" i="39" s="1"/>
  <c r="V22" i="39" s="1"/>
  <c r="X22" i="39" s="1"/>
  <c r="L22" i="39"/>
  <c r="O22" i="39" s="1"/>
  <c r="J22" i="39"/>
  <c r="S21" i="39"/>
  <c r="V21" i="39" s="1"/>
  <c r="N21" i="39"/>
  <c r="U21" i="39" s="1"/>
  <c r="J21" i="39"/>
  <c r="H21" i="39"/>
  <c r="U20" i="39"/>
  <c r="S20" i="39"/>
  <c r="V20" i="39" s="1"/>
  <c r="X20" i="39" s="1"/>
  <c r="O20" i="39"/>
  <c r="J20" i="39"/>
  <c r="S19" i="39"/>
  <c r="O19" i="39"/>
  <c r="J19" i="39"/>
  <c r="U19" i="39" s="1"/>
  <c r="H19" i="39"/>
  <c r="U18" i="39"/>
  <c r="S18" i="39"/>
  <c r="V18" i="39" s="1"/>
  <c r="X18" i="39" s="1"/>
  <c r="O18" i="39"/>
  <c r="S17" i="39"/>
  <c r="N17" i="39"/>
  <c r="U17" i="39" s="1"/>
  <c r="V17" i="39" s="1"/>
  <c r="X17" i="39" s="1"/>
  <c r="L17" i="39"/>
  <c r="O17" i="39" s="1"/>
  <c r="A17" i="39"/>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4" i="39" s="1"/>
  <c r="A65" i="39" s="1"/>
  <c r="A66" i="39" s="1"/>
  <c r="A67" i="39" s="1"/>
  <c r="A68" i="39" s="1"/>
  <c r="A69" i="39" s="1"/>
  <c r="A70" i="39" s="1"/>
  <c r="A71" i="39" s="1"/>
  <c r="A72" i="39" s="1"/>
  <c r="A73" i="39" s="1"/>
  <c r="A81" i="39" s="1"/>
  <c r="A82" i="39" s="1"/>
  <c r="A83" i="39" s="1"/>
  <c r="A84" i="39" s="1"/>
  <c r="A85" i="39" s="1"/>
  <c r="A86" i="39" s="1"/>
  <c r="A88" i="39" s="1"/>
  <c r="A89" i="39" s="1"/>
  <c r="A90" i="39" s="1"/>
  <c r="A91" i="39" s="1"/>
  <c r="A92" i="39" s="1"/>
  <c r="S16" i="39"/>
  <c r="S35" i="39" s="1"/>
  <c r="N16" i="39"/>
  <c r="N35" i="39" s="1"/>
  <c r="L16" i="39"/>
  <c r="L35" i="39" s="1"/>
  <c r="L71" i="39" s="1"/>
  <c r="H16" i="39"/>
  <c r="H35" i="39" s="1"/>
  <c r="A16" i="39"/>
  <c r="D10" i="39"/>
  <c r="F10" i="39" s="1"/>
  <c r="H10" i="39" s="1"/>
  <c r="I10" i="39" s="1"/>
  <c r="J10" i="39" s="1"/>
  <c r="L10" i="39" s="1"/>
  <c r="M10" i="39" s="1"/>
  <c r="N10" i="39" s="1"/>
  <c r="O10" i="39" s="1"/>
  <c r="Q10" i="39" s="1"/>
  <c r="S10" i="39" s="1"/>
  <c r="T10" i="39" s="1"/>
  <c r="U10" i="39" s="1"/>
  <c r="V10" i="39" s="1"/>
  <c r="X10" i="39" s="1"/>
  <c r="N71" i="39" l="1"/>
  <c r="X45" i="39"/>
  <c r="X59" i="39"/>
  <c r="X23" i="39"/>
  <c r="O69" i="39"/>
  <c r="V42" i="39"/>
  <c r="X42" i="39" s="1"/>
  <c r="X52" i="39"/>
  <c r="S71" i="39"/>
  <c r="X55" i="39"/>
  <c r="V19" i="39"/>
  <c r="X19" i="39" s="1"/>
  <c r="V34" i="39"/>
  <c r="X34" i="39" s="1"/>
  <c r="H71" i="39"/>
  <c r="V30" i="39"/>
  <c r="X30" i="39" s="1"/>
  <c r="X24" i="39"/>
  <c r="X46" i="39"/>
  <c r="J71" i="39"/>
  <c r="M122" i="39"/>
  <c r="M114" i="39"/>
  <c r="M107" i="39"/>
  <c r="M110" i="39"/>
  <c r="M125" i="39"/>
  <c r="M121" i="39"/>
  <c r="M113" i="39"/>
  <c r="M106" i="39"/>
  <c r="M126" i="39"/>
  <c r="M117" i="39"/>
  <c r="M128" i="39"/>
  <c r="M120" i="39"/>
  <c r="M112" i="39"/>
  <c r="M118" i="39"/>
  <c r="M103" i="39"/>
  <c r="M127" i="39"/>
  <c r="M119" i="39"/>
  <c r="M111" i="39"/>
  <c r="M105" i="39"/>
  <c r="M104" i="39"/>
  <c r="M109" i="39"/>
  <c r="M124" i="39"/>
  <c r="M116" i="39"/>
  <c r="M108" i="39"/>
  <c r="M123" i="39"/>
  <c r="M115" i="39"/>
  <c r="O21" i="39"/>
  <c r="X21" i="39" s="1"/>
  <c r="O26" i="39"/>
  <c r="X26" i="39" s="1"/>
  <c r="O33" i="39"/>
  <c r="X33" i="39" s="1"/>
  <c r="J35" i="39"/>
  <c r="U41" i="39"/>
  <c r="V41" i="39" s="1"/>
  <c r="X41" i="39" s="1"/>
  <c r="O57" i="39"/>
  <c r="X57" i="39" s="1"/>
  <c r="O55" i="39"/>
  <c r="O16" i="39"/>
  <c r="O24" i="39"/>
  <c r="U27" i="39"/>
  <c r="V27" i="39" s="1"/>
  <c r="X27" i="39" s="1"/>
  <c r="U28" i="39"/>
  <c r="V28" i="39" s="1"/>
  <c r="X28" i="39" s="1"/>
  <c r="U34" i="39"/>
  <c r="V38" i="39"/>
  <c r="U16" i="39"/>
  <c r="M85" i="39" l="1"/>
  <c r="X38" i="39"/>
  <c r="X69" i="39" s="1"/>
  <c r="V69" i="39"/>
  <c r="U69" i="39"/>
  <c r="U71" i="39" s="1"/>
  <c r="M81" i="39"/>
  <c r="O71" i="39"/>
  <c r="O102" i="39" s="1"/>
  <c r="O105" i="39" s="1"/>
  <c r="O107" i="39" s="1"/>
  <c r="M129" i="39"/>
  <c r="M88" i="39"/>
  <c r="M90" i="39" s="1"/>
  <c r="O35" i="39"/>
  <c r="M82" i="39"/>
  <c r="U35" i="39"/>
  <c r="V16" i="39"/>
  <c r="M83" i="39"/>
  <c r="M84" i="39"/>
  <c r="V35" i="39" l="1"/>
  <c r="X35" i="39" s="1"/>
  <c r="X16" i="39"/>
  <c r="V71" i="39"/>
  <c r="X71" i="39" s="1"/>
  <c r="X73" i="39" s="1"/>
  <c r="M86" i="39"/>
  <c r="M92" i="39" s="1"/>
  <c r="O82" i="39" l="1"/>
  <c r="O88" i="39"/>
  <c r="O90" i="39" s="1"/>
  <c r="O83" i="39"/>
  <c r="O84" i="39"/>
  <c r="O85" i="39"/>
  <c r="O81" i="39"/>
  <c r="O86" i="39" l="1"/>
  <c r="O92" i="39" s="1"/>
  <c r="S81" i="39"/>
  <c r="U81" i="39"/>
  <c r="S85" i="39"/>
  <c r="U85" i="39" s="1"/>
  <c r="S84" i="39"/>
  <c r="U84" i="39" s="1"/>
  <c r="U83" i="39"/>
  <c r="S83" i="39"/>
  <c r="S82" i="39"/>
  <c r="U82" i="39" s="1"/>
  <c r="U86" i="39" l="1"/>
  <c r="S86" i="39"/>
  <c r="A11" i="38" l="1"/>
  <c r="A12" i="38" s="1"/>
  <c r="A13" i="38" s="1"/>
  <c r="D14" i="38"/>
  <c r="C23" i="37" l="1"/>
  <c r="E22" i="37"/>
  <c r="D21" i="37"/>
  <c r="D23" i="37" s="1"/>
  <c r="D25" i="37" s="1"/>
  <c r="D15" i="37"/>
  <c r="C15" i="37"/>
  <c r="C25" i="37" s="1"/>
  <c r="E14" i="37"/>
  <c r="E13" i="37"/>
  <c r="E12" i="37"/>
  <c r="E15" i="37" s="1"/>
  <c r="E21" i="37" l="1"/>
  <c r="E23" i="37" s="1"/>
  <c r="E25" i="37" s="1"/>
  <c r="L24" i="36"/>
  <c r="J24" i="36"/>
  <c r="G24" i="36"/>
  <c r="F24" i="36"/>
  <c r="E24" i="36"/>
  <c r="D24" i="36"/>
  <c r="B24" i="36"/>
  <c r="I23" i="36"/>
  <c r="N23" i="36" s="1"/>
  <c r="I22" i="36"/>
  <c r="I24" i="36" s="1"/>
  <c r="M21" i="36"/>
  <c r="M24" i="36" s="1"/>
  <c r="C20" i="36"/>
  <c r="N20" i="36" s="1"/>
  <c r="K19" i="36"/>
  <c r="K24" i="36" s="1"/>
  <c r="H18" i="36"/>
  <c r="H24" i="36" s="1"/>
  <c r="C18" i="36"/>
  <c r="C24" i="36" s="1"/>
  <c r="N17" i="36"/>
  <c r="H17" i="36"/>
  <c r="N16" i="36"/>
  <c r="H16" i="36"/>
  <c r="N15" i="36"/>
  <c r="N14" i="36"/>
  <c r="N13" i="36"/>
  <c r="N12" i="36"/>
  <c r="N18" i="36" l="1"/>
  <c r="N24" i="36" s="1"/>
  <c r="N22" i="36"/>
  <c r="N19" i="36"/>
  <c r="N21" i="36"/>
  <c r="A58" i="35" l="1"/>
  <c r="A59" i="35"/>
  <c r="A60" i="35"/>
  <c r="A61" i="35" s="1"/>
  <c r="D21" i="35" l="1"/>
  <c r="E22" i="18" l="1"/>
  <c r="M25" i="18" l="1"/>
  <c r="L22" i="18"/>
  <c r="J27" i="18"/>
  <c r="H22" i="18"/>
  <c r="G22" i="18"/>
  <c r="D17" i="35"/>
  <c r="D26" i="35"/>
  <c r="D24" i="35"/>
  <c r="I45" i="10"/>
  <c r="I36" i="10"/>
  <c r="I25" i="10"/>
  <c r="I27" i="10" s="1"/>
  <c r="E7" i="2"/>
  <c r="D7" i="2"/>
  <c r="I30" i="10" l="1"/>
  <c r="I31" i="10" s="1"/>
  <c r="I37" i="10" s="1"/>
  <c r="H61" i="35" l="1"/>
  <c r="C54" i="35"/>
  <c r="E53" i="35"/>
  <c r="C48" i="35"/>
  <c r="E47" i="35"/>
  <c r="E42" i="35"/>
  <c r="E38" i="35"/>
  <c r="E36" i="35"/>
  <c r="E35" i="35"/>
  <c r="E34" i="35"/>
  <c r="E28" i="35"/>
  <c r="E27" i="35"/>
  <c r="E26" i="35"/>
  <c r="E25" i="35"/>
  <c r="E24" i="35"/>
  <c r="C22" i="35"/>
  <c r="C30" i="35" s="1"/>
  <c r="E21" i="35"/>
  <c r="E20" i="35"/>
  <c r="E19" i="35"/>
  <c r="E18" i="35"/>
  <c r="E17" i="35"/>
  <c r="E16" i="35"/>
  <c r="C12" i="35"/>
  <c r="E11" i="35"/>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10" i="35"/>
  <c r="C8" i="35"/>
  <c r="D8" i="35" s="1"/>
  <c r="F38" i="35" l="1"/>
  <c r="G38" i="35"/>
  <c r="H38" i="35"/>
  <c r="G19" i="35"/>
  <c r="H19" i="35"/>
  <c r="F42" i="35"/>
  <c r="H42" i="35"/>
  <c r="F19" i="35"/>
  <c r="F27" i="35"/>
  <c r="H27" i="35"/>
  <c r="G27" i="35"/>
  <c r="G42" i="35"/>
  <c r="G35" i="35"/>
  <c r="H35" i="35"/>
  <c r="F35" i="35"/>
  <c r="F18" i="35"/>
  <c r="G18" i="35"/>
  <c r="H18" i="35"/>
  <c r="F25" i="35"/>
  <c r="G25" i="35"/>
  <c r="H25" i="35"/>
  <c r="G20" i="35"/>
  <c r="H20" i="35"/>
  <c r="F28" i="35"/>
  <c r="G28" i="35"/>
  <c r="H28" i="35"/>
  <c r="F20" i="35"/>
  <c r="F34" i="35"/>
  <c r="H34" i="35"/>
  <c r="G34" i="35"/>
  <c r="F11" i="35"/>
  <c r="G11" i="35"/>
  <c r="H11" i="35"/>
  <c r="F53" i="35"/>
  <c r="H53" i="35"/>
  <c r="G53" i="35"/>
  <c r="F16" i="35"/>
  <c r="G16" i="35"/>
  <c r="H16" i="35"/>
  <c r="C32" i="35"/>
  <c r="C40" i="35" s="1"/>
  <c r="F17" i="35"/>
  <c r="H17" i="35"/>
  <c r="G17" i="35"/>
  <c r="F24" i="35"/>
  <c r="H24" i="35"/>
  <c r="G24" i="35"/>
  <c r="F36" i="35"/>
  <c r="H36" i="35"/>
  <c r="G36" i="35"/>
  <c r="F26" i="35"/>
  <c r="G26" i="35"/>
  <c r="H26" i="35"/>
  <c r="F21" i="35"/>
  <c r="G21" i="35"/>
  <c r="H21" i="35"/>
  <c r="E48" i="35"/>
  <c r="C55" i="35"/>
  <c r="C49" i="35"/>
  <c r="F48" i="35"/>
  <c r="C43" i="35" l="1"/>
  <c r="H48" i="35"/>
  <c r="C45" i="35"/>
  <c r="C44" i="35"/>
  <c r="C56" i="35"/>
  <c r="C50" i="35"/>
  <c r="G48" i="35"/>
  <c r="R10" i="18"/>
  <c r="R12" i="18"/>
  <c r="R13" i="18"/>
  <c r="R14" i="18"/>
  <c r="R21" i="18"/>
  <c r="R24" i="18"/>
  <c r="R26" i="18"/>
  <c r="R28" i="18"/>
  <c r="R29" i="18"/>
  <c r="R31" i="18"/>
  <c r="R33" i="18"/>
  <c r="R34" i="18"/>
  <c r="R37" i="18"/>
  <c r="R39" i="18"/>
  <c r="Q22" i="18"/>
  <c r="Q23" i="18" s="1"/>
  <c r="Q5" i="18"/>
  <c r="Q4" i="18"/>
  <c r="Q11" i="18"/>
  <c r="Q38" i="18"/>
  <c r="Q30" i="18" l="1"/>
  <c r="Q32" i="18" s="1"/>
  <c r="Q40" i="18" s="1"/>
  <c r="P4" i="18" l="1"/>
  <c r="O4" i="18"/>
  <c r="N4" i="18"/>
  <c r="M4" i="18"/>
  <c r="L4" i="18"/>
  <c r="K4" i="18"/>
  <c r="J4" i="18"/>
  <c r="I4" i="18"/>
  <c r="H4" i="18"/>
  <c r="G4" i="18"/>
  <c r="F4" i="18"/>
  <c r="E4" i="18"/>
  <c r="D4" i="18"/>
  <c r="C4" i="18"/>
  <c r="P22" i="18"/>
  <c r="A12" i="28"/>
  <c r="P5" i="18" l="1"/>
  <c r="O5" i="18"/>
  <c r="O38" i="18"/>
  <c r="P23" i="18"/>
  <c r="O22" i="18"/>
  <c r="R20" i="18"/>
  <c r="O11" i="18"/>
  <c r="R19" i="18"/>
  <c r="P30" i="18" l="1"/>
  <c r="G21" i="2" l="1"/>
  <c r="G22" i="2"/>
  <c r="P8" i="18" l="1"/>
  <c r="P11" i="18" s="1"/>
  <c r="P32" i="18" s="1"/>
  <c r="G19" i="2"/>
  <c r="O18" i="18"/>
  <c r="O23" i="18" s="1"/>
  <c r="O30" i="18" l="1"/>
  <c r="O32" i="18" s="1"/>
  <c r="O40" i="18" s="1"/>
  <c r="R35" i="18" l="1"/>
  <c r="F22" i="18"/>
  <c r="R27" i="18" l="1"/>
  <c r="A15" i="27" l="1"/>
  <c r="A16" i="27" s="1"/>
  <c r="A17" i="27" s="1"/>
  <c r="A18" i="27" s="1"/>
  <c r="A19" i="27" s="1"/>
  <c r="A20" i="27" s="1"/>
  <c r="A21" i="27" s="1"/>
  <c r="D16" i="27"/>
  <c r="C16" i="27"/>
  <c r="E15" i="27"/>
  <c r="G15" i="27" s="1"/>
  <c r="H15" i="27" s="1"/>
  <c r="E14" i="27"/>
  <c r="E16" i="27" s="1"/>
  <c r="G14" i="27" l="1"/>
  <c r="H14" i="27" l="1"/>
  <c r="H16" i="27" s="1"/>
  <c r="G16" i="27"/>
  <c r="D104" i="12" l="1"/>
  <c r="F104" i="12" s="1"/>
  <c r="H104" i="12" s="1"/>
  <c r="I104" i="12" s="1"/>
  <c r="J104" i="12" s="1"/>
  <c r="L104" i="12" s="1"/>
  <c r="M104" i="12" s="1"/>
  <c r="N104" i="12" s="1"/>
  <c r="O104" i="12" s="1"/>
  <c r="Q104" i="12" s="1"/>
  <c r="S104" i="12" s="1"/>
  <c r="T104" i="12" s="1"/>
  <c r="U104" i="12" s="1"/>
  <c r="V104" i="12" s="1"/>
  <c r="X104" i="12" s="1"/>
  <c r="B14" i="24" l="1"/>
  <c r="B15" i="24" s="1"/>
  <c r="B16" i="24" s="1"/>
  <c r="B17" i="24" s="1"/>
  <c r="B18" i="24" s="1"/>
  <c r="B19" i="24" s="1"/>
  <c r="B20" i="24" s="1"/>
  <c r="B21" i="24" s="1"/>
  <c r="B22" i="24" s="1"/>
  <c r="B23" i="24" s="1"/>
  <c r="B24" i="24" s="1"/>
  <c r="B14" i="22"/>
  <c r="B15" i="22" s="1"/>
  <c r="B16" i="22" s="1"/>
  <c r="B17" i="22" s="1"/>
  <c r="B18" i="22" s="1"/>
  <c r="B19" i="22" s="1"/>
  <c r="B20" i="22" s="1"/>
  <c r="B21" i="22" s="1"/>
  <c r="B22" i="22" s="1"/>
  <c r="B23" i="22" s="1"/>
  <c r="B24" i="22" s="1"/>
  <c r="F25" i="24"/>
  <c r="D25" i="24"/>
  <c r="D27" i="24" s="1"/>
  <c r="D31" i="24" s="1"/>
  <c r="D8" i="2" s="1"/>
  <c r="F25" i="22"/>
  <c r="D25" i="22"/>
  <c r="D27" i="22" s="1"/>
  <c r="D31" i="22" s="1"/>
  <c r="G9" i="2" l="1"/>
  <c r="F27" i="24"/>
  <c r="F31" i="24" s="1"/>
  <c r="G55" i="10"/>
  <c r="F27" i="22"/>
  <c r="F31" i="22" s="1"/>
  <c r="G7" i="2" s="1"/>
  <c r="G54" i="10"/>
  <c r="G23" i="2"/>
  <c r="E8" i="2" l="1"/>
  <c r="G12" i="2"/>
  <c r="G8" i="2" l="1"/>
  <c r="F58" i="17"/>
  <c r="D51" i="17"/>
  <c r="F49" i="17"/>
  <c r="Q17" i="12" l="1"/>
  <c r="E9" i="18" l="1"/>
  <c r="D16" i="18"/>
  <c r="D9" i="18"/>
  <c r="C16" i="18"/>
  <c r="C9" i="18"/>
  <c r="N5" i="18"/>
  <c r="M5" i="18"/>
  <c r="L5" i="18"/>
  <c r="K5" i="18"/>
  <c r="J5" i="18"/>
  <c r="I5" i="18"/>
  <c r="H5" i="18"/>
  <c r="G5" i="18"/>
  <c r="F5" i="18"/>
  <c r="E5" i="18"/>
  <c r="D5" i="18"/>
  <c r="C5" i="18"/>
  <c r="R9" i="18" l="1"/>
  <c r="R16" i="18"/>
  <c r="N38" i="18"/>
  <c r="M38" i="18"/>
  <c r="L38" i="18"/>
  <c r="K38" i="18"/>
  <c r="J38" i="18"/>
  <c r="I38" i="18"/>
  <c r="H38" i="18"/>
  <c r="G38" i="18"/>
  <c r="F38" i="18"/>
  <c r="E38" i="18"/>
  <c r="D38" i="18"/>
  <c r="C38" i="18"/>
  <c r="M23" i="18"/>
  <c r="J23" i="18"/>
  <c r="H23" i="18"/>
  <c r="E23" i="18"/>
  <c r="N11" i="18"/>
  <c r="M11" i="18"/>
  <c r="L11" i="18"/>
  <c r="J11" i="18"/>
  <c r="I11" i="18"/>
  <c r="H11" i="18"/>
  <c r="G11" i="18"/>
  <c r="F11" i="18"/>
  <c r="E11" i="18"/>
  <c r="D11" i="18"/>
  <c r="C11" i="18"/>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F63" i="17"/>
  <c r="F62" i="17"/>
  <c r="E60" i="17"/>
  <c r="D60" i="17"/>
  <c r="F59" i="17"/>
  <c r="F57" i="17"/>
  <c r="F56" i="17"/>
  <c r="F55" i="17"/>
  <c r="F53" i="17"/>
  <c r="E51" i="17"/>
  <c r="F50" i="17"/>
  <c r="F48" i="17"/>
  <c r="F47" i="17"/>
  <c r="F46" i="17"/>
  <c r="F45" i="17"/>
  <c r="E43" i="17"/>
  <c r="D43" i="17"/>
  <c r="F42" i="17"/>
  <c r="F41" i="17"/>
  <c r="F43" i="17" s="1"/>
  <c r="F40" i="17"/>
  <c r="F39" i="17"/>
  <c r="F38" i="17"/>
  <c r="F33" i="17"/>
  <c r="F32" i="17"/>
  <c r="E30" i="17"/>
  <c r="D30" i="17"/>
  <c r="F29" i="17"/>
  <c r="F28" i="17"/>
  <c r="F27" i="17"/>
  <c r="F26" i="17"/>
  <c r="F25" i="17"/>
  <c r="F24" i="17"/>
  <c r="F23" i="17"/>
  <c r="F22" i="17"/>
  <c r="F21" i="17"/>
  <c r="F20" i="17"/>
  <c r="E18" i="17"/>
  <c r="D18" i="17"/>
  <c r="F17" i="17"/>
  <c r="F16" i="17"/>
  <c r="F15" i="17"/>
  <c r="F14" i="17"/>
  <c r="E12" i="17"/>
  <c r="F11" i="17"/>
  <c r="D10" i="17"/>
  <c r="F9" i="17"/>
  <c r="F8" i="17"/>
  <c r="A8" i="17"/>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D6" i="17"/>
  <c r="E6" i="17" s="1"/>
  <c r="E30" i="18" l="1"/>
  <c r="H30" i="18"/>
  <c r="H32" i="18" s="1"/>
  <c r="H40" i="18" s="1"/>
  <c r="E64" i="17"/>
  <c r="F18" i="17"/>
  <c r="C23" i="18"/>
  <c r="D23" i="18"/>
  <c r="D12" i="17"/>
  <c r="F10" i="17"/>
  <c r="F12" i="17" s="1"/>
  <c r="E32" i="18"/>
  <c r="E40" i="18" s="1"/>
  <c r="F60" i="17"/>
  <c r="D35" i="17"/>
  <c r="F30" i="17"/>
  <c r="E35" i="17"/>
  <c r="F51" i="17"/>
  <c r="D64" i="17"/>
  <c r="C30" i="18" l="1"/>
  <c r="D30" i="18"/>
  <c r="F64" i="17"/>
  <c r="F35" i="17"/>
  <c r="C32" i="18"/>
  <c r="C40" i="18" s="1"/>
  <c r="D32" i="18"/>
  <c r="D40" i="18" s="1"/>
  <c r="C99" i="12" l="1"/>
  <c r="K181" i="12"/>
  <c r="M179" i="12" s="1"/>
  <c r="M176" i="12"/>
  <c r="M173" i="12"/>
  <c r="M120" i="12" s="1"/>
  <c r="M172" i="12"/>
  <c r="M171" i="12"/>
  <c r="M170" i="12"/>
  <c r="M169" i="12"/>
  <c r="M166" i="12"/>
  <c r="M165" i="12"/>
  <c r="M164" i="12"/>
  <c r="M163" i="12"/>
  <c r="O162" i="12"/>
  <c r="M162" i="12"/>
  <c r="O160" i="12"/>
  <c r="M160" i="12"/>
  <c r="M159" i="12"/>
  <c r="O158" i="12"/>
  <c r="O165" i="12" s="1"/>
  <c r="O167" i="12" s="1"/>
  <c r="M158" i="12"/>
  <c r="M157" i="12"/>
  <c r="M156" i="12"/>
  <c r="M154" i="12"/>
  <c r="M153" i="12"/>
  <c r="M152" i="12"/>
  <c r="M151" i="12"/>
  <c r="M150" i="12"/>
  <c r="M149" i="12"/>
  <c r="M148" i="12"/>
  <c r="M146" i="12"/>
  <c r="M145" i="12"/>
  <c r="M144" i="12"/>
  <c r="M143" i="12"/>
  <c r="M142" i="12"/>
  <c r="M141" i="12"/>
  <c r="M140" i="12"/>
  <c r="L124" i="12"/>
  <c r="K126" i="12" s="1"/>
  <c r="L121" i="12"/>
  <c r="L120" i="12"/>
  <c r="L119" i="12"/>
  <c r="L118" i="12"/>
  <c r="L117" i="12"/>
  <c r="N99" i="12"/>
  <c r="M99" i="12"/>
  <c r="L99" i="12"/>
  <c r="J99" i="12"/>
  <c r="I99" i="12"/>
  <c r="H99" i="12"/>
  <c r="Z98" i="12"/>
  <c r="AA98" i="12" s="1"/>
  <c r="AB98" i="12" s="1"/>
  <c r="AC98" i="12" s="1"/>
  <c r="T98" i="12" s="1"/>
  <c r="U98" i="12"/>
  <c r="S98" i="12"/>
  <c r="O98" i="12"/>
  <c r="Z97" i="12"/>
  <c r="AA97" i="12" s="1"/>
  <c r="AB97" i="12" s="1"/>
  <c r="AC97" i="12" s="1"/>
  <c r="T97" i="12" s="1"/>
  <c r="U97" i="12"/>
  <c r="S97" i="12"/>
  <c r="O97" i="12"/>
  <c r="Z96" i="12"/>
  <c r="AA96" i="12" s="1"/>
  <c r="AB96" i="12" s="1"/>
  <c r="AC96" i="12" s="1"/>
  <c r="T96" i="12" s="1"/>
  <c r="U96" i="12"/>
  <c r="S96" i="12"/>
  <c r="O96" i="12"/>
  <c r="Z95" i="12"/>
  <c r="AA95" i="12" s="1"/>
  <c r="AB95" i="12" s="1"/>
  <c r="AC95" i="12" s="1"/>
  <c r="T95" i="12" s="1"/>
  <c r="U95" i="12"/>
  <c r="S95" i="12"/>
  <c r="O95" i="12"/>
  <c r="Z94" i="12"/>
  <c r="AA94" i="12" s="1"/>
  <c r="AB94" i="12" s="1"/>
  <c r="AC94" i="12" s="1"/>
  <c r="T94" i="12" s="1"/>
  <c r="U94" i="12"/>
  <c r="S94" i="12"/>
  <c r="O94" i="12"/>
  <c r="Z93" i="12"/>
  <c r="AA93" i="12" s="1"/>
  <c r="AB93" i="12" s="1"/>
  <c r="AC93" i="12" s="1"/>
  <c r="T93" i="12" s="1"/>
  <c r="U93" i="12"/>
  <c r="S93" i="12"/>
  <c r="O93" i="12"/>
  <c r="Z92" i="12"/>
  <c r="AA92" i="12" s="1"/>
  <c r="AB92" i="12" s="1"/>
  <c r="AC92" i="12" s="1"/>
  <c r="T92" i="12" s="1"/>
  <c r="U92" i="12"/>
  <c r="S92" i="12"/>
  <c r="O92" i="12"/>
  <c r="Z91" i="12"/>
  <c r="AA91" i="12" s="1"/>
  <c r="AB91" i="12" s="1"/>
  <c r="AC91" i="12" s="1"/>
  <c r="T91" i="12" s="1"/>
  <c r="U91" i="12"/>
  <c r="S91" i="12"/>
  <c r="O91" i="12"/>
  <c r="Z90" i="12"/>
  <c r="AA90" i="12" s="1"/>
  <c r="AB90" i="12" s="1"/>
  <c r="AC90" i="12" s="1"/>
  <c r="T90" i="12" s="1"/>
  <c r="U90" i="12"/>
  <c r="S90" i="12"/>
  <c r="O90" i="12"/>
  <c r="Z89" i="12"/>
  <c r="AA89" i="12" s="1"/>
  <c r="AB89" i="12" s="1"/>
  <c r="AC89" i="12" s="1"/>
  <c r="T89" i="12" s="1"/>
  <c r="U89" i="12"/>
  <c r="S89" i="12"/>
  <c r="O89" i="12"/>
  <c r="Z88" i="12"/>
  <c r="AA88" i="12" s="1"/>
  <c r="AB88" i="12" s="1"/>
  <c r="AC88" i="12" s="1"/>
  <c r="T88" i="12" s="1"/>
  <c r="U88" i="12"/>
  <c r="S88" i="12"/>
  <c r="O88" i="12"/>
  <c r="Z87" i="12"/>
  <c r="AA87" i="12" s="1"/>
  <c r="AB87" i="12" s="1"/>
  <c r="AC87" i="12" s="1"/>
  <c r="T87" i="12" s="1"/>
  <c r="U87" i="12"/>
  <c r="S87" i="12"/>
  <c r="O87" i="12"/>
  <c r="Z86" i="12"/>
  <c r="AA86" i="12" s="1"/>
  <c r="AB86" i="12" s="1"/>
  <c r="AC86" i="12" s="1"/>
  <c r="T86" i="12" s="1"/>
  <c r="U86" i="12"/>
  <c r="S86" i="12"/>
  <c r="O86" i="12"/>
  <c r="Z85" i="12"/>
  <c r="AA85" i="12" s="1"/>
  <c r="AB85" i="12" s="1"/>
  <c r="AC85" i="12" s="1"/>
  <c r="T85" i="12" s="1"/>
  <c r="U85" i="12"/>
  <c r="S85" i="12"/>
  <c r="O85" i="12"/>
  <c r="Z84" i="12"/>
  <c r="AA84" i="12" s="1"/>
  <c r="AB84" i="12" s="1"/>
  <c r="AC84" i="12" s="1"/>
  <c r="T84" i="12" s="1"/>
  <c r="U84" i="12"/>
  <c r="S84" i="12"/>
  <c r="O84" i="12"/>
  <c r="Z83" i="12"/>
  <c r="AA83" i="12" s="1"/>
  <c r="AB83" i="12" s="1"/>
  <c r="AC83" i="12" s="1"/>
  <c r="T83" i="12" s="1"/>
  <c r="U83" i="12"/>
  <c r="S83" i="12"/>
  <c r="O83" i="12"/>
  <c r="Z82" i="12"/>
  <c r="AA82" i="12" s="1"/>
  <c r="AB82" i="12" s="1"/>
  <c r="AC82" i="12" s="1"/>
  <c r="U82" i="12"/>
  <c r="S82" i="12"/>
  <c r="O82" i="12"/>
  <c r="Z81" i="12"/>
  <c r="AA81" i="12" s="1"/>
  <c r="AB81" i="12" s="1"/>
  <c r="AC81" i="12" s="1"/>
  <c r="T81" i="12" s="1"/>
  <c r="U81" i="12"/>
  <c r="S81" i="12"/>
  <c r="O81" i="12"/>
  <c r="Z80" i="12"/>
  <c r="AA80" i="12" s="1"/>
  <c r="AB80" i="12" s="1"/>
  <c r="AC80" i="12" s="1"/>
  <c r="T80" i="12" s="1"/>
  <c r="U80" i="12"/>
  <c r="S80" i="12"/>
  <c r="O80" i="12"/>
  <c r="Z79" i="12"/>
  <c r="AA79" i="12" s="1"/>
  <c r="AB79" i="12" s="1"/>
  <c r="AC79" i="12" s="1"/>
  <c r="T79" i="12" s="1"/>
  <c r="U79" i="12"/>
  <c r="S79" i="12"/>
  <c r="O79" i="12"/>
  <c r="Z78" i="12"/>
  <c r="AA78" i="12" s="1"/>
  <c r="AB78" i="12" s="1"/>
  <c r="AC78" i="12" s="1"/>
  <c r="T78" i="12" s="1"/>
  <c r="U78" i="12"/>
  <c r="S78" i="12"/>
  <c r="O78" i="12"/>
  <c r="Z77" i="12"/>
  <c r="AA77" i="12" s="1"/>
  <c r="AB77" i="12" s="1"/>
  <c r="AC77" i="12" s="1"/>
  <c r="T77" i="12" s="1"/>
  <c r="U77" i="12"/>
  <c r="S77" i="12"/>
  <c r="O77" i="12"/>
  <c r="Z76" i="12"/>
  <c r="AA76" i="12" s="1"/>
  <c r="AB76" i="12" s="1"/>
  <c r="AC76" i="12" s="1"/>
  <c r="T76" i="12" s="1"/>
  <c r="U76" i="12"/>
  <c r="S76" i="12"/>
  <c r="O76" i="12"/>
  <c r="Z75" i="12"/>
  <c r="AA75" i="12" s="1"/>
  <c r="AB75" i="12" s="1"/>
  <c r="AC75" i="12" s="1"/>
  <c r="T75" i="12" s="1"/>
  <c r="U75" i="12"/>
  <c r="S75" i="12"/>
  <c r="O75" i="12"/>
  <c r="Z74" i="12"/>
  <c r="AA74" i="12" s="1"/>
  <c r="AB74" i="12" s="1"/>
  <c r="AC74" i="12" s="1"/>
  <c r="T74" i="12" s="1"/>
  <c r="U74" i="12"/>
  <c r="S74" i="12"/>
  <c r="O74" i="12"/>
  <c r="Z73" i="12"/>
  <c r="AA73" i="12" s="1"/>
  <c r="AB73" i="12" s="1"/>
  <c r="AC73" i="12" s="1"/>
  <c r="T73" i="12" s="1"/>
  <c r="U73" i="12"/>
  <c r="S73" i="12"/>
  <c r="O73" i="12"/>
  <c r="Z72" i="12"/>
  <c r="AA72" i="12" s="1"/>
  <c r="AB72" i="12" s="1"/>
  <c r="AC72" i="12" s="1"/>
  <c r="T72" i="12" s="1"/>
  <c r="U72" i="12"/>
  <c r="S72" i="12"/>
  <c r="O72" i="12"/>
  <c r="Z71" i="12"/>
  <c r="AA71" i="12" s="1"/>
  <c r="AB71" i="12" s="1"/>
  <c r="AC71" i="12" s="1"/>
  <c r="T71" i="12" s="1"/>
  <c r="U71" i="12"/>
  <c r="S71" i="12"/>
  <c r="O71" i="12"/>
  <c r="Z70" i="12"/>
  <c r="AA70" i="12" s="1"/>
  <c r="AB70" i="12" s="1"/>
  <c r="AC70" i="12" s="1"/>
  <c r="T70" i="12" s="1"/>
  <c r="U70" i="12"/>
  <c r="S70" i="12"/>
  <c r="O70" i="12"/>
  <c r="Z69" i="12"/>
  <c r="AA69" i="12" s="1"/>
  <c r="AB69" i="12" s="1"/>
  <c r="AC69" i="12" s="1"/>
  <c r="T69" i="12" s="1"/>
  <c r="U69" i="12"/>
  <c r="S69" i="12"/>
  <c r="O69" i="12"/>
  <c r="Z68" i="12"/>
  <c r="AA68" i="12" s="1"/>
  <c r="AB68" i="12" s="1"/>
  <c r="AC68" i="12" s="1"/>
  <c r="T68" i="12" s="1"/>
  <c r="U68" i="12"/>
  <c r="S68" i="12"/>
  <c r="O68" i="12"/>
  <c r="Z67" i="12"/>
  <c r="AA67" i="12" s="1"/>
  <c r="AB67" i="12" s="1"/>
  <c r="AC67" i="12" s="1"/>
  <c r="U67" i="12"/>
  <c r="S67" i="12"/>
  <c r="O67" i="12"/>
  <c r="Z66" i="12"/>
  <c r="AA66" i="12" s="1"/>
  <c r="AB66" i="12" s="1"/>
  <c r="AC66" i="12" s="1"/>
  <c r="T66" i="12" s="1"/>
  <c r="U66" i="12"/>
  <c r="S66" i="12"/>
  <c r="O66" i="12"/>
  <c r="Z65" i="12"/>
  <c r="AA65" i="12" s="1"/>
  <c r="AB65" i="12" s="1"/>
  <c r="AC65" i="12" s="1"/>
  <c r="T65" i="12" s="1"/>
  <c r="U65" i="12"/>
  <c r="S65" i="12"/>
  <c r="O65" i="12"/>
  <c r="U64" i="12"/>
  <c r="Q64" i="12"/>
  <c r="S64" i="12" s="1"/>
  <c r="U63" i="12"/>
  <c r="Q63" i="12"/>
  <c r="T63" i="12" s="1"/>
  <c r="U62" i="12"/>
  <c r="Q62" i="12"/>
  <c r="S62" i="12" s="1"/>
  <c r="O62" i="12"/>
  <c r="U61" i="12"/>
  <c r="T61" i="12"/>
  <c r="S61" i="12"/>
  <c r="U60" i="12"/>
  <c r="Q60" i="12"/>
  <c r="T60" i="12" s="1"/>
  <c r="O60" i="12"/>
  <c r="U59" i="12"/>
  <c r="T59" i="12"/>
  <c r="S59" i="12"/>
  <c r="O59" i="12"/>
  <c r="U58" i="12"/>
  <c r="T58" i="12"/>
  <c r="S58" i="12"/>
  <c r="O58" i="12"/>
  <c r="D57" i="12"/>
  <c r="F57" i="12" s="1"/>
  <c r="H57" i="12" s="1"/>
  <c r="I57" i="12" s="1"/>
  <c r="J57" i="12" s="1"/>
  <c r="L57" i="12" s="1"/>
  <c r="M57" i="12" s="1"/>
  <c r="N57" i="12" s="1"/>
  <c r="O57" i="12" s="1"/>
  <c r="Q57" i="12" s="1"/>
  <c r="S57" i="12" s="1"/>
  <c r="T57" i="12" s="1"/>
  <c r="U57" i="12" s="1"/>
  <c r="V57" i="12" s="1"/>
  <c r="X57" i="12" s="1"/>
  <c r="U53" i="12"/>
  <c r="T53" i="12"/>
  <c r="S53" i="12"/>
  <c r="O53" i="12"/>
  <c r="U52" i="12"/>
  <c r="T52" i="12"/>
  <c r="S52" i="12"/>
  <c r="O52" i="12"/>
  <c r="U51" i="12"/>
  <c r="T51" i="12"/>
  <c r="S51" i="12"/>
  <c r="O51" i="12"/>
  <c r="U50" i="12"/>
  <c r="T50" i="12"/>
  <c r="S50" i="12"/>
  <c r="O50" i="12"/>
  <c r="U49" i="12"/>
  <c r="T49" i="12"/>
  <c r="S49" i="12"/>
  <c r="O49" i="12"/>
  <c r="U48" i="12"/>
  <c r="T48" i="12"/>
  <c r="S48" i="12"/>
  <c r="O48" i="12"/>
  <c r="U47" i="12"/>
  <c r="T47" i="12"/>
  <c r="S47" i="12"/>
  <c r="O47" i="12"/>
  <c r="U46" i="12"/>
  <c r="T46" i="12"/>
  <c r="S46" i="12"/>
  <c r="O46" i="12"/>
  <c r="U45" i="12"/>
  <c r="T45" i="12"/>
  <c r="S45" i="12"/>
  <c r="O45" i="12"/>
  <c r="U44" i="12"/>
  <c r="T44" i="12"/>
  <c r="S44" i="12"/>
  <c r="O44" i="12"/>
  <c r="U43" i="12"/>
  <c r="T43" i="12"/>
  <c r="S43" i="12"/>
  <c r="O43" i="12"/>
  <c r="U42" i="12"/>
  <c r="T42" i="12"/>
  <c r="S42" i="12"/>
  <c r="O42" i="12"/>
  <c r="U41" i="12"/>
  <c r="T41" i="12"/>
  <c r="S41" i="12"/>
  <c r="O41" i="12"/>
  <c r="U40" i="12"/>
  <c r="T40" i="12"/>
  <c r="S40" i="12"/>
  <c r="O40" i="12"/>
  <c r="U39" i="12"/>
  <c r="T39" i="12"/>
  <c r="S39" i="12"/>
  <c r="O39" i="12"/>
  <c r="U38" i="12"/>
  <c r="T38" i="12"/>
  <c r="S38" i="12"/>
  <c r="O38" i="12"/>
  <c r="U37" i="12"/>
  <c r="T37" i="12"/>
  <c r="S37" i="12"/>
  <c r="O37" i="12"/>
  <c r="U36" i="12"/>
  <c r="T36" i="12"/>
  <c r="S36" i="12"/>
  <c r="O36" i="12"/>
  <c r="U35" i="12"/>
  <c r="T35" i="12"/>
  <c r="S35" i="12"/>
  <c r="O35" i="12"/>
  <c r="U34" i="12"/>
  <c r="T34" i="12"/>
  <c r="S34" i="12"/>
  <c r="O34" i="12"/>
  <c r="U33" i="12"/>
  <c r="T33" i="12"/>
  <c r="S33" i="12"/>
  <c r="O33" i="12"/>
  <c r="U32" i="12"/>
  <c r="T32" i="12"/>
  <c r="S32" i="12"/>
  <c r="O32" i="12"/>
  <c r="T29" i="12"/>
  <c r="N29" i="12"/>
  <c r="M29" i="12"/>
  <c r="L29" i="12"/>
  <c r="J29" i="12"/>
  <c r="I29" i="12"/>
  <c r="H29" i="12"/>
  <c r="C29" i="12"/>
  <c r="U28" i="12"/>
  <c r="S28" i="12"/>
  <c r="O28" i="12"/>
  <c r="U27" i="12"/>
  <c r="S27" i="12"/>
  <c r="Q27" i="12"/>
  <c r="O27" i="12"/>
  <c r="U26" i="12"/>
  <c r="S26" i="12"/>
  <c r="O26" i="12"/>
  <c r="U25" i="12"/>
  <c r="S25" i="12"/>
  <c r="O25" i="12"/>
  <c r="U24" i="12"/>
  <c r="S24" i="12"/>
  <c r="O24" i="12"/>
  <c r="U23" i="12"/>
  <c r="S23" i="12"/>
  <c r="O23" i="12"/>
  <c r="U22" i="12"/>
  <c r="S22" i="12"/>
  <c r="V22" i="12" s="1"/>
  <c r="O22" i="12"/>
  <c r="U21" i="12"/>
  <c r="S21" i="12"/>
  <c r="O21" i="12"/>
  <c r="U20" i="12"/>
  <c r="S20" i="12"/>
  <c r="O20" i="12"/>
  <c r="U19" i="12"/>
  <c r="S19" i="12"/>
  <c r="O19" i="12"/>
  <c r="U18" i="12"/>
  <c r="S18" i="12"/>
  <c r="O18" i="12"/>
  <c r="U17" i="12"/>
  <c r="S17" i="12"/>
  <c r="O17" i="12"/>
  <c r="U16" i="12"/>
  <c r="S16" i="12"/>
  <c r="O16" i="12"/>
  <c r="A16" i="12"/>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5" i="12" s="1"/>
  <c r="A106" i="12" s="1"/>
  <c r="A107" i="12" s="1"/>
  <c r="A108" i="12" s="1"/>
  <c r="A109" i="12" s="1"/>
  <c r="A117" i="12" s="1"/>
  <c r="A118" i="12" s="1"/>
  <c r="A119" i="12" s="1"/>
  <c r="A120" i="12" s="1"/>
  <c r="A121" i="12" s="1"/>
  <c r="A122" i="12" s="1"/>
  <c r="A124" i="12" s="1"/>
  <c r="A125" i="12" s="1"/>
  <c r="A126" i="12" s="1"/>
  <c r="A127" i="12" s="1"/>
  <c r="A128" i="12" s="1"/>
  <c r="D10" i="12"/>
  <c r="F10" i="12" s="1"/>
  <c r="H10" i="12" s="1"/>
  <c r="I10" i="12" s="1"/>
  <c r="J10" i="12" s="1"/>
  <c r="L10" i="12" s="1"/>
  <c r="M10" i="12" s="1"/>
  <c r="N10" i="12" s="1"/>
  <c r="O10" i="12" s="1"/>
  <c r="Q10" i="12" s="1"/>
  <c r="S10" i="12" s="1"/>
  <c r="T10" i="12" s="1"/>
  <c r="U10" i="12" s="1"/>
  <c r="V10" i="12" s="1"/>
  <c r="X10" i="12" s="1"/>
  <c r="O169" i="12" l="1"/>
  <c r="M177" i="12"/>
  <c r="M178" i="12"/>
  <c r="M180" i="12"/>
  <c r="V67" i="12"/>
  <c r="X67" i="12" s="1"/>
  <c r="M167" i="12"/>
  <c r="M174" i="12"/>
  <c r="M139" i="12"/>
  <c r="M124" i="12" s="1"/>
  <c r="F19" i="27" s="1"/>
  <c r="H19" i="27" s="1"/>
  <c r="M147" i="12"/>
  <c r="M155" i="12"/>
  <c r="M161" i="12"/>
  <c r="M168" i="12"/>
  <c r="M175" i="12"/>
  <c r="V35" i="12"/>
  <c r="V90" i="12"/>
  <c r="X90" i="12" s="1"/>
  <c r="V45" i="12"/>
  <c r="X45" i="12" s="1"/>
  <c r="V51" i="12"/>
  <c r="X51" i="12" s="1"/>
  <c r="V65" i="12"/>
  <c r="X65" i="12" s="1"/>
  <c r="V69" i="12"/>
  <c r="X69" i="12" s="1"/>
  <c r="V75" i="12"/>
  <c r="X75" i="12" s="1"/>
  <c r="V53" i="12"/>
  <c r="X53" i="12" s="1"/>
  <c r="V59" i="12"/>
  <c r="X59" i="12" s="1"/>
  <c r="V77" i="12"/>
  <c r="X77" i="12" s="1"/>
  <c r="V81" i="12"/>
  <c r="X81" i="12" s="1"/>
  <c r="L107" i="12"/>
  <c r="V71" i="12"/>
  <c r="X71" i="12" s="1"/>
  <c r="V73" i="12"/>
  <c r="X73" i="12" s="1"/>
  <c r="H107" i="12"/>
  <c r="M107" i="12"/>
  <c r="V27" i="12"/>
  <c r="S60" i="12"/>
  <c r="V60" i="12" s="1"/>
  <c r="X60" i="12" s="1"/>
  <c r="T64" i="12"/>
  <c r="V64" i="12" s="1"/>
  <c r="X64" i="12" s="1"/>
  <c r="V76" i="12"/>
  <c r="X76" i="12" s="1"/>
  <c r="V34" i="12"/>
  <c r="V43" i="12"/>
  <c r="X43" i="12" s="1"/>
  <c r="V47" i="12"/>
  <c r="V50" i="12"/>
  <c r="V66" i="12"/>
  <c r="X66" i="12" s="1"/>
  <c r="V88" i="12"/>
  <c r="X88" i="12" s="1"/>
  <c r="V92" i="12"/>
  <c r="X92" i="12" s="1"/>
  <c r="V98" i="12"/>
  <c r="X98" i="12" s="1"/>
  <c r="V70" i="12"/>
  <c r="X70" i="12" s="1"/>
  <c r="O99" i="12"/>
  <c r="V79" i="12"/>
  <c r="X79" i="12" s="1"/>
  <c r="V21" i="12"/>
  <c r="X21" i="12" s="1"/>
  <c r="V38" i="12"/>
  <c r="X38" i="12" s="1"/>
  <c r="V48" i="12"/>
  <c r="X48" i="12" s="1"/>
  <c r="O29" i="12"/>
  <c r="V18" i="12"/>
  <c r="X18" i="12" s="1"/>
  <c r="V19" i="12"/>
  <c r="X19" i="12" s="1"/>
  <c r="V23" i="12"/>
  <c r="X23" i="12" s="1"/>
  <c r="V28" i="12"/>
  <c r="V82" i="12"/>
  <c r="X82" i="12" s="1"/>
  <c r="V94" i="12"/>
  <c r="X94" i="12" s="1"/>
  <c r="V96" i="12"/>
  <c r="X96" i="12" s="1"/>
  <c r="K122" i="12"/>
  <c r="K128" i="12" s="1"/>
  <c r="X35" i="12"/>
  <c r="X28" i="12"/>
  <c r="V37" i="12"/>
  <c r="V46" i="12"/>
  <c r="V68" i="12"/>
  <c r="X68" i="12" s="1"/>
  <c r="V84" i="12"/>
  <c r="X84" i="12" s="1"/>
  <c r="X22" i="12"/>
  <c r="V26" i="12"/>
  <c r="V39" i="12"/>
  <c r="V41" i="12"/>
  <c r="V49" i="12"/>
  <c r="V52" i="12"/>
  <c r="V58" i="12"/>
  <c r="X58" i="12" s="1"/>
  <c r="V61" i="12"/>
  <c r="X61" i="12" s="1"/>
  <c r="V86" i="12"/>
  <c r="X86" i="12" s="1"/>
  <c r="X27" i="12"/>
  <c r="V33" i="12"/>
  <c r="V36" i="12"/>
  <c r="V42" i="12"/>
  <c r="X50" i="12"/>
  <c r="V91" i="12"/>
  <c r="X91" i="12" s="1"/>
  <c r="V17" i="12"/>
  <c r="X17" i="12" s="1"/>
  <c r="V25" i="12"/>
  <c r="U29" i="12"/>
  <c r="C107" i="12"/>
  <c r="V32" i="12"/>
  <c r="V83" i="12"/>
  <c r="X83" i="12" s="1"/>
  <c r="J107" i="12"/>
  <c r="V95" i="12"/>
  <c r="X95" i="12" s="1"/>
  <c r="V72" i="12"/>
  <c r="X72" i="12" s="1"/>
  <c r="V85" i="12"/>
  <c r="X85" i="12" s="1"/>
  <c r="U99" i="12"/>
  <c r="V40" i="12"/>
  <c r="V78" i="12"/>
  <c r="X78" i="12" s="1"/>
  <c r="V87" i="12"/>
  <c r="X87" i="12" s="1"/>
  <c r="S29" i="12"/>
  <c r="V16" i="12"/>
  <c r="V20" i="12"/>
  <c r="V24" i="12"/>
  <c r="V44" i="12"/>
  <c r="T62" i="12"/>
  <c r="V62" i="12" s="1"/>
  <c r="X62" i="12" s="1"/>
  <c r="S63" i="12"/>
  <c r="V63" i="12" s="1"/>
  <c r="X63" i="12" s="1"/>
  <c r="V80" i="12"/>
  <c r="X80" i="12" s="1"/>
  <c r="V93" i="12"/>
  <c r="X93" i="12" s="1"/>
  <c r="O170" i="12"/>
  <c r="M119" i="12"/>
  <c r="M121" i="12"/>
  <c r="V74" i="12"/>
  <c r="X74" i="12" s="1"/>
  <c r="V89" i="12"/>
  <c r="X89" i="12" s="1"/>
  <c r="V97" i="12"/>
  <c r="X97" i="12" s="1"/>
  <c r="I107" i="12"/>
  <c r="N107" i="12"/>
  <c r="M117" i="12"/>
  <c r="M118" i="12"/>
  <c r="M181" i="12" l="1"/>
  <c r="M126" i="12"/>
  <c r="O107" i="12"/>
  <c r="X34" i="12"/>
  <c r="X47" i="12"/>
  <c r="X33" i="12"/>
  <c r="X52" i="12"/>
  <c r="X46" i="12"/>
  <c r="X20" i="12"/>
  <c r="X49" i="12"/>
  <c r="X24" i="12"/>
  <c r="X40" i="12"/>
  <c r="X42" i="12"/>
  <c r="X41" i="12"/>
  <c r="X37" i="12"/>
  <c r="X44" i="12"/>
  <c r="X26" i="12"/>
  <c r="X36" i="12"/>
  <c r="X39" i="12"/>
  <c r="U107" i="12"/>
  <c r="X25" i="12"/>
  <c r="X32" i="12"/>
  <c r="V99" i="12"/>
  <c r="M122" i="12"/>
  <c r="T99" i="12"/>
  <c r="T107" i="12" s="1"/>
  <c r="S99" i="12"/>
  <c r="S107" i="12" s="1"/>
  <c r="V29" i="12"/>
  <c r="X16" i="12"/>
  <c r="M128" i="12" l="1"/>
  <c r="F18" i="27"/>
  <c r="X99" i="12"/>
  <c r="X29" i="12"/>
  <c r="V107" i="12"/>
  <c r="X107" i="12" s="1"/>
  <c r="X109" i="12" s="1"/>
  <c r="F20" i="27" l="1"/>
  <c r="H18" i="27"/>
  <c r="H21" i="27" s="1"/>
  <c r="G17" i="2"/>
  <c r="R25" i="18"/>
  <c r="O124" i="12"/>
  <c r="O126" i="12" s="1"/>
  <c r="O121" i="12"/>
  <c r="O119" i="12"/>
  <c r="O120" i="12"/>
  <c r="O118" i="12"/>
  <c r="O117" i="12"/>
  <c r="M30" i="18" l="1"/>
  <c r="M32" i="18" s="1"/>
  <c r="M40" i="18" s="1"/>
  <c r="O122" i="12"/>
  <c r="O128" i="12" l="1"/>
  <c r="G16" i="2"/>
  <c r="L23" i="18" l="1"/>
  <c r="L30" i="18" l="1"/>
  <c r="G56" i="10"/>
  <c r="F40" i="10" s="1"/>
  <c r="J45" i="10"/>
  <c r="J36" i="10"/>
  <c r="H36" i="10"/>
  <c r="G36" i="10"/>
  <c r="F36" i="10"/>
  <c r="J25" i="10"/>
  <c r="J30" i="10" s="1"/>
  <c r="H25" i="10"/>
  <c r="H30" i="10" s="1"/>
  <c r="G25" i="10"/>
  <c r="G27" i="10" s="1"/>
  <c r="F25" i="10"/>
  <c r="F27" i="10" s="1"/>
  <c r="F30" i="10" l="1"/>
  <c r="F31" i="10" s="1"/>
  <c r="G10" i="2"/>
  <c r="G30" i="10"/>
  <c r="G31" i="10" s="1"/>
  <c r="G37" i="10" s="1"/>
  <c r="L32" i="18"/>
  <c r="G40" i="10"/>
  <c r="I40" i="10" s="1"/>
  <c r="I41" i="10" s="1"/>
  <c r="H27" i="10"/>
  <c r="H31" i="10" s="1"/>
  <c r="H37" i="10" s="1"/>
  <c r="J27" i="10"/>
  <c r="J31" i="10" s="1"/>
  <c r="J37" i="10" s="1"/>
  <c r="L40" i="18" l="1"/>
  <c r="G41" i="10"/>
  <c r="H40" i="10"/>
  <c r="K31" i="10"/>
  <c r="F37" i="10"/>
  <c r="K37" i="10" s="1"/>
  <c r="F47" i="10" s="1"/>
  <c r="I47" i="10" s="1"/>
  <c r="I49" i="10" s="1"/>
  <c r="F41" i="10"/>
  <c r="F49" i="10" l="1"/>
  <c r="D15" i="2" s="1"/>
  <c r="D10" i="35" s="1"/>
  <c r="H41" i="10"/>
  <c r="J40" i="10"/>
  <c r="R17" i="18"/>
  <c r="E10" i="35" l="1"/>
  <c r="D12" i="35"/>
  <c r="K8" i="18"/>
  <c r="J41" i="10"/>
  <c r="H10" i="35" l="1"/>
  <c r="H12" i="35" s="1"/>
  <c r="E12" i="35"/>
  <c r="D31" i="2"/>
  <c r="F23" i="18"/>
  <c r="K11" i="18"/>
  <c r="K41" i="10"/>
  <c r="G47" i="10" s="1"/>
  <c r="J47" i="10" s="1"/>
  <c r="J49" i="10" s="1"/>
  <c r="G49" i="10" l="1"/>
  <c r="E15" i="2" s="1"/>
  <c r="D15" i="35" s="1"/>
  <c r="F30" i="18"/>
  <c r="G14" i="2"/>
  <c r="J30" i="18"/>
  <c r="J32" i="18" s="1"/>
  <c r="J40" i="18" s="1"/>
  <c r="G13" i="2"/>
  <c r="I22" i="18"/>
  <c r="D22" i="35" l="1"/>
  <c r="D30" i="35" s="1"/>
  <c r="E15" i="35"/>
  <c r="G15" i="2"/>
  <c r="I23" i="18"/>
  <c r="F32" i="18"/>
  <c r="R18" i="18"/>
  <c r="G11" i="2"/>
  <c r="F15" i="35" l="1"/>
  <c r="F22" i="35" s="1"/>
  <c r="F30" i="35" s="1"/>
  <c r="H15" i="35"/>
  <c r="H22" i="35" s="1"/>
  <c r="H30" i="35" s="1"/>
  <c r="G15" i="35"/>
  <c r="G22" i="35" s="1"/>
  <c r="G30" i="35" s="1"/>
  <c r="E22" i="35"/>
  <c r="E30" i="35" s="1"/>
  <c r="E31" i="2"/>
  <c r="D32" i="35"/>
  <c r="K15" i="18"/>
  <c r="I30" i="18"/>
  <c r="F40" i="18"/>
  <c r="G49" i="35" l="1"/>
  <c r="E49" i="35"/>
  <c r="E32" i="35"/>
  <c r="H49" i="35"/>
  <c r="H32" i="35"/>
  <c r="F49" i="35"/>
  <c r="R15" i="18"/>
  <c r="K23" i="18"/>
  <c r="I32" i="18"/>
  <c r="G23" i="18"/>
  <c r="H43" i="35" l="1"/>
  <c r="E43" i="35"/>
  <c r="K30" i="18"/>
  <c r="I40" i="18"/>
  <c r="G30" i="18"/>
  <c r="D5" i="2"/>
  <c r="E5" i="2" s="1"/>
  <c r="F5" i="2" s="1"/>
  <c r="G5" i="2" s="1"/>
  <c r="E57" i="35" l="1"/>
  <c r="H57" i="35"/>
  <c r="K32" i="18"/>
  <c r="G32" i="18"/>
  <c r="G40" i="18" s="1"/>
  <c r="R8" i="18"/>
  <c r="D25" i="2"/>
  <c r="D30" i="2" s="1"/>
  <c r="K40" i="18" l="1"/>
  <c r="R11" i="18"/>
  <c r="D34" i="2" l="1"/>
  <c r="D32" i="2"/>
  <c r="D35" i="2" s="1"/>
  <c r="G24" i="2" l="1"/>
  <c r="E25" i="2" l="1"/>
  <c r="N22" i="18"/>
  <c r="R22" i="18" s="1"/>
  <c r="G18" i="2"/>
  <c r="N23" i="18" l="1"/>
  <c r="E30" i="2"/>
  <c r="R23" i="18" l="1"/>
  <c r="E32" i="2" s="1"/>
  <c r="E35" i="2" s="1"/>
  <c r="N30" i="18"/>
  <c r="R30" i="18" s="1"/>
  <c r="N32" i="18" l="1"/>
  <c r="R32" i="18" s="1"/>
  <c r="E34" i="2"/>
  <c r="N40" i="18" l="1"/>
  <c r="D40" i="35"/>
  <c r="E37" i="35"/>
  <c r="F37" i="35" s="1"/>
  <c r="F54" i="35" s="1"/>
  <c r="G20" i="2"/>
  <c r="G25" i="2" s="1"/>
  <c r="G30" i="2" s="1"/>
  <c r="F31" i="2"/>
  <c r="P36" i="18" l="1"/>
  <c r="H37" i="35"/>
  <c r="H54" i="35" s="1"/>
  <c r="H55" i="35" s="1"/>
  <c r="G31" i="2"/>
  <c r="G34" i="2" s="1"/>
  <c r="F55" i="35"/>
  <c r="G37" i="35"/>
  <c r="G54" i="35" s="1"/>
  <c r="F25" i="2"/>
  <c r="F30" i="2" s="1"/>
  <c r="E40" i="35"/>
  <c r="E54" i="35"/>
  <c r="H40" i="35"/>
  <c r="H56" i="35" s="1"/>
  <c r="P38" i="18" l="1"/>
  <c r="R36" i="18"/>
  <c r="H45" i="35"/>
  <c r="H51" i="35" s="1"/>
  <c r="H50" i="35"/>
  <c r="H44" i="35"/>
  <c r="E45" i="35"/>
  <c r="E51" i="35" s="1"/>
  <c r="E44" i="35"/>
  <c r="E50" i="35"/>
  <c r="F60" i="35" s="1"/>
  <c r="E55" i="35"/>
  <c r="E56" i="35"/>
  <c r="G60" i="35" s="1"/>
  <c r="G55" i="35"/>
  <c r="F34" i="2"/>
  <c r="R38" i="18" l="1"/>
  <c r="F32" i="2" s="1"/>
  <c r="F35" i="2" s="1"/>
  <c r="P40" i="18"/>
  <c r="R40" i="18" s="1"/>
  <c r="G32" i="2" s="1"/>
  <c r="G35" i="2" s="1"/>
  <c r="F61" i="35"/>
  <c r="F10" i="35"/>
  <c r="F12" i="35" s="1"/>
  <c r="F32" i="35" s="1"/>
  <c r="F40" i="35" l="1"/>
  <c r="F43" i="35"/>
  <c r="F57" i="35" s="1"/>
  <c r="G10" i="35"/>
  <c r="G12" i="35" s="1"/>
  <c r="G61" i="35"/>
  <c r="G32" i="35" l="1"/>
  <c r="F50" i="35"/>
  <c r="F44" i="35"/>
  <c r="F45" i="35"/>
  <c r="F51" i="35" s="1"/>
  <c r="F56" i="35"/>
  <c r="G43" i="35" l="1"/>
  <c r="G40" i="35"/>
  <c r="G44" i="35" l="1"/>
  <c r="G45" i="35"/>
  <c r="G51" i="35" s="1"/>
  <c r="G50" i="35"/>
  <c r="G56" i="35"/>
  <c r="G57"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Frasure</author>
    <author>tc={200FA35D-644D-4CFA-9134-79F16DD1C7BA}</author>
    <author>tc={54124731-B3AB-4658-8217-9AB3E88A9F0E}</author>
  </authors>
  <commentList>
    <comment ref="E18" authorId="0" shapeId="0" xr:uid="{81DDD2BB-8E47-4AA2-B90C-42182AD1A9AE}">
      <text>
        <r>
          <rPr>
            <b/>
            <sz val="9"/>
            <color indexed="81"/>
            <rFont val="Tahoma"/>
            <family val="2"/>
          </rPr>
          <t>Brian Frasure:</t>
        </r>
        <r>
          <rPr>
            <sz val="9"/>
            <color indexed="81"/>
            <rFont val="Tahoma"/>
            <family val="2"/>
          </rPr>
          <t xml:space="preserve">
NO LONGER EMPLOYED</t>
        </r>
      </text>
    </comment>
    <comment ref="E21" authorId="0" shapeId="0" xr:uid="{AA709D14-3F5A-412A-A1F8-3F63EFC16C40}">
      <text>
        <r>
          <rPr>
            <b/>
            <sz val="9"/>
            <color indexed="81"/>
            <rFont val="Tahoma"/>
            <family val="2"/>
          </rPr>
          <t>Brian Frasure:</t>
        </r>
        <r>
          <rPr>
            <sz val="9"/>
            <color indexed="81"/>
            <rFont val="Tahoma"/>
            <family val="2"/>
          </rPr>
          <t xml:space="preserve">
REHIRED 2017</t>
        </r>
      </text>
    </comment>
    <comment ref="J38" authorId="1" shapeId="0" xr:uid="{200FA35D-644D-4CFA-9134-79F16DD1C7BA}">
      <text>
        <t>[Threaded comment]
Your version of Excel allows you to read this threaded comment; however, any edits to it will get removed if the file is opened in a newer version of Excel. Learn more: https://go.microsoft.com/fwlink/?linkid=870924
Comment:
    Double time hours (Sunday and 16+ hours)</t>
      </text>
    </comment>
    <comment ref="S43" authorId="2" shapeId="0" xr:uid="{54124731-B3AB-4658-8217-9AB3E88A9F0E}">
      <text>
        <t>[Threaded comment]
Your version of Excel allows you to read this threaded comment; however, any edits to it will get removed if the file is opened in a newer version of Excel. Learn more: https://go.microsoft.com/fwlink/?linkid=870924
Comment:
    PT employee - assume 24 hours per week for 50 weeks and 0 hours for 2 weeks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Frasure</author>
  </authors>
  <commentList>
    <comment ref="E18" authorId="0" shapeId="0" xr:uid="{00000000-0006-0000-0F00-000001000000}">
      <text>
        <r>
          <rPr>
            <b/>
            <sz val="9"/>
            <color indexed="81"/>
            <rFont val="Tahoma"/>
            <family val="2"/>
          </rPr>
          <t>Brian Frasure:</t>
        </r>
        <r>
          <rPr>
            <sz val="9"/>
            <color indexed="81"/>
            <rFont val="Tahoma"/>
            <family val="2"/>
          </rPr>
          <t xml:space="preserve">
NO LONGER EMPLOYED</t>
        </r>
      </text>
    </comment>
    <comment ref="E21" authorId="0" shapeId="0" xr:uid="{00000000-0006-0000-0F00-000002000000}">
      <text>
        <r>
          <rPr>
            <b/>
            <sz val="9"/>
            <color indexed="81"/>
            <rFont val="Tahoma"/>
            <family val="2"/>
          </rPr>
          <t>Brian Frasure:</t>
        </r>
        <r>
          <rPr>
            <sz val="9"/>
            <color indexed="81"/>
            <rFont val="Tahoma"/>
            <family val="2"/>
          </rPr>
          <t xml:space="preserve">
REHIRED 2017</t>
        </r>
      </text>
    </comment>
    <comment ref="E65" authorId="0" shapeId="0" xr:uid="{00000000-0006-0000-0F00-000003000000}">
      <text>
        <r>
          <rPr>
            <b/>
            <sz val="9"/>
            <color indexed="81"/>
            <rFont val="Tahoma"/>
            <family val="2"/>
          </rPr>
          <t>Brian Frasure:</t>
        </r>
        <r>
          <rPr>
            <sz val="9"/>
            <color indexed="81"/>
            <rFont val="Tahoma"/>
            <family val="2"/>
          </rPr>
          <t xml:space="preserve">
NO LONGER EMPLOYED</t>
        </r>
      </text>
    </comment>
    <comment ref="E67" authorId="0" shapeId="0" xr:uid="{00000000-0006-0000-0F00-000004000000}">
      <text>
        <r>
          <rPr>
            <b/>
            <sz val="9"/>
            <color indexed="81"/>
            <rFont val="Tahoma"/>
            <family val="2"/>
          </rPr>
          <t>Brian Frasure:</t>
        </r>
        <r>
          <rPr>
            <sz val="9"/>
            <color indexed="81"/>
            <rFont val="Tahoma"/>
            <family val="2"/>
          </rPr>
          <t xml:space="preserve">
NO LONGER EMPLOYED</t>
        </r>
      </text>
    </comment>
  </commentList>
</comments>
</file>

<file path=xl/sharedStrings.xml><?xml version="1.0" encoding="utf-8"?>
<sst xmlns="http://schemas.openxmlformats.org/spreadsheetml/2006/main" count="1384" uniqueCount="768">
  <si>
    <t>JACKSON PURCHASE ENERGY CORPORATION</t>
  </si>
  <si>
    <t>Statement of Operations &amp; Revenue Requirement</t>
  </si>
  <si>
    <t>For the 12 Months Ended December 31, 2017</t>
  </si>
  <si>
    <t>Actual Rates</t>
  </si>
  <si>
    <t>Present Rates</t>
  </si>
  <si>
    <t>Pro Forma</t>
  </si>
  <si>
    <t>Proposed Rates</t>
  </si>
  <si>
    <t>Line</t>
  </si>
  <si>
    <t>Description</t>
  </si>
  <si>
    <t>Actual Test Yr</t>
  </si>
  <si>
    <t>Adjustment</t>
  </si>
  <si>
    <t>#</t>
  </si>
  <si>
    <t>(4)</t>
  </si>
  <si>
    <t>(5)</t>
  </si>
  <si>
    <t>(6)</t>
  </si>
  <si>
    <t>Operating Revenues</t>
  </si>
  <si>
    <t>Total Sales of Electric Energy</t>
  </si>
  <si>
    <t>Other Electric Revenue</t>
  </si>
  <si>
    <t>Total Operating Revenue</t>
  </si>
  <si>
    <t>Operating Expenses:</t>
  </si>
  <si>
    <t>Purchased Power</t>
  </si>
  <si>
    <t>Distribution Operations</t>
  </si>
  <si>
    <t>Distribution Maintenance</t>
  </si>
  <si>
    <t>Customer Accounts</t>
  </si>
  <si>
    <t>Customer Service</t>
  </si>
  <si>
    <t>Sales Expense</t>
  </si>
  <si>
    <t>A&amp;G</t>
  </si>
  <si>
    <t>Total O&amp;M Expense</t>
  </si>
  <si>
    <t xml:space="preserve">Depreciation </t>
  </si>
  <si>
    <t>Taxes - Other</t>
  </si>
  <si>
    <t>Interest on LTD</t>
  </si>
  <si>
    <t>Interest - Other</t>
  </si>
  <si>
    <t>Other Deductions</t>
  </si>
  <si>
    <t>Total Cost of Electric Service</t>
  </si>
  <si>
    <t>Utility Operating Margins</t>
  </si>
  <si>
    <t>Non-Operating Margins - Interest</t>
  </si>
  <si>
    <t>26a</t>
  </si>
  <si>
    <t>Income(Loss) from Equity Investments</t>
  </si>
  <si>
    <t>Non-Operating Margins - Other</t>
  </si>
  <si>
    <t>G&amp;T Capital Credits</t>
  </si>
  <si>
    <t>Other Capital Credits</t>
  </si>
  <si>
    <t>Net Margins</t>
  </si>
  <si>
    <t>Cash Receipts from Lenders</t>
  </si>
  <si>
    <t>OTIER</t>
  </si>
  <si>
    <t>TIER</t>
  </si>
  <si>
    <t>TIER excluding GTCC</t>
  </si>
  <si>
    <t>Summary of Pro Forma Adjustments</t>
  </si>
  <si>
    <t>Reference Schedule</t>
  </si>
  <si>
    <t>Item</t>
  </si>
  <si>
    <t>Revenue</t>
  </si>
  <si>
    <t>Expense</t>
  </si>
  <si>
    <t>Non-Operating Income</t>
  </si>
  <si>
    <t>Net Margin</t>
  </si>
  <si>
    <t>Total</t>
  </si>
  <si>
    <t>Wages &amp; Salaries</t>
  </si>
  <si>
    <t>Depreciation</t>
  </si>
  <si>
    <t>Interest on Long Term Debt</t>
  </si>
  <si>
    <t>Year-End Customers</t>
  </si>
  <si>
    <t>D</t>
  </si>
  <si>
    <t>May</t>
  </si>
  <si>
    <t>FAC</t>
  </si>
  <si>
    <t>ES</t>
  </si>
  <si>
    <t>Donations</t>
  </si>
  <si>
    <t>NRECA dues</t>
  </si>
  <si>
    <t>KAEC dues</t>
  </si>
  <si>
    <t>Month</t>
  </si>
  <si>
    <t>TOTAL</t>
  </si>
  <si>
    <t>Jan</t>
  </si>
  <si>
    <t>Feb</t>
  </si>
  <si>
    <t>Mar</t>
  </si>
  <si>
    <t>Apr</t>
  </si>
  <si>
    <t>Jun</t>
  </si>
  <si>
    <t>Jul</t>
  </si>
  <si>
    <t>Aug</t>
  </si>
  <si>
    <t>Sep</t>
  </si>
  <si>
    <t>Oct</t>
  </si>
  <si>
    <t>Nov</t>
  </si>
  <si>
    <t>Dec</t>
  </si>
  <si>
    <t>BY ACCOUNT</t>
  </si>
  <si>
    <t>Account</t>
  </si>
  <si>
    <t>A</t>
  </si>
  <si>
    <t>B</t>
  </si>
  <si>
    <t>C</t>
  </si>
  <si>
    <t>Test Year Amount</t>
  </si>
  <si>
    <t>E</t>
  </si>
  <si>
    <t>Interest Expense</t>
  </si>
  <si>
    <t>RUS/FFB</t>
  </si>
  <si>
    <t>CFC</t>
  </si>
  <si>
    <t>401k Contributions</t>
  </si>
  <si>
    <t>Life Insurance</t>
  </si>
  <si>
    <t>Rate Case Costs</t>
  </si>
  <si>
    <t>Year End Customers</t>
  </si>
  <si>
    <t>Variance</t>
  </si>
  <si>
    <t>Subtotal</t>
  </si>
  <si>
    <t>Year</t>
  </si>
  <si>
    <t>(1)</t>
  </si>
  <si>
    <t>(2)</t>
  </si>
  <si>
    <t>(3)</t>
  </si>
  <si>
    <t>(7)</t>
  </si>
  <si>
    <t>(8)</t>
  </si>
  <si>
    <t>Average</t>
  </si>
  <si>
    <t>End of Period Increase over Avg</t>
  </si>
  <si>
    <t>Total kWh</t>
  </si>
  <si>
    <t>Average kWh</t>
  </si>
  <si>
    <t>Year-End kWh Adjustment</t>
  </si>
  <si>
    <t>Revenue Adjustment</t>
  </si>
  <si>
    <t>Current Base Rate Revenue</t>
  </si>
  <si>
    <t>Average Revenue per kWh</t>
  </si>
  <si>
    <t>Year End Revenue Adj</t>
  </si>
  <si>
    <t>Expense Adjustment</t>
  </si>
  <si>
    <t>Avg Adj Purchase Exp per kWh</t>
  </si>
  <si>
    <t>Year End Expense Adj</t>
  </si>
  <si>
    <t xml:space="preserve">Revenue </t>
  </si>
  <si>
    <t>Net Rev</t>
  </si>
  <si>
    <t>Pro Forma Year Amount</t>
  </si>
  <si>
    <t>For Expense Adjustment:</t>
  </si>
  <si>
    <t>Test Period Total</t>
  </si>
  <si>
    <t>Total Purchased Power Expense</t>
  </si>
  <si>
    <t>Less Fuel Adjustment Clause</t>
  </si>
  <si>
    <t>Less Environmental Surcharge</t>
  </si>
  <si>
    <t>Adjusted Purchased Power Expense</t>
  </si>
  <si>
    <t>Total Purchased Power kWh</t>
  </si>
  <si>
    <t>This adjustment adjusts the test year expenses and revenues to reflect the number of customers at the end of the test year.</t>
  </si>
  <si>
    <t>Acct #</t>
  </si>
  <si>
    <t>Fully Depr Items</t>
  </si>
  <si>
    <t>Rate</t>
  </si>
  <si>
    <t>Normalized Expense</t>
  </si>
  <si>
    <t>Test Year Expense</t>
  </si>
  <si>
    <t>Pro Forma Adj</t>
  </si>
  <si>
    <t>Distribution Plant</t>
  </si>
  <si>
    <t>Services</t>
  </si>
  <si>
    <t>Meters</t>
  </si>
  <si>
    <t>General Plant</t>
  </si>
  <si>
    <t>Power operated</t>
  </si>
  <si>
    <t>This adjustment normalizes depreciation expenses by replacing test year actual expenses with test year end balances (less any fully depreciated items) at approved depreciation rates.</t>
  </si>
  <si>
    <t>Alloc</t>
  </si>
  <si>
    <t>Operations</t>
  </si>
  <si>
    <t>Maintenance</t>
  </si>
  <si>
    <t>Consumer Accounts</t>
  </si>
  <si>
    <t>Administrative &amp; General</t>
  </si>
  <si>
    <t>Jackson Purchase Energy Corporation</t>
  </si>
  <si>
    <t>For the 12 Months Ended December 2017</t>
  </si>
  <si>
    <t>Employee</t>
  </si>
  <si>
    <t>Hours Worked</t>
  </si>
  <si>
    <t>Actual Test Year Wages</t>
  </si>
  <si>
    <t>2018 Wage Rate</t>
  </si>
  <si>
    <t>Pro Forma Wages at 2,080 Hours</t>
  </si>
  <si>
    <t>Pro Forma Adjustment</t>
  </si>
  <si>
    <t>Count</t>
  </si>
  <si>
    <t>ID</t>
  </si>
  <si>
    <t>Actual ID</t>
  </si>
  <si>
    <t>Note</t>
  </si>
  <si>
    <t>Regular</t>
  </si>
  <si>
    <t>Overtime</t>
  </si>
  <si>
    <t>Other/Vac. P. Out</t>
  </si>
  <si>
    <t>&lt; Hide &gt;</t>
  </si>
  <si>
    <t>Wage</t>
  </si>
  <si>
    <t>Normalized Wages</t>
  </si>
  <si>
    <t>@ 2,080 Hours</t>
  </si>
  <si>
    <t>Employee ID</t>
  </si>
  <si>
    <t>Reg Hrs</t>
  </si>
  <si>
    <t>OT Hrs</t>
  </si>
  <si>
    <t>Vacation Payout</t>
  </si>
  <si>
    <t>Current</t>
  </si>
  <si>
    <t>Salary Employees</t>
  </si>
  <si>
    <t>S01</t>
  </si>
  <si>
    <t>S02</t>
  </si>
  <si>
    <t>S03</t>
  </si>
  <si>
    <t>OC</t>
  </si>
  <si>
    <t>S04</t>
  </si>
  <si>
    <t>S05</t>
  </si>
  <si>
    <t>OC2</t>
  </si>
  <si>
    <t>S06</t>
  </si>
  <si>
    <t>S07</t>
  </si>
  <si>
    <t>S08</t>
  </si>
  <si>
    <t>S09</t>
  </si>
  <si>
    <t>S10</t>
  </si>
  <si>
    <t>S11</t>
  </si>
  <si>
    <t>S12</t>
  </si>
  <si>
    <t>O</t>
  </si>
  <si>
    <t>R</t>
  </si>
  <si>
    <t>Hourly Employees</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</si>
  <si>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</si>
  <si>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</si>
  <si>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</si>
  <si>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</si>
  <si>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</si>
  <si>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</si>
  <si>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</si>
  <si>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</si>
  <si>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</si>
  <si>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</si>
  <si>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</si>
  <si>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</si>
  <si>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</si>
  <si>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</si>
  <si>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</si>
  <si>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</si>
  <si>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</si>
  <si>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</si>
  <si>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</si>
  <si>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</si>
  <si>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</si>
  <si>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</si>
  <si>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</si>
  <si>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</si>
  <si>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H25</t>
  </si>
  <si>
    <t>H26</t>
  </si>
  <si>
    <t>Premium Overtime:</t>
  </si>
  <si>
    <t>H27</t>
  </si>
  <si>
    <t>H28</t>
  </si>
  <si>
    <t>2017</t>
  </si>
  <si>
    <t>OT at</t>
  </si>
  <si>
    <t>OT</t>
  </si>
  <si>
    <t>H29</t>
  </si>
  <si>
    <t>Reg Rate</t>
  </si>
  <si>
    <t>OT Rate</t>
  </si>
  <si>
    <t>1.5 * RR</t>
  </si>
  <si>
    <t>PREMIUM</t>
  </si>
  <si>
    <t>H30</t>
  </si>
  <si>
    <t>BU</t>
  </si>
  <si>
    <t>H31</t>
  </si>
  <si>
    <t>H32</t>
  </si>
  <si>
    <t>BU/R</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</si>
  <si>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</si>
  <si>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</si>
  <si>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</si>
  <si>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</si>
  <si>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</si>
  <si>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</si>
  <si>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</si>
  <si>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</si>
  <si>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</si>
  <si>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</si>
  <si>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</si>
  <si>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</si>
  <si>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</si>
  <si>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</si>
  <si>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</si>
  <si>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</si>
  <si>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</si>
  <si>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</si>
  <si>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</si>
  <si>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</si>
  <si>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</si>
  <si>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</si>
  <si>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</si>
  <si>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</si>
  <si>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</si>
  <si>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</si>
  <si>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</si>
  <si>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</si>
  <si>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</si>
  <si>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</si>
  <si>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</si>
  <si>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NOTES:</t>
  </si>
  <si>
    <t>Labor Expense Summary</t>
  </si>
  <si>
    <t>Labor $</t>
  </si>
  <si>
    <t>580-589</t>
  </si>
  <si>
    <t>590-598</t>
  </si>
  <si>
    <t>901-905</t>
  </si>
  <si>
    <t>907-910</t>
  </si>
  <si>
    <t>920-935</t>
  </si>
  <si>
    <t>Non-Expense Accounts (Balance Sheet)</t>
  </si>
  <si>
    <t>Labor Expense Detail by Account</t>
  </si>
  <si>
    <t>No.</t>
  </si>
  <si>
    <t>Acct</t>
  </si>
  <si>
    <t>Labor Amt</t>
  </si>
  <si>
    <t>Share</t>
  </si>
  <si>
    <t>Non-Expense Accounts</t>
  </si>
  <si>
    <t>580.0</t>
  </si>
  <si>
    <t>OPERATION SUPERVISION &amp; ENGINEERING</t>
  </si>
  <si>
    <t>582.0</t>
  </si>
  <si>
    <t>SUBSTATION EXPENSES</t>
  </si>
  <si>
    <t>582.3</t>
  </si>
  <si>
    <t>STATION EXP - SCADA COMMUNICATION</t>
  </si>
  <si>
    <t>583.0</t>
  </si>
  <si>
    <t>Overhead Line Expense</t>
  </si>
  <si>
    <t>583.2</t>
  </si>
  <si>
    <t>OVERHEAD LINE EXPENSE-LINE PATROL</t>
  </si>
  <si>
    <t>583.3</t>
  </si>
  <si>
    <t>OH LINE EXP-OIL SP CLEANUP/100 REG</t>
  </si>
  <si>
    <t>584.0</t>
  </si>
  <si>
    <t>UNDERGROUND LINE EXPENSES</t>
  </si>
  <si>
    <t>586.0</t>
  </si>
  <si>
    <t>METER EXPENSES</t>
  </si>
  <si>
    <t>586.1</t>
  </si>
  <si>
    <t>METER EXP.-ROUTINE CONN. &amp; DISCON</t>
  </si>
  <si>
    <t>588.0</t>
  </si>
  <si>
    <t>MISC DIST EXPENSES-LABOR &amp; O/H</t>
  </si>
  <si>
    <t>588.2</t>
  </si>
  <si>
    <t>OTHER MISCELLANEOUS DISTRIBUT EXP</t>
  </si>
  <si>
    <t>588.4</t>
  </si>
  <si>
    <t>MISCELLANEOUS DIST. EXP. - STORM</t>
  </si>
  <si>
    <t>588.45</t>
  </si>
  <si>
    <t>MISC. DIST. EXP. - STORM REGULAR HR</t>
  </si>
  <si>
    <t>590.0</t>
  </si>
  <si>
    <t>MAINTENANCE SUPERVISION &amp; ENGINEER</t>
  </si>
  <si>
    <t>592.0</t>
  </si>
  <si>
    <t>MAINTENANCE OF STATION EQUIPMENT</t>
  </si>
  <si>
    <t>593.0</t>
  </si>
  <si>
    <t>MAINTENANCE OF OVERHEAD LINES</t>
  </si>
  <si>
    <t>593.1</t>
  </si>
  <si>
    <t>MAINT OF OVERHEAD LINES - STORMS</t>
  </si>
  <si>
    <t>Group Life (off W-2 Totals)</t>
  </si>
  <si>
    <t>593.3</t>
  </si>
  <si>
    <t>MAINT OF OH LINES - TREE TRIMMING</t>
  </si>
  <si>
    <t>Fringe Benefitis (off W-2 Totals)</t>
  </si>
  <si>
    <t>594.0</t>
  </si>
  <si>
    <t>MAINTENANCE OF UNDERGROUND LINES</t>
  </si>
  <si>
    <t>Wages - ties to above total</t>
  </si>
  <si>
    <t>596.0</t>
  </si>
  <si>
    <t>MAINTENANCE OF OUTDOOR LIGHTING</t>
  </si>
  <si>
    <t>597.0</t>
  </si>
  <si>
    <t>MAINTENANCE OF METERS</t>
  </si>
  <si>
    <t>Gross Payroll</t>
  </si>
  <si>
    <t>597.1</t>
  </si>
  <si>
    <t>MAINTENANCE OF AMI METERS</t>
  </si>
  <si>
    <t>Less Kelly Nuchols (above)</t>
  </si>
  <si>
    <t>598.0</t>
  </si>
  <si>
    <t>MAINT. OF MSC. DISTRIBUTION PLANT</t>
  </si>
  <si>
    <t>Medicare Wages (ties to W-2 Totals)</t>
  </si>
  <si>
    <t>901.0</t>
  </si>
  <si>
    <t>SUPERVISION OF CUSTOMER ACCOUNTS</t>
  </si>
  <si>
    <t>902.0</t>
  </si>
  <si>
    <t>METER READING EXPENSES</t>
  </si>
  <si>
    <t>903.0</t>
  </si>
  <si>
    <t>CUSTOMER RECORDS &amp; COLLECTION EXP.</t>
  </si>
  <si>
    <t>903.2</t>
  </si>
  <si>
    <t>CUST.RCDS &amp; COLL. - COMPLAINTS, ADJ</t>
  </si>
  <si>
    <t>Less Kelly Nuchols</t>
  </si>
  <si>
    <t>903.3</t>
  </si>
  <si>
    <t>CUST RCDS &amp; COLL - CONNECTS &amp; DISC</t>
  </si>
  <si>
    <t>903.4</t>
  </si>
  <si>
    <t>CUST RCDS &amp; COLL - DELINQUENT ACCTS</t>
  </si>
  <si>
    <t>903.41</t>
  </si>
  <si>
    <t>DELINQUENT ACCTS OVER 30 DAYS</t>
  </si>
  <si>
    <t>less Distribution report total below</t>
  </si>
  <si>
    <t>903.5</t>
  </si>
  <si>
    <t>CUST RECORDS - DOCUMENT SCANNING</t>
  </si>
  <si>
    <t>Variance for Distribution (misc adjustment)</t>
  </si>
  <si>
    <t>903.7</t>
  </si>
  <si>
    <t>CUSTOMER RECORDS - AMI</t>
  </si>
  <si>
    <t>903.8</t>
  </si>
  <si>
    <t>CUSTOMER RECORDS - NISC TRAINING</t>
  </si>
  <si>
    <t>910.0</t>
  </si>
  <si>
    <t>MSC CUSTOMER SVC &amp; INFORMATION EXP</t>
  </si>
  <si>
    <t>920.0</t>
  </si>
  <si>
    <t>ADMINISTRATIVE &amp; GENERAL SALARIES</t>
  </si>
  <si>
    <t>920.1</t>
  </si>
  <si>
    <t>ADMIN. &amp; GEN. SALARIES - MANAGER</t>
  </si>
  <si>
    <t>920.5</t>
  </si>
  <si>
    <t>ADMIN. &amp; GEN. SALARIES - SCANNING</t>
  </si>
  <si>
    <t>925.0</t>
  </si>
  <si>
    <t>INJURIES AND DAMAGES</t>
  </si>
  <si>
    <t>926.2</t>
  </si>
  <si>
    <t>OTHER EMPLOYEE PENSIONS &amp; BENEFIT</t>
  </si>
  <si>
    <t>930.22</t>
  </si>
  <si>
    <t>ANNUAL MEETING - OTHER EXPENSES</t>
  </si>
  <si>
    <t>935.0</t>
  </si>
  <si>
    <t>MAINTENANCE OF GENERAL PLANT</t>
  </si>
  <si>
    <t>S13</t>
  </si>
  <si>
    <t>Transportation equipment</t>
  </si>
  <si>
    <t>Distribution &amp; General Total</t>
  </si>
  <si>
    <t>Depreciation Normalization</t>
  </si>
  <si>
    <t>Directors Expenses</t>
  </si>
  <si>
    <t>Adj Test Yr</t>
  </si>
  <si>
    <t>Summary of Adjustments to Test Year Balance Sheet</t>
  </si>
  <si>
    <t>Pro Forma Adjs</t>
  </si>
  <si>
    <t>Pro Forma Test Yr</t>
  </si>
  <si>
    <t>Assets and Other Debits</t>
  </si>
  <si>
    <t>Total Utility Plant in Service</t>
  </si>
  <si>
    <t>Construction Work in Progress</t>
  </si>
  <si>
    <t>Total Utility Plant</t>
  </si>
  <si>
    <t>Accum Provision for Depr and Amort</t>
  </si>
  <si>
    <t>Net Utility Plant</t>
  </si>
  <si>
    <t>Investment in Assoc Org - Patr Capital</t>
  </si>
  <si>
    <t>Investment in Assoc Org - Other Gen Fnd</t>
  </si>
  <si>
    <t>Investment in Assoc Org - Non Gen Fnd</t>
  </si>
  <si>
    <t>Other Investment</t>
  </si>
  <si>
    <t>Total Other Prop &amp; Investments</t>
  </si>
  <si>
    <t>Cash - General Funds</t>
  </si>
  <si>
    <t>Cash - Construction Fund Trust</t>
  </si>
  <si>
    <t>Special Deposits</t>
  </si>
  <si>
    <t>Temporary Investments</t>
  </si>
  <si>
    <t>Accts Receivable - Sales Energy (Net)</t>
  </si>
  <si>
    <t>Accts Receivable - Other (Net)</t>
  </si>
  <si>
    <t>Renewable Energy Credits</t>
  </si>
  <si>
    <t>Material &amp; Supplies - Elec &amp; Other</t>
  </si>
  <si>
    <t>Prepayments</t>
  </si>
  <si>
    <t>Other Current &amp; Accr Assets</t>
  </si>
  <si>
    <t>Total Current &amp; Accr Assets</t>
  </si>
  <si>
    <t>Other Regulatory Assets</t>
  </si>
  <si>
    <t>Other Deferred Debits</t>
  </si>
  <si>
    <t>Total Assets &amp; Other Debits</t>
  </si>
  <si>
    <t>Liabilities &amp; Other Credits</t>
  </si>
  <si>
    <t>Memberships</t>
  </si>
  <si>
    <t>Patronage Capital</t>
  </si>
  <si>
    <t>Operating Margins - Current Year</t>
  </si>
  <si>
    <t>Non-Operating Margins</t>
  </si>
  <si>
    <t>Other Margins &amp; Equities</t>
  </si>
  <si>
    <t>Total Margins &amp; Equities</t>
  </si>
  <si>
    <t>Long Term Debt - RUS (Net)</t>
  </si>
  <si>
    <t>Long Term Debt - FFB - RUS GUAR</t>
  </si>
  <si>
    <t>Long Term Debt - Other - RUS GUAR</t>
  </si>
  <si>
    <t>Long Term Debt - Other (Net)</t>
  </si>
  <si>
    <t>Long Term Debt - RUS -Econ Dev - Net</t>
  </si>
  <si>
    <t>Total Long Term Debt</t>
  </si>
  <si>
    <t>Accum Operating Provisions</t>
  </si>
  <si>
    <t>Notes Payable</t>
  </si>
  <si>
    <t>Accounts Payable</t>
  </si>
  <si>
    <t>Consumer Deposits</t>
  </si>
  <si>
    <t>Other Current &amp; Accr Liabilities</t>
  </si>
  <si>
    <t>Total Current &amp; Accr Liabilities</t>
  </si>
  <si>
    <t>Regulatory Liabilities</t>
  </si>
  <si>
    <t>Other Deferred Credits</t>
  </si>
  <si>
    <t>Total Liabilities &amp; Other Credits</t>
  </si>
  <si>
    <t>Summary of Adjustments to Test Year Statement of Operations</t>
  </si>
  <si>
    <t>Operating Revenues:</t>
  </si>
  <si>
    <t>Base Rates</t>
  </si>
  <si>
    <t>Total Revenues</t>
  </si>
  <si>
    <t xml:space="preserve">        Base Rates</t>
  </si>
  <si>
    <t>Distribution - Operations</t>
  </si>
  <si>
    <t>Distribution - Maintenance</t>
  </si>
  <si>
    <t>Sales</t>
  </si>
  <si>
    <t>Administrative and General</t>
  </si>
  <si>
    <t xml:space="preserve">    Total Operating Expenses</t>
  </si>
  <si>
    <t>Interest Expense - Other</t>
  </si>
  <si>
    <t>Total Non-Operating Margins</t>
  </si>
  <si>
    <t>Donations, Promo Ads &amp; Dues</t>
  </si>
  <si>
    <t>Riders</t>
  </si>
  <si>
    <t xml:space="preserve">        Riders</t>
  </si>
  <si>
    <t>This adjustment normalizes wages and salaries to account for changes due to wage increases, departures, or new hires for standard year of 2,080 hours.</t>
  </si>
  <si>
    <t xml:space="preserve">Acct </t>
  </si>
  <si>
    <t>Lesser of $50k or Salary</t>
  </si>
  <si>
    <t>Amount to Exclude</t>
  </si>
  <si>
    <t>Pro Forma Amount</t>
  </si>
  <si>
    <t xml:space="preserve">Reference Schedule  &gt;     </t>
  </si>
  <si>
    <t xml:space="preserve">Adjustment Item   &gt;     </t>
  </si>
  <si>
    <t>Payments - Unapplied</t>
  </si>
  <si>
    <t>Currrent Maturities - Long Term Debt</t>
  </si>
  <si>
    <t>F</t>
  </si>
  <si>
    <t>G</t>
  </si>
  <si>
    <t>H</t>
  </si>
  <si>
    <t>(E * 2)</t>
  </si>
  <si>
    <t>((G-F)/G)*B</t>
  </si>
  <si>
    <t>Coverage - 2x Salary</t>
  </si>
  <si>
    <t>Checks</t>
  </si>
  <si>
    <t>PFAs Tab</t>
  </si>
  <si>
    <t>Rev Req Tab</t>
  </si>
  <si>
    <t>Adj IS Tab</t>
  </si>
  <si>
    <t>Items to be removed:</t>
  </si>
  <si>
    <t>Amount</t>
  </si>
  <si>
    <t>Total to be removed:</t>
  </si>
  <si>
    <t>BU is Bargaining Unit Employees, O is Open Position in 2017, but filled since, R is no longer employed at beginning of 2018 and pro-forma adjusted out.  OC is on-call pay 13 weeks per year @ $325 per week, OC2 is on-call pay 52 weeks per year @ $125 per week - both are added to Other column.</t>
  </si>
  <si>
    <t>This adjustment removes the FAC revenues and expenses from the test period.</t>
  </si>
  <si>
    <t>Reference Schedule:  1.01</t>
  </si>
  <si>
    <t>Reference Schedule:  1.02</t>
  </si>
  <si>
    <t>Reference Schedule:  1.03</t>
  </si>
  <si>
    <t>Reference Schedule:  1.04</t>
  </si>
  <si>
    <t>Environmental Surcharge</t>
  </si>
  <si>
    <t>This adjustment removes the ES revenues and expenses from the test period.</t>
  </si>
  <si>
    <t>Reference Schedule:  1.05</t>
  </si>
  <si>
    <t>Reference Schedule:  1.06</t>
  </si>
  <si>
    <t>Donations, Promotional Advertising &amp; Dues</t>
  </si>
  <si>
    <t>This adjustment removes charitable donations, promotional advertising expenses, and dues from the revenue requirement consistent with standard Commission practices.</t>
  </si>
  <si>
    <t>Reference Schedule:  1.07</t>
  </si>
  <si>
    <t>401(k) Contribution Match Expense</t>
  </si>
  <si>
    <t>This adjustment removes the contribution for the least generous plans for employer retirement contributions for employees participating in multiple benefit packages.</t>
  </si>
  <si>
    <t>Empl #</t>
  </si>
  <si>
    <t>Total Premium</t>
  </si>
  <si>
    <t>This adjustment removes Life insurance premiums for coverage above the lesser of an employee's annual salary or $50,000 from the test period.</t>
  </si>
  <si>
    <t>Reference Schedule:  1.09</t>
  </si>
  <si>
    <t>Annual Amortization Amount</t>
  </si>
  <si>
    <t>Consulting - Catalyst Consulting LLC</t>
  </si>
  <si>
    <t>Rate Case Expenses</t>
  </si>
  <si>
    <t>Total Amount</t>
  </si>
  <si>
    <t>Amortization Period (Years)</t>
  </si>
  <si>
    <t>This adjustment estimates the rate case costs amortized over a 3 year period, consistent with standard Commission practice.</t>
  </si>
  <si>
    <t>Reference Schedule:  1.11</t>
  </si>
  <si>
    <t>Reference Schedule:  1.12</t>
  </si>
  <si>
    <t>Total (Expensed and Capitalized)</t>
  </si>
  <si>
    <t>Total Expense Adj</t>
  </si>
  <si>
    <t>Reference Schedule:  1.14</t>
  </si>
  <si>
    <t>This adjustment removes certain Director expenses consistent with recent Commission orders and standard Commission practices.</t>
  </si>
  <si>
    <t>Depreciation Expense Normalization</t>
  </si>
  <si>
    <t>Test Yr End Bal</t>
  </si>
  <si>
    <t>Advertising / Notices</t>
  </si>
  <si>
    <t>reserved</t>
  </si>
  <si>
    <t>(continued)</t>
  </si>
  <si>
    <t>Reference Schedule:  1.10</t>
  </si>
  <si>
    <t>Health Insurance Premiums</t>
  </si>
  <si>
    <t>(A)</t>
  </si>
  <si>
    <t>(B)</t>
  </si>
  <si>
    <t>(C )</t>
  </si>
  <si>
    <t>(D)</t>
  </si>
  <si>
    <t>(E )</t>
  </si>
  <si>
    <t>(F)</t>
  </si>
  <si>
    <t>Employee Premiums</t>
  </si>
  <si>
    <t>Employer Premiums</t>
  </si>
  <si>
    <t>Total Premiums</t>
  </si>
  <si>
    <t>Share %</t>
  </si>
  <si>
    <t>Share $</t>
  </si>
  <si>
    <t>Health, Dental, Vision* (Non-Bargaining Unit Employees)</t>
  </si>
  <si>
    <t>Health, Dental, Vision* (Bargaining Unit Employees)</t>
  </si>
  <si>
    <t>This adjustment removes a certain portion of health care premium costs from the revenue requirement.</t>
  </si>
  <si>
    <t>Employees</t>
  </si>
  <si>
    <t>Expense Portion (from Labor Adj. Ref Schedule 1.12)</t>
  </si>
  <si>
    <t>Capitalized Portion (from Labor Adj. Ref Schedule 1.12)</t>
  </si>
  <si>
    <t>Total Expense Adjustment</t>
  </si>
  <si>
    <t>= (E) - (A)</t>
  </si>
  <si>
    <t>Both Bargaining and Non-Bargaining Unit Employees of Jackson Purchase are covered by the National Electrical Contractors Association/Internal Brotherhood of Electrical Workers ("NECA/IBEW") Welfare Trust Plan, which utilizes the Anthem BlueCross/BlueShield PPO network.  Under this Plan, one premium is paid by Jackson Purchase to NECA/IBEW for medical, dental, and vision coverage for its 68 employee workforce.  Bargaining Unit Employees in turn contribute/reimburse 10% and Non-Bargaining Unit Employees contribute/reimburse 5% of the premium paid by Jackson Purchase.  The contribution/reimbursement rates are the same within these two classes of employees regardless of whether they elect individual or family coverage.</t>
  </si>
  <si>
    <t>Excluded</t>
  </si>
  <si>
    <t>Cost</t>
  </si>
  <si>
    <t xml:space="preserve">Pro Forma Adjustment </t>
  </si>
  <si>
    <t>Account 593</t>
  </si>
  <si>
    <t>Test Year Right of Way expense</t>
  </si>
  <si>
    <t xml:space="preserve">Right of Way </t>
  </si>
  <si>
    <t>Reference Schedule:  1.xx</t>
  </si>
  <si>
    <t>Right of Way</t>
  </si>
  <si>
    <t>Fuel Adjustment Clause</t>
  </si>
  <si>
    <t>SHELBY ENERGY</t>
  </si>
  <si>
    <t>For the 12 Months Ended December 31, 2022</t>
  </si>
  <si>
    <t>Target OTIER</t>
  </si>
  <si>
    <t>Margins at Target OTIER</t>
  </si>
  <si>
    <t>Based on TIER</t>
  </si>
  <si>
    <t>Based on OTIER</t>
  </si>
  <si>
    <t>Target TIER</t>
  </si>
  <si>
    <t>Margins at Target TIER</t>
  </si>
  <si>
    <t>Revenue Requirement at Target TIER</t>
  </si>
  <si>
    <t>Revenue Deficiency at Target TIER</t>
  </si>
  <si>
    <t>Variance from Target TIER</t>
  </si>
  <si>
    <t>Revenue Requirement at Target OTIER</t>
  </si>
  <si>
    <t>Revenue Deficiency at Target OTIER</t>
  </si>
  <si>
    <t xml:space="preserve">Variance from Target OTIER </t>
  </si>
  <si>
    <t>Residential Service</t>
  </si>
  <si>
    <t>Off Peak Retail Marketing (ETS)</t>
  </si>
  <si>
    <t>Prepay Service</t>
  </si>
  <si>
    <t>General Service</t>
  </si>
  <si>
    <t>Large Power Service</t>
  </si>
  <si>
    <t>Based on 4% Cap</t>
  </si>
  <si>
    <t>Non-Recurring Expense</t>
  </si>
  <si>
    <t>Increase $</t>
  </si>
  <si>
    <t>Increase %</t>
  </si>
  <si>
    <t>SHELBY ENERGY COOPERATIVE</t>
  </si>
  <si>
    <t>Civic/Community Donations</t>
  </si>
  <si>
    <t>Media Ad Exp</t>
  </si>
  <si>
    <t>Advertising - Ann Mtg</t>
  </si>
  <si>
    <t>Prizes Ann. Mtg.</t>
  </si>
  <si>
    <t>Printing - Ann Mtg</t>
  </si>
  <si>
    <t>Misc. Exp. - Ann Mtg</t>
  </si>
  <si>
    <t>Employee &amp; Member Appreciation</t>
  </si>
  <si>
    <t>Membership dues</t>
  </si>
  <si>
    <t>Member Newsletter</t>
  </si>
  <si>
    <t>426.10</t>
  </si>
  <si>
    <t>909.00</t>
  </si>
  <si>
    <t>930.20</t>
  </si>
  <si>
    <t>930.210</t>
  </si>
  <si>
    <t>930.21</t>
  </si>
  <si>
    <t>EXP ADJ</t>
  </si>
  <si>
    <t>I</t>
  </si>
  <si>
    <t>J</t>
  </si>
  <si>
    <t xml:space="preserve">K </t>
  </si>
  <si>
    <t>L</t>
  </si>
  <si>
    <t>M</t>
  </si>
  <si>
    <t>-</t>
  </si>
  <si>
    <t>SHELBY ENERGY COOPERATIVE, INC.</t>
  </si>
  <si>
    <t>Account 427</t>
  </si>
  <si>
    <t>Interest on Long-Term Debt</t>
  </si>
  <si>
    <t>Test - Period                 2022</t>
  </si>
  <si>
    <t>Pro-Forma Adjustment</t>
  </si>
  <si>
    <t>RUS</t>
  </si>
  <si>
    <t>Account 431.10 &amp; 431.30</t>
  </si>
  <si>
    <t>Other Interest Expense</t>
  </si>
  <si>
    <t>CFC Line of Credit</t>
  </si>
  <si>
    <t>Interest Expense - Consumer Deposits</t>
  </si>
  <si>
    <t>A is Proforma for Interest on LTD</t>
  </si>
  <si>
    <t>B is Proforma for Other Interest Expense</t>
  </si>
  <si>
    <t>This adjustment normalizes the interest on Long Term Debt and Other Interest Expense from test year to recent amounts.</t>
  </si>
  <si>
    <t>Non-Recurring Consulting Expenses</t>
  </si>
  <si>
    <t>NRECA 401(k) plan Agreed Upon Procedures</t>
  </si>
  <si>
    <t>Construction Work Plan Engineering consulting</t>
  </si>
  <si>
    <t>Non-recurring Engineering expenses</t>
  </si>
  <si>
    <t>Non-recurring Legal expenses</t>
  </si>
  <si>
    <t xml:space="preserve">This adjustment removes non-recurring expenses from the test year. The NRECA 401(k) </t>
  </si>
  <si>
    <t>plan review occurs every five years so 4/5 of the expense from 2022 is being removed from</t>
  </si>
  <si>
    <t>the test year. The Construction Work Plan occurs every four years so 3/4 of the expense</t>
  </si>
  <si>
    <t>from 2022 is being removed the test year.</t>
  </si>
  <si>
    <t>For the 12 Months Ended December 2022</t>
  </si>
  <si>
    <t>Notes:</t>
  </si>
  <si>
    <t>-For Actual test year wages, all recurring pay is in Other/Vac P. Out column</t>
  </si>
  <si>
    <t>-Manually add recurring wage for Pro Forma year in Other/Vac. P. Out column</t>
  </si>
  <si>
    <t>2023 Wage Rate</t>
  </si>
  <si>
    <t>C, M</t>
  </si>
  <si>
    <t>C, O</t>
  </si>
  <si>
    <t>A, C, O</t>
  </si>
  <si>
    <t>Excluding JG's OT wages from storm assistance in PY totals</t>
  </si>
  <si>
    <t>Had add'l one-time bonus of $5k in 2022</t>
  </si>
  <si>
    <t>A, C</t>
  </si>
  <si>
    <t>S14</t>
  </si>
  <si>
    <t>S15</t>
  </si>
  <si>
    <t>S16</t>
  </si>
  <si>
    <t>S17</t>
  </si>
  <si>
    <t>S18</t>
  </si>
  <si>
    <t>Billy Moore resigned at end of year - position is currently back-filled by PSE; plan to hire FT</t>
  </si>
  <si>
    <t>S19</t>
  </si>
  <si>
    <t>`</t>
  </si>
  <si>
    <t>A, B, C</t>
  </si>
  <si>
    <t>Step up from Level 3 App to Level 4 App</t>
  </si>
  <si>
    <t>C, M, O</t>
  </si>
  <si>
    <t>Position change increase in 2023</t>
  </si>
  <si>
    <t>Out on WC for a portion of 2022</t>
  </si>
  <si>
    <t>Week off w/o/p in 2022 b/c no vacation time available</t>
  </si>
  <si>
    <t>Step up from Level 2 App to Level 3 App</t>
  </si>
  <si>
    <t>Step up from Level 4 App to Line Tech</t>
  </si>
  <si>
    <t>A, B, C, M</t>
  </si>
  <si>
    <t>Maternity leave in 2022; PT (30hr/wk) in 2023</t>
  </si>
  <si>
    <t>Step up from Level 3 App to Line Tech</t>
  </si>
  <si>
    <t>A is clothing/boot allowance ($650 or $250 depending on position), B is Bargaining Unit Employees, C is cell phone reimbursement ($1,302.84 annually for non-bargaining unit employees and $1,020 annually for bargaining unit employees), M is medical opt-out for those not participating in medical insurance benefit ($3,339 annually), O is on-call duty pay ($5k annually), R is no longer employed at beginning of 2023.</t>
  </si>
  <si>
    <t>This adjustment normalizes wages and salaries to account for changes due to wage increases, departures, or new hires for standard year of 2,080 hours, plus employer portion of related payroll taxes.</t>
  </si>
  <si>
    <t>+</t>
  </si>
  <si>
    <t>Payroll Tax</t>
  </si>
  <si>
    <t>=</t>
  </si>
  <si>
    <t>901-903</t>
  </si>
  <si>
    <t>908-910</t>
  </si>
  <si>
    <t>Gross pay from above (ties to Labor Distribution Totals)</t>
  </si>
  <si>
    <t>December 2022 Accrued Gross Pay</t>
  </si>
  <si>
    <t>December 2021 Accrued Gross Pay</t>
  </si>
  <si>
    <t>OVERHEAD LINE EXPENSE</t>
  </si>
  <si>
    <t>Gross Wages per 2022 W-2 Reconciliation</t>
  </si>
  <si>
    <t>METER TESTING</t>
  </si>
  <si>
    <t>586.3</t>
  </si>
  <si>
    <t>METER RECORD KEEPING</t>
  </si>
  <si>
    <t>MISSCELLANEOUS DISTRIBUTION</t>
  </si>
  <si>
    <t>593.01</t>
  </si>
  <si>
    <t>MAINTENANCE - STANDBY TIME</t>
  </si>
  <si>
    <t>PATROLLING - PLANNED</t>
  </si>
  <si>
    <t>RIGHT OF WAY - PLANNED</t>
  </si>
  <si>
    <t>593.35</t>
  </si>
  <si>
    <t>RIGHT OF WAY - SPRAYING</t>
  </si>
  <si>
    <t>SUPERVISION</t>
  </si>
  <si>
    <t>CONSUMER RECORDS / COLLECT.</t>
  </si>
  <si>
    <t>908.0</t>
  </si>
  <si>
    <t>CUSTOMER ASSISTANCE EXPENSE</t>
  </si>
  <si>
    <t>909.0</t>
  </si>
  <si>
    <t>INFORMATIONAL / INSTRUCTION</t>
  </si>
  <si>
    <t>MISCELLANEOUS CUSTOMER SER</t>
  </si>
  <si>
    <t>ADMINISTRATIVE / GENERAL SAL</t>
  </si>
  <si>
    <t>926.1</t>
  </si>
  <si>
    <t>EMPLOYEE PENSIONS/BENEFIT CLR</t>
  </si>
  <si>
    <t>930.2</t>
  </si>
  <si>
    <t>MISCELLANEOUS GENERAL EXPENSE</t>
  </si>
  <si>
    <t>935.4</t>
  </si>
  <si>
    <t>MAIN. OF GENERAL PROPERTY</t>
  </si>
  <si>
    <t>Legal - Goss Samford PLLC</t>
  </si>
  <si>
    <t>Supplies and miscellaneous</t>
  </si>
  <si>
    <t>Test Year 401k Match Expense</t>
  </si>
  <si>
    <t>Pro Forma 401k Match Expense</t>
  </si>
  <si>
    <t>Pro Forma Cost ($4,784/mile Overhead Cut and $305/mile Spray)</t>
  </si>
  <si>
    <t>This adjustment adds to expense for average yearly cost of 1/5 overhead line on system.</t>
  </si>
  <si>
    <t>Ending 2021 Rate</t>
  </si>
  <si>
    <t>Ending 2021 Salary</t>
  </si>
  <si>
    <t>BENTON  T BOHANNON</t>
  </si>
  <si>
    <t>TRACY BOHANNON</t>
  </si>
  <si>
    <t>JACK  P BRAGG JR.</t>
  </si>
  <si>
    <t>PAMELA  A GOETZINGER</t>
  </si>
  <si>
    <t>JACOB  T CREWS</t>
  </si>
  <si>
    <t>JOSEPH  R CRENSHAW</t>
  </si>
  <si>
    <t>SHELLEY  A DAILY</t>
  </si>
  <si>
    <t>MARY BETH DENNIS</t>
  </si>
  <si>
    <t>DAVID  R GRAHAM</t>
  </si>
  <si>
    <t>JASON  A GINN</t>
  </si>
  <si>
    <t>BARBIE  K GOODWIN</t>
  </si>
  <si>
    <t>DALLAS  Q GIBSON</t>
  </si>
  <si>
    <t>MICHAELA  M DOWNING</t>
  </si>
  <si>
    <t>EMILY  R HARTGROVE</t>
  </si>
  <si>
    <t>CONSTANCE LAMB</t>
  </si>
  <si>
    <t>MARY  E LANCASTER</t>
  </si>
  <si>
    <t>JEFFREY  T LEA</t>
  </si>
  <si>
    <t>PHYLLIS  N MCCARTY</t>
  </si>
  <si>
    <t>KELLY  L MICHELS</t>
  </si>
  <si>
    <t>KEITH MILLER</t>
  </si>
  <si>
    <t>JEAN  C MCLAUGHLIN</t>
  </si>
  <si>
    <t>JOHNNA  N DEWITT</t>
  </si>
  <si>
    <t>WILLIAM  P MOORE</t>
  </si>
  <si>
    <t>EMMA  I REDMON</t>
  </si>
  <si>
    <t>EDGAR  B RICHARDSON</t>
  </si>
  <si>
    <t>MICHAEL  W MASON</t>
  </si>
  <si>
    <t>RANDY  K STEVENS</t>
  </si>
  <si>
    <t>MELANIE  B CROSSFIELD</t>
  </si>
  <si>
    <t>LUCAS  M MAKOWSKI</t>
  </si>
  <si>
    <t>MICHAEL  L MORIARTY</t>
  </si>
  <si>
    <t>MICHAEL  D NETHERY</t>
  </si>
  <si>
    <t>BLAKE  D NEWBY</t>
  </si>
  <si>
    <t>HUNTER  G NEW</t>
  </si>
  <si>
    <t>DUSTIN  S PEACH</t>
  </si>
  <si>
    <t>MICHAEL  C PING</t>
  </si>
  <si>
    <t>DUSTY PHELPS</t>
  </si>
  <si>
    <t>ANTHONY  N RAIZOR</t>
  </si>
  <si>
    <t>STEPHEN  D RAVENSCROFT</t>
  </si>
  <si>
    <t>MATTHEW  J REIDE</t>
  </si>
  <si>
    <t>RICHARD  L SPOONAMORE</t>
  </si>
  <si>
    <t>DYLAN  R STAPLES</t>
  </si>
  <si>
    <t>GARY  G WARFORD</t>
  </si>
  <si>
    <t>COOPER  S WAFZIG</t>
  </si>
  <si>
    <t>Allowed Total</t>
  </si>
  <si>
    <t>Arnold</t>
  </si>
  <si>
    <t>Chilton</t>
  </si>
  <si>
    <t>Hargadon</t>
  </si>
  <si>
    <t>Joyce</t>
  </si>
  <si>
    <t>Stratton</t>
  </si>
  <si>
    <t>Taylor</t>
  </si>
  <si>
    <t>NRECA Summer School</t>
  </si>
  <si>
    <t>CFC Training - Louisville</t>
  </si>
  <si>
    <t>KEC Annual Meeting</t>
  </si>
  <si>
    <t>EKP Annual Meeting</t>
  </si>
  <si>
    <t>Wellness Program - gym reimbursement</t>
  </si>
  <si>
    <t>Director AD&amp;D Insurance</t>
  </si>
  <si>
    <t>NRECA Summer School (Arnold/Hargadon)</t>
  </si>
  <si>
    <t>CFC Training (Arnold/Hargadon)</t>
  </si>
  <si>
    <t>KEC Annual meeting (Arnold/Hargadon)</t>
  </si>
  <si>
    <t>EKP Annual meeting (Arnold/Joyce)</t>
  </si>
  <si>
    <t>362.0</t>
  </si>
  <si>
    <t>Substation Equipment</t>
  </si>
  <si>
    <t>364.0</t>
  </si>
  <si>
    <t>Poles, Towers and Fixtures</t>
  </si>
  <si>
    <t>365.0</t>
  </si>
  <si>
    <t>Overhead Conductors and Devices</t>
  </si>
  <si>
    <t>366.0</t>
  </si>
  <si>
    <t>Underground Conduit</t>
  </si>
  <si>
    <t>367.0</t>
  </si>
  <si>
    <t>Underground Conductors/Devices</t>
  </si>
  <si>
    <t>368.0</t>
  </si>
  <si>
    <t>Line Transformers</t>
  </si>
  <si>
    <t>369.0</t>
  </si>
  <si>
    <t>370.0</t>
  </si>
  <si>
    <t>371.0</t>
  </si>
  <si>
    <t>Installation on Cons Premises</t>
  </si>
  <si>
    <t>373.0</t>
  </si>
  <si>
    <t>Street Lights and Signal System</t>
  </si>
  <si>
    <t>389.0</t>
  </si>
  <si>
    <t xml:space="preserve">Land and Land Rights </t>
  </si>
  <si>
    <t>389.1</t>
  </si>
  <si>
    <t>390.0</t>
  </si>
  <si>
    <t>Structures and Improvements</t>
  </si>
  <si>
    <t>391.0</t>
  </si>
  <si>
    <t>Office Furniture and Fixtures</t>
  </si>
  <si>
    <t>393.0</t>
  </si>
  <si>
    <t>Stores Equipment</t>
  </si>
  <si>
    <t>394.0</t>
  </si>
  <si>
    <t>Tools, Shop and Garage Equipment</t>
  </si>
  <si>
    <t>395.0</t>
  </si>
  <si>
    <t>Laboratory Equipment</t>
  </si>
  <si>
    <t>397.0</t>
  </si>
  <si>
    <t>Communications Equipment</t>
  </si>
  <si>
    <t>398.0</t>
  </si>
  <si>
    <t>Miscellaneous Equipment</t>
  </si>
  <si>
    <t>Charged to Clearing</t>
  </si>
  <si>
    <t>Allocation of Clearing to O&amp;M</t>
  </si>
  <si>
    <t>A + B</t>
  </si>
  <si>
    <t>Depr $</t>
  </si>
  <si>
    <t>Allocation based on Labor Allocators from Reference Schedule 1.12</t>
  </si>
  <si>
    <t>Reference Schedule: 1.08</t>
  </si>
  <si>
    <t>Reference Schedule: 1.13</t>
  </si>
  <si>
    <t>EKPC Capital Credits</t>
  </si>
  <si>
    <t>This adjustment removes G&amp;T capital credits consistent with standard</t>
  </si>
  <si>
    <t>Commission practice.</t>
  </si>
  <si>
    <t>Specifically, for employees under R&amp;S Pension Plan and 401(k) Plan, removes the 401(k) employer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</si>
</sst>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_(&quot;$&quot;* #,##0_);_(&quot;$&quot;* \(#,##0\);_(&quot;$&quot;* &quot;-&quot;??_);_(@_)"/>
    <numFmt numFmtId="167" formatCode="_(&quot;$&quot;* #,##0.00000_);_(&quot;$&quot;* \(#,##0.00000\);_(&quot;$&quot;* &quot;-&quot;??_);_(@_)"/>
    <numFmt numFmtId="168" formatCode="_(* #,##0.00000_);_(* \(#,##0.00000\);_(* &quot;-&quot;??_);_(@_)"/>
    <numFmt numFmtId="169" formatCode="0.0%"/>
    <numFmt numFmtId="170" formatCode="m/d/yy;@"/>
    <numFmt numFmtId="171" formatCode="_(* #,##0.0_);_(* \(#,##0.0\);_(* &quot;-&quot;??_);_(@_)"/>
  </numFmts>
  <fonts count="27">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rgb="FFFF0000"/>
      <name val="Arial"/>
      <family val="2"/>
    </font>
    <font>
      <b/>
      <sz val="10"/>
      <name val="Arial"/>
      <family val="2"/>
    </font>
    <font>
      <u/>
      <sz val="10"/>
      <color theme="1"/>
      <name val="Arial"/>
      <family val="2"/>
    </font>
    <font>
      <sz val="10"/>
      <name val="Arial"/>
      <family val="2"/>
    </font>
    <font>
      <sz val="11"/>
      <name val="Times New Roman"/>
      <family val="1"/>
    </font>
    <font>
      <sz val="12"/>
      <color theme="1"/>
      <name val="Arial"/>
      <family val="2"/>
    </font>
    <font>
      <sz val="12"/>
      <name val="P-TIMES"/>
    </font>
    <font>
      <sz val="10"/>
      <name val="MS Sans Serif"/>
      <family val="2"/>
    </font>
    <font>
      <b/>
      <u/>
      <sz val="10"/>
      <name val="Arial"/>
      <family val="2"/>
    </font>
    <font>
      <u/>
      <sz val="10"/>
      <name val="Arial"/>
      <family val="2"/>
    </font>
    <font>
      <b/>
      <sz val="9"/>
      <color indexed="81"/>
      <name val="Tahoma"/>
      <family val="2"/>
    </font>
    <font>
      <sz val="9"/>
      <color indexed="81"/>
      <name val="Tahoma"/>
      <family val="2"/>
    </font>
    <font>
      <b/>
      <sz val="11"/>
      <name val="Arial"/>
      <family val="2"/>
    </font>
    <font>
      <b/>
      <i/>
      <sz val="10"/>
      <color theme="1"/>
      <name val="Arial"/>
      <family val="2"/>
    </font>
    <font>
      <sz val="11"/>
      <name val="Arial"/>
      <family val="2"/>
    </font>
    <font>
      <u/>
      <sz val="11"/>
      <name val="Arial"/>
      <family val="2"/>
    </font>
    <font>
      <b/>
      <sz val="11"/>
      <color theme="1"/>
      <name val="Arial"/>
      <family val="2"/>
    </font>
    <font>
      <sz val="11"/>
      <color theme="1"/>
      <name val="Arial"/>
      <family val="2"/>
    </font>
    <font>
      <b/>
      <i/>
      <sz val="11"/>
      <color theme="1"/>
      <name val="Arial"/>
      <family val="2"/>
    </font>
    <font>
      <i/>
      <u/>
      <sz val="10"/>
      <color theme="1"/>
      <name val="Arial"/>
      <family val="2"/>
    </font>
    <font>
      <b/>
      <sz val="10"/>
      <color rgb="FF0033CC"/>
      <name val="Arial"/>
      <family val="2"/>
    </font>
    <font>
      <i/>
      <sz val="10"/>
      <color theme="1"/>
      <name val="Arial"/>
      <family val="2"/>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s>
  <borders count="3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thin">
        <color theme="1"/>
      </top>
      <bottom/>
      <diagonal/>
    </border>
    <border>
      <left/>
      <right/>
      <top style="thin">
        <color theme="1"/>
      </top>
      <bottom style="double">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0" fontId="10" fillId="0" borderId="0"/>
    <xf numFmtId="0" fontId="1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396">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right"/>
    </xf>
    <xf numFmtId="0" fontId="3" fillId="0" borderId="0" xfId="0" applyFont="1" applyAlignment="1">
      <alignment horizontal="center"/>
    </xf>
    <xf numFmtId="0" fontId="5" fillId="0" borderId="1" xfId="0" applyFont="1" applyBorder="1" applyAlignment="1">
      <alignment horizontal="center"/>
    </xf>
    <xf numFmtId="164" fontId="5" fillId="0" borderId="1" xfId="0" quotePrefix="1" applyNumberFormat="1" applyFont="1" applyBorder="1" applyAlignment="1">
      <alignment horizontal="center"/>
    </xf>
    <xf numFmtId="165" fontId="3" fillId="0" borderId="0" xfId="1" applyNumberFormat="1" applyFont="1" applyFill="1"/>
    <xf numFmtId="165" fontId="7" fillId="0" borderId="0" xfId="1" applyNumberFormat="1" applyFont="1" applyFill="1"/>
    <xf numFmtId="0" fontId="3" fillId="0" borderId="2" xfId="0" applyFont="1" applyBorder="1"/>
    <xf numFmtId="165" fontId="7" fillId="0" borderId="2" xfId="1" applyNumberFormat="1" applyFont="1" applyFill="1" applyBorder="1"/>
    <xf numFmtId="166" fontId="3" fillId="0" borderId="0" xfId="2" applyNumberFormat="1" applyFont="1" applyFill="1"/>
    <xf numFmtId="0" fontId="3" fillId="0" borderId="4" xfId="0" applyFont="1" applyBorder="1"/>
    <xf numFmtId="0" fontId="7" fillId="0" borderId="0" xfId="0" applyFont="1" applyAlignment="1">
      <alignment horizontal="center" wrapText="1"/>
    </xf>
    <xf numFmtId="0" fontId="3" fillId="0" borderId="0" xfId="0" applyFont="1" applyAlignment="1">
      <alignment horizontal="center" wrapText="1"/>
    </xf>
    <xf numFmtId="0" fontId="7" fillId="0" borderId="1" xfId="0" applyFont="1" applyBorder="1" applyAlignment="1">
      <alignment horizontal="center"/>
    </xf>
    <xf numFmtId="164" fontId="7" fillId="0" borderId="1" xfId="0" quotePrefix="1" applyNumberFormat="1" applyFont="1" applyBorder="1" applyAlignment="1">
      <alignment horizontal="center"/>
    </xf>
    <xf numFmtId="165" fontId="3" fillId="0" borderId="0" xfId="1" applyNumberFormat="1" applyFont="1"/>
    <xf numFmtId="165" fontId="3" fillId="0" borderId="0" xfId="1" applyNumberFormat="1" applyFont="1" applyBorder="1"/>
    <xf numFmtId="10" fontId="7" fillId="0" borderId="0" xfId="3" applyNumberFormat="1" applyFont="1" applyFill="1"/>
    <xf numFmtId="0" fontId="2" fillId="0" borderId="0" xfId="6" applyFont="1" applyAlignment="1">
      <alignment horizontal="right"/>
    </xf>
    <xf numFmtId="0" fontId="3" fillId="0" borderId="0" xfId="6" applyFont="1"/>
    <xf numFmtId="0" fontId="3" fillId="0" borderId="1" xfId="0" applyFont="1" applyBorder="1" applyAlignment="1">
      <alignment horizontal="center"/>
    </xf>
    <xf numFmtId="0" fontId="3" fillId="0" borderId="1" xfId="0" quotePrefix="1" applyFont="1" applyBorder="1" applyAlignment="1">
      <alignment horizontal="center"/>
    </xf>
    <xf numFmtId="0" fontId="7" fillId="0" borderId="0" xfId="0" applyFont="1" applyAlignment="1">
      <alignment horizontal="center"/>
    </xf>
    <xf numFmtId="166" fontId="3" fillId="0" borderId="0" xfId="2" applyNumberFormat="1" applyFont="1"/>
    <xf numFmtId="0" fontId="7" fillId="0" borderId="2" xfId="0" applyFont="1" applyBorder="1" applyAlignment="1">
      <alignment horizontal="center"/>
    </xf>
    <xf numFmtId="166" fontId="3" fillId="0" borderId="0" xfId="2" applyNumberFormat="1" applyFont="1" applyBorder="1"/>
    <xf numFmtId="0" fontId="7" fillId="0" borderId="0" xfId="0" applyFont="1" applyAlignment="1">
      <alignment horizontal="left" vertical="center"/>
    </xf>
    <xf numFmtId="0" fontId="2" fillId="0" borderId="0" xfId="0" applyFont="1"/>
    <xf numFmtId="0" fontId="7" fillId="0" borderId="6" xfId="0" applyFont="1" applyBorder="1" applyAlignment="1">
      <alignment horizontal="center"/>
    </xf>
    <xf numFmtId="0" fontId="7" fillId="0" borderId="0" xfId="0" applyFont="1"/>
    <xf numFmtId="166" fontId="3" fillId="0" borderId="0" xfId="2" applyNumberFormat="1" applyFont="1" applyFill="1" applyBorder="1"/>
    <xf numFmtId="166" fontId="3" fillId="0" borderId="0" xfId="0" applyNumberFormat="1" applyFont="1"/>
    <xf numFmtId="0" fontId="7" fillId="0" borderId="4" xfId="0" applyFont="1" applyBorder="1"/>
    <xf numFmtId="166" fontId="3" fillId="0" borderId="4" xfId="0" applyNumberFormat="1" applyFont="1" applyBorder="1"/>
    <xf numFmtId="166" fontId="3" fillId="0" borderId="4" xfId="2" applyNumberFormat="1" applyFont="1" applyBorder="1"/>
    <xf numFmtId="0" fontId="2" fillId="0" borderId="1" xfId="0" applyFont="1" applyBorder="1"/>
    <xf numFmtId="0" fontId="6" fillId="0" borderId="0" xfId="0" applyFont="1" applyAlignment="1">
      <alignment horizontal="left"/>
    </xf>
    <xf numFmtId="41" fontId="7" fillId="0" borderId="0" xfId="0" applyNumberFormat="1" applyFont="1"/>
    <xf numFmtId="0" fontId="3" fillId="0" borderId="2" xfId="0" applyFont="1" applyBorder="1" applyAlignment="1">
      <alignment horizontal="right"/>
    </xf>
    <xf numFmtId="41" fontId="3" fillId="0" borderId="2" xfId="0" applyNumberFormat="1" applyFont="1" applyBorder="1"/>
    <xf numFmtId="0" fontId="3" fillId="0" borderId="0" xfId="0" applyFont="1" applyAlignment="1">
      <alignment horizontal="right"/>
    </xf>
    <xf numFmtId="41" fontId="3" fillId="0" borderId="0" xfId="0" applyNumberFormat="1" applyFont="1"/>
    <xf numFmtId="0" fontId="7" fillId="0" borderId="0" xfId="0" applyFont="1" applyAlignment="1">
      <alignment horizontal="center" vertical="center"/>
    </xf>
    <xf numFmtId="0" fontId="7" fillId="0" borderId="0" xfId="0" applyFont="1" applyAlignment="1">
      <alignment vertical="top" wrapText="1"/>
    </xf>
    <xf numFmtId="0" fontId="13" fillId="0" borderId="0" xfId="0" applyFont="1" applyAlignment="1">
      <alignment horizontal="left"/>
    </xf>
    <xf numFmtId="0" fontId="13" fillId="0" borderId="0" xfId="0" applyFont="1" applyAlignment="1">
      <alignment horizontal="right" wrapText="1"/>
    </xf>
    <xf numFmtId="166" fontId="7" fillId="0" borderId="0" xfId="2" applyNumberFormat="1" applyFont="1" applyBorder="1" applyProtection="1"/>
    <xf numFmtId="0" fontId="7" fillId="0" borderId="2" xfId="0" applyFont="1" applyBorder="1"/>
    <xf numFmtId="166" fontId="7" fillId="0" borderId="0" xfId="2" applyNumberFormat="1" applyFont="1" applyBorder="1" applyAlignment="1" applyProtection="1">
      <alignment horizontal="center"/>
    </xf>
    <xf numFmtId="169" fontId="7" fillId="0" borderId="0" xfId="3" applyNumberFormat="1" applyFont="1" applyBorder="1" applyProtection="1"/>
    <xf numFmtId="0" fontId="7" fillId="0" borderId="4" xfId="0" applyFont="1" applyBorder="1" applyAlignment="1">
      <alignment horizontal="center"/>
    </xf>
    <xf numFmtId="169" fontId="7" fillId="0" borderId="4" xfId="3" applyNumberFormat="1" applyFont="1" applyBorder="1" applyProtection="1"/>
    <xf numFmtId="0" fontId="5" fillId="0" borderId="0" xfId="6" applyFont="1" applyAlignment="1">
      <alignment horizontal="right"/>
    </xf>
    <xf numFmtId="166" fontId="7" fillId="0" borderId="0" xfId="2" applyNumberFormat="1" applyFont="1"/>
    <xf numFmtId="0" fontId="7" fillId="0" borderId="0" xfId="6" applyFont="1"/>
    <xf numFmtId="0" fontId="7" fillId="3" borderId="0" xfId="0" applyFont="1" applyFill="1" applyAlignment="1">
      <alignment horizontal="center"/>
    </xf>
    <xf numFmtId="0" fontId="7" fillId="4" borderId="0" xfId="0" applyFont="1" applyFill="1" applyAlignment="1">
      <alignment horizontal="center"/>
    </xf>
    <xf numFmtId="0" fontId="7" fillId="4" borderId="0" xfId="0" applyFont="1" applyFill="1" applyAlignment="1">
      <alignment horizontal="center" wrapText="1"/>
    </xf>
    <xf numFmtId="0" fontId="7" fillId="4" borderId="0" xfId="6" applyFont="1" applyFill="1" applyAlignment="1">
      <alignment horizontal="center"/>
    </xf>
    <xf numFmtId="164" fontId="7" fillId="3" borderId="1" xfId="0" quotePrefix="1" applyNumberFormat="1" applyFont="1" applyFill="1" applyBorder="1" applyAlignment="1">
      <alignment horizontal="center"/>
    </xf>
    <xf numFmtId="0" fontId="7" fillId="0" borderId="0" xfId="0" applyFont="1" applyAlignment="1">
      <alignment horizontal="centerContinuous"/>
    </xf>
    <xf numFmtId="0" fontId="7" fillId="4" borderId="0" xfId="0" applyFont="1" applyFill="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166" fontId="7" fillId="0" borderId="0" xfId="2" applyNumberFormat="1" applyFont="1" applyAlignment="1">
      <alignment horizontal="center" wrapText="1"/>
    </xf>
    <xf numFmtId="169" fontId="7" fillId="0" borderId="0" xfId="3" applyNumberFormat="1" applyFont="1"/>
    <xf numFmtId="14" fontId="7" fillId="0" borderId="0" xfId="0" applyNumberFormat="1" applyFont="1" applyAlignment="1">
      <alignment horizontal="center"/>
    </xf>
    <xf numFmtId="14" fontId="7" fillId="0" borderId="0" xfId="0" applyNumberFormat="1" applyFont="1"/>
    <xf numFmtId="0" fontId="7" fillId="0" borderId="16" xfId="0" applyFont="1" applyBorder="1"/>
    <xf numFmtId="0" fontId="7" fillId="0" borderId="17" xfId="0" applyFont="1" applyBorder="1"/>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wrapText="1"/>
    </xf>
    <xf numFmtId="0" fontId="7" fillId="4" borderId="12" xfId="0" applyFont="1" applyFill="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170" fontId="7" fillId="0" borderId="0" xfId="0" applyNumberFormat="1" applyFont="1" applyAlignment="1">
      <alignment horizontal="center"/>
    </xf>
    <xf numFmtId="0" fontId="7" fillId="0" borderId="26" xfId="0" applyFont="1" applyBorder="1" applyAlignment="1">
      <alignment horizontal="center"/>
    </xf>
    <xf numFmtId="0" fontId="7" fillId="0" borderId="23" xfId="0" applyFont="1" applyBorder="1" applyAlignment="1">
      <alignment horizontal="center"/>
    </xf>
    <xf numFmtId="166" fontId="7" fillId="0" borderId="0" xfId="2" applyNumberFormat="1" applyFont="1" applyAlignment="1">
      <alignment horizontal="center"/>
    </xf>
    <xf numFmtId="170" fontId="7" fillId="0" borderId="0" xfId="0" applyNumberFormat="1" applyFont="1" applyAlignment="1">
      <alignment horizontal="center" wrapText="1"/>
    </xf>
    <xf numFmtId="1" fontId="7" fillId="0" borderId="0" xfId="1" applyNumberFormat="1" applyFont="1" applyAlignment="1">
      <alignment horizontal="center"/>
    </xf>
    <xf numFmtId="49" fontId="7" fillId="0" borderId="0" xfId="0" applyNumberFormat="1" applyFont="1" applyAlignment="1">
      <alignment horizontal="center"/>
    </xf>
    <xf numFmtId="0" fontId="12" fillId="0" borderId="0" xfId="0" applyFont="1"/>
    <xf numFmtId="0" fontId="5" fillId="0" borderId="0" xfId="0" applyFont="1" applyAlignment="1">
      <alignment horizontal="center"/>
    </xf>
    <xf numFmtId="43" fontId="7" fillId="0" borderId="0" xfId="1" applyFont="1"/>
    <xf numFmtId="43" fontId="7" fillId="4" borderId="0" xfId="1" applyFont="1" applyFill="1"/>
    <xf numFmtId="41" fontId="7" fillId="0" borderId="0" xfId="1" applyNumberFormat="1" applyFont="1"/>
    <xf numFmtId="0" fontId="7" fillId="0" borderId="0" xfId="0" applyFont="1" applyAlignment="1">
      <alignment horizontal="left"/>
    </xf>
    <xf numFmtId="2" fontId="7" fillId="0" borderId="0" xfId="0" applyNumberFormat="1" applyFont="1"/>
    <xf numFmtId="37" fontId="7" fillId="0" borderId="0" xfId="0" applyNumberFormat="1" applyFont="1"/>
    <xf numFmtId="166" fontId="7" fillId="0" borderId="0" xfId="0" applyNumberFormat="1" applyFont="1"/>
    <xf numFmtId="0" fontId="5" fillId="0" borderId="2" xfId="0" applyFont="1" applyBorder="1" applyAlignment="1">
      <alignment horizontal="center"/>
    </xf>
    <xf numFmtId="0" fontId="5" fillId="0" borderId="2" xfId="0" applyFont="1" applyBorder="1"/>
    <xf numFmtId="43" fontId="5" fillId="0" borderId="2" xfId="1" applyFont="1" applyBorder="1"/>
    <xf numFmtId="41" fontId="5" fillId="0" borderId="2" xfId="1" applyNumberFormat="1" applyFont="1" applyBorder="1"/>
    <xf numFmtId="38" fontId="5" fillId="0" borderId="2" xfId="1" applyNumberFormat="1" applyFont="1" applyBorder="1"/>
    <xf numFmtId="166" fontId="7" fillId="0" borderId="2" xfId="2" applyNumberFormat="1" applyFont="1" applyBorder="1"/>
    <xf numFmtId="43" fontId="5" fillId="0" borderId="0" xfId="1" applyFont="1"/>
    <xf numFmtId="43" fontId="5" fillId="4" borderId="0" xfId="1" applyFont="1" applyFill="1"/>
    <xf numFmtId="41" fontId="5" fillId="0" borderId="0" xfId="1" applyNumberFormat="1" applyFont="1"/>
    <xf numFmtId="0" fontId="5" fillId="0" borderId="0" xfId="0" applyFont="1"/>
    <xf numFmtId="4" fontId="7" fillId="0" borderId="0" xfId="0" applyNumberFormat="1" applyFont="1" applyAlignment="1">
      <alignment vertical="top"/>
    </xf>
    <xf numFmtId="166" fontId="5" fillId="0" borderId="0" xfId="2" quotePrefix="1" applyNumberFormat="1" applyFont="1" applyBorder="1" applyAlignment="1">
      <alignment horizontal="center"/>
    </xf>
    <xf numFmtId="166" fontId="5" fillId="0" borderId="0" xfId="0" quotePrefix="1" applyNumberFormat="1" applyFont="1" applyAlignment="1">
      <alignment horizontal="center"/>
    </xf>
    <xf numFmtId="166" fontId="5" fillId="0" borderId="1" xfId="2" applyNumberFormat="1" applyFont="1" applyBorder="1" applyAlignment="1">
      <alignment horizontal="center"/>
    </xf>
    <xf numFmtId="166" fontId="5" fillId="0" borderId="1" xfId="0" applyNumberFormat="1" applyFont="1" applyBorder="1" applyAlignment="1">
      <alignment horizontal="center"/>
    </xf>
    <xf numFmtId="44" fontId="7" fillId="0" borderId="0" xfId="2" applyFont="1"/>
    <xf numFmtId="44" fontId="7" fillId="0" borderId="0" xfId="0" applyNumberFormat="1" applyFont="1"/>
    <xf numFmtId="43" fontId="7" fillId="0" borderId="0" xfId="0" applyNumberFormat="1" applyFont="1"/>
    <xf numFmtId="165" fontId="7" fillId="4" borderId="0" xfId="1" applyNumberFormat="1" applyFont="1" applyFill="1"/>
    <xf numFmtId="165" fontId="7" fillId="4" borderId="0" xfId="1" applyNumberFormat="1" applyFont="1" applyFill="1" applyAlignment="1">
      <alignment horizontal="center" wrapText="1"/>
    </xf>
    <xf numFmtId="165" fontId="7" fillId="4" borderId="0" xfId="1" applyNumberFormat="1" applyFont="1" applyFill="1" applyAlignment="1">
      <alignment horizontal="center"/>
    </xf>
    <xf numFmtId="0" fontId="7" fillId="0" borderId="0" xfId="0" applyFont="1" applyAlignment="1">
      <alignment vertical="center"/>
    </xf>
    <xf numFmtId="43" fontId="7" fillId="4" borderId="0" xfId="1" applyFont="1" applyFill="1" applyAlignment="1">
      <alignment vertical="center"/>
    </xf>
    <xf numFmtId="0" fontId="7" fillId="4" borderId="0" xfId="0" applyFont="1" applyFill="1" applyAlignment="1">
      <alignment horizontal="center" vertical="center" wrapText="1"/>
    </xf>
    <xf numFmtId="0" fontId="7" fillId="4" borderId="0" xfId="6" applyFont="1" applyFill="1" applyAlignment="1">
      <alignment horizontal="center" vertical="center"/>
    </xf>
    <xf numFmtId="43" fontId="7" fillId="0" borderId="0" xfId="0" applyNumberFormat="1" applyFont="1" applyAlignment="1">
      <alignment vertical="center"/>
    </xf>
    <xf numFmtId="0" fontId="7" fillId="0" borderId="4" xfId="0" applyFont="1" applyBorder="1" applyAlignment="1">
      <alignment horizontal="center" vertical="center"/>
    </xf>
    <xf numFmtId="166" fontId="7" fillId="0" borderId="0" xfId="2" applyNumberFormat="1" applyFont="1" applyAlignment="1">
      <alignment vertical="center"/>
    </xf>
    <xf numFmtId="0" fontId="13" fillId="0" borderId="0" xfId="0" applyFont="1" applyAlignment="1">
      <alignment horizontal="center"/>
    </xf>
    <xf numFmtId="0" fontId="7" fillId="0" borderId="0" xfId="0" applyFont="1" applyAlignment="1">
      <alignment wrapText="1"/>
    </xf>
    <xf numFmtId="169" fontId="7" fillId="0" borderId="2" xfId="3" applyNumberFormat="1" applyFont="1" applyBorder="1" applyProtection="1"/>
    <xf numFmtId="166" fontId="7" fillId="0" borderId="2" xfId="0" applyNumberFormat="1" applyFont="1" applyBorder="1"/>
    <xf numFmtId="166" fontId="7" fillId="0" borderId="4" xfId="2" applyNumberFormat="1" applyFont="1" applyBorder="1" applyAlignment="1" applyProtection="1"/>
    <xf numFmtId="0" fontId="13" fillId="0" borderId="0" xfId="0" applyFont="1" applyAlignment="1">
      <alignment horizontal="right"/>
    </xf>
    <xf numFmtId="2" fontId="7" fillId="0" borderId="0" xfId="0" applyNumberFormat="1" applyFont="1" applyAlignment="1">
      <alignment horizontal="center"/>
    </xf>
    <xf numFmtId="166" fontId="7" fillId="0" borderId="0" xfId="2" applyNumberFormat="1" applyFont="1" applyProtection="1"/>
    <xf numFmtId="166" fontId="7" fillId="0" borderId="0" xfId="1" applyNumberFormat="1" applyFont="1"/>
    <xf numFmtId="166" fontId="7" fillId="0" borderId="1" xfId="1" applyNumberFormat="1" applyFont="1" applyBorder="1"/>
    <xf numFmtId="166" fontId="7" fillId="0" borderId="1" xfId="0" applyNumberFormat="1" applyFont="1" applyBorder="1"/>
    <xf numFmtId="2" fontId="7" fillId="0" borderId="0" xfId="0" quotePrefix="1" applyNumberFormat="1" applyFont="1" applyAlignment="1">
      <alignment horizontal="center"/>
    </xf>
    <xf numFmtId="169" fontId="7" fillId="0" borderId="2" xfId="3" applyNumberFormat="1" applyFont="1" applyBorder="1"/>
    <xf numFmtId="9" fontId="7" fillId="0" borderId="0" xfId="3" applyFont="1"/>
    <xf numFmtId="166" fontId="3" fillId="0" borderId="2" xfId="2" applyNumberFormat="1" applyFont="1" applyBorder="1"/>
    <xf numFmtId="0" fontId="3" fillId="0" borderId="0" xfId="0" applyFont="1" applyAlignment="1">
      <alignment horizontal="left" vertical="top" wrapText="1"/>
    </xf>
    <xf numFmtId="0" fontId="7" fillId="0" borderId="0" xfId="0" applyFont="1" applyAlignment="1">
      <alignment horizontal="left" vertical="top"/>
    </xf>
    <xf numFmtId="0" fontId="12" fillId="0" borderId="0" xfId="0" applyFont="1" applyAlignment="1">
      <alignment horizontal="left" vertical="top"/>
    </xf>
    <xf numFmtId="166" fontId="7" fillId="0" borderId="0" xfId="2" applyNumberFormat="1" applyFont="1" applyAlignment="1">
      <alignment horizontal="left" vertical="top"/>
    </xf>
    <xf numFmtId="165" fontId="2" fillId="0" borderId="0" xfId="1" applyNumberFormat="1" applyFont="1" applyFill="1" applyAlignment="1"/>
    <xf numFmtId="165" fontId="2" fillId="0" borderId="0" xfId="1" applyNumberFormat="1" applyFont="1" applyFill="1" applyAlignment="1">
      <alignment horizontal="center"/>
    </xf>
    <xf numFmtId="0" fontId="17" fillId="0" borderId="0" xfId="0" applyFont="1"/>
    <xf numFmtId="165" fontId="7" fillId="0" borderId="0" xfId="1" applyNumberFormat="1" applyFont="1" applyProtection="1"/>
    <xf numFmtId="165" fontId="7" fillId="0" borderId="2" xfId="1" applyNumberFormat="1" applyFont="1" applyBorder="1" applyProtection="1"/>
    <xf numFmtId="165" fontId="7" fillId="0" borderId="0" xfId="1" applyNumberFormat="1" applyFont="1" applyFill="1" applyProtection="1"/>
    <xf numFmtId="165" fontId="7" fillId="0" borderId="4" xfId="1" applyNumberFormat="1" applyFont="1" applyBorder="1" applyProtection="1"/>
    <xf numFmtId="165" fontId="7" fillId="0" borderId="0" xfId="1" applyNumberFormat="1" applyFont="1" applyBorder="1" applyProtection="1"/>
    <xf numFmtId="0" fontId="17" fillId="0" borderId="0" xfId="0" applyFont="1" applyAlignment="1">
      <alignment horizontal="left"/>
    </xf>
    <xf numFmtId="0" fontId="18" fillId="0" borderId="0" xfId="7" applyFont="1" applyAlignment="1">
      <alignment horizontal="centerContinuous"/>
    </xf>
    <xf numFmtId="0" fontId="18" fillId="0" borderId="0" xfId="7" applyFont="1" applyAlignment="1">
      <alignment horizontal="right"/>
    </xf>
    <xf numFmtId="0" fontId="18" fillId="0" borderId="0" xfId="7" applyFont="1"/>
    <xf numFmtId="0" fontId="18" fillId="0" borderId="1" xfId="7" applyFont="1" applyBorder="1" applyAlignment="1">
      <alignment horizontal="center" wrapText="1"/>
    </xf>
    <xf numFmtId="37" fontId="18" fillId="0" borderId="0" xfId="7" applyNumberFormat="1" applyFont="1"/>
    <xf numFmtId="0" fontId="19" fillId="0" borderId="0" xfId="7" applyFont="1"/>
    <xf numFmtId="165" fontId="18" fillId="0" borderId="0" xfId="1" applyNumberFormat="1" applyFont="1" applyFill="1"/>
    <xf numFmtId="0" fontId="18" fillId="0" borderId="27" xfId="7" applyFont="1" applyBorder="1"/>
    <xf numFmtId="0" fontId="18" fillId="0" borderId="28" xfId="7" applyFont="1" applyBorder="1"/>
    <xf numFmtId="0" fontId="16" fillId="0" borderId="0" xfId="7" applyFont="1"/>
    <xf numFmtId="166" fontId="5" fillId="0" borderId="0" xfId="2" applyNumberFormat="1" applyFont="1"/>
    <xf numFmtId="0" fontId="18" fillId="0" borderId="0" xfId="7" applyFont="1" applyAlignment="1">
      <alignment horizontal="center"/>
    </xf>
    <xf numFmtId="165" fontId="18" fillId="0" borderId="0" xfId="1" applyNumberFormat="1" applyFont="1" applyFill="1" applyProtection="1"/>
    <xf numFmtId="165" fontId="18" fillId="0" borderId="27" xfId="1" applyNumberFormat="1" applyFont="1" applyFill="1" applyBorder="1" applyProtection="1"/>
    <xf numFmtId="165" fontId="18" fillId="0" borderId="0" xfId="1" applyNumberFormat="1" applyFont="1" applyFill="1" applyAlignment="1" applyProtection="1">
      <alignment horizontal="right"/>
    </xf>
    <xf numFmtId="165" fontId="18" fillId="0" borderId="28" xfId="1" applyNumberFormat="1" applyFont="1" applyFill="1" applyBorder="1" applyProtection="1"/>
    <xf numFmtId="0" fontId="18" fillId="0" borderId="3" xfId="7" applyFont="1" applyBorder="1" applyAlignment="1">
      <alignment horizontal="center" wrapText="1"/>
    </xf>
    <xf numFmtId="0" fontId="18" fillId="0" borderId="3" xfId="7" applyFont="1" applyBorder="1" applyAlignment="1">
      <alignment horizontal="center"/>
    </xf>
    <xf numFmtId="2" fontId="18" fillId="0" borderId="3" xfId="7" applyNumberFormat="1" applyFont="1" applyBorder="1" applyAlignment="1">
      <alignment horizontal="center"/>
    </xf>
    <xf numFmtId="166" fontId="7" fillId="0" borderId="2" xfId="2" applyNumberFormat="1" applyFont="1" applyBorder="1" applyAlignment="1" applyProtection="1">
      <alignment horizontal="center"/>
    </xf>
    <xf numFmtId="0" fontId="21" fillId="0" borderId="0" xfId="0" applyFont="1"/>
    <xf numFmtId="0" fontId="20" fillId="0" borderId="0" xfId="0" applyFont="1" applyAlignment="1">
      <alignment horizontal="center"/>
    </xf>
    <xf numFmtId="0" fontId="21" fillId="0" borderId="0" xfId="0" applyFont="1" applyAlignment="1">
      <alignment horizontal="center"/>
    </xf>
    <xf numFmtId="44" fontId="21" fillId="0" borderId="0" xfId="2" applyFont="1"/>
    <xf numFmtId="44" fontId="21" fillId="0" borderId="0" xfId="0" applyNumberFormat="1" applyFont="1"/>
    <xf numFmtId="0" fontId="20" fillId="0" borderId="0" xfId="0" applyFont="1"/>
    <xf numFmtId="0" fontId="20" fillId="0" borderId="0" xfId="0" applyFont="1" applyAlignment="1">
      <alignment horizontal="center" wrapText="1"/>
    </xf>
    <xf numFmtId="40" fontId="21" fillId="0" borderId="0" xfId="0" applyNumberFormat="1" applyFont="1" applyProtection="1">
      <protection locked="0"/>
    </xf>
    <xf numFmtId="165" fontId="21" fillId="0" borderId="0" xfId="1" applyNumberFormat="1" applyFont="1"/>
    <xf numFmtId="43" fontId="21" fillId="0" borderId="0" xfId="1" applyFont="1" applyProtection="1">
      <protection locked="0"/>
    </xf>
    <xf numFmtId="43" fontId="21" fillId="0" borderId="0" xfId="1" quotePrefix="1" applyFont="1" applyProtection="1">
      <protection locked="0"/>
    </xf>
    <xf numFmtId="43" fontId="21" fillId="0" borderId="0" xfId="1" applyFont="1" applyBorder="1" applyProtection="1">
      <protection locked="0"/>
    </xf>
    <xf numFmtId="0" fontId="20" fillId="0" borderId="0" xfId="0" quotePrefix="1" applyFont="1" applyAlignment="1">
      <alignment horizontal="center"/>
    </xf>
    <xf numFmtId="40" fontId="21" fillId="0" borderId="0" xfId="1" applyNumberFormat="1" applyFont="1" applyBorder="1" applyProtection="1">
      <protection locked="0"/>
    </xf>
    <xf numFmtId="40" fontId="21" fillId="0" borderId="0" xfId="1" applyNumberFormat="1" applyFont="1" applyFill="1" applyBorder="1"/>
    <xf numFmtId="43" fontId="21" fillId="0" borderId="0" xfId="1" applyFont="1"/>
    <xf numFmtId="165" fontId="21" fillId="0" borderId="0" xfId="1" applyNumberFormat="1" applyFont="1" applyBorder="1"/>
    <xf numFmtId="0" fontId="18" fillId="0" borderId="0" xfId="0" applyFont="1"/>
    <xf numFmtId="165" fontId="21" fillId="0" borderId="0" xfId="1" applyNumberFormat="1" applyFont="1" applyFill="1"/>
    <xf numFmtId="166" fontId="21" fillId="0" borderId="0" xfId="2" applyNumberFormat="1" applyFont="1" applyFill="1"/>
    <xf numFmtId="0" fontId="2" fillId="0" borderId="0" xfId="6" applyFont="1"/>
    <xf numFmtId="0" fontId="3" fillId="0" borderId="0" xfId="0" applyFont="1" applyAlignment="1">
      <alignment vertical="top" wrapText="1"/>
    </xf>
    <xf numFmtId="166" fontId="21" fillId="0" borderId="0" xfId="2" applyNumberFormat="1" applyFont="1" applyProtection="1">
      <protection locked="0"/>
    </xf>
    <xf numFmtId="0" fontId="3" fillId="0" borderId="0" xfId="0" applyFont="1" applyAlignment="1">
      <alignment horizontal="left"/>
    </xf>
    <xf numFmtId="166" fontId="3" fillId="0" borderId="2" xfId="2" applyNumberFormat="1" applyFont="1" applyFill="1" applyBorder="1"/>
    <xf numFmtId="0" fontId="2" fillId="0" borderId="0" xfId="0" applyFont="1" applyAlignment="1">
      <alignment horizontal="center" wrapText="1"/>
    </xf>
    <xf numFmtId="0" fontId="2" fillId="0" borderId="1" xfId="0" applyFont="1" applyBorder="1" applyAlignment="1">
      <alignment horizontal="center"/>
    </xf>
    <xf numFmtId="0" fontId="2" fillId="0" borderId="1" xfId="0" quotePrefix="1" applyFont="1" applyBorder="1" applyAlignment="1">
      <alignment horizontal="center"/>
    </xf>
    <xf numFmtId="0" fontId="2" fillId="0" borderId="0" xfId="0" quotePrefix="1" applyFont="1" applyAlignment="1">
      <alignment horizontal="center"/>
    </xf>
    <xf numFmtId="44" fontId="3" fillId="0" borderId="0" xfId="2" applyFont="1" applyBorder="1" applyProtection="1">
      <protection locked="0"/>
    </xf>
    <xf numFmtId="40" fontId="3" fillId="0" borderId="0" xfId="1" applyNumberFormat="1" applyFont="1" applyBorder="1" applyProtection="1">
      <protection locked="0"/>
    </xf>
    <xf numFmtId="44" fontId="3" fillId="0" borderId="0" xfId="2" applyFont="1" applyFill="1" applyBorder="1" applyAlignment="1" applyProtection="1">
      <protection locked="0"/>
    </xf>
    <xf numFmtId="40" fontId="3" fillId="0" borderId="0" xfId="0" applyNumberFormat="1" applyFont="1" applyProtection="1">
      <protection locked="0"/>
    </xf>
    <xf numFmtId="40" fontId="3" fillId="0" borderId="0" xfId="1" applyNumberFormat="1" applyFont="1" applyFill="1" applyBorder="1"/>
    <xf numFmtId="0" fontId="3" fillId="0" borderId="0" xfId="0" quotePrefix="1" applyFont="1"/>
    <xf numFmtId="166" fontId="5" fillId="0" borderId="5" xfId="0" applyNumberFormat="1" applyFont="1" applyBorder="1"/>
    <xf numFmtId="166" fontId="21" fillId="0" borderId="0" xfId="2" applyNumberFormat="1" applyFont="1"/>
    <xf numFmtId="43" fontId="5" fillId="0" borderId="0" xfId="1" applyFont="1" applyBorder="1"/>
    <xf numFmtId="165" fontId="5" fillId="0" borderId="0" xfId="1" applyNumberFormat="1" applyFont="1" applyBorder="1"/>
    <xf numFmtId="43" fontId="7" fillId="0" borderId="2" xfId="1" applyFont="1" applyBorder="1"/>
    <xf numFmtId="165" fontId="7" fillId="0" borderId="2" xfId="1" applyNumberFormat="1" applyFont="1" applyBorder="1"/>
    <xf numFmtId="43" fontId="7" fillId="0" borderId="0" xfId="1" applyFont="1" applyAlignment="1">
      <alignment vertical="center"/>
    </xf>
    <xf numFmtId="165" fontId="7" fillId="0" borderId="0" xfId="1" applyNumberFormat="1" applyFont="1" applyAlignment="1">
      <alignment vertical="center"/>
    </xf>
    <xf numFmtId="0" fontId="7" fillId="0" borderId="4" xfId="0" applyFont="1" applyBorder="1" applyAlignment="1">
      <alignment horizontal="left" vertical="center"/>
    </xf>
    <xf numFmtId="166" fontId="7" fillId="0" borderId="4" xfId="0" applyNumberFormat="1" applyFont="1" applyBorder="1" applyAlignment="1">
      <alignment vertical="center"/>
    </xf>
    <xf numFmtId="0" fontId="12" fillId="0" borderId="0" xfId="0" applyFont="1" applyAlignment="1">
      <alignment horizontal="center"/>
    </xf>
    <xf numFmtId="165" fontId="7" fillId="0" borderId="3" xfId="1" applyNumberFormat="1" applyFont="1" applyFill="1" applyBorder="1"/>
    <xf numFmtId="165" fontId="7" fillId="0" borderId="4" xfId="1" applyNumberFormat="1" applyFont="1" applyFill="1" applyBorder="1"/>
    <xf numFmtId="43" fontId="7" fillId="0" borderId="0" xfId="1" applyFont="1" applyFill="1"/>
    <xf numFmtId="43" fontId="7" fillId="0" borderId="0" xfId="1" applyFont="1" applyBorder="1"/>
    <xf numFmtId="165" fontId="7" fillId="0" borderId="0" xfId="1" applyNumberFormat="1" applyFont="1" applyBorder="1"/>
    <xf numFmtId="0" fontId="21" fillId="0" borderId="0" xfId="0" applyFont="1" applyAlignment="1">
      <alignment vertical="top" wrapText="1"/>
    </xf>
    <xf numFmtId="0" fontId="2" fillId="0" borderId="1" xfId="0" applyFont="1" applyBorder="1" applyAlignment="1">
      <alignment horizontal="center" wrapText="1"/>
    </xf>
    <xf numFmtId="166" fontId="2" fillId="0" borderId="1" xfId="2" applyNumberFormat="1" applyFont="1" applyBorder="1" applyAlignment="1">
      <alignment horizontal="center" wrapText="1"/>
    </xf>
    <xf numFmtId="10" fontId="24" fillId="5" borderId="0" xfId="3" applyNumberFormat="1" applyFont="1" applyFill="1" applyBorder="1"/>
    <xf numFmtId="44" fontId="3" fillId="0" borderId="0" xfId="0" applyNumberFormat="1" applyFont="1"/>
    <xf numFmtId="169" fontId="3" fillId="0" borderId="0" xfId="3" applyNumberFormat="1" applyFont="1"/>
    <xf numFmtId="169" fontId="3" fillId="0" borderId="2" xfId="3" applyNumberFormat="1" applyFont="1" applyBorder="1"/>
    <xf numFmtId="44" fontId="3" fillId="0" borderId="2" xfId="0" applyNumberFormat="1" applyFont="1" applyBorder="1"/>
    <xf numFmtId="166" fontId="3" fillId="0" borderId="0" xfId="2" applyNumberFormat="1" applyFont="1" applyBorder="1" applyAlignment="1">
      <alignment horizontal="center"/>
    </xf>
    <xf numFmtId="166" fontId="3" fillId="0" borderId="0" xfId="3" applyNumberFormat="1" applyFont="1" applyBorder="1"/>
    <xf numFmtId="166" fontId="3" fillId="0" borderId="0" xfId="1" applyNumberFormat="1" applyFont="1"/>
    <xf numFmtId="166" fontId="3" fillId="0" borderId="2" xfId="0" applyNumberFormat="1" applyFont="1" applyBorder="1"/>
    <xf numFmtId="166" fontId="3" fillId="0" borderId="0" xfId="1" applyNumberFormat="1" applyFont="1" applyBorder="1" applyProtection="1">
      <protection locked="0"/>
    </xf>
    <xf numFmtId="166" fontId="3" fillId="0" borderId="5" xfId="0" applyNumberFormat="1" applyFont="1" applyBorder="1"/>
    <xf numFmtId="0" fontId="22" fillId="0" borderId="0" xfId="0" applyFont="1"/>
    <xf numFmtId="44" fontId="21" fillId="0" borderId="0" xfId="2" applyFont="1" applyBorder="1"/>
    <xf numFmtId="43" fontId="21" fillId="0" borderId="0" xfId="1" applyFont="1" applyBorder="1"/>
    <xf numFmtId="0" fontId="3" fillId="0" borderId="0" xfId="0" quotePrefix="1" applyFont="1" applyAlignment="1">
      <alignment horizontal="center"/>
    </xf>
    <xf numFmtId="44" fontId="3" fillId="0" borderId="0" xfId="2" applyFont="1"/>
    <xf numFmtId="10" fontId="7" fillId="0" borderId="0" xfId="0" applyNumberFormat="1" applyFont="1"/>
    <xf numFmtId="166" fontId="7" fillId="0" borderId="0" xfId="2" applyNumberFormat="1" applyFont="1" applyBorder="1"/>
    <xf numFmtId="169" fontId="7" fillId="0" borderId="0" xfId="0" applyNumberFormat="1" applyFont="1"/>
    <xf numFmtId="43" fontId="3" fillId="0" borderId="0" xfId="1" applyFont="1"/>
    <xf numFmtId="44" fontId="3" fillId="0" borderId="0" xfId="1" applyNumberFormat="1" applyFont="1" applyBorder="1"/>
    <xf numFmtId="44" fontId="3" fillId="0" borderId="4" xfId="1" applyNumberFormat="1" applyFont="1" applyBorder="1"/>
    <xf numFmtId="44" fontId="3" fillId="0" borderId="0" xfId="2" applyFont="1" applyFill="1" applyBorder="1"/>
    <xf numFmtId="0" fontId="25" fillId="0" borderId="0" xfId="0" applyFont="1"/>
    <xf numFmtId="165" fontId="3" fillId="0" borderId="0" xfId="1" applyNumberFormat="1" applyFont="1" applyFill="1" applyBorder="1"/>
    <xf numFmtId="165" fontId="3" fillId="0" borderId="1" xfId="1" applyNumberFormat="1" applyFont="1" applyFill="1" applyBorder="1"/>
    <xf numFmtId="0" fontId="3" fillId="0" borderId="1" xfId="0" applyFont="1" applyBorder="1" applyAlignment="1">
      <alignment horizontal="left"/>
    </xf>
    <xf numFmtId="165" fontId="3" fillId="0" borderId="0" xfId="1" applyNumberFormat="1" applyFont="1" applyBorder="1" applyProtection="1">
      <protection locked="0"/>
    </xf>
    <xf numFmtId="40" fontId="3" fillId="0" borderId="0" xfId="1" applyNumberFormat="1" applyFont="1" applyBorder="1" applyAlignment="1" applyProtection="1">
      <alignment horizontal="center"/>
      <protection locked="0"/>
    </xf>
    <xf numFmtId="40" fontId="3" fillId="0" borderId="0" xfId="2" applyNumberFormat="1" applyFont="1" applyFill="1" applyBorder="1"/>
    <xf numFmtId="166" fontId="3" fillId="0" borderId="0" xfId="2" applyNumberFormat="1" applyFont="1" applyBorder="1" applyProtection="1">
      <protection locked="0"/>
    </xf>
    <xf numFmtId="166" fontId="3" fillId="0" borderId="0" xfId="2" quotePrefix="1" applyNumberFormat="1" applyFont="1" applyBorder="1" applyAlignment="1">
      <alignment horizontal="center"/>
    </xf>
    <xf numFmtId="0" fontId="3" fillId="0" borderId="2" xfId="0" applyFont="1" applyBorder="1" applyAlignment="1">
      <alignment horizontal="center"/>
    </xf>
    <xf numFmtId="166" fontId="2" fillId="0" borderId="2" xfId="0" quotePrefix="1" applyNumberFormat="1" applyFont="1" applyBorder="1" applyAlignment="1">
      <alignment horizontal="center"/>
    </xf>
    <xf numFmtId="44" fontId="3" fillId="0" borderId="3" xfId="2" applyFont="1" applyBorder="1" applyProtection="1">
      <protection locked="0"/>
    </xf>
    <xf numFmtId="0" fontId="21" fillId="0" borderId="0" xfId="0" applyFont="1" applyAlignment="1">
      <alignment horizontal="right"/>
    </xf>
    <xf numFmtId="44" fontId="3" fillId="0" borderId="0" xfId="2" applyFont="1" applyBorder="1"/>
    <xf numFmtId="0" fontId="5" fillId="0" borderId="0" xfId="6" applyFont="1"/>
    <xf numFmtId="0" fontId="7" fillId="0" borderId="1" xfId="0" quotePrefix="1" applyFont="1" applyBorder="1" applyAlignment="1">
      <alignment horizontal="center"/>
    </xf>
    <xf numFmtId="165" fontId="7" fillId="0" borderId="0" xfId="1" applyNumberFormat="1" applyFont="1"/>
    <xf numFmtId="165" fontId="7" fillId="2" borderId="0" xfId="0" applyNumberFormat="1" applyFont="1" applyFill="1"/>
    <xf numFmtId="0" fontId="7" fillId="2" borderId="0" xfId="0" applyFont="1" applyFill="1"/>
    <xf numFmtId="165" fontId="7" fillId="0" borderId="0" xfId="0" applyNumberFormat="1" applyFont="1"/>
    <xf numFmtId="167" fontId="7" fillId="0" borderId="0" xfId="2" applyNumberFormat="1" applyFont="1" applyBorder="1"/>
    <xf numFmtId="168" fontId="7" fillId="0" borderId="0" xfId="1" applyNumberFormat="1" applyFont="1" applyBorder="1"/>
    <xf numFmtId="0" fontId="7" fillId="0" borderId="6" xfId="0" applyFont="1" applyBorder="1"/>
    <xf numFmtId="166" fontId="7" fillId="0" borderId="6" xfId="2" applyNumberFormat="1" applyFont="1" applyBorder="1"/>
    <xf numFmtId="166" fontId="5" fillId="0" borderId="1" xfId="2" applyNumberFormat="1" applyFont="1" applyBorder="1" applyAlignment="1">
      <alignment horizontal="right"/>
    </xf>
    <xf numFmtId="166" fontId="7" fillId="0" borderId="0" xfId="2" applyNumberFormat="1" applyFont="1" applyFill="1" applyBorder="1"/>
    <xf numFmtId="166" fontId="7" fillId="0" borderId="4" xfId="0" applyNumberFormat="1" applyFont="1" applyBorder="1"/>
    <xf numFmtId="166" fontId="7" fillId="0" borderId="4" xfId="2" applyNumberFormat="1" applyFont="1" applyBorder="1"/>
    <xf numFmtId="0" fontId="5" fillId="0" borderId="1" xfId="0" applyFont="1" applyBorder="1"/>
    <xf numFmtId="0" fontId="3" fillId="0" borderId="1" xfId="0" quotePrefix="1" applyFont="1" applyBorder="1" applyAlignment="1">
      <alignment horizontal="left"/>
    </xf>
    <xf numFmtId="43" fontId="3" fillId="0" borderId="0" xfId="1" applyFont="1" applyBorder="1"/>
    <xf numFmtId="2" fontId="18" fillId="6" borderId="3" xfId="7" applyNumberFormat="1" applyFont="1" applyFill="1" applyBorder="1" applyAlignment="1">
      <alignment horizontal="center"/>
    </xf>
    <xf numFmtId="0" fontId="18" fillId="6" borderId="3" xfId="7" applyFont="1" applyFill="1" applyBorder="1" applyAlignment="1">
      <alignment horizontal="center" wrapText="1"/>
    </xf>
    <xf numFmtId="164" fontId="7" fillId="0" borderId="0" xfId="0" quotePrefix="1" applyNumberFormat="1" applyFont="1" applyAlignment="1">
      <alignment horizontal="center"/>
    </xf>
    <xf numFmtId="2" fontId="3" fillId="0" borderId="0" xfId="0" applyNumberFormat="1" applyFont="1" applyAlignment="1">
      <alignment horizontal="center"/>
    </xf>
    <xf numFmtId="0" fontId="3" fillId="0" borderId="4" xfId="0" applyFont="1" applyBorder="1" applyAlignment="1">
      <alignment horizontal="center" vertical="center"/>
    </xf>
    <xf numFmtId="0" fontId="3" fillId="0" borderId="4" xfId="0" applyFont="1" applyBorder="1" applyAlignment="1">
      <alignment vertical="center"/>
    </xf>
    <xf numFmtId="165" fontId="3" fillId="0" borderId="4" xfId="1" applyNumberFormat="1" applyFont="1" applyFill="1" applyBorder="1" applyAlignment="1">
      <alignment vertical="center"/>
    </xf>
    <xf numFmtId="0" fontId="3" fillId="0" borderId="0" xfId="0" applyFont="1" applyAlignment="1">
      <alignment vertical="center"/>
    </xf>
    <xf numFmtId="165" fontId="3" fillId="0" borderId="0" xfId="0" applyNumberFormat="1" applyFont="1" applyAlignment="1">
      <alignment vertical="center"/>
    </xf>
    <xf numFmtId="0" fontId="23" fillId="0" borderId="0" xfId="0" applyFont="1"/>
    <xf numFmtId="165" fontId="3" fillId="0" borderId="0" xfId="0" applyNumberFormat="1" applyFont="1"/>
    <xf numFmtId="165" fontId="3" fillId="0" borderId="29" xfId="1" applyNumberFormat="1" applyFont="1" applyFill="1" applyBorder="1"/>
    <xf numFmtId="165" fontId="3" fillId="0" borderId="2" xfId="1" applyNumberFormat="1" applyFont="1" applyFill="1" applyBorder="1"/>
    <xf numFmtId="165" fontId="3" fillId="0" borderId="30" xfId="1" applyNumberFormat="1" applyFont="1" applyFill="1" applyBorder="1"/>
    <xf numFmtId="165" fontId="3" fillId="0" borderId="31" xfId="1" applyNumberFormat="1" applyFont="1" applyFill="1" applyBorder="1"/>
    <xf numFmtId="165" fontId="3" fillId="0" borderId="32" xfId="1" applyNumberFormat="1" applyFont="1" applyFill="1" applyBorder="1"/>
    <xf numFmtId="165" fontId="7" fillId="0" borderId="0" xfId="1" applyNumberFormat="1" applyFont="1" applyFill="1" applyBorder="1"/>
    <xf numFmtId="43" fontId="7" fillId="0" borderId="0" xfId="1" applyFont="1" applyFill="1" applyBorder="1"/>
    <xf numFmtId="165" fontId="7" fillId="0" borderId="1" xfId="0" applyNumberFormat="1" applyFont="1" applyBorder="1"/>
    <xf numFmtId="0" fontId="26" fillId="0" borderId="0" xfId="0" applyFont="1"/>
    <xf numFmtId="2" fontId="20" fillId="0" borderId="0" xfId="0" quotePrefix="1" applyNumberFormat="1" applyFont="1" applyAlignment="1">
      <alignment horizontal="center"/>
    </xf>
    <xf numFmtId="0" fontId="20" fillId="0" borderId="1" xfId="0" applyFont="1" applyBorder="1" applyAlignment="1">
      <alignment horizontal="center"/>
    </xf>
    <xf numFmtId="166" fontId="21" fillId="0" borderId="0" xfId="2" applyNumberFormat="1" applyFont="1" applyFill="1" applyProtection="1">
      <protection locked="0"/>
    </xf>
    <xf numFmtId="166" fontId="21" fillId="0" borderId="0" xfId="1" applyNumberFormat="1" applyFont="1" applyFill="1" applyProtection="1">
      <protection locked="0"/>
    </xf>
    <xf numFmtId="166" fontId="21" fillId="0" borderId="0" xfId="1" applyNumberFormat="1" applyFont="1" applyFill="1"/>
    <xf numFmtId="166" fontId="21" fillId="0" borderId="0" xfId="1" applyNumberFormat="1" applyFont="1" applyProtection="1">
      <protection locked="0"/>
    </xf>
    <xf numFmtId="166" fontId="21" fillId="0" borderId="0" xfId="1" applyNumberFormat="1" applyFont="1" applyFill="1" applyBorder="1" applyAlignment="1" applyProtection="1">
      <protection locked="0"/>
    </xf>
    <xf numFmtId="166" fontId="21" fillId="0" borderId="1" xfId="1" applyNumberFormat="1" applyFont="1" applyFill="1" applyBorder="1" applyAlignment="1" applyProtection="1">
      <protection locked="0"/>
    </xf>
    <xf numFmtId="166" fontId="21" fillId="0" borderId="1" xfId="1" applyNumberFormat="1" applyFont="1" applyFill="1" applyBorder="1"/>
    <xf numFmtId="166" fontId="21" fillId="0" borderId="1" xfId="1" applyNumberFormat="1" applyFont="1" applyFill="1" applyBorder="1" applyProtection="1">
      <protection locked="0"/>
    </xf>
    <xf numFmtId="166" fontId="21" fillId="0" borderId="2" xfId="2" applyNumberFormat="1" applyFont="1" applyFill="1" applyBorder="1"/>
    <xf numFmtId="0" fontId="2" fillId="0" borderId="1" xfId="0" quotePrefix="1" applyFont="1" applyBorder="1" applyAlignment="1">
      <alignment horizontal="center" wrapText="1"/>
    </xf>
    <xf numFmtId="0" fontId="3" fillId="0" borderId="3" xfId="0" applyFont="1" applyBorder="1"/>
    <xf numFmtId="44" fontId="3" fillId="0" borderId="3" xfId="2" applyFont="1" applyFill="1" applyBorder="1"/>
    <xf numFmtId="40" fontId="2" fillId="0" borderId="0" xfId="1" applyNumberFormat="1" applyFont="1" applyBorder="1" applyAlignment="1" applyProtection="1">
      <alignment horizontal="center"/>
      <protection locked="0"/>
    </xf>
    <xf numFmtId="44" fontId="2" fillId="0" borderId="1" xfId="2" quotePrefix="1" applyFont="1" applyBorder="1" applyAlignment="1">
      <alignment horizontal="center" wrapText="1"/>
    </xf>
    <xf numFmtId="40" fontId="2" fillId="0" borderId="0" xfId="0" applyNumberFormat="1" applyFont="1" applyAlignment="1" applyProtection="1">
      <alignment horizontal="center"/>
      <protection locked="0"/>
    </xf>
    <xf numFmtId="44" fontId="3" fillId="0" borderId="4" xfId="2" applyFont="1" applyFill="1" applyBorder="1" applyAlignment="1" applyProtection="1">
      <protection locked="0"/>
    </xf>
    <xf numFmtId="44" fontId="7" fillId="0" borderId="4" xfId="2" applyFont="1" applyFill="1" applyBorder="1" applyAlignment="1" applyProtection="1">
      <protection locked="0"/>
    </xf>
    <xf numFmtId="166" fontId="3" fillId="0" borderId="4" xfId="2" applyNumberFormat="1" applyFont="1" applyFill="1" applyBorder="1" applyAlignment="1" applyProtection="1">
      <protection locked="0"/>
    </xf>
    <xf numFmtId="166" fontId="7" fillId="0" borderId="0" xfId="2" quotePrefix="1" applyNumberFormat="1" applyFont="1"/>
    <xf numFmtId="41" fontId="7" fillId="0" borderId="0" xfId="1" applyNumberFormat="1" applyFont="1" applyFill="1"/>
    <xf numFmtId="0" fontId="7" fillId="0" borderId="0" xfId="6" applyFont="1" applyAlignment="1">
      <alignment horizontal="center"/>
    </xf>
    <xf numFmtId="166" fontId="7" fillId="0" borderId="0" xfId="2" applyNumberFormat="1" applyFont="1" applyFill="1"/>
    <xf numFmtId="166" fontId="7" fillId="0" borderId="3" xfId="0" applyNumberFormat="1" applyFont="1" applyBorder="1"/>
    <xf numFmtId="166" fontId="5" fillId="0" borderId="3" xfId="0" applyNumberFormat="1" applyFont="1" applyBorder="1"/>
    <xf numFmtId="171" fontId="21" fillId="0" borderId="0" xfId="1" quotePrefix="1" applyNumberFormat="1" applyFont="1" applyAlignment="1" applyProtection="1">
      <alignment vertical="top"/>
      <protection locked="0"/>
    </xf>
    <xf numFmtId="166" fontId="7" fillId="0" borderId="0" xfId="1" applyNumberFormat="1" applyFont="1" applyBorder="1"/>
    <xf numFmtId="43" fontId="21" fillId="0" borderId="0" xfId="1" quotePrefix="1" applyFont="1" applyBorder="1" applyProtection="1">
      <protection locked="0"/>
    </xf>
    <xf numFmtId="165" fontId="21" fillId="3" borderId="0" xfId="1" applyNumberFormat="1" applyFont="1" applyFill="1"/>
    <xf numFmtId="165" fontId="21" fillId="0" borderId="1" xfId="1" applyNumberFormat="1" applyFont="1" applyFill="1" applyBorder="1"/>
    <xf numFmtId="165" fontId="21" fillId="0" borderId="1" xfId="1" applyNumberFormat="1" applyFont="1" applyBorder="1"/>
    <xf numFmtId="165" fontId="21" fillId="3" borderId="1" xfId="1" applyNumberFormat="1" applyFont="1" applyFill="1" applyBorder="1"/>
    <xf numFmtId="0" fontId="21" fillId="0" borderId="2" xfId="0" applyFont="1" applyBorder="1" applyAlignment="1">
      <alignment horizontal="center"/>
    </xf>
    <xf numFmtId="166" fontId="21" fillId="0" borderId="0" xfId="0" applyNumberFormat="1" applyFont="1"/>
    <xf numFmtId="166" fontId="21" fillId="0" borderId="2" xfId="0" applyNumberFormat="1" applyFont="1" applyBorder="1"/>
    <xf numFmtId="0" fontId="21" fillId="0" borderId="2" xfId="0" applyFont="1" applyBorder="1"/>
    <xf numFmtId="166" fontId="21" fillId="0" borderId="0" xfId="1" applyNumberFormat="1" applyFont="1"/>
    <xf numFmtId="44" fontId="21" fillId="0" borderId="2" xfId="0" applyNumberFormat="1" applyFont="1" applyBorder="1"/>
    <xf numFmtId="0" fontId="20" fillId="0" borderId="1" xfId="0" applyFont="1" applyBorder="1" applyAlignment="1">
      <alignment horizontal="center" wrapText="1"/>
    </xf>
    <xf numFmtId="44" fontId="21" fillId="0" borderId="0" xfId="2" applyFont="1" applyFill="1"/>
    <xf numFmtId="43" fontId="21" fillId="0" borderId="0" xfId="0" applyNumberFormat="1" applyFont="1"/>
    <xf numFmtId="43" fontId="21" fillId="0" borderId="0" xfId="1" applyFont="1" applyFill="1"/>
    <xf numFmtId="43" fontId="21" fillId="0" borderId="1" xfId="0" applyNumberFormat="1" applyFont="1" applyBorder="1"/>
    <xf numFmtId="44" fontId="20" fillId="0" borderId="2" xfId="0" applyNumberFormat="1" applyFont="1" applyBorder="1"/>
    <xf numFmtId="0" fontId="20" fillId="0" borderId="0" xfId="0" applyFont="1" applyAlignment="1">
      <alignment horizontal="right"/>
    </xf>
    <xf numFmtId="0" fontId="6" fillId="0" borderId="0" xfId="0" applyFont="1"/>
    <xf numFmtId="43" fontId="3" fillId="0" borderId="1" xfId="1" applyFont="1" applyBorder="1"/>
    <xf numFmtId="41" fontId="26" fillId="2" borderId="0" xfId="0" applyNumberFormat="1" applyFont="1" applyFill="1"/>
    <xf numFmtId="166" fontId="3" fillId="2" borderId="0" xfId="2" applyNumberFormat="1" applyFont="1" applyFill="1" applyBorder="1"/>
    <xf numFmtId="0" fontId="2" fillId="0" borderId="3" xfId="0" applyFont="1" applyBorder="1" applyAlignment="1">
      <alignment horizontal="right"/>
    </xf>
    <xf numFmtId="166" fontId="2" fillId="0" borderId="3" xfId="2" applyNumberFormat="1" applyFont="1" applyBorder="1"/>
    <xf numFmtId="41" fontId="2" fillId="0" borderId="3" xfId="0" applyNumberFormat="1" applyFont="1" applyBorder="1"/>
    <xf numFmtId="0" fontId="2" fillId="0" borderId="4" xfId="0" applyFont="1" applyBorder="1" applyAlignment="1">
      <alignment horizontal="center"/>
    </xf>
    <xf numFmtId="41" fontId="3" fillId="0" borderId="4" xfId="0" applyNumberFormat="1" applyFont="1" applyBorder="1"/>
    <xf numFmtId="41" fontId="2" fillId="0" borderId="4" xfId="0" applyNumberFormat="1" applyFont="1" applyBorder="1"/>
    <xf numFmtId="0" fontId="2" fillId="0" borderId="4" xfId="0" applyFont="1" applyBorder="1"/>
    <xf numFmtId="166" fontId="2" fillId="0" borderId="4" xfId="2" applyNumberFormat="1" applyFont="1" applyBorder="1"/>
    <xf numFmtId="169" fontId="7" fillId="0" borderId="0" xfId="3" applyNumberFormat="1" applyFont="1" applyFill="1" applyBorder="1" applyProtection="1"/>
    <xf numFmtId="169" fontId="7" fillId="0" borderId="2" xfId="3" applyNumberFormat="1" applyFont="1" applyFill="1" applyBorder="1" applyProtection="1"/>
    <xf numFmtId="166" fontId="7" fillId="0" borderId="5" xfId="2" applyNumberFormat="1" applyFont="1" applyBorder="1" applyAlignment="1" applyProtection="1">
      <alignment horizontal="center"/>
    </xf>
    <xf numFmtId="43" fontId="3" fillId="0" borderId="0" xfId="1" applyFont="1" applyAlignment="1">
      <alignment horizontal="center"/>
    </xf>
    <xf numFmtId="38" fontId="3" fillId="0" borderId="0" xfId="2" applyNumberFormat="1" applyFont="1" applyFill="1" applyBorder="1"/>
    <xf numFmtId="38" fontId="3" fillId="0" borderId="0" xfId="1" applyNumberFormat="1" applyFont="1" applyFill="1" applyBorder="1"/>
    <xf numFmtId="166" fontId="3" fillId="0" borderId="2" xfId="2" applyNumberFormat="1" applyFont="1" applyBorder="1" applyProtection="1">
      <protection locked="0"/>
    </xf>
    <xf numFmtId="38" fontId="3" fillId="0" borderId="2" xfId="1" applyNumberFormat="1" applyFont="1" applyFill="1" applyBorder="1"/>
    <xf numFmtId="0" fontId="5" fillId="0" borderId="0" xfId="0" applyFont="1" applyAlignment="1">
      <alignment horizontal="right"/>
    </xf>
    <xf numFmtId="10" fontId="7" fillId="0" borderId="0" xfId="3" applyNumberFormat="1" applyFont="1" applyFill="1" applyAlignment="1">
      <alignment horizontal="right"/>
    </xf>
    <xf numFmtId="0" fontId="13" fillId="0" borderId="0" xfId="0" applyFont="1"/>
    <xf numFmtId="0" fontId="7" fillId="0" borderId="3" xfId="0" applyFont="1" applyBorder="1"/>
    <xf numFmtId="43" fontId="7" fillId="0" borderId="5" xfId="1" applyFont="1" applyFill="1" applyBorder="1"/>
    <xf numFmtId="0" fontId="7" fillId="0" borderId="0" xfId="0" applyFont="1" applyAlignment="1">
      <alignment horizontal="right"/>
    </xf>
    <xf numFmtId="0" fontId="12" fillId="0" borderId="0" xfId="0" applyFont="1" applyAlignment="1">
      <alignment horizontal="right"/>
    </xf>
    <xf numFmtId="166" fontId="7" fillId="0" borderId="0" xfId="2" applyNumberFormat="1" applyFont="1" applyFill="1" applyAlignment="1">
      <alignment horizontal="right"/>
    </xf>
    <xf numFmtId="0" fontId="2" fillId="0" borderId="0" xfId="0" applyFont="1" applyAlignment="1">
      <alignment horizontal="center"/>
    </xf>
    <xf numFmtId="0" fontId="18" fillId="0" borderId="0" xfId="7" applyFont="1" applyAlignment="1">
      <alignment horizontal="center"/>
    </xf>
    <xf numFmtId="0" fontId="2" fillId="0" borderId="0" xfId="6" applyFont="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wrapText="1"/>
    </xf>
    <xf numFmtId="0" fontId="5" fillId="0" borderId="0" xfId="6" applyFont="1" applyAlignment="1">
      <alignment horizontal="center"/>
    </xf>
    <xf numFmtId="0" fontId="7" fillId="0" borderId="0" xfId="0" applyFont="1" applyAlignment="1">
      <alignment horizontal="left" vertical="top" wrapText="1"/>
    </xf>
    <xf numFmtId="0" fontId="7" fillId="0" borderId="1" xfId="0" applyFont="1" applyBorder="1" applyAlignment="1">
      <alignment horizontal="center"/>
    </xf>
    <xf numFmtId="0" fontId="7" fillId="0" borderId="0" xfId="0" applyFont="1" applyAlignment="1">
      <alignment horizontal="center" wrapText="1"/>
    </xf>
    <xf numFmtId="166" fontId="7" fillId="0" borderId="2" xfId="2" applyNumberFormat="1" applyFont="1" applyBorder="1" applyAlignment="1" applyProtection="1">
      <alignment horizontal="center"/>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8" xfId="0" quotePrefix="1" applyFont="1" applyBorder="1" applyAlignment="1">
      <alignment horizontal="left" wrapText="1"/>
    </xf>
    <xf numFmtId="0" fontId="7" fillId="0" borderId="19" xfId="0" quotePrefix="1" applyFont="1" applyBorder="1" applyAlignment="1">
      <alignment horizontal="left" wrapText="1"/>
    </xf>
    <xf numFmtId="166" fontId="7" fillId="0" borderId="4" xfId="2" applyNumberFormat="1" applyFont="1" applyBorder="1" applyAlignment="1" applyProtection="1">
      <alignment horizontal="center"/>
    </xf>
  </cellXfs>
  <cellStyles count="13">
    <cellStyle name="Comma" xfId="1" builtinId="3"/>
    <cellStyle name="Comma 2" xfId="4" xr:uid="{00000000-0005-0000-0000-000001000000}"/>
    <cellStyle name="Comma 3" xfId="9" xr:uid="{00000000-0005-0000-0000-000002000000}"/>
    <cellStyle name="Currency" xfId="2" builtinId="4"/>
    <cellStyle name="Currency 2" xfId="5" xr:uid="{00000000-0005-0000-0000-000004000000}"/>
    <cellStyle name="Currency 3" xfId="10"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Normal 5" xfId="11" xr:uid="{00000000-0005-0000-0000-00000A000000}"/>
    <cellStyle name="Percent" xfId="3" builtinId="5"/>
    <cellStyle name="Percent 2" xfId="12" xr:uid="{00000000-0005-0000-0000-00000C000000}"/>
  </cellStyles>
  <dxfs count="0"/>
  <tableStyles count="0" defaultTableStyle="TableStyleMedium2" defaultPivotStyle="PivotStyleLight16"/>
  <colors>
    <mruColors>
      <color rgb="FF66FFFF"/>
      <color rgb="FFFFFFCC"/>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ichael Moriarty" id="{9EA06658-3FC2-46A8-9DC4-DE9FA82DC326}" userId="S::michaelm@shelbyenergy.com::13fe62a7-c947-47c1-9598-6cb6b32998d4"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8" dT="2023-04-26T16:59:30.43" personId="{9EA06658-3FC2-46A8-9DC4-DE9FA82DC326}" id="{200FA35D-644D-4CFA-9134-79F16DD1C7BA}">
    <text>Double time hours (Sunday and 16+ hours)</text>
  </threadedComment>
  <threadedComment ref="S43" dT="2023-04-26T17:08:13.06" personId="{9EA06658-3FC2-46A8-9DC4-DE9FA82DC326}" id="{54124731-B3AB-4658-8217-9AB3E88A9F0E}">
    <text>PT employee - assume 24 hours per week for 50 weeks and 0 hours for 2 weeks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1806-168E-4778-8668-5C3155FF4764}">
  <sheetPr>
    <pageSetUpPr fitToPage="1"/>
  </sheetPr>
  <dimension ref="A1:S61"/>
  <sheetViews>
    <sheetView tabSelected="1" view="pageBreakPreview" zoomScale="85" zoomScaleNormal="75" zoomScaleSheetLayoutView="85" workbookViewId="0">
      <selection activeCell="K55" sqref="K55"/>
    </sheetView>
  </sheetViews>
  <sheetFormatPr defaultColWidth="9.109375" defaultRowHeight="13.2"/>
  <cols>
    <col min="1" max="1" width="9.109375" style="24"/>
    <col min="2" max="2" width="34.21875" style="31" bestFit="1" customWidth="1"/>
    <col min="3" max="3" width="13.6640625" style="31" bestFit="1" customWidth="1"/>
    <col min="4" max="4" width="12.21875" style="31" bestFit="1" customWidth="1"/>
    <col min="5" max="5" width="14" style="31" bestFit="1" customWidth="1"/>
    <col min="6" max="7" width="15.6640625" style="31" bestFit="1" customWidth="1"/>
    <col min="8" max="8" width="16.6640625" style="31" bestFit="1" customWidth="1"/>
    <col min="9" max="9" width="13.33203125" style="31" bestFit="1" customWidth="1"/>
    <col min="10" max="10" width="15.109375" style="31" bestFit="1" customWidth="1"/>
    <col min="11" max="11" width="3.5546875" style="24" bestFit="1" customWidth="1"/>
    <col min="12" max="12" width="26.33203125" style="31" bestFit="1" customWidth="1"/>
    <col min="13" max="13" width="12.6640625" style="31" bestFit="1" customWidth="1"/>
    <col min="14" max="15" width="12.33203125" style="31" bestFit="1" customWidth="1"/>
    <col min="16" max="16" width="3.88671875" style="31" customWidth="1"/>
    <col min="17" max="17" width="16.109375" style="31" bestFit="1" customWidth="1"/>
    <col min="18" max="18" width="12.5546875" style="31" customWidth="1"/>
    <col min="19" max="16384" width="9.109375" style="31"/>
  </cols>
  <sheetData>
    <row r="1" spans="1:19">
      <c r="A1" s="106" t="s">
        <v>521</v>
      </c>
      <c r="B1" s="106"/>
      <c r="C1" s="106"/>
      <c r="D1" s="106"/>
      <c r="E1" s="106"/>
    </row>
    <row r="2" spans="1:19">
      <c r="A2" s="106" t="s">
        <v>1</v>
      </c>
      <c r="B2" s="106"/>
      <c r="C2" s="106"/>
      <c r="D2" s="106"/>
      <c r="E2" s="106"/>
    </row>
    <row r="3" spans="1:19">
      <c r="A3" s="106" t="s">
        <v>522</v>
      </c>
      <c r="B3" s="106"/>
      <c r="C3" s="106"/>
      <c r="D3" s="106"/>
      <c r="E3" s="106"/>
    </row>
    <row r="4" spans="1:19">
      <c r="A4" s="89"/>
      <c r="E4" s="367"/>
    </row>
    <row r="5" spans="1:19">
      <c r="A5" s="89"/>
      <c r="E5" s="367"/>
      <c r="F5" s="368"/>
      <c r="G5" s="368"/>
    </row>
    <row r="6" spans="1:19">
      <c r="C6" s="89" t="s">
        <v>3</v>
      </c>
      <c r="D6" s="89" t="s">
        <v>5</v>
      </c>
      <c r="E6" s="89" t="s">
        <v>4</v>
      </c>
      <c r="F6" s="89" t="s">
        <v>6</v>
      </c>
      <c r="G6" s="89" t="s">
        <v>6</v>
      </c>
      <c r="H6" s="89" t="s">
        <v>6</v>
      </c>
    </row>
    <row r="7" spans="1:19">
      <c r="A7" s="89" t="s">
        <v>7</v>
      </c>
      <c r="B7" s="89" t="s">
        <v>8</v>
      </c>
      <c r="C7" s="89" t="s">
        <v>9</v>
      </c>
      <c r="D7" s="89" t="s">
        <v>10</v>
      </c>
      <c r="E7" s="89" t="s">
        <v>366</v>
      </c>
      <c r="F7" s="89" t="s">
        <v>366</v>
      </c>
      <c r="G7" s="89" t="s">
        <v>366</v>
      </c>
      <c r="H7" s="89" t="s">
        <v>366</v>
      </c>
    </row>
    <row r="8" spans="1:19" s="106" customFormat="1">
      <c r="A8" s="5" t="s">
        <v>11</v>
      </c>
      <c r="B8" s="6">
        <v>1</v>
      </c>
      <c r="C8" s="6">
        <f>B8+1</f>
        <v>2</v>
      </c>
      <c r="D8" s="6">
        <f>C8+1</f>
        <v>3</v>
      </c>
      <c r="E8" s="6" t="s">
        <v>12</v>
      </c>
      <c r="F8" s="6" t="s">
        <v>13</v>
      </c>
      <c r="G8" s="6" t="s">
        <v>14</v>
      </c>
      <c r="H8" s="6" t="s">
        <v>98</v>
      </c>
      <c r="K8" s="24"/>
      <c r="L8" s="31"/>
      <c r="M8" s="31"/>
      <c r="N8" s="31"/>
      <c r="O8" s="31"/>
      <c r="P8" s="31"/>
      <c r="Q8" s="31"/>
      <c r="R8" s="31"/>
      <c r="S8" s="31"/>
    </row>
    <row r="9" spans="1:19">
      <c r="A9" s="24">
        <v>1</v>
      </c>
      <c r="B9" s="369" t="s">
        <v>15</v>
      </c>
      <c r="C9" s="269"/>
    </row>
    <row r="10" spans="1:19">
      <c r="A10" s="24">
        <f>A9+1</f>
        <v>2</v>
      </c>
      <c r="B10" s="31" t="s">
        <v>16</v>
      </c>
      <c r="C10" s="8">
        <v>54540957</v>
      </c>
      <c r="D10" s="8">
        <f>'Adj List'!D7+'Adj List'!D8+'Adj List'!D15</f>
        <v>-11455667.85</v>
      </c>
      <c r="E10" s="8">
        <f>C10+D10</f>
        <v>43085289.149999999</v>
      </c>
      <c r="F10" s="8">
        <f>E10+F60</f>
        <v>44996532.134746946</v>
      </c>
      <c r="G10" s="8">
        <f>E10+G60</f>
        <v>45527958.038246945</v>
      </c>
      <c r="H10" s="8">
        <f>E10+H60</f>
        <v>45266927.43</v>
      </c>
    </row>
    <row r="11" spans="1:19">
      <c r="A11" s="24">
        <f t="shared" ref="A11:A61" si="0">A10+1</f>
        <v>3</v>
      </c>
      <c r="B11" s="31" t="s">
        <v>17</v>
      </c>
      <c r="C11" s="8">
        <v>929931</v>
      </c>
      <c r="D11" s="8">
        <v>0</v>
      </c>
      <c r="E11" s="8">
        <f>C11+D11</f>
        <v>929931</v>
      </c>
      <c r="F11" s="8">
        <f>E11</f>
        <v>929931</v>
      </c>
      <c r="G11" s="8">
        <f>E11</f>
        <v>929931</v>
      </c>
      <c r="H11" s="8">
        <f>E11</f>
        <v>929931</v>
      </c>
    </row>
    <row r="12" spans="1:19">
      <c r="A12" s="24">
        <f t="shared" si="0"/>
        <v>4</v>
      </c>
      <c r="B12" s="49" t="s">
        <v>18</v>
      </c>
      <c r="C12" s="10">
        <f t="shared" ref="C12:H12" si="1">SUM(C10:C11)</f>
        <v>55470888</v>
      </c>
      <c r="D12" s="10">
        <f t="shared" si="1"/>
        <v>-11455667.85</v>
      </c>
      <c r="E12" s="10">
        <f t="shared" si="1"/>
        <v>44015220.149999999</v>
      </c>
      <c r="F12" s="10">
        <f t="shared" si="1"/>
        <v>45926463.134746946</v>
      </c>
      <c r="G12" s="10">
        <f t="shared" si="1"/>
        <v>46457889.038246945</v>
      </c>
      <c r="H12" s="10">
        <f t="shared" si="1"/>
        <v>46196858.43</v>
      </c>
      <c r="I12" s="269"/>
      <c r="J12" s="269"/>
    </row>
    <row r="13" spans="1:19">
      <c r="A13" s="24">
        <f t="shared" si="0"/>
        <v>5</v>
      </c>
      <c r="C13" s="8"/>
      <c r="D13" s="8"/>
      <c r="E13" s="8"/>
      <c r="F13" s="8"/>
      <c r="G13" s="8"/>
      <c r="H13" s="8"/>
      <c r="I13" s="269"/>
      <c r="J13" s="269"/>
    </row>
    <row r="14" spans="1:19">
      <c r="A14" s="24">
        <f t="shared" si="0"/>
        <v>6</v>
      </c>
      <c r="B14" s="369" t="s">
        <v>19</v>
      </c>
      <c r="C14" s="8"/>
      <c r="D14" s="8"/>
      <c r="E14" s="8"/>
      <c r="F14" s="8"/>
      <c r="G14" s="8"/>
      <c r="H14" s="8"/>
      <c r="I14" s="269"/>
      <c r="J14" s="269"/>
    </row>
    <row r="15" spans="1:19">
      <c r="A15" s="24">
        <f t="shared" si="0"/>
        <v>7</v>
      </c>
      <c r="B15" s="31" t="s">
        <v>20</v>
      </c>
      <c r="C15" s="8">
        <v>41971379</v>
      </c>
      <c r="D15" s="8">
        <f>'Adj List'!E7+'Adj List'!E8+'Adj List'!E15</f>
        <v>-11543339.390000001</v>
      </c>
      <c r="E15" s="8">
        <f>C15+D15</f>
        <v>30428039.609999999</v>
      </c>
      <c r="F15" s="8">
        <f>E15</f>
        <v>30428039.609999999</v>
      </c>
      <c r="G15" s="8">
        <f>E15</f>
        <v>30428039.609999999</v>
      </c>
      <c r="H15" s="8">
        <f>E15</f>
        <v>30428039.609999999</v>
      </c>
      <c r="I15" s="269"/>
      <c r="J15" s="269"/>
    </row>
    <row r="16" spans="1:19">
      <c r="A16" s="24">
        <f t="shared" si="0"/>
        <v>8</v>
      </c>
      <c r="B16" s="31" t="s">
        <v>21</v>
      </c>
      <c r="C16" s="8">
        <v>2121113</v>
      </c>
      <c r="D16" s="8">
        <v>0</v>
      </c>
      <c r="E16" s="8">
        <f t="shared" ref="E16:E21" si="2">C16+D16</f>
        <v>2121113</v>
      </c>
      <c r="F16" s="8">
        <f t="shared" ref="F16:F21" si="3">E16</f>
        <v>2121113</v>
      </c>
      <c r="G16" s="8">
        <f t="shared" ref="G16:G21" si="4">E16</f>
        <v>2121113</v>
      </c>
      <c r="H16" s="8">
        <f t="shared" ref="H16:H21" si="5">E16</f>
        <v>2121113</v>
      </c>
      <c r="I16" s="269"/>
      <c r="J16" s="269"/>
    </row>
    <row r="17" spans="1:13">
      <c r="A17" s="24">
        <f t="shared" si="0"/>
        <v>9</v>
      </c>
      <c r="B17" s="31" t="s">
        <v>22</v>
      </c>
      <c r="C17" s="8">
        <v>2939839</v>
      </c>
      <c r="D17" s="8">
        <f>'Adj List'!E19</f>
        <v>440429</v>
      </c>
      <c r="E17" s="8">
        <f t="shared" si="2"/>
        <v>3380268</v>
      </c>
      <c r="F17" s="8">
        <f t="shared" si="3"/>
        <v>3380268</v>
      </c>
      <c r="G17" s="8">
        <f t="shared" si="4"/>
        <v>3380268</v>
      </c>
      <c r="H17" s="8">
        <f t="shared" si="5"/>
        <v>3380268</v>
      </c>
      <c r="I17" s="269"/>
      <c r="J17" s="269"/>
    </row>
    <row r="18" spans="1:13">
      <c r="A18" s="24">
        <f t="shared" si="0"/>
        <v>10</v>
      </c>
      <c r="B18" s="31" t="s">
        <v>23</v>
      </c>
      <c r="C18" s="8">
        <v>544325</v>
      </c>
      <c r="D18" s="8">
        <v>0</v>
      </c>
      <c r="E18" s="8">
        <f t="shared" si="2"/>
        <v>544325</v>
      </c>
      <c r="F18" s="8">
        <f t="shared" si="3"/>
        <v>544325</v>
      </c>
      <c r="G18" s="8">
        <f t="shared" si="4"/>
        <v>544325</v>
      </c>
      <c r="H18" s="8">
        <f t="shared" si="5"/>
        <v>544325</v>
      </c>
      <c r="I18" s="269"/>
      <c r="J18" s="269"/>
    </row>
    <row r="19" spans="1:13">
      <c r="A19" s="24">
        <f t="shared" si="0"/>
        <v>11</v>
      </c>
      <c r="B19" s="31" t="s">
        <v>24</v>
      </c>
      <c r="C19" s="8">
        <v>358126</v>
      </c>
      <c r="D19" s="8">
        <v>0</v>
      </c>
      <c r="E19" s="8">
        <f t="shared" si="2"/>
        <v>358126</v>
      </c>
      <c r="F19" s="8">
        <f t="shared" si="3"/>
        <v>358126</v>
      </c>
      <c r="G19" s="8">
        <f t="shared" si="4"/>
        <v>358126</v>
      </c>
      <c r="H19" s="8">
        <f t="shared" si="5"/>
        <v>358126</v>
      </c>
      <c r="I19" s="269"/>
      <c r="J19" s="269"/>
    </row>
    <row r="20" spans="1:13">
      <c r="A20" s="24">
        <f t="shared" si="0"/>
        <v>12</v>
      </c>
      <c r="B20" s="31" t="s">
        <v>25</v>
      </c>
      <c r="C20" s="8">
        <v>699</v>
      </c>
      <c r="D20" s="8">
        <v>0</v>
      </c>
      <c r="E20" s="8">
        <f t="shared" si="2"/>
        <v>699</v>
      </c>
      <c r="F20" s="8">
        <f t="shared" si="3"/>
        <v>699</v>
      </c>
      <c r="G20" s="8">
        <f t="shared" si="4"/>
        <v>699</v>
      </c>
      <c r="H20" s="8">
        <f t="shared" si="5"/>
        <v>699</v>
      </c>
      <c r="I20" s="269"/>
      <c r="J20" s="269"/>
      <c r="M20" s="269"/>
    </row>
    <row r="21" spans="1:13">
      <c r="A21" s="24">
        <f t="shared" si="0"/>
        <v>13</v>
      </c>
      <c r="B21" s="31" t="s">
        <v>26</v>
      </c>
      <c r="C21" s="8">
        <v>990815</v>
      </c>
      <c r="D21" s="8">
        <f>'Adj List'!E10+'Adj List'!E11+'Adj List'!E12+'Adj List'!E13+'Adj List'!E16+'Adj List'!E18+'Adj List'!E9</f>
        <v>-205670.95005914741</v>
      </c>
      <c r="E21" s="8">
        <f t="shared" si="2"/>
        <v>785144.04994085256</v>
      </c>
      <c r="F21" s="8">
        <f t="shared" si="3"/>
        <v>785144.04994085256</v>
      </c>
      <c r="G21" s="8">
        <f t="shared" si="4"/>
        <v>785144.04994085256</v>
      </c>
      <c r="H21" s="8">
        <f t="shared" si="5"/>
        <v>785144.04994085256</v>
      </c>
      <c r="I21" s="269"/>
      <c r="J21" s="269"/>
      <c r="M21" s="269"/>
    </row>
    <row r="22" spans="1:13">
      <c r="A22" s="24">
        <f t="shared" si="0"/>
        <v>14</v>
      </c>
      <c r="B22" s="49" t="s">
        <v>27</v>
      </c>
      <c r="C22" s="10">
        <f>SUM(C15:C21)</f>
        <v>48926296</v>
      </c>
      <c r="D22" s="10">
        <f t="shared" ref="D22:G22" si="6">SUM(D15:D21)</f>
        <v>-11308581.340059148</v>
      </c>
      <c r="E22" s="10">
        <f>SUM(E15:E21)</f>
        <v>37617714.659940854</v>
      </c>
      <c r="F22" s="10">
        <f t="shared" si="6"/>
        <v>37617714.659940854</v>
      </c>
      <c r="G22" s="10">
        <f t="shared" si="6"/>
        <v>37617714.659940854</v>
      </c>
      <c r="H22" s="10">
        <f t="shared" ref="H22" si="7">SUM(H15:H21)</f>
        <v>37617714.659940854</v>
      </c>
      <c r="I22" s="269"/>
      <c r="J22" s="269"/>
      <c r="M22" s="269"/>
    </row>
    <row r="23" spans="1:13">
      <c r="A23" s="24">
        <f t="shared" si="0"/>
        <v>15</v>
      </c>
      <c r="C23" s="8"/>
      <c r="D23" s="8"/>
      <c r="E23" s="8"/>
      <c r="F23" s="8"/>
      <c r="G23" s="8"/>
      <c r="H23" s="8"/>
      <c r="I23" s="269"/>
      <c r="J23" s="269"/>
      <c r="M23" s="269"/>
    </row>
    <row r="24" spans="1:13">
      <c r="A24" s="24">
        <f t="shared" si="0"/>
        <v>16</v>
      </c>
      <c r="B24" s="31" t="s">
        <v>28</v>
      </c>
      <c r="C24" s="8">
        <v>3919633</v>
      </c>
      <c r="D24" s="8">
        <f>'Adj List'!E17</f>
        <v>144170.85480608902</v>
      </c>
      <c r="E24" s="8">
        <f>C24+D24</f>
        <v>4063803.8548060888</v>
      </c>
      <c r="F24" s="8">
        <f>E24</f>
        <v>4063803.8548060888</v>
      </c>
      <c r="G24" s="8">
        <f>E24</f>
        <v>4063803.8548060888</v>
      </c>
      <c r="H24" s="8">
        <f>E24</f>
        <v>4063803.8548060888</v>
      </c>
      <c r="I24" s="269"/>
      <c r="J24" s="269"/>
      <c r="M24" s="269"/>
    </row>
    <row r="25" spans="1:13">
      <c r="A25" s="24">
        <f t="shared" si="0"/>
        <v>17</v>
      </c>
      <c r="B25" s="31" t="s">
        <v>29</v>
      </c>
      <c r="C25" s="8">
        <v>44865</v>
      </c>
      <c r="D25" s="8">
        <v>0</v>
      </c>
      <c r="E25" s="8">
        <f>C25+D25</f>
        <v>44865</v>
      </c>
      <c r="F25" s="8">
        <f t="shared" ref="F25:F28" si="8">E25</f>
        <v>44865</v>
      </c>
      <c r="G25" s="8">
        <f t="shared" ref="G25:G28" si="9">E25</f>
        <v>44865</v>
      </c>
      <c r="H25" s="8">
        <f t="shared" ref="H25:H28" si="10">E25</f>
        <v>44865</v>
      </c>
      <c r="I25" s="269"/>
      <c r="J25" s="269"/>
      <c r="M25" s="269"/>
    </row>
    <row r="26" spans="1:13">
      <c r="A26" s="24">
        <f t="shared" si="0"/>
        <v>18</v>
      </c>
      <c r="B26" s="31" t="s">
        <v>30</v>
      </c>
      <c r="C26" s="8">
        <v>2134628</v>
      </c>
      <c r="D26" s="8">
        <f>'Adj List'!E14</f>
        <v>398879.30999999994</v>
      </c>
      <c r="E26" s="8">
        <f>C26+D26</f>
        <v>2533507.31</v>
      </c>
      <c r="F26" s="8">
        <f t="shared" si="8"/>
        <v>2533507.31</v>
      </c>
      <c r="G26" s="8">
        <f t="shared" si="9"/>
        <v>2533507.31</v>
      </c>
      <c r="H26" s="8">
        <f t="shared" si="10"/>
        <v>2533507.31</v>
      </c>
      <c r="I26" s="269"/>
      <c r="J26" s="269"/>
      <c r="M26" s="269"/>
    </row>
    <row r="27" spans="1:13">
      <c r="A27" s="24">
        <f t="shared" si="0"/>
        <v>19</v>
      </c>
      <c r="B27" s="31" t="s">
        <v>31</v>
      </c>
      <c r="C27" s="8">
        <v>23555</v>
      </c>
      <c r="D27" s="8">
        <v>0</v>
      </c>
      <c r="E27" s="8">
        <f>C27+D27</f>
        <v>23555</v>
      </c>
      <c r="F27" s="8">
        <f t="shared" si="8"/>
        <v>23555</v>
      </c>
      <c r="G27" s="8">
        <f t="shared" si="9"/>
        <v>23555</v>
      </c>
      <c r="H27" s="8">
        <f t="shared" si="10"/>
        <v>23555</v>
      </c>
      <c r="I27" s="269"/>
      <c r="J27" s="269"/>
      <c r="M27" s="269"/>
    </row>
    <row r="28" spans="1:13">
      <c r="A28" s="24">
        <f t="shared" si="0"/>
        <v>20</v>
      </c>
      <c r="B28" s="31" t="s">
        <v>32</v>
      </c>
      <c r="C28" s="8">
        <v>55730</v>
      </c>
      <c r="D28" s="8">
        <v>0</v>
      </c>
      <c r="E28" s="8">
        <f>C28+D28</f>
        <v>55730</v>
      </c>
      <c r="F28" s="8">
        <f t="shared" si="8"/>
        <v>55730</v>
      </c>
      <c r="G28" s="8">
        <f t="shared" si="9"/>
        <v>55730</v>
      </c>
      <c r="H28" s="8">
        <f t="shared" si="10"/>
        <v>55730</v>
      </c>
      <c r="I28" s="269"/>
      <c r="J28" s="269"/>
      <c r="M28" s="269"/>
    </row>
    <row r="29" spans="1:13">
      <c r="A29" s="24">
        <f t="shared" si="0"/>
        <v>21</v>
      </c>
      <c r="C29" s="8"/>
      <c r="D29" s="8"/>
      <c r="E29" s="8"/>
      <c r="F29" s="8"/>
      <c r="G29" s="8"/>
      <c r="H29" s="8"/>
      <c r="I29" s="269"/>
      <c r="J29" s="269"/>
      <c r="M29" s="269"/>
    </row>
    <row r="30" spans="1:13">
      <c r="A30" s="24">
        <f t="shared" si="0"/>
        <v>22</v>
      </c>
      <c r="B30" s="370" t="s">
        <v>33</v>
      </c>
      <c r="C30" s="219">
        <f t="shared" ref="C30:G30" si="11">SUM(C22:C28)</f>
        <v>55104707</v>
      </c>
      <c r="D30" s="219">
        <f t="shared" si="11"/>
        <v>-10765531.175253058</v>
      </c>
      <c r="E30" s="219">
        <f t="shared" si="11"/>
        <v>44339175.824746944</v>
      </c>
      <c r="F30" s="219">
        <f t="shared" si="11"/>
        <v>44339175.824746944</v>
      </c>
      <c r="G30" s="219">
        <f t="shared" si="11"/>
        <v>44339175.824746944</v>
      </c>
      <c r="H30" s="219">
        <f t="shared" ref="H30" si="12">SUM(H22:H28)</f>
        <v>44339175.824746944</v>
      </c>
      <c r="I30" s="269"/>
      <c r="J30" s="269"/>
      <c r="M30" s="269"/>
    </row>
    <row r="31" spans="1:13">
      <c r="A31" s="24">
        <f t="shared" si="0"/>
        <v>23</v>
      </c>
      <c r="C31" s="8"/>
      <c r="D31" s="8"/>
      <c r="E31" s="8"/>
      <c r="F31" s="8"/>
      <c r="G31" s="8"/>
      <c r="H31" s="8"/>
      <c r="I31" s="269"/>
      <c r="J31" s="269"/>
      <c r="M31" s="269"/>
    </row>
    <row r="32" spans="1:13" ht="13.8" thickBot="1">
      <c r="A32" s="24">
        <f t="shared" si="0"/>
        <v>24</v>
      </c>
      <c r="B32" s="34" t="s">
        <v>34</v>
      </c>
      <c r="C32" s="220">
        <f t="shared" ref="C32:G32" si="13">C12-C30</f>
        <v>366181</v>
      </c>
      <c r="D32" s="220">
        <f t="shared" si="13"/>
        <v>-690136.67474694178</v>
      </c>
      <c r="E32" s="220">
        <f t="shared" si="13"/>
        <v>-323955.6747469455</v>
      </c>
      <c r="F32" s="220">
        <f t="shared" si="13"/>
        <v>1587287.3100000024</v>
      </c>
      <c r="G32" s="220">
        <f t="shared" si="13"/>
        <v>2118713.2135000005</v>
      </c>
      <c r="H32" s="220">
        <f t="shared" ref="H32" si="14">H12-H30</f>
        <v>1857682.6052530557</v>
      </c>
      <c r="I32" s="269"/>
      <c r="J32" s="269"/>
      <c r="M32" s="269"/>
    </row>
    <row r="33" spans="1:13" ht="13.8" thickTop="1">
      <c r="A33" s="24">
        <f t="shared" si="0"/>
        <v>25</v>
      </c>
      <c r="C33" s="8"/>
      <c r="D33" s="8"/>
      <c r="E33" s="8"/>
      <c r="F33" s="8"/>
      <c r="G33" s="8"/>
      <c r="H33" s="8"/>
      <c r="I33" s="269"/>
      <c r="J33" s="269"/>
      <c r="M33" s="269"/>
    </row>
    <row r="34" spans="1:13">
      <c r="A34" s="24">
        <f t="shared" si="0"/>
        <v>26</v>
      </c>
      <c r="B34" s="31" t="s">
        <v>35</v>
      </c>
      <c r="C34" s="8">
        <v>41665</v>
      </c>
      <c r="D34" s="8">
        <v>0</v>
      </c>
      <c r="E34" s="8">
        <f>C34+D34</f>
        <v>41665</v>
      </c>
      <c r="F34" s="8">
        <f t="shared" ref="F34:F38" si="15">E34</f>
        <v>41665</v>
      </c>
      <c r="G34" s="8">
        <f>E34</f>
        <v>41665</v>
      </c>
      <c r="H34" s="8">
        <f>E34</f>
        <v>41665</v>
      </c>
      <c r="I34" s="269"/>
      <c r="J34" s="269"/>
      <c r="M34" s="269"/>
    </row>
    <row r="35" spans="1:13">
      <c r="A35" s="24" t="s">
        <v>36</v>
      </c>
      <c r="B35" s="31" t="s">
        <v>37</v>
      </c>
      <c r="C35" s="8">
        <v>814478</v>
      </c>
      <c r="D35" s="8">
        <v>0</v>
      </c>
      <c r="E35" s="8">
        <f>C35+D35</f>
        <v>814478</v>
      </c>
      <c r="F35" s="8">
        <f t="shared" si="15"/>
        <v>814478</v>
      </c>
      <c r="G35" s="8">
        <f t="shared" ref="G35:G38" si="16">E35</f>
        <v>814478</v>
      </c>
      <c r="H35" s="8">
        <f t="shared" ref="H35:H38" si="17">E35</f>
        <v>814478</v>
      </c>
      <c r="I35" s="269"/>
      <c r="J35" s="269"/>
      <c r="M35" s="269"/>
    </row>
    <row r="36" spans="1:13">
      <c r="A36" s="24">
        <f>A34+1</f>
        <v>27</v>
      </c>
      <c r="B36" s="31" t="s">
        <v>38</v>
      </c>
      <c r="C36" s="8">
        <v>-83748</v>
      </c>
      <c r="D36" s="8">
        <v>0</v>
      </c>
      <c r="E36" s="8">
        <f>C36+D36</f>
        <v>-83748</v>
      </c>
      <c r="F36" s="8">
        <f t="shared" si="15"/>
        <v>-83748</v>
      </c>
      <c r="G36" s="8">
        <f t="shared" si="16"/>
        <v>-83748</v>
      </c>
      <c r="H36" s="8">
        <f t="shared" si="17"/>
        <v>-83748</v>
      </c>
      <c r="I36" s="269"/>
      <c r="J36" s="269"/>
      <c r="M36" s="269"/>
    </row>
    <row r="37" spans="1:13">
      <c r="A37" s="24">
        <f t="shared" si="0"/>
        <v>28</v>
      </c>
      <c r="B37" s="31" t="s">
        <v>39</v>
      </c>
      <c r="C37" s="8">
        <v>1395150</v>
      </c>
      <c r="D37" s="8">
        <f>'Adj List'!F20</f>
        <v>-1395150</v>
      </c>
      <c r="E37" s="8">
        <f>C37+D37</f>
        <v>0</v>
      </c>
      <c r="F37" s="8">
        <f t="shared" si="15"/>
        <v>0</v>
      </c>
      <c r="G37" s="8">
        <f t="shared" si="16"/>
        <v>0</v>
      </c>
      <c r="H37" s="8">
        <f t="shared" si="17"/>
        <v>0</v>
      </c>
      <c r="I37" s="269"/>
      <c r="J37" s="269"/>
      <c r="M37" s="269"/>
    </row>
    <row r="38" spans="1:13">
      <c r="A38" s="24">
        <f t="shared" si="0"/>
        <v>29</v>
      </c>
      <c r="B38" s="31" t="s">
        <v>40</v>
      </c>
      <c r="C38" s="8">
        <v>173825</v>
      </c>
      <c r="D38" s="8">
        <v>0</v>
      </c>
      <c r="E38" s="8">
        <f>C38+D38</f>
        <v>173825</v>
      </c>
      <c r="F38" s="8">
        <f t="shared" si="15"/>
        <v>173825</v>
      </c>
      <c r="G38" s="8">
        <f t="shared" si="16"/>
        <v>173825</v>
      </c>
      <c r="H38" s="8">
        <f t="shared" si="17"/>
        <v>173825</v>
      </c>
      <c r="I38" s="269"/>
      <c r="J38" s="269"/>
      <c r="M38" s="269"/>
    </row>
    <row r="39" spans="1:13">
      <c r="A39" s="24">
        <f t="shared" si="0"/>
        <v>30</v>
      </c>
      <c r="C39" s="8"/>
      <c r="D39" s="8"/>
      <c r="E39" s="8"/>
      <c r="F39" s="8"/>
      <c r="G39" s="8"/>
      <c r="H39" s="8"/>
      <c r="I39" s="269"/>
      <c r="J39" s="269"/>
      <c r="M39" s="269"/>
    </row>
    <row r="40" spans="1:13" ht="13.8" thickBot="1">
      <c r="A40" s="24">
        <f t="shared" si="0"/>
        <v>31</v>
      </c>
      <c r="B40" s="34" t="s">
        <v>41</v>
      </c>
      <c r="C40" s="220">
        <f t="shared" ref="C40:F40" si="18">C32+SUM(C34:C38)</f>
        <v>2707551</v>
      </c>
      <c r="D40" s="220">
        <f t="shared" si="18"/>
        <v>-2085286.6747469418</v>
      </c>
      <c r="E40" s="220">
        <f t="shared" si="18"/>
        <v>622264.3252530545</v>
      </c>
      <c r="F40" s="220">
        <f t="shared" si="18"/>
        <v>2533507.3100000024</v>
      </c>
      <c r="G40" s="220">
        <f t="shared" ref="G40:H40" si="19">G32+SUM(G34:G38)</f>
        <v>3064933.2135000005</v>
      </c>
      <c r="H40" s="220">
        <f t="shared" si="19"/>
        <v>2803902.6052530557</v>
      </c>
      <c r="I40" s="269"/>
      <c r="J40" s="269"/>
      <c r="M40" s="269"/>
    </row>
    <row r="41" spans="1:13" ht="13.8" thickTop="1">
      <c r="A41" s="24">
        <f t="shared" si="0"/>
        <v>32</v>
      </c>
      <c r="C41" s="8"/>
      <c r="D41" s="8"/>
      <c r="E41" s="8"/>
      <c r="F41" s="8"/>
      <c r="G41" s="8"/>
      <c r="H41" s="8"/>
      <c r="I41" s="269"/>
      <c r="J41" s="269"/>
    </row>
    <row r="42" spans="1:13">
      <c r="A42" s="24">
        <f t="shared" si="0"/>
        <v>33</v>
      </c>
      <c r="B42" s="31" t="s">
        <v>42</v>
      </c>
      <c r="C42" s="8">
        <v>34768</v>
      </c>
      <c r="D42" s="8"/>
      <c r="E42" s="8">
        <f>C42+D42</f>
        <v>34768</v>
      </c>
      <c r="F42" s="8">
        <f>E42</f>
        <v>34768</v>
      </c>
      <c r="G42" s="8">
        <f>E42</f>
        <v>34768</v>
      </c>
      <c r="H42" s="8">
        <f>E42</f>
        <v>34768</v>
      </c>
      <c r="I42" s="269"/>
      <c r="J42" s="269"/>
    </row>
    <row r="43" spans="1:13">
      <c r="A43" s="24">
        <f t="shared" si="0"/>
        <v>34</v>
      </c>
      <c r="B43" s="31" t="s">
        <v>43</v>
      </c>
      <c r="C43" s="221">
        <f>(C32+C42+C26)/C26</f>
        <v>1.1878308539005391</v>
      </c>
      <c r="D43" s="8"/>
      <c r="E43" s="221">
        <f>(E32+E42+E26)/E26</f>
        <v>0.88585480941559014</v>
      </c>
      <c r="F43" s="221">
        <f>(F32+F42+F26)/F26</f>
        <v>1.6402410222372725</v>
      </c>
      <c r="G43" s="371">
        <f>(G32+G42+G26)/G26</f>
        <v>1.8500000000000003</v>
      </c>
      <c r="H43" s="371">
        <f>(H32+H42+H26)/H26</f>
        <v>1.7469686776838453</v>
      </c>
      <c r="I43" s="221"/>
      <c r="J43" s="221"/>
    </row>
    <row r="44" spans="1:13">
      <c r="A44" s="24">
        <f t="shared" si="0"/>
        <v>35</v>
      </c>
      <c r="B44" s="31" t="s">
        <v>44</v>
      </c>
      <c r="C44" s="221">
        <f>(C40+C26)/C26</f>
        <v>2.2683947741714245</v>
      </c>
      <c r="D44" s="8"/>
      <c r="E44" s="221">
        <f>(E40+E26)/E26</f>
        <v>1.2456137871783186</v>
      </c>
      <c r="F44" s="371">
        <f>(F40+F26)/F26</f>
        <v>2.0000000000000009</v>
      </c>
      <c r="G44" s="298">
        <f>(G40+G26)/G26</f>
        <v>2.2097589777627289</v>
      </c>
      <c r="H44" s="298">
        <f>(H40+H26)/H26</f>
        <v>2.1067276554465737</v>
      </c>
      <c r="I44" s="221"/>
      <c r="J44" s="221"/>
    </row>
    <row r="45" spans="1:13">
      <c r="A45" s="24">
        <f t="shared" si="0"/>
        <v>36</v>
      </c>
      <c r="B45" s="31" t="s">
        <v>45</v>
      </c>
      <c r="C45" s="221">
        <f>(C26+C40-C37)/C26</f>
        <v>1.6148148529860942</v>
      </c>
      <c r="D45" s="8"/>
      <c r="E45" s="221">
        <f>(E26+E40-E37)/E26</f>
        <v>1.2456137871783186</v>
      </c>
      <c r="F45" s="221">
        <f>(F26+F40-F37)/F26</f>
        <v>2.0000000000000009</v>
      </c>
      <c r="G45" s="221">
        <f>(G26+G40-G37)/G26</f>
        <v>2.2097589777627289</v>
      </c>
      <c r="H45" s="221">
        <f>(H26+H40-H37)/H26</f>
        <v>2.1067276554465737</v>
      </c>
      <c r="I45" s="221"/>
      <c r="J45" s="221"/>
    </row>
    <row r="46" spans="1:13">
      <c r="A46" s="24">
        <f t="shared" si="0"/>
        <v>37</v>
      </c>
      <c r="I46" s="269"/>
      <c r="J46" s="269"/>
    </row>
    <row r="47" spans="1:13">
      <c r="A47" s="24">
        <f t="shared" si="0"/>
        <v>38</v>
      </c>
      <c r="B47" s="31" t="s">
        <v>527</v>
      </c>
      <c r="C47" s="221">
        <v>2</v>
      </c>
      <c r="D47" s="8"/>
      <c r="E47" s="221">
        <f>C47</f>
        <v>2</v>
      </c>
      <c r="F47" s="221">
        <v>2</v>
      </c>
      <c r="G47" s="221">
        <v>2</v>
      </c>
      <c r="H47" s="221">
        <v>3</v>
      </c>
      <c r="I47" s="269"/>
      <c r="J47" s="269"/>
    </row>
    <row r="48" spans="1:13">
      <c r="A48" s="24">
        <f t="shared" si="0"/>
        <v>39</v>
      </c>
      <c r="B48" s="31" t="s">
        <v>528</v>
      </c>
      <c r="C48" s="8">
        <f>C47*C26-C26</f>
        <v>2134628</v>
      </c>
      <c r="D48" s="8"/>
      <c r="E48" s="8">
        <f>E47*E26-E26</f>
        <v>2533507.31</v>
      </c>
      <c r="F48" s="8">
        <f>F47*F26-F26</f>
        <v>2533507.31</v>
      </c>
      <c r="G48" s="8">
        <f>G47*G26-G26</f>
        <v>2533507.31</v>
      </c>
      <c r="H48" s="8">
        <f>H47*H26-H26</f>
        <v>5067014.6199999992</v>
      </c>
      <c r="I48" s="269"/>
      <c r="J48" s="269"/>
    </row>
    <row r="49" spans="1:13">
      <c r="A49" s="24">
        <f t="shared" si="0"/>
        <v>40</v>
      </c>
      <c r="B49" s="31" t="s">
        <v>529</v>
      </c>
      <c r="C49" s="8">
        <f>C30+C48</f>
        <v>57239335</v>
      </c>
      <c r="D49" s="8"/>
      <c r="E49" s="8">
        <f>E30+E48</f>
        <v>46872683.134746946</v>
      </c>
      <c r="F49" s="8">
        <f>F30+F48</f>
        <v>46872683.134746946</v>
      </c>
      <c r="G49" s="8">
        <f>G30+G48</f>
        <v>46872683.134746946</v>
      </c>
      <c r="H49" s="8">
        <f>H30+H48</f>
        <v>49406190.444746941</v>
      </c>
      <c r="I49" s="269"/>
      <c r="J49" s="269"/>
      <c r="M49" s="96"/>
    </row>
    <row r="50" spans="1:13">
      <c r="A50" s="24">
        <f t="shared" si="0"/>
        <v>41</v>
      </c>
      <c r="B50" s="31" t="s">
        <v>530</v>
      </c>
      <c r="C50" s="8">
        <f>C48-C40</f>
        <v>-572923</v>
      </c>
      <c r="D50" s="8"/>
      <c r="E50" s="297">
        <f>E48-E40</f>
        <v>1911242.9847469456</v>
      </c>
      <c r="F50" s="8">
        <f>F48-F40</f>
        <v>0</v>
      </c>
      <c r="G50" s="8">
        <f>G48-G40</f>
        <v>-531425.90350000048</v>
      </c>
      <c r="H50" s="8">
        <f>H48-H40</f>
        <v>2263112.0147469435</v>
      </c>
      <c r="I50" s="269"/>
      <c r="J50" s="269"/>
    </row>
    <row r="51" spans="1:13">
      <c r="A51" s="24">
        <f t="shared" si="0"/>
        <v>42</v>
      </c>
      <c r="B51" s="31" t="s">
        <v>531</v>
      </c>
      <c r="C51" s="19"/>
      <c r="D51" s="372"/>
      <c r="E51" s="298">
        <f>ROUND(E45-C47,2)</f>
        <v>-0.75</v>
      </c>
      <c r="F51" s="298">
        <f>ROUND(F45-C47,2)</f>
        <v>0</v>
      </c>
      <c r="G51" s="298">
        <f>ROUND(G45-C47,2)</f>
        <v>0.21</v>
      </c>
      <c r="H51" s="298">
        <f>ROUND(H45-D47,2)</f>
        <v>2.11</v>
      </c>
      <c r="I51" s="269"/>
      <c r="J51" s="269"/>
    </row>
    <row r="52" spans="1:13">
      <c r="A52" s="24">
        <f t="shared" si="0"/>
        <v>43</v>
      </c>
      <c r="I52" s="221"/>
      <c r="J52" s="221"/>
    </row>
    <row r="53" spans="1:13">
      <c r="A53" s="24">
        <f t="shared" si="0"/>
        <v>44</v>
      </c>
      <c r="B53" s="31" t="s">
        <v>523</v>
      </c>
      <c r="C53" s="31">
        <v>1.85</v>
      </c>
      <c r="E53" s="31">
        <f>C53</f>
        <v>1.85</v>
      </c>
      <c r="F53" s="31">
        <f>E53</f>
        <v>1.85</v>
      </c>
      <c r="G53" s="31">
        <f>E53</f>
        <v>1.85</v>
      </c>
      <c r="H53" s="31">
        <f>E53</f>
        <v>1.85</v>
      </c>
      <c r="I53" s="221"/>
      <c r="J53" s="221"/>
    </row>
    <row r="54" spans="1:13">
      <c r="A54" s="24">
        <f t="shared" si="0"/>
        <v>45</v>
      </c>
      <c r="B54" s="31" t="s">
        <v>524</v>
      </c>
      <c r="C54" s="269">
        <f>C53*C26-C26-C42+SUM(C34:C38)</f>
        <v>4121035.8000000003</v>
      </c>
      <c r="D54" s="269"/>
      <c r="E54" s="269">
        <f>E53*E26-E26-E42+SUM(E34:E38)</f>
        <v>3064933.2135000001</v>
      </c>
      <c r="F54" s="269">
        <f>F53*F26-F26-F42+SUM(F34:F38)</f>
        <v>3064933.2135000001</v>
      </c>
      <c r="G54" s="269">
        <f>G53*G26-G26-G42+SUM(G34:G38)</f>
        <v>3064933.2135000001</v>
      </c>
      <c r="H54" s="269">
        <f>H53*H26-H26-H42+SUM(H34:H38)</f>
        <v>3064933.2135000001</v>
      </c>
    </row>
    <row r="55" spans="1:13">
      <c r="A55" s="24">
        <f t="shared" si="0"/>
        <v>46</v>
      </c>
      <c r="B55" s="31" t="s">
        <v>532</v>
      </c>
      <c r="C55" s="269">
        <f>C30+C54</f>
        <v>59225742.799999997</v>
      </c>
      <c r="E55" s="269">
        <f t="shared" ref="E55:G55" si="20">E30+E54</f>
        <v>47404109.038246945</v>
      </c>
      <c r="F55" s="269">
        <f t="shared" si="20"/>
        <v>47404109.038246945</v>
      </c>
      <c r="G55" s="269">
        <f t="shared" si="20"/>
        <v>47404109.038246945</v>
      </c>
      <c r="H55" s="269">
        <f t="shared" ref="H55" si="21">H30+H54</f>
        <v>47404109.038246945</v>
      </c>
    </row>
    <row r="56" spans="1:13">
      <c r="A56" s="24">
        <f t="shared" si="0"/>
        <v>47</v>
      </c>
      <c r="B56" s="31" t="s">
        <v>533</v>
      </c>
      <c r="C56" s="269">
        <f>C54-C40</f>
        <v>1413484.8000000003</v>
      </c>
      <c r="D56" s="269"/>
      <c r="E56" s="269">
        <f>E54-E40</f>
        <v>2442668.8882469456</v>
      </c>
      <c r="F56" s="269">
        <f>F54-F40</f>
        <v>531425.90349999769</v>
      </c>
      <c r="G56" s="269">
        <f>G54-G40</f>
        <v>0</v>
      </c>
      <c r="H56" s="269">
        <f>H54-H40</f>
        <v>261030.60824694438</v>
      </c>
    </row>
    <row r="57" spans="1:13">
      <c r="A57" s="24">
        <f t="shared" si="0"/>
        <v>48</v>
      </c>
      <c r="B57" s="31" t="s">
        <v>534</v>
      </c>
      <c r="E57" s="221">
        <f>E43-E53</f>
        <v>-0.96414519058440995</v>
      </c>
      <c r="F57" s="221">
        <f t="shared" ref="F57:G57" si="22">F43-F53</f>
        <v>-0.20975897776272756</v>
      </c>
      <c r="G57" s="221">
        <f t="shared" si="22"/>
        <v>0</v>
      </c>
      <c r="H57" s="221">
        <f t="shared" ref="H57" si="23">H43-H53</f>
        <v>-0.10303132231615475</v>
      </c>
    </row>
    <row r="58" spans="1:13">
      <c r="A58" s="24">
        <f t="shared" si="0"/>
        <v>49</v>
      </c>
    </row>
    <row r="59" spans="1:13">
      <c r="A59" s="24">
        <f t="shared" si="0"/>
        <v>50</v>
      </c>
      <c r="F59" s="373" t="s">
        <v>525</v>
      </c>
      <c r="G59" s="373" t="s">
        <v>526</v>
      </c>
      <c r="H59" s="373" t="s">
        <v>540</v>
      </c>
    </row>
    <row r="60" spans="1:13">
      <c r="A60" s="24">
        <f t="shared" si="0"/>
        <v>51</v>
      </c>
      <c r="B60" s="31" t="s">
        <v>542</v>
      </c>
      <c r="F60" s="374">
        <f>E50</f>
        <v>1911242.9847469456</v>
      </c>
      <c r="G60" s="374">
        <f>E56</f>
        <v>2442668.8882469456</v>
      </c>
      <c r="H60" s="269">
        <v>2181638.2800000003</v>
      </c>
      <c r="I60" s="269"/>
    </row>
    <row r="61" spans="1:13">
      <c r="A61" s="24">
        <f t="shared" si="0"/>
        <v>52</v>
      </c>
      <c r="B61" s="31" t="s">
        <v>543</v>
      </c>
      <c r="F61" s="368">
        <f>F60/C10</f>
        <v>3.5042344136846475E-2</v>
      </c>
      <c r="G61" s="368">
        <f>G60/C10</f>
        <v>4.4785955777177609E-2</v>
      </c>
      <c r="H61" s="368">
        <f>H60/C10</f>
        <v>4.0000000000000008E-2</v>
      </c>
    </row>
  </sheetData>
  <pageMargins left="0.7" right="0.7" top="0.75" bottom="0.75" header="0.3" footer="0.3"/>
  <pageSetup scale="68" orientation="portrait" r:id="rId1"/>
  <headerFooter>
    <oddFooter>&amp;RExhibit  JW-2
Page &amp;P of &amp;N</oddFooter>
  </headerFooter>
  <ignoredErrors>
    <ignoredError sqref="E8:H8" numberStoredAsText="1"/>
    <ignoredError sqref="G11 F5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E34A4-33E8-4FC4-84DE-0B9A2F738A6B}">
  <dimension ref="A1:P86"/>
  <sheetViews>
    <sheetView view="pageBreakPreview" topLeftCell="B35" zoomScale="75" zoomScaleNormal="100" zoomScaleSheetLayoutView="75" workbookViewId="0">
      <selection activeCell="F12" sqref="F12"/>
    </sheetView>
  </sheetViews>
  <sheetFormatPr defaultColWidth="9.109375" defaultRowHeight="13.8"/>
  <cols>
    <col min="1" max="1" width="30.6640625" style="173" hidden="1" customWidth="1"/>
    <col min="2" max="2" width="11.5546875" style="173" customWidth="1"/>
    <col min="3" max="3" width="14.5546875" style="173" customWidth="1"/>
    <col min="4" max="4" width="12.44140625" style="173" customWidth="1"/>
    <col min="5" max="9" width="16.88671875" style="173" customWidth="1"/>
    <col min="10" max="10" width="9.109375" style="173"/>
    <col min="11" max="11" width="11.33203125" style="173" bestFit="1" customWidth="1"/>
    <col min="12" max="12" width="9.109375" style="173"/>
    <col min="13" max="13" width="11.33203125" style="173" bestFit="1" customWidth="1"/>
    <col min="14" max="16384" width="9.109375" style="173"/>
  </cols>
  <sheetData>
    <row r="1" spans="1:16" s="2" customFormat="1" ht="15" customHeight="1">
      <c r="H1" s="20"/>
      <c r="I1" s="20" t="s">
        <v>463</v>
      </c>
    </row>
    <row r="2" spans="1:16" s="2" customFormat="1" ht="20.25" customHeight="1">
      <c r="H2" s="20"/>
      <c r="I2" s="20"/>
    </row>
    <row r="3" spans="1:16" s="2" customFormat="1" ht="13.2">
      <c r="H3" s="20"/>
      <c r="I3" s="20"/>
    </row>
    <row r="4" spans="1:16" s="2" customFormat="1" ht="13.2">
      <c r="B4" s="377" t="s">
        <v>566</v>
      </c>
      <c r="C4" s="377"/>
      <c r="D4" s="377"/>
      <c r="E4" s="377"/>
      <c r="F4" s="377"/>
      <c r="G4" s="377"/>
      <c r="H4" s="377"/>
      <c r="I4" s="377"/>
      <c r="J4" s="193"/>
      <c r="K4" s="193"/>
      <c r="L4" s="193"/>
      <c r="M4" s="193"/>
      <c r="N4" s="193"/>
      <c r="O4" s="193"/>
      <c r="P4" s="193"/>
    </row>
    <row r="5" spans="1:16" s="2" customFormat="1" ht="13.2">
      <c r="B5" s="377" t="s">
        <v>522</v>
      </c>
      <c r="C5" s="377"/>
      <c r="D5" s="377"/>
      <c r="E5" s="377"/>
      <c r="F5" s="377"/>
      <c r="G5" s="377"/>
      <c r="H5" s="377"/>
      <c r="I5" s="377"/>
      <c r="J5" s="193"/>
      <c r="K5" s="193"/>
      <c r="L5" s="193"/>
      <c r="M5" s="193"/>
    </row>
    <row r="6" spans="1:16" s="2" customFormat="1" ht="13.2"/>
    <row r="7" spans="1:16" s="21" customFormat="1" ht="15" customHeight="1">
      <c r="B7" s="378" t="s">
        <v>89</v>
      </c>
      <c r="C7" s="378"/>
      <c r="D7" s="378"/>
      <c r="E7" s="378"/>
      <c r="F7" s="378"/>
      <c r="G7" s="378"/>
      <c r="H7" s="378"/>
      <c r="I7" s="378"/>
      <c r="J7" s="88"/>
      <c r="K7" s="88"/>
      <c r="L7" s="88"/>
      <c r="M7" s="88"/>
    </row>
    <row r="8" spans="1:16" s="2" customFormat="1" ht="13.2"/>
    <row r="9" spans="1:16">
      <c r="B9" s="174" t="s">
        <v>80</v>
      </c>
      <c r="C9" s="174" t="s">
        <v>81</v>
      </c>
      <c r="D9" s="174" t="s">
        <v>82</v>
      </c>
      <c r="E9" s="174" t="s">
        <v>58</v>
      </c>
      <c r="F9" s="174" t="s">
        <v>84</v>
      </c>
      <c r="G9" s="174" t="s">
        <v>441</v>
      </c>
      <c r="H9" s="174" t="s">
        <v>442</v>
      </c>
      <c r="I9" s="174" t="s">
        <v>443</v>
      </c>
    </row>
    <row r="10" spans="1:16">
      <c r="B10" s="174"/>
      <c r="C10" s="174"/>
      <c r="D10" s="174"/>
      <c r="E10" s="179"/>
      <c r="F10" s="179"/>
      <c r="G10" s="179"/>
      <c r="H10" s="179" t="s">
        <v>444</v>
      </c>
      <c r="I10" s="179" t="s">
        <v>445</v>
      </c>
      <c r="J10" s="179"/>
    </row>
    <row r="11" spans="1:16" ht="31.5" customHeight="1">
      <c r="B11" s="302" t="s">
        <v>469</v>
      </c>
      <c r="C11" s="340" t="s">
        <v>470</v>
      </c>
      <c r="D11" s="302" t="s">
        <v>433</v>
      </c>
      <c r="E11" s="340" t="s">
        <v>660</v>
      </c>
      <c r="F11" s="340" t="s">
        <v>661</v>
      </c>
      <c r="G11" s="340" t="s">
        <v>434</v>
      </c>
      <c r="H11" s="340" t="s">
        <v>446</v>
      </c>
      <c r="I11" s="340" t="s">
        <v>435</v>
      </c>
      <c r="J11" s="179"/>
    </row>
    <row r="12" spans="1:16">
      <c r="A12" s="173" t="s">
        <v>662</v>
      </c>
      <c r="B12" s="175">
        <v>1</v>
      </c>
      <c r="C12" s="341">
        <f>28.51*12</f>
        <v>342.12</v>
      </c>
      <c r="D12" s="175">
        <v>583</v>
      </c>
      <c r="E12" s="341">
        <v>42.74</v>
      </c>
      <c r="F12" s="177">
        <f>+E12*2080</f>
        <v>88899.199999999997</v>
      </c>
      <c r="G12" s="341">
        <f>IF(F12&gt;50000,50000,F12)</f>
        <v>50000</v>
      </c>
      <c r="H12" s="341">
        <f>+F12*2</f>
        <v>177798.39999999999</v>
      </c>
      <c r="I12" s="341">
        <f>((H12-G12)/H12)*C12</f>
        <v>245.90991037039703</v>
      </c>
      <c r="J12" s="188"/>
      <c r="K12" s="177"/>
      <c r="M12" s="177"/>
    </row>
    <row r="13" spans="1:16">
      <c r="A13" s="173" t="s">
        <v>663</v>
      </c>
      <c r="B13" s="175">
        <v>2</v>
      </c>
      <c r="C13" s="342">
        <f>14.42*2</f>
        <v>28.84</v>
      </c>
      <c r="D13" s="175">
        <v>903</v>
      </c>
      <c r="E13" s="343">
        <v>21.5</v>
      </c>
      <c r="F13" s="343">
        <f t="shared" ref="F13:F54" si="0">+E13*2080</f>
        <v>44720</v>
      </c>
      <c r="G13" s="343">
        <f t="shared" ref="G13:G54" si="1">IF(F13&gt;50000,50000,F13)</f>
        <v>44720</v>
      </c>
      <c r="H13" s="343">
        <f t="shared" ref="H13:H54" si="2">+F13*2</f>
        <v>89440</v>
      </c>
      <c r="I13" s="343">
        <f t="shared" ref="I13:I54" si="3">((H13-G13)/H13)*C13</f>
        <v>14.42</v>
      </c>
      <c r="J13" s="188"/>
      <c r="K13" s="177"/>
      <c r="M13" s="177"/>
    </row>
    <row r="14" spans="1:16">
      <c r="A14" s="173" t="s">
        <v>664</v>
      </c>
      <c r="B14" s="175">
        <v>3</v>
      </c>
      <c r="C14" s="342">
        <f>61.52*12</f>
        <v>738.24</v>
      </c>
      <c r="D14" s="175">
        <v>920</v>
      </c>
      <c r="E14" s="343">
        <v>91.84</v>
      </c>
      <c r="F14" s="343">
        <f t="shared" si="0"/>
        <v>191027.20000000001</v>
      </c>
      <c r="G14" s="343">
        <f t="shared" si="1"/>
        <v>50000</v>
      </c>
      <c r="H14" s="343">
        <f t="shared" si="2"/>
        <v>382054.40000000002</v>
      </c>
      <c r="I14" s="343">
        <f t="shared" si="3"/>
        <v>641.62548646475477</v>
      </c>
    </row>
    <row r="15" spans="1:16">
      <c r="A15" s="173" t="s">
        <v>665</v>
      </c>
      <c r="B15" s="175">
        <v>4</v>
      </c>
      <c r="C15" s="342">
        <f>19.22*12</f>
        <v>230.64</v>
      </c>
      <c r="D15" s="175">
        <v>588</v>
      </c>
      <c r="E15" s="343">
        <v>28.73</v>
      </c>
      <c r="F15" s="343">
        <f t="shared" si="0"/>
        <v>59758.400000000001</v>
      </c>
      <c r="G15" s="343">
        <f t="shared" si="1"/>
        <v>50000</v>
      </c>
      <c r="H15" s="343">
        <f t="shared" si="2"/>
        <v>119516.8</v>
      </c>
      <c r="I15" s="343">
        <f t="shared" si="3"/>
        <v>134.15147286406597</v>
      </c>
    </row>
    <row r="16" spans="1:16">
      <c r="A16" s="173" t="s">
        <v>666</v>
      </c>
      <c r="B16" s="175">
        <v>5</v>
      </c>
      <c r="C16" s="342">
        <f>22.75*12</f>
        <v>273</v>
      </c>
      <c r="D16" s="175">
        <v>583</v>
      </c>
      <c r="E16" s="343">
        <v>36.81</v>
      </c>
      <c r="F16" s="343">
        <f t="shared" si="0"/>
        <v>76564.800000000003</v>
      </c>
      <c r="G16" s="343">
        <f t="shared" si="1"/>
        <v>50000</v>
      </c>
      <c r="H16" s="343">
        <f t="shared" si="2"/>
        <v>153129.60000000001</v>
      </c>
      <c r="I16" s="343">
        <f t="shared" si="3"/>
        <v>183.85982070089651</v>
      </c>
    </row>
    <row r="17" spans="1:9">
      <c r="A17" s="173" t="s">
        <v>667</v>
      </c>
      <c r="B17" s="175">
        <v>6</v>
      </c>
      <c r="C17" s="342">
        <f>27.88*12</f>
        <v>334.56</v>
      </c>
      <c r="D17" s="175">
        <v>583</v>
      </c>
      <c r="E17" s="343">
        <v>41.74</v>
      </c>
      <c r="F17" s="343">
        <f t="shared" si="0"/>
        <v>86819.199999999997</v>
      </c>
      <c r="G17" s="343">
        <f t="shared" si="1"/>
        <v>50000</v>
      </c>
      <c r="H17" s="343">
        <f t="shared" si="2"/>
        <v>173638.39999999999</v>
      </c>
      <c r="I17" s="343">
        <f t="shared" si="3"/>
        <v>238.22186281375548</v>
      </c>
    </row>
    <row r="18" spans="1:9">
      <c r="A18" s="173" t="s">
        <v>668</v>
      </c>
      <c r="B18" s="175">
        <v>7</v>
      </c>
      <c r="C18" s="342">
        <f>19.22*12</f>
        <v>230.64</v>
      </c>
      <c r="D18" s="175">
        <v>910</v>
      </c>
      <c r="E18" s="343">
        <v>28.52</v>
      </c>
      <c r="F18" s="343">
        <f t="shared" si="0"/>
        <v>59321.599999999999</v>
      </c>
      <c r="G18" s="343">
        <f t="shared" si="1"/>
        <v>50000</v>
      </c>
      <c r="H18" s="343">
        <f t="shared" si="2"/>
        <v>118643.2</v>
      </c>
      <c r="I18" s="343">
        <f t="shared" si="3"/>
        <v>133.4410033444816</v>
      </c>
    </row>
    <row r="19" spans="1:9">
      <c r="A19" s="173" t="s">
        <v>669</v>
      </c>
      <c r="B19" s="175">
        <v>8</v>
      </c>
      <c r="C19" s="342">
        <v>60.88</v>
      </c>
      <c r="D19" s="175">
        <v>910</v>
      </c>
      <c r="E19" s="343">
        <v>45.673999999999999</v>
      </c>
      <c r="F19" s="343">
        <f t="shared" si="0"/>
        <v>95001.919999999998</v>
      </c>
      <c r="G19" s="343">
        <f t="shared" si="1"/>
        <v>50000</v>
      </c>
      <c r="H19" s="343">
        <f t="shared" si="2"/>
        <v>190003.84</v>
      </c>
      <c r="I19" s="343">
        <f t="shared" si="3"/>
        <v>44.859271155782956</v>
      </c>
    </row>
    <row r="20" spans="1:9">
      <c r="A20" s="173" t="s">
        <v>670</v>
      </c>
      <c r="B20" s="175">
        <v>9</v>
      </c>
      <c r="C20" s="342">
        <f>31.08*12</f>
        <v>372.96</v>
      </c>
      <c r="D20" s="175">
        <v>588</v>
      </c>
      <c r="E20" s="343">
        <v>46.42</v>
      </c>
      <c r="F20" s="343">
        <f t="shared" si="0"/>
        <v>96553.600000000006</v>
      </c>
      <c r="G20" s="343">
        <f t="shared" si="1"/>
        <v>50000</v>
      </c>
      <c r="H20" s="343">
        <f t="shared" si="2"/>
        <v>193107.20000000001</v>
      </c>
      <c r="I20" s="343">
        <f t="shared" si="3"/>
        <v>276.39187618069133</v>
      </c>
    </row>
    <row r="21" spans="1:9">
      <c r="A21" s="173" t="s">
        <v>671</v>
      </c>
      <c r="B21" s="175">
        <v>10</v>
      </c>
      <c r="C21" s="342">
        <f>36.2*12</f>
        <v>434.40000000000003</v>
      </c>
      <c r="D21" s="175">
        <v>580</v>
      </c>
      <c r="E21" s="343">
        <v>54.26</v>
      </c>
      <c r="F21" s="343">
        <f t="shared" si="0"/>
        <v>112860.8</v>
      </c>
      <c r="G21" s="343">
        <f t="shared" si="1"/>
        <v>50000</v>
      </c>
      <c r="H21" s="343">
        <f t="shared" si="2"/>
        <v>225721.60000000001</v>
      </c>
      <c r="I21" s="343">
        <f t="shared" si="3"/>
        <v>338.17527006719786</v>
      </c>
    </row>
    <row r="22" spans="1:9">
      <c r="A22" s="173" t="s">
        <v>672</v>
      </c>
      <c r="B22" s="175">
        <v>11</v>
      </c>
      <c r="C22" s="342">
        <f>16.66*12</f>
        <v>199.92000000000002</v>
      </c>
      <c r="D22" s="175">
        <v>588</v>
      </c>
      <c r="E22" s="343">
        <v>24.74</v>
      </c>
      <c r="F22" s="343">
        <f t="shared" si="0"/>
        <v>51459.199999999997</v>
      </c>
      <c r="G22" s="343">
        <f t="shared" si="1"/>
        <v>50000</v>
      </c>
      <c r="H22" s="343">
        <f t="shared" si="2"/>
        <v>102918.39999999999</v>
      </c>
      <c r="I22" s="343">
        <f t="shared" si="3"/>
        <v>102.79451029164854</v>
      </c>
    </row>
    <row r="23" spans="1:9">
      <c r="A23" s="173" t="s">
        <v>673</v>
      </c>
      <c r="B23" s="175">
        <v>12</v>
      </c>
      <c r="C23" s="342">
        <f>27.88*12</f>
        <v>334.56</v>
      </c>
      <c r="D23" s="175">
        <v>583</v>
      </c>
      <c r="E23" s="343">
        <v>41.74</v>
      </c>
      <c r="F23" s="343">
        <f t="shared" si="0"/>
        <v>86819.199999999997</v>
      </c>
      <c r="G23" s="343">
        <f t="shared" si="1"/>
        <v>50000</v>
      </c>
      <c r="H23" s="343">
        <f t="shared" si="2"/>
        <v>173638.39999999999</v>
      </c>
      <c r="I23" s="343">
        <f t="shared" si="3"/>
        <v>238.22186281375548</v>
      </c>
    </row>
    <row r="24" spans="1:9">
      <c r="A24" s="173" t="s">
        <v>674</v>
      </c>
      <c r="B24" s="175">
        <v>13</v>
      </c>
      <c r="C24" s="342">
        <f>14.74*8</f>
        <v>117.92</v>
      </c>
      <c r="D24" s="175">
        <v>903</v>
      </c>
      <c r="E24" s="343">
        <v>20.04</v>
      </c>
      <c r="F24" s="343">
        <f t="shared" si="0"/>
        <v>41683.199999999997</v>
      </c>
      <c r="G24" s="343">
        <f t="shared" si="1"/>
        <v>41683.199999999997</v>
      </c>
      <c r="H24" s="343">
        <f t="shared" si="2"/>
        <v>83366.399999999994</v>
      </c>
      <c r="I24" s="343">
        <f t="shared" si="3"/>
        <v>58.96</v>
      </c>
    </row>
    <row r="25" spans="1:9">
      <c r="A25" s="173" t="s">
        <v>675</v>
      </c>
      <c r="B25" s="175">
        <v>14</v>
      </c>
      <c r="C25" s="342">
        <f>14.74*12</f>
        <v>176.88</v>
      </c>
      <c r="D25" s="175">
        <v>910</v>
      </c>
      <c r="E25" s="343">
        <v>21.73</v>
      </c>
      <c r="F25" s="343">
        <f t="shared" si="0"/>
        <v>45198.400000000001</v>
      </c>
      <c r="G25" s="343">
        <f t="shared" si="1"/>
        <v>45198.400000000001</v>
      </c>
      <c r="H25" s="343">
        <f t="shared" si="2"/>
        <v>90396.800000000003</v>
      </c>
      <c r="I25" s="343">
        <f t="shared" si="3"/>
        <v>88.44</v>
      </c>
    </row>
    <row r="26" spans="1:9">
      <c r="A26" s="173" t="s">
        <v>676</v>
      </c>
      <c r="B26" s="175">
        <v>15</v>
      </c>
      <c r="C26" s="342">
        <v>14.57</v>
      </c>
      <c r="D26" s="175">
        <v>903</v>
      </c>
      <c r="E26" s="343">
        <v>21.99</v>
      </c>
      <c r="F26" s="343">
        <f t="shared" si="0"/>
        <v>45739.199999999997</v>
      </c>
      <c r="G26" s="343">
        <f t="shared" si="1"/>
        <v>45739.199999999997</v>
      </c>
      <c r="H26" s="343">
        <f t="shared" si="2"/>
        <v>91478.399999999994</v>
      </c>
      <c r="I26" s="343">
        <f t="shared" si="3"/>
        <v>7.2850000000000001</v>
      </c>
    </row>
    <row r="27" spans="1:9">
      <c r="A27" s="173" t="s">
        <v>677</v>
      </c>
      <c r="B27" s="175">
        <v>16</v>
      </c>
      <c r="C27" s="342">
        <f>15.06*12</f>
        <v>180.72</v>
      </c>
      <c r="D27" s="175">
        <v>903</v>
      </c>
      <c r="E27" s="343">
        <v>22.59</v>
      </c>
      <c r="F27" s="343">
        <f t="shared" si="0"/>
        <v>46987.199999999997</v>
      </c>
      <c r="G27" s="343">
        <f t="shared" si="1"/>
        <v>46987.199999999997</v>
      </c>
      <c r="H27" s="343">
        <f t="shared" si="2"/>
        <v>93974.399999999994</v>
      </c>
      <c r="I27" s="343">
        <f t="shared" si="3"/>
        <v>90.36</v>
      </c>
    </row>
    <row r="28" spans="1:9">
      <c r="A28" s="173" t="s">
        <v>678</v>
      </c>
      <c r="B28" s="175">
        <v>17</v>
      </c>
      <c r="C28" s="342">
        <f>24.03*12</f>
        <v>288.36</v>
      </c>
      <c r="D28" s="175">
        <v>583</v>
      </c>
      <c r="E28" s="343">
        <v>35.82</v>
      </c>
      <c r="F28" s="343">
        <f t="shared" si="0"/>
        <v>74505.600000000006</v>
      </c>
      <c r="G28" s="343">
        <f t="shared" si="1"/>
        <v>50000</v>
      </c>
      <c r="H28" s="343">
        <f t="shared" si="2"/>
        <v>149011.20000000001</v>
      </c>
      <c r="I28" s="343">
        <f t="shared" si="3"/>
        <v>191.6021724004639</v>
      </c>
    </row>
    <row r="29" spans="1:9">
      <c r="A29" s="173" t="s">
        <v>679</v>
      </c>
      <c r="B29" s="175">
        <v>18</v>
      </c>
      <c r="C29" s="342">
        <f>27.88*12</f>
        <v>334.56</v>
      </c>
      <c r="D29" s="175">
        <v>901</v>
      </c>
      <c r="E29" s="343">
        <v>41.54</v>
      </c>
      <c r="F29" s="343">
        <f t="shared" si="0"/>
        <v>86403.199999999997</v>
      </c>
      <c r="G29" s="343">
        <f t="shared" si="1"/>
        <v>50000</v>
      </c>
      <c r="H29" s="343">
        <f t="shared" si="2"/>
        <v>172806.39999999999</v>
      </c>
      <c r="I29" s="343">
        <f t="shared" si="3"/>
        <v>237.75802970260361</v>
      </c>
    </row>
    <row r="30" spans="1:9">
      <c r="A30" s="173" t="s">
        <v>680</v>
      </c>
      <c r="B30" s="175">
        <v>19</v>
      </c>
      <c r="C30" s="342">
        <f>28.51*12</f>
        <v>342.12</v>
      </c>
      <c r="D30" s="175">
        <v>583</v>
      </c>
      <c r="E30" s="343">
        <v>42.74</v>
      </c>
      <c r="F30" s="343">
        <f t="shared" si="0"/>
        <v>88899.199999999997</v>
      </c>
      <c r="G30" s="343">
        <f t="shared" si="1"/>
        <v>50000</v>
      </c>
      <c r="H30" s="343">
        <f t="shared" si="2"/>
        <v>177798.39999999999</v>
      </c>
      <c r="I30" s="343">
        <f t="shared" si="3"/>
        <v>245.90991037039703</v>
      </c>
    </row>
    <row r="31" spans="1:9">
      <c r="A31" s="173" t="s">
        <v>681</v>
      </c>
      <c r="B31" s="175">
        <v>20</v>
      </c>
      <c r="C31" s="342">
        <f>27.56*4</f>
        <v>110.24</v>
      </c>
      <c r="D31" s="175">
        <v>580</v>
      </c>
      <c r="E31" s="343">
        <v>41.01</v>
      </c>
      <c r="F31" s="343">
        <f t="shared" si="0"/>
        <v>85300.800000000003</v>
      </c>
      <c r="G31" s="343">
        <f t="shared" si="1"/>
        <v>50000</v>
      </c>
      <c r="H31" s="343">
        <f t="shared" si="2"/>
        <v>170601.60000000001</v>
      </c>
      <c r="I31" s="343">
        <f t="shared" si="3"/>
        <v>77.930807120214567</v>
      </c>
    </row>
    <row r="32" spans="1:9">
      <c r="A32" s="173" t="s">
        <v>682</v>
      </c>
      <c r="B32" s="175">
        <v>21</v>
      </c>
      <c r="C32" s="342">
        <f>18.58*12</f>
        <v>222.95999999999998</v>
      </c>
      <c r="D32" s="175">
        <v>910</v>
      </c>
      <c r="E32" s="343">
        <v>27.7</v>
      </c>
      <c r="F32" s="343">
        <f t="shared" si="0"/>
        <v>57616</v>
      </c>
      <c r="G32" s="343">
        <f t="shared" si="1"/>
        <v>50000</v>
      </c>
      <c r="H32" s="343">
        <f t="shared" si="2"/>
        <v>115232</v>
      </c>
      <c r="I32" s="343">
        <f t="shared" si="3"/>
        <v>126.21603998889196</v>
      </c>
    </row>
    <row r="33" spans="1:9">
      <c r="A33" s="173" t="s">
        <v>683</v>
      </c>
      <c r="B33" s="175">
        <v>22</v>
      </c>
      <c r="C33" s="342">
        <f>16.34*12</f>
        <v>196.07999999999998</v>
      </c>
      <c r="D33" s="175">
        <v>588</v>
      </c>
      <c r="E33" s="343">
        <v>24.11</v>
      </c>
      <c r="F33" s="343">
        <f t="shared" si="0"/>
        <v>50148.799999999996</v>
      </c>
      <c r="G33" s="343">
        <f t="shared" si="1"/>
        <v>50000</v>
      </c>
      <c r="H33" s="343">
        <f t="shared" si="2"/>
        <v>100297.59999999999</v>
      </c>
      <c r="I33" s="343">
        <f t="shared" si="3"/>
        <v>98.330901317678567</v>
      </c>
    </row>
    <row r="34" spans="1:9">
      <c r="A34" s="173" t="s">
        <v>684</v>
      </c>
      <c r="B34" s="175">
        <v>23</v>
      </c>
      <c r="C34" s="342">
        <f>20.83*12</f>
        <v>249.95999999999998</v>
      </c>
      <c r="D34" s="175">
        <v>588</v>
      </c>
      <c r="E34" s="343">
        <v>30.99</v>
      </c>
      <c r="F34" s="343">
        <f t="shared" si="0"/>
        <v>64459.199999999997</v>
      </c>
      <c r="G34" s="343">
        <f t="shared" si="1"/>
        <v>50000</v>
      </c>
      <c r="H34" s="343">
        <f t="shared" si="2"/>
        <v>128918.39999999999</v>
      </c>
      <c r="I34" s="343">
        <f t="shared" si="3"/>
        <v>153.01495569290338</v>
      </c>
    </row>
    <row r="35" spans="1:9">
      <c r="A35" s="173" t="s">
        <v>685</v>
      </c>
      <c r="B35" s="175">
        <v>24</v>
      </c>
      <c r="C35" s="342">
        <f>15.06*12</f>
        <v>180.72</v>
      </c>
      <c r="D35" s="175">
        <v>903</v>
      </c>
      <c r="E35" s="343">
        <v>22.12</v>
      </c>
      <c r="F35" s="343">
        <f t="shared" si="0"/>
        <v>46009.599999999999</v>
      </c>
      <c r="G35" s="343">
        <f t="shared" si="1"/>
        <v>46009.599999999999</v>
      </c>
      <c r="H35" s="343">
        <f t="shared" si="2"/>
        <v>92019.199999999997</v>
      </c>
      <c r="I35" s="343">
        <f t="shared" si="3"/>
        <v>90.36</v>
      </c>
    </row>
    <row r="36" spans="1:9">
      <c r="A36" s="173" t="s">
        <v>686</v>
      </c>
      <c r="B36" s="175">
        <v>25</v>
      </c>
      <c r="C36" s="342">
        <f>24.03*12</f>
        <v>288.36</v>
      </c>
      <c r="D36" s="175">
        <v>588</v>
      </c>
      <c r="E36" s="343">
        <v>35.770000000000003</v>
      </c>
      <c r="F36" s="343">
        <f t="shared" si="0"/>
        <v>74401.600000000006</v>
      </c>
      <c r="G36" s="343">
        <f t="shared" si="1"/>
        <v>50000</v>
      </c>
      <c r="H36" s="343">
        <f t="shared" si="2"/>
        <v>148803.20000000001</v>
      </c>
      <c r="I36" s="343">
        <f t="shared" si="3"/>
        <v>191.46692243177566</v>
      </c>
    </row>
    <row r="37" spans="1:9">
      <c r="A37" s="173" t="s">
        <v>687</v>
      </c>
      <c r="B37" s="175">
        <v>26</v>
      </c>
      <c r="C37" s="342">
        <f>25.31*12</f>
        <v>303.71999999999997</v>
      </c>
      <c r="D37" s="175">
        <v>580</v>
      </c>
      <c r="E37" s="343">
        <v>37.590000000000003</v>
      </c>
      <c r="F37" s="343">
        <f t="shared" si="0"/>
        <v>78187.200000000012</v>
      </c>
      <c r="G37" s="343">
        <f t="shared" si="1"/>
        <v>50000</v>
      </c>
      <c r="H37" s="343">
        <f t="shared" si="2"/>
        <v>156374.40000000002</v>
      </c>
      <c r="I37" s="343">
        <f t="shared" si="3"/>
        <v>206.60691755172203</v>
      </c>
    </row>
    <row r="38" spans="1:9">
      <c r="A38" s="173" t="s">
        <v>688</v>
      </c>
      <c r="B38" s="175">
        <v>27</v>
      </c>
      <c r="C38" s="342">
        <f>43.58*12</f>
        <v>522.96</v>
      </c>
      <c r="D38" s="175">
        <v>580</v>
      </c>
      <c r="E38" s="343">
        <v>65.27</v>
      </c>
      <c r="F38" s="343">
        <f t="shared" si="0"/>
        <v>135761.60000000001</v>
      </c>
      <c r="G38" s="343">
        <f t="shared" si="1"/>
        <v>50000</v>
      </c>
      <c r="H38" s="343">
        <f t="shared" si="2"/>
        <v>271523.20000000001</v>
      </c>
      <c r="I38" s="343">
        <f t="shared" si="3"/>
        <v>426.65883678448103</v>
      </c>
    </row>
    <row r="39" spans="1:9">
      <c r="A39" s="173" t="s">
        <v>689</v>
      </c>
      <c r="B39" s="175">
        <v>28</v>
      </c>
      <c r="C39" s="342">
        <f>16.98*9</f>
        <v>152.82</v>
      </c>
      <c r="D39" s="175">
        <v>910</v>
      </c>
      <c r="E39" s="343">
        <v>25.22</v>
      </c>
      <c r="F39" s="343">
        <f t="shared" si="0"/>
        <v>52457.599999999999</v>
      </c>
      <c r="G39" s="343">
        <f t="shared" si="1"/>
        <v>50000</v>
      </c>
      <c r="H39" s="343">
        <f t="shared" si="2"/>
        <v>104915.2</v>
      </c>
      <c r="I39" s="343">
        <f t="shared" si="3"/>
        <v>79.989752333312993</v>
      </c>
    </row>
    <row r="40" spans="1:9">
      <c r="A40" s="173" t="s">
        <v>690</v>
      </c>
      <c r="B40" s="175">
        <v>29</v>
      </c>
      <c r="C40" s="342">
        <f>27.88*12</f>
        <v>334.56</v>
      </c>
      <c r="D40" s="175">
        <v>583</v>
      </c>
      <c r="E40" s="343">
        <v>41.74</v>
      </c>
      <c r="F40" s="343">
        <f t="shared" si="0"/>
        <v>86819.199999999997</v>
      </c>
      <c r="G40" s="343">
        <f t="shared" si="1"/>
        <v>50000</v>
      </c>
      <c r="H40" s="343">
        <f t="shared" si="2"/>
        <v>173638.39999999999</v>
      </c>
      <c r="I40" s="343">
        <f t="shared" si="3"/>
        <v>238.22186281375548</v>
      </c>
    </row>
    <row r="41" spans="1:9">
      <c r="A41" s="173" t="s">
        <v>691</v>
      </c>
      <c r="B41" s="175">
        <v>30</v>
      </c>
      <c r="C41" s="342">
        <f>32.69*12</f>
        <v>392.28</v>
      </c>
      <c r="D41" s="175">
        <v>920</v>
      </c>
      <c r="E41" s="343">
        <v>48.076999999999998</v>
      </c>
      <c r="F41" s="343">
        <f t="shared" si="0"/>
        <v>100000.16</v>
      </c>
      <c r="G41" s="343">
        <f t="shared" si="1"/>
        <v>50000</v>
      </c>
      <c r="H41" s="343">
        <f t="shared" si="2"/>
        <v>200000.32</v>
      </c>
      <c r="I41" s="343">
        <f t="shared" si="3"/>
        <v>294.21015691174892</v>
      </c>
    </row>
    <row r="42" spans="1:9">
      <c r="A42" s="173" t="s">
        <v>692</v>
      </c>
      <c r="B42" s="175">
        <v>31</v>
      </c>
      <c r="C42" s="342">
        <f>30.12*12</f>
        <v>361.44</v>
      </c>
      <c r="D42" s="175">
        <v>583</v>
      </c>
      <c r="E42" s="343">
        <v>44.74</v>
      </c>
      <c r="F42" s="343">
        <f t="shared" si="0"/>
        <v>93059.199999999997</v>
      </c>
      <c r="G42" s="343">
        <f t="shared" si="1"/>
        <v>50000</v>
      </c>
      <c r="H42" s="343">
        <f t="shared" si="2"/>
        <v>186118.39999999999</v>
      </c>
      <c r="I42" s="343">
        <f t="shared" si="3"/>
        <v>264.3405192393659</v>
      </c>
    </row>
    <row r="43" spans="1:9">
      <c r="A43" s="173" t="s">
        <v>693</v>
      </c>
      <c r="B43" s="175">
        <v>32</v>
      </c>
      <c r="C43" s="342">
        <f>22.11*12</f>
        <v>265.32</v>
      </c>
      <c r="D43" s="175">
        <v>583</v>
      </c>
      <c r="E43" s="343">
        <v>32.81</v>
      </c>
      <c r="F43" s="343">
        <f t="shared" si="0"/>
        <v>68244.800000000003</v>
      </c>
      <c r="G43" s="343">
        <f t="shared" si="1"/>
        <v>50000</v>
      </c>
      <c r="H43" s="343">
        <f t="shared" si="2"/>
        <v>136489.60000000001</v>
      </c>
      <c r="I43" s="343">
        <f t="shared" si="3"/>
        <v>168.12578153939936</v>
      </c>
    </row>
    <row r="44" spans="1:9">
      <c r="A44" s="173" t="s">
        <v>694</v>
      </c>
      <c r="B44" s="175">
        <v>33</v>
      </c>
      <c r="C44" s="342">
        <f>22.75*12</f>
        <v>273</v>
      </c>
      <c r="D44" s="175">
        <v>583</v>
      </c>
      <c r="E44" s="343">
        <v>33.81</v>
      </c>
      <c r="F44" s="343">
        <f t="shared" si="0"/>
        <v>70324.800000000003</v>
      </c>
      <c r="G44" s="343">
        <f t="shared" si="1"/>
        <v>50000</v>
      </c>
      <c r="H44" s="343">
        <f t="shared" si="2"/>
        <v>140649.60000000001</v>
      </c>
      <c r="I44" s="343">
        <f t="shared" si="3"/>
        <v>175.9503105590062</v>
      </c>
    </row>
    <row r="45" spans="1:9">
      <c r="A45" s="173" t="s">
        <v>695</v>
      </c>
      <c r="B45" s="175">
        <v>34</v>
      </c>
      <c r="C45" s="342">
        <f>25.31*12</f>
        <v>303.71999999999997</v>
      </c>
      <c r="D45" s="175">
        <v>588</v>
      </c>
      <c r="E45" s="343">
        <v>37.83</v>
      </c>
      <c r="F45" s="343">
        <f t="shared" si="0"/>
        <v>78686.399999999994</v>
      </c>
      <c r="G45" s="343">
        <f t="shared" si="1"/>
        <v>50000</v>
      </c>
      <c r="H45" s="343">
        <f t="shared" si="2"/>
        <v>157372.79999999999</v>
      </c>
      <c r="I45" s="343">
        <f t="shared" si="3"/>
        <v>207.22301958152869</v>
      </c>
    </row>
    <row r="46" spans="1:9">
      <c r="A46" s="173" t="s">
        <v>696</v>
      </c>
      <c r="B46" s="175">
        <v>35</v>
      </c>
      <c r="C46" s="342">
        <f>25.63*12</f>
        <v>307.56</v>
      </c>
      <c r="D46" s="175">
        <v>583</v>
      </c>
      <c r="E46" s="343">
        <v>38.31</v>
      </c>
      <c r="F46" s="343">
        <f t="shared" si="0"/>
        <v>79684.800000000003</v>
      </c>
      <c r="G46" s="343">
        <f t="shared" si="1"/>
        <v>50000</v>
      </c>
      <c r="H46" s="343">
        <f t="shared" si="2"/>
        <v>159369.60000000001</v>
      </c>
      <c r="I46" s="343">
        <f t="shared" si="3"/>
        <v>211.0673188362147</v>
      </c>
    </row>
    <row r="47" spans="1:9">
      <c r="A47" s="173" t="s">
        <v>697</v>
      </c>
      <c r="B47" s="175">
        <v>36</v>
      </c>
      <c r="C47" s="342">
        <f>35.57*2</f>
        <v>71.14</v>
      </c>
      <c r="D47" s="175">
        <v>580</v>
      </c>
      <c r="E47" s="343">
        <v>52.98</v>
      </c>
      <c r="F47" s="343">
        <f t="shared" si="0"/>
        <v>110198.39999999999</v>
      </c>
      <c r="G47" s="343">
        <f t="shared" si="1"/>
        <v>50000</v>
      </c>
      <c r="H47" s="343">
        <f t="shared" si="2"/>
        <v>220396.79999999999</v>
      </c>
      <c r="I47" s="343">
        <f t="shared" si="3"/>
        <v>55.000927200394926</v>
      </c>
    </row>
    <row r="48" spans="1:9">
      <c r="A48" s="173" t="s">
        <v>698</v>
      </c>
      <c r="B48" s="175">
        <v>37</v>
      </c>
      <c r="C48" s="342">
        <f>30.12*12</f>
        <v>361.44</v>
      </c>
      <c r="D48" s="175">
        <v>583</v>
      </c>
      <c r="E48" s="343">
        <v>44.74</v>
      </c>
      <c r="F48" s="343">
        <f t="shared" si="0"/>
        <v>93059.199999999997</v>
      </c>
      <c r="G48" s="343">
        <f t="shared" si="1"/>
        <v>50000</v>
      </c>
      <c r="H48" s="343">
        <f t="shared" si="2"/>
        <v>186118.39999999999</v>
      </c>
      <c r="I48" s="343">
        <f t="shared" si="3"/>
        <v>264.3405192393659</v>
      </c>
    </row>
    <row r="49" spans="1:9">
      <c r="A49" s="173" t="s">
        <v>699</v>
      </c>
      <c r="B49" s="175">
        <v>38</v>
      </c>
      <c r="C49" s="342">
        <f>22.75*12</f>
        <v>273</v>
      </c>
      <c r="D49" s="175">
        <v>588</v>
      </c>
      <c r="E49" s="343">
        <v>34.08</v>
      </c>
      <c r="F49" s="343">
        <f t="shared" si="0"/>
        <v>70886.399999999994</v>
      </c>
      <c r="G49" s="343">
        <f t="shared" si="1"/>
        <v>50000</v>
      </c>
      <c r="H49" s="343">
        <f t="shared" si="2"/>
        <v>141772.79999999999</v>
      </c>
      <c r="I49" s="343">
        <f t="shared" si="3"/>
        <v>176.71919014084506</v>
      </c>
    </row>
    <row r="50" spans="1:9">
      <c r="A50" s="173" t="s">
        <v>700</v>
      </c>
      <c r="B50" s="175">
        <v>39</v>
      </c>
      <c r="C50" s="342">
        <f>27.88*12</f>
        <v>334.56</v>
      </c>
      <c r="D50" s="175">
        <v>583</v>
      </c>
      <c r="E50" s="343">
        <v>41.74</v>
      </c>
      <c r="F50" s="343">
        <f t="shared" si="0"/>
        <v>86819.199999999997</v>
      </c>
      <c r="G50" s="343">
        <f t="shared" si="1"/>
        <v>50000</v>
      </c>
      <c r="H50" s="343">
        <f t="shared" si="2"/>
        <v>173638.39999999999</v>
      </c>
      <c r="I50" s="343">
        <f t="shared" si="3"/>
        <v>238.22186281375548</v>
      </c>
    </row>
    <row r="51" spans="1:9">
      <c r="A51" s="173" t="s">
        <v>701</v>
      </c>
      <c r="B51" s="175">
        <v>40</v>
      </c>
      <c r="C51" s="342">
        <f>28.51*12</f>
        <v>342.12</v>
      </c>
      <c r="D51" s="175">
        <v>583</v>
      </c>
      <c r="E51" s="343">
        <v>42.74</v>
      </c>
      <c r="F51" s="343">
        <f t="shared" si="0"/>
        <v>88899.199999999997</v>
      </c>
      <c r="G51" s="343">
        <f t="shared" si="1"/>
        <v>50000</v>
      </c>
      <c r="H51" s="343">
        <f t="shared" si="2"/>
        <v>177798.39999999999</v>
      </c>
      <c r="I51" s="343">
        <f t="shared" si="3"/>
        <v>245.90991037039703</v>
      </c>
    </row>
    <row r="52" spans="1:9">
      <c r="A52" s="173" t="s">
        <v>702</v>
      </c>
      <c r="B52" s="175">
        <v>41</v>
      </c>
      <c r="C52" s="342">
        <f>35.57*7</f>
        <v>248.99</v>
      </c>
      <c r="D52" s="175">
        <v>580</v>
      </c>
      <c r="E52" s="343">
        <v>52.884999999999998</v>
      </c>
      <c r="F52" s="343">
        <f t="shared" si="0"/>
        <v>110000.8</v>
      </c>
      <c r="G52" s="343">
        <f t="shared" si="1"/>
        <v>50000</v>
      </c>
      <c r="H52" s="343">
        <f t="shared" si="2"/>
        <v>220001.6</v>
      </c>
      <c r="I52" s="343">
        <f t="shared" si="3"/>
        <v>192.40177518708956</v>
      </c>
    </row>
    <row r="53" spans="1:9">
      <c r="A53" s="173" t="s">
        <v>703</v>
      </c>
      <c r="B53" s="175">
        <v>42</v>
      </c>
      <c r="C53" s="342">
        <f>24.99*12</f>
        <v>299.88</v>
      </c>
      <c r="D53" s="175">
        <v>588</v>
      </c>
      <c r="E53" s="343">
        <v>37.14</v>
      </c>
      <c r="F53" s="343">
        <f t="shared" si="0"/>
        <v>77251.199999999997</v>
      </c>
      <c r="G53" s="343">
        <f t="shared" si="1"/>
        <v>50000</v>
      </c>
      <c r="H53" s="343">
        <f t="shared" si="2"/>
        <v>154502.39999999999</v>
      </c>
      <c r="I53" s="343">
        <f t="shared" si="3"/>
        <v>202.83296383745494</v>
      </c>
    </row>
    <row r="54" spans="1:9">
      <c r="A54" s="173" t="s">
        <v>704</v>
      </c>
      <c r="B54" s="175">
        <v>43</v>
      </c>
      <c r="C54" s="344">
        <f>24.03*12</f>
        <v>288.36</v>
      </c>
      <c r="D54" s="175">
        <v>583</v>
      </c>
      <c r="E54" s="343">
        <v>39.369999999999997</v>
      </c>
      <c r="F54" s="343">
        <f t="shared" si="0"/>
        <v>81889.599999999991</v>
      </c>
      <c r="G54" s="343">
        <f t="shared" si="1"/>
        <v>50000</v>
      </c>
      <c r="H54" s="343">
        <f t="shared" si="2"/>
        <v>163779.19999999998</v>
      </c>
      <c r="I54" s="343">
        <f t="shared" si="3"/>
        <v>200.32684316445554</v>
      </c>
    </row>
    <row r="55" spans="1:9">
      <c r="B55" s="175" t="s">
        <v>53</v>
      </c>
      <c r="C55" s="176">
        <f t="shared" ref="C55" si="4">SUM(C12:C54)</f>
        <v>11721.079999999998</v>
      </c>
      <c r="D55" s="334"/>
      <c r="E55" s="337"/>
      <c r="F55" s="337"/>
      <c r="G55" s="337"/>
      <c r="H55" s="337"/>
      <c r="I55" s="345">
        <f>SUM(I12:I54)</f>
        <v>8097.8555541966489</v>
      </c>
    </row>
    <row r="57" spans="1:9">
      <c r="H57" s="262" t="s">
        <v>705</v>
      </c>
      <c r="I57" s="177">
        <f>C55-I55</f>
        <v>3623.2244458033492</v>
      </c>
    </row>
    <row r="58" spans="1:9">
      <c r="H58" s="262"/>
      <c r="I58" s="177"/>
    </row>
    <row r="59" spans="1:9">
      <c r="H59" s="262"/>
    </row>
    <row r="60" spans="1:9">
      <c r="H60" s="262" t="s">
        <v>83</v>
      </c>
      <c r="I60" s="177">
        <f>C55</f>
        <v>11721.079999999998</v>
      </c>
    </row>
    <row r="61" spans="1:9">
      <c r="H61" s="262"/>
    </row>
    <row r="62" spans="1:9">
      <c r="H62" s="262" t="s">
        <v>436</v>
      </c>
      <c r="I62" s="177">
        <f>I57</f>
        <v>3623.2244458033492</v>
      </c>
    </row>
    <row r="63" spans="1:9">
      <c r="H63" s="262"/>
    </row>
    <row r="64" spans="1:9">
      <c r="H64" s="346" t="s">
        <v>10</v>
      </c>
      <c r="I64" s="177">
        <f>I62-I60</f>
        <v>-8097.8555541966489</v>
      </c>
    </row>
    <row r="66" spans="2:9" s="2" customFormat="1" ht="30" customHeight="1">
      <c r="B66" s="381" t="s">
        <v>471</v>
      </c>
      <c r="C66" s="381"/>
      <c r="D66" s="381"/>
      <c r="E66" s="381"/>
      <c r="F66" s="381"/>
      <c r="G66" s="381"/>
      <c r="H66" s="381"/>
      <c r="I66" s="381"/>
    </row>
    <row r="70" spans="2:9">
      <c r="B70" s="238" t="s">
        <v>78</v>
      </c>
    </row>
    <row r="71" spans="2:9">
      <c r="B71" s="302" t="s">
        <v>79</v>
      </c>
      <c r="C71" s="302" t="s">
        <v>53</v>
      </c>
      <c r="D71" s="302" t="s">
        <v>10</v>
      </c>
    </row>
    <row r="72" spans="2:9">
      <c r="B72" s="175">
        <v>580</v>
      </c>
      <c r="C72" s="176">
        <f t="shared" ref="C72:C78" si="5">SUMIF($D$12:$D$54,$B72,I$12:I$54)</f>
        <v>1296.7745339111</v>
      </c>
      <c r="D72" s="177">
        <f>-C72</f>
        <v>-1296.7745339111</v>
      </c>
    </row>
    <row r="73" spans="2:9">
      <c r="B73" s="175">
        <v>583</v>
      </c>
      <c r="C73" s="176">
        <f t="shared" si="5"/>
        <v>3350.2304680453813</v>
      </c>
      <c r="D73" s="177">
        <f t="shared" ref="D73:D78" si="6">-C73</f>
        <v>-3350.2304680453813</v>
      </c>
    </row>
    <row r="74" spans="2:9">
      <c r="B74" s="175">
        <v>588</v>
      </c>
      <c r="C74" s="176">
        <f t="shared" si="5"/>
        <v>1542.9258123385921</v>
      </c>
      <c r="D74" s="177">
        <f t="shared" si="6"/>
        <v>-1542.9258123385921</v>
      </c>
    </row>
    <row r="75" spans="2:9">
      <c r="B75" s="175">
        <v>901</v>
      </c>
      <c r="C75" s="176">
        <f t="shared" si="5"/>
        <v>237.75802970260361</v>
      </c>
      <c r="D75" s="177">
        <f t="shared" si="6"/>
        <v>-237.75802970260361</v>
      </c>
    </row>
    <row r="76" spans="2:9">
      <c r="B76" s="175">
        <v>903</v>
      </c>
      <c r="C76" s="176">
        <f t="shared" si="5"/>
        <v>261.38499999999999</v>
      </c>
      <c r="D76" s="177">
        <f t="shared" si="6"/>
        <v>-261.38499999999999</v>
      </c>
    </row>
    <row r="77" spans="2:9">
      <c r="B77" s="175">
        <v>910</v>
      </c>
      <c r="C77" s="176">
        <f t="shared" si="5"/>
        <v>472.9460668224695</v>
      </c>
      <c r="D77" s="177">
        <f t="shared" si="6"/>
        <v>-472.9460668224695</v>
      </c>
    </row>
    <row r="78" spans="2:9">
      <c r="B78" s="175">
        <v>920</v>
      </c>
      <c r="C78" s="176">
        <f t="shared" si="5"/>
        <v>935.83564337650364</v>
      </c>
      <c r="D78" s="177">
        <f t="shared" si="6"/>
        <v>-935.83564337650364</v>
      </c>
    </row>
    <row r="80" spans="2:9">
      <c r="B80" s="155" t="s">
        <v>422</v>
      </c>
      <c r="C80" s="177"/>
      <c r="E80" s="177">
        <f>-C72+-C73+-C74</f>
        <v>-6189.930814295074</v>
      </c>
    </row>
    <row r="81" spans="2:5">
      <c r="B81" s="155" t="s">
        <v>423</v>
      </c>
      <c r="C81" s="177"/>
    </row>
    <row r="82" spans="2:5">
      <c r="B82" s="155" t="s">
        <v>138</v>
      </c>
      <c r="C82" s="177"/>
      <c r="E82" s="177">
        <f>-C75-C76-C77</f>
        <v>-972.08909652507305</v>
      </c>
    </row>
    <row r="83" spans="2:5">
      <c r="B83" s="155" t="s">
        <v>24</v>
      </c>
    </row>
    <row r="84" spans="2:5">
      <c r="B84" s="155" t="s">
        <v>424</v>
      </c>
    </row>
    <row r="85" spans="2:5">
      <c r="B85" s="155" t="s">
        <v>425</v>
      </c>
      <c r="E85" s="177">
        <f>-C78</f>
        <v>-935.83564337650364</v>
      </c>
    </row>
    <row r="86" spans="2:5">
      <c r="E86" s="339">
        <f>SUM(E80:E85)</f>
        <v>-8097.8555541966507</v>
      </c>
    </row>
  </sheetData>
  <mergeCells count="4">
    <mergeCell ref="B4:I4"/>
    <mergeCell ref="B5:I5"/>
    <mergeCell ref="B7:I7"/>
    <mergeCell ref="B66:I66"/>
  </mergeCells>
  <printOptions horizontalCentered="1"/>
  <pageMargins left="0.7" right="0.7" top="0.75" bottom="0.75" header="0.3" footer="0.3"/>
  <pageSetup scale="70" orientation="portrait" r:id="rId1"/>
  <headerFooter>
    <oddFooter>&amp;RExhibit JW-2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E8EE-732B-4A2F-9937-090B5566F11A}">
  <sheetPr>
    <pageSetUpPr fitToPage="1"/>
  </sheetPr>
  <dimension ref="A1:N38"/>
  <sheetViews>
    <sheetView view="pageBreakPreview" zoomScale="60" zoomScaleNormal="75" workbookViewId="0">
      <selection activeCell="G21" sqref="G21"/>
    </sheetView>
  </sheetViews>
  <sheetFormatPr defaultColWidth="9.109375" defaultRowHeight="13.8"/>
  <cols>
    <col min="1" max="1" width="6.5546875" style="173" customWidth="1"/>
    <col min="2" max="2" width="37.109375" style="173" customWidth="1"/>
    <col min="3" max="3" width="9.33203125" style="173" customWidth="1"/>
    <col min="4" max="10" width="18.109375" style="173" customWidth="1"/>
    <col min="11" max="11" width="10.5546875" style="173" bestFit="1" customWidth="1"/>
    <col min="12" max="16384" width="9.109375" style="173"/>
  </cols>
  <sheetData>
    <row r="1" spans="1:14" s="2" customFormat="1" ht="15" customHeight="1">
      <c r="D1" s="20" t="s">
        <v>466</v>
      </c>
      <c r="F1" s="20"/>
    </row>
    <row r="2" spans="1:14" s="2" customFormat="1" ht="20.25" customHeight="1">
      <c r="F2" s="20"/>
      <c r="G2" s="20"/>
    </row>
    <row r="3" spans="1:14" s="2" customFormat="1" ht="13.2">
      <c r="F3" s="20"/>
      <c r="G3" s="20"/>
    </row>
    <row r="4" spans="1:14" s="2" customFormat="1" ht="13.2">
      <c r="A4" s="377" t="s">
        <v>566</v>
      </c>
      <c r="B4" s="377"/>
      <c r="C4" s="377"/>
      <c r="D4" s="377"/>
      <c r="E4" s="193"/>
      <c r="F4" s="193"/>
      <c r="G4" s="193"/>
      <c r="H4" s="193"/>
      <c r="I4" s="193"/>
      <c r="J4" s="193"/>
      <c r="K4" s="193"/>
      <c r="L4" s="193"/>
      <c r="M4" s="193"/>
      <c r="N4" s="193"/>
    </row>
    <row r="5" spans="1:14" s="2" customFormat="1" ht="13.2">
      <c r="A5" s="377" t="s">
        <v>522</v>
      </c>
      <c r="B5" s="377"/>
      <c r="C5" s="377"/>
      <c r="D5" s="377"/>
      <c r="E5" s="193"/>
      <c r="F5" s="193"/>
      <c r="G5" s="193"/>
      <c r="H5" s="193"/>
      <c r="I5" s="193"/>
      <c r="J5" s="193"/>
      <c r="K5" s="193"/>
    </row>
    <row r="6" spans="1:14" s="2" customFormat="1" ht="13.2"/>
    <row r="7" spans="1:14" s="21" customFormat="1" ht="15" customHeight="1">
      <c r="A7" s="378" t="s">
        <v>475</v>
      </c>
      <c r="B7" s="378"/>
      <c r="C7" s="378"/>
      <c r="D7" s="378"/>
      <c r="E7" s="88"/>
      <c r="F7" s="88"/>
      <c r="G7" s="88"/>
      <c r="H7" s="88"/>
      <c r="I7" s="88"/>
      <c r="J7" s="88"/>
      <c r="K7" s="88"/>
    </row>
    <row r="8" spans="1:14" s="2" customFormat="1" ht="13.2"/>
    <row r="9" spans="1:14">
      <c r="A9" s="4" t="s">
        <v>7</v>
      </c>
      <c r="B9" s="4" t="s">
        <v>48</v>
      </c>
      <c r="C9" s="4"/>
      <c r="D9" s="4" t="s">
        <v>50</v>
      </c>
    </row>
    <row r="10" spans="1:14">
      <c r="A10" s="22" t="s">
        <v>11</v>
      </c>
      <c r="B10" s="23" t="s">
        <v>95</v>
      </c>
      <c r="C10" s="23"/>
      <c r="D10" s="23" t="s">
        <v>96</v>
      </c>
      <c r="E10" s="179"/>
      <c r="F10" s="179"/>
      <c r="G10" s="179"/>
      <c r="H10" s="179"/>
      <c r="I10" s="179"/>
      <c r="J10" s="179"/>
      <c r="K10" s="179"/>
    </row>
    <row r="11" spans="1:14">
      <c r="A11" s="4"/>
      <c r="B11" s="2"/>
      <c r="C11" s="2"/>
      <c r="D11" s="2"/>
      <c r="E11" s="185"/>
      <c r="F11" s="185"/>
      <c r="G11" s="179"/>
      <c r="H11" s="185"/>
      <c r="I11" s="185"/>
      <c r="J11" s="185"/>
      <c r="K11" s="185"/>
    </row>
    <row r="12" spans="1:14">
      <c r="A12" s="4">
        <v>1</v>
      </c>
      <c r="B12" s="196" t="s">
        <v>654</v>
      </c>
      <c r="C12" s="2"/>
      <c r="D12" s="11">
        <v>50000</v>
      </c>
      <c r="E12" s="186"/>
      <c r="F12" s="186"/>
      <c r="G12" s="179"/>
      <c r="H12" s="186"/>
      <c r="I12" s="186"/>
      <c r="J12" s="186"/>
      <c r="K12" s="186"/>
      <c r="L12" s="186"/>
    </row>
    <row r="13" spans="1:14">
      <c r="A13" s="4">
        <f>A12+1</f>
        <v>2</v>
      </c>
      <c r="B13" s="196" t="s">
        <v>474</v>
      </c>
      <c r="C13" s="2"/>
      <c r="D13" s="11">
        <v>20000</v>
      </c>
      <c r="E13" s="186"/>
      <c r="F13" s="186"/>
      <c r="G13" s="186"/>
      <c r="H13" s="186"/>
      <c r="I13" s="186"/>
      <c r="J13" s="186"/>
      <c r="K13" s="186"/>
    </row>
    <row r="14" spans="1:14">
      <c r="A14" s="4">
        <f t="shared" ref="A14:A26" si="0">A13+1</f>
        <v>3</v>
      </c>
      <c r="B14" s="196" t="s">
        <v>487</v>
      </c>
      <c r="C14" s="2"/>
      <c r="D14" s="11">
        <v>5000</v>
      </c>
      <c r="E14" s="186"/>
      <c r="F14" s="186"/>
      <c r="G14" s="186"/>
      <c r="H14" s="186"/>
      <c r="I14" s="186"/>
      <c r="J14" s="186"/>
      <c r="K14" s="186"/>
    </row>
    <row r="15" spans="1:14">
      <c r="A15" s="4">
        <f t="shared" si="0"/>
        <v>4</v>
      </c>
      <c r="B15" s="196" t="s">
        <v>655</v>
      </c>
      <c r="C15" s="2"/>
      <c r="D15" s="11">
        <v>0</v>
      </c>
      <c r="E15" s="186"/>
      <c r="F15" s="186"/>
      <c r="G15" s="186"/>
      <c r="H15" s="186"/>
      <c r="I15" s="186"/>
      <c r="J15" s="186"/>
      <c r="K15" s="186"/>
    </row>
    <row r="16" spans="1:14">
      <c r="A16" s="4">
        <f t="shared" si="0"/>
        <v>5</v>
      </c>
      <c r="B16" s="9" t="s">
        <v>93</v>
      </c>
      <c r="C16" s="26"/>
      <c r="D16" s="197">
        <f>SUM(D12:D15)</f>
        <v>75000</v>
      </c>
      <c r="E16" s="186"/>
      <c r="F16" s="186"/>
      <c r="G16" s="186"/>
      <c r="H16" s="186"/>
      <c r="I16" s="186"/>
      <c r="J16" s="186"/>
      <c r="K16" s="186"/>
    </row>
    <row r="17" spans="1:12">
      <c r="A17" s="4">
        <f t="shared" si="0"/>
        <v>6</v>
      </c>
      <c r="B17" s="2"/>
      <c r="C17" s="31"/>
      <c r="D17" s="2"/>
      <c r="E17" s="186"/>
      <c r="F17" s="186"/>
      <c r="G17" s="186"/>
      <c r="H17" s="186"/>
      <c r="I17" s="186"/>
      <c r="J17" s="186"/>
      <c r="K17" s="186"/>
    </row>
    <row r="18" spans="1:12">
      <c r="A18" s="4">
        <f t="shared" si="0"/>
        <v>7</v>
      </c>
      <c r="B18" s="31" t="s">
        <v>476</v>
      </c>
      <c r="C18" s="31"/>
      <c r="D18" s="32">
        <f>D16</f>
        <v>75000</v>
      </c>
      <c r="E18" s="186"/>
      <c r="F18" s="186"/>
      <c r="G18" s="186"/>
      <c r="H18" s="186"/>
      <c r="I18" s="186"/>
      <c r="J18" s="186"/>
      <c r="K18" s="186"/>
    </row>
    <row r="19" spans="1:12">
      <c r="A19" s="4">
        <f t="shared" si="0"/>
        <v>8</v>
      </c>
      <c r="B19" s="31" t="s">
        <v>477</v>
      </c>
      <c r="C19" s="31"/>
      <c r="D19" s="32">
        <v>3</v>
      </c>
      <c r="E19" s="186"/>
      <c r="F19" s="186"/>
      <c r="G19" s="186"/>
      <c r="H19" s="186"/>
      <c r="I19" s="186"/>
      <c r="J19" s="186"/>
      <c r="K19" s="186"/>
    </row>
    <row r="20" spans="1:12">
      <c r="A20" s="4">
        <f t="shared" si="0"/>
        <v>9</v>
      </c>
      <c r="B20" s="31" t="s">
        <v>473</v>
      </c>
      <c r="C20" s="31"/>
      <c r="D20" s="32">
        <f>D18/D19</f>
        <v>25000</v>
      </c>
      <c r="E20" s="186"/>
      <c r="F20" s="186"/>
      <c r="G20" s="186"/>
      <c r="H20" s="186"/>
      <c r="I20" s="186"/>
      <c r="J20" s="186"/>
      <c r="K20" s="186"/>
    </row>
    <row r="21" spans="1:12">
      <c r="A21" s="4">
        <f t="shared" si="0"/>
        <v>10</v>
      </c>
      <c r="B21" s="31"/>
      <c r="C21" s="31"/>
      <c r="D21" s="32"/>
      <c r="E21" s="186"/>
      <c r="F21" s="186"/>
      <c r="G21" s="186"/>
      <c r="H21" s="186"/>
      <c r="I21" s="186"/>
      <c r="J21" s="186"/>
      <c r="K21" s="186"/>
    </row>
    <row r="22" spans="1:12">
      <c r="A22" s="4">
        <f t="shared" si="0"/>
        <v>11</v>
      </c>
      <c r="B22" s="31" t="s">
        <v>83</v>
      </c>
      <c r="C22" s="31"/>
      <c r="D22" s="32">
        <v>0</v>
      </c>
      <c r="E22" s="186"/>
      <c r="F22" s="186"/>
      <c r="G22" s="186"/>
      <c r="H22" s="186"/>
      <c r="I22" s="186"/>
      <c r="J22" s="186"/>
      <c r="K22" s="186"/>
    </row>
    <row r="23" spans="1:12">
      <c r="A23" s="4">
        <f t="shared" si="0"/>
        <v>12</v>
      </c>
      <c r="B23" s="31"/>
      <c r="C23" s="31"/>
      <c r="D23" s="2"/>
      <c r="E23" s="186"/>
      <c r="F23" s="186"/>
      <c r="G23" s="186"/>
      <c r="H23" s="186"/>
      <c r="I23" s="186"/>
      <c r="J23" s="186"/>
      <c r="K23" s="186"/>
    </row>
    <row r="24" spans="1:12">
      <c r="A24" s="4">
        <f t="shared" si="0"/>
        <v>13</v>
      </c>
      <c r="B24" s="31" t="s">
        <v>114</v>
      </c>
      <c r="C24" s="2"/>
      <c r="D24" s="25">
        <f>D20</f>
        <v>25000</v>
      </c>
      <c r="E24" s="186"/>
      <c r="F24" s="186"/>
      <c r="G24" s="186"/>
      <c r="H24" s="186"/>
      <c r="I24" s="186"/>
      <c r="J24" s="186"/>
      <c r="K24" s="186"/>
    </row>
    <row r="25" spans="1:12">
      <c r="A25" s="4">
        <f t="shared" si="0"/>
        <v>14</v>
      </c>
      <c r="B25" s="31"/>
      <c r="C25" s="2"/>
      <c r="D25" s="2"/>
      <c r="E25" s="180"/>
      <c r="F25" s="180"/>
      <c r="G25" s="180"/>
      <c r="H25" s="180"/>
      <c r="I25" s="186"/>
      <c r="J25" s="186"/>
      <c r="K25" s="186"/>
      <c r="L25" s="186"/>
    </row>
    <row r="26" spans="1:12" ht="14.4" thickBot="1">
      <c r="A26" s="4">
        <f t="shared" si="0"/>
        <v>15</v>
      </c>
      <c r="B26" s="34" t="s">
        <v>10</v>
      </c>
      <c r="C26" s="12"/>
      <c r="D26" s="36">
        <f>ROUND(D24-D22,2)</f>
        <v>25000</v>
      </c>
      <c r="E26" s="180"/>
      <c r="F26" s="180"/>
      <c r="G26" s="180"/>
      <c r="H26" s="180"/>
      <c r="I26" s="186"/>
      <c r="J26" s="186"/>
      <c r="K26" s="186"/>
    </row>
    <row r="27" spans="1:12" ht="14.4" thickTop="1">
      <c r="A27" s="4"/>
      <c r="B27" s="2"/>
      <c r="C27" s="2"/>
      <c r="D27" s="2"/>
      <c r="E27" s="180"/>
      <c r="F27" s="180"/>
      <c r="G27" s="180"/>
      <c r="H27" s="180"/>
      <c r="I27" s="186"/>
      <c r="J27" s="186"/>
      <c r="K27" s="186"/>
    </row>
    <row r="28" spans="1:12">
      <c r="A28" s="4"/>
      <c r="B28" s="2"/>
      <c r="C28" s="2"/>
      <c r="D28" s="2"/>
      <c r="E28" s="187"/>
      <c r="F28" s="187"/>
      <c r="G28" s="187"/>
      <c r="H28" s="187"/>
      <c r="I28" s="187"/>
      <c r="J28" s="187"/>
      <c r="K28" s="187"/>
    </row>
    <row r="29" spans="1:12" ht="29.25" customHeight="1">
      <c r="A29" s="4"/>
      <c r="B29" s="379" t="s">
        <v>478</v>
      </c>
      <c r="C29" s="379"/>
      <c r="D29" s="379"/>
      <c r="E29" s="189"/>
      <c r="F29" s="189"/>
      <c r="G29" s="189"/>
    </row>
    <row r="30" spans="1:12">
      <c r="A30" s="4"/>
      <c r="B30" s="181"/>
      <c r="C30" s="181"/>
      <c r="D30" s="181"/>
      <c r="E30" s="189"/>
      <c r="F30" s="189"/>
    </row>
    <row r="31" spans="1:12">
      <c r="A31" s="2"/>
      <c r="B31" s="181"/>
      <c r="C31" s="181"/>
      <c r="D31" s="181"/>
      <c r="E31" s="181"/>
      <c r="F31" s="181"/>
    </row>
    <row r="32" spans="1:12">
      <c r="A32" s="2"/>
      <c r="B32" s="181"/>
      <c r="C32" s="181"/>
      <c r="D32" s="181"/>
      <c r="E32" s="181"/>
      <c r="F32" s="181"/>
    </row>
    <row r="33" spans="1:6">
      <c r="A33" s="2"/>
      <c r="B33" s="181"/>
      <c r="C33" s="181"/>
      <c r="D33" s="181"/>
      <c r="E33" s="181"/>
      <c r="F33" s="181"/>
    </row>
    <row r="34" spans="1:6">
      <c r="B34" s="181"/>
      <c r="C34" s="181"/>
      <c r="D34" s="181"/>
      <c r="E34" s="181"/>
      <c r="F34" s="188"/>
    </row>
    <row r="35" spans="1:6">
      <c r="E35" s="181"/>
      <c r="F35" s="181"/>
    </row>
    <row r="36" spans="1:6">
      <c r="E36" s="181"/>
      <c r="F36" s="181"/>
    </row>
    <row r="37" spans="1:6">
      <c r="E37" s="181"/>
      <c r="F37" s="181"/>
    </row>
    <row r="38" spans="1:6">
      <c r="E38" s="181"/>
      <c r="F38" s="181"/>
    </row>
  </sheetData>
  <mergeCells count="4">
    <mergeCell ref="A4:D4"/>
    <mergeCell ref="A5:D5"/>
    <mergeCell ref="A7:D7"/>
    <mergeCell ref="B29:D29"/>
  </mergeCells>
  <printOptions horizontalCentered="1"/>
  <pageMargins left="0.7" right="0.7" top="0.75" bottom="0.75" header="0.3" footer="0.3"/>
  <pageSetup orientation="portrait" r:id="rId1"/>
  <headerFooter>
    <oddFooter>&amp;RExhibit JW-2
Page &amp;P of &amp;N</oddFooter>
  </headerFooter>
  <ignoredErrors>
    <ignoredError sqref="B10:D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EE3-5CB4-473F-89AF-39E9B9607FBB}">
  <sheetPr>
    <pageSetUpPr fitToPage="1"/>
  </sheetPr>
  <dimension ref="A1:O34"/>
  <sheetViews>
    <sheetView view="pageBreakPreview" zoomScale="60" zoomScaleNormal="75" workbookViewId="0">
      <selection activeCell="N20" sqref="N20"/>
    </sheetView>
  </sheetViews>
  <sheetFormatPr defaultColWidth="9.109375" defaultRowHeight="13.2"/>
  <cols>
    <col min="1" max="1" width="4" style="2" customWidth="1"/>
    <col min="2" max="2" width="35.33203125" style="2" customWidth="1"/>
    <col min="3" max="5" width="18.109375" style="2" customWidth="1"/>
    <col min="6" max="6" width="7.33203125" style="2" customWidth="1"/>
    <col min="7" max="12" width="18.109375" style="2" customWidth="1"/>
    <col min="13" max="13" width="10.5546875" style="2" bestFit="1" customWidth="1"/>
    <col min="14" max="16384" width="9.109375" style="2"/>
  </cols>
  <sheetData>
    <row r="1" spans="1:15" ht="15" customHeight="1">
      <c r="E1" s="20"/>
      <c r="F1" s="20" t="s">
        <v>762</v>
      </c>
      <c r="G1" s="20"/>
    </row>
    <row r="2" spans="1:15" ht="20.25" customHeight="1">
      <c r="G2" s="20"/>
      <c r="H2" s="20"/>
    </row>
    <row r="3" spans="1:15">
      <c r="G3" s="20"/>
      <c r="H3" s="20"/>
    </row>
    <row r="4" spans="1:15">
      <c r="B4" s="377" t="s">
        <v>566</v>
      </c>
      <c r="C4" s="377"/>
      <c r="D4" s="377"/>
      <c r="E4" s="377"/>
      <c r="F4" s="377"/>
      <c r="G4" s="193"/>
      <c r="H4" s="193"/>
      <c r="I4" s="193"/>
      <c r="J4" s="193"/>
      <c r="K4" s="193"/>
      <c r="L4" s="193"/>
      <c r="M4" s="193"/>
      <c r="N4" s="193"/>
      <c r="O4" s="193"/>
    </row>
    <row r="5" spans="1:15">
      <c r="B5" s="377" t="s">
        <v>522</v>
      </c>
      <c r="C5" s="377"/>
      <c r="D5" s="377"/>
      <c r="E5" s="377"/>
      <c r="F5" s="377"/>
      <c r="G5" s="193"/>
      <c r="H5" s="193"/>
      <c r="I5" s="193"/>
      <c r="J5" s="193"/>
      <c r="K5" s="193"/>
      <c r="L5" s="193"/>
    </row>
    <row r="7" spans="1:15" s="21" customFormat="1" ht="15" customHeight="1">
      <c r="B7" s="378" t="s">
        <v>85</v>
      </c>
      <c r="C7" s="378"/>
      <c r="D7" s="378"/>
      <c r="E7" s="378"/>
      <c r="F7" s="378"/>
      <c r="G7" s="88"/>
      <c r="H7" s="88"/>
      <c r="I7" s="88"/>
      <c r="J7" s="88"/>
      <c r="K7" s="88"/>
      <c r="L7" s="88"/>
    </row>
    <row r="10" spans="1:15">
      <c r="A10" s="196">
        <v>1</v>
      </c>
      <c r="B10" s="1" t="s">
        <v>567</v>
      </c>
      <c r="C10" s="198"/>
      <c r="D10" s="198"/>
      <c r="E10" s="198"/>
      <c r="F10" s="198"/>
      <c r="G10" s="198"/>
      <c r="H10" s="198"/>
      <c r="I10" s="198"/>
      <c r="J10" s="198"/>
      <c r="K10" s="198"/>
      <c r="L10" s="198"/>
    </row>
    <row r="11" spans="1:15" ht="26.4">
      <c r="A11" s="196">
        <v>2</v>
      </c>
      <c r="B11" s="199" t="s">
        <v>568</v>
      </c>
      <c r="C11" s="312" t="s">
        <v>569</v>
      </c>
      <c r="D11" s="200">
        <v>2023</v>
      </c>
      <c r="E11" s="312" t="s">
        <v>570</v>
      </c>
      <c r="F11" s="312" t="s">
        <v>151</v>
      </c>
      <c r="G11" s="201"/>
      <c r="H11" s="201"/>
      <c r="I11" s="201"/>
      <c r="J11" s="201"/>
      <c r="K11" s="201"/>
      <c r="L11" s="201"/>
    </row>
    <row r="12" spans="1:15">
      <c r="A12" s="196">
        <v>3</v>
      </c>
      <c r="B12" s="2" t="s">
        <v>571</v>
      </c>
      <c r="C12" s="202">
        <v>30217.439999999999</v>
      </c>
      <c r="D12" s="202">
        <v>226751.64</v>
      </c>
      <c r="E12" s="249">
        <f>+D12-C12</f>
        <v>196534.2</v>
      </c>
      <c r="F12" s="203"/>
      <c r="G12" s="203"/>
      <c r="H12" s="203"/>
      <c r="I12" s="203"/>
      <c r="J12" s="203"/>
      <c r="K12" s="203"/>
      <c r="L12" s="203"/>
      <c r="M12" s="203"/>
    </row>
    <row r="13" spans="1:15">
      <c r="A13" s="196">
        <v>4</v>
      </c>
      <c r="B13" s="2" t="s">
        <v>86</v>
      </c>
      <c r="C13" s="202">
        <v>1503529.99</v>
      </c>
      <c r="D13" s="202">
        <v>1610768.49</v>
      </c>
      <c r="E13" s="249">
        <f>+D13-C13</f>
        <v>107238.5</v>
      </c>
      <c r="F13" s="203"/>
      <c r="G13" s="203"/>
      <c r="H13" s="203"/>
      <c r="I13" s="203"/>
      <c r="J13" s="203"/>
      <c r="K13" s="203"/>
      <c r="L13" s="203"/>
    </row>
    <row r="14" spans="1:15">
      <c r="A14" s="196">
        <v>5</v>
      </c>
      <c r="B14" s="2" t="s">
        <v>87</v>
      </c>
      <c r="C14" s="202">
        <v>600880.43000000005</v>
      </c>
      <c r="D14" s="202">
        <v>567394.19999999995</v>
      </c>
      <c r="E14" s="249">
        <f t="shared" ref="E14" si="0">+D14-C14</f>
        <v>-33486.230000000098</v>
      </c>
      <c r="F14" s="203"/>
      <c r="G14" s="203"/>
      <c r="H14" s="203"/>
      <c r="I14" s="203"/>
      <c r="J14" s="203"/>
      <c r="K14" s="203"/>
      <c r="L14" s="203"/>
    </row>
    <row r="15" spans="1:15">
      <c r="A15" s="196">
        <v>7</v>
      </c>
      <c r="B15" s="313" t="s">
        <v>93</v>
      </c>
      <c r="C15" s="261">
        <f>SUM(C12:C14)</f>
        <v>2134627.86</v>
      </c>
      <c r="D15" s="261">
        <f>SUM(D12:D14)</f>
        <v>2404914.33</v>
      </c>
      <c r="E15" s="314">
        <f>SUM(E12:E14)</f>
        <v>270286.46999999991</v>
      </c>
      <c r="F15" s="255" t="s">
        <v>80</v>
      </c>
      <c r="G15" s="203"/>
      <c r="H15" s="203"/>
      <c r="I15" s="203"/>
      <c r="J15" s="203"/>
      <c r="K15" s="203"/>
      <c r="L15" s="203"/>
    </row>
    <row r="16" spans="1:15">
      <c r="A16" s="196">
        <v>8</v>
      </c>
      <c r="C16" s="202"/>
      <c r="D16" s="202"/>
      <c r="E16" s="249"/>
      <c r="F16" s="315"/>
      <c r="G16" s="203"/>
      <c r="H16" s="203"/>
      <c r="I16" s="203"/>
      <c r="J16" s="203"/>
      <c r="K16" s="203"/>
      <c r="L16" s="203"/>
    </row>
    <row r="17" spans="1:15">
      <c r="A17" s="196">
        <v>9</v>
      </c>
      <c r="C17" s="202"/>
      <c r="D17" s="202"/>
      <c r="E17" s="249"/>
      <c r="F17" s="315"/>
      <c r="G17" s="203"/>
      <c r="H17" s="203"/>
      <c r="I17" s="203"/>
      <c r="J17" s="203"/>
      <c r="K17" s="203"/>
      <c r="L17" s="203"/>
    </row>
    <row r="18" spans="1:15">
      <c r="A18" s="196">
        <v>10</v>
      </c>
      <c r="C18" s="202"/>
      <c r="D18" s="202"/>
      <c r="E18" s="249"/>
      <c r="F18" s="315"/>
      <c r="G18" s="203"/>
      <c r="H18" s="203"/>
      <c r="I18" s="203"/>
      <c r="J18" s="203"/>
      <c r="K18" s="203"/>
      <c r="L18" s="203"/>
    </row>
    <row r="19" spans="1:15">
      <c r="A19" s="196">
        <v>11</v>
      </c>
      <c r="B19" s="1" t="s">
        <v>572</v>
      </c>
      <c r="C19" s="202"/>
      <c r="D19" s="202"/>
      <c r="E19" s="249"/>
      <c r="F19" s="315"/>
      <c r="G19" s="203"/>
      <c r="H19" s="203"/>
      <c r="I19" s="203"/>
      <c r="J19" s="203"/>
      <c r="K19" s="203"/>
      <c r="L19" s="203"/>
    </row>
    <row r="20" spans="1:15" ht="26.4">
      <c r="A20" s="196">
        <v>12</v>
      </c>
      <c r="B20" s="199" t="s">
        <v>573</v>
      </c>
      <c r="C20" s="316" t="s">
        <v>569</v>
      </c>
      <c r="D20" s="200">
        <v>2023</v>
      </c>
      <c r="E20" s="316" t="s">
        <v>570</v>
      </c>
      <c r="F20" s="315"/>
      <c r="G20" s="203"/>
      <c r="H20" s="203"/>
      <c r="I20" s="203"/>
      <c r="J20" s="203"/>
      <c r="K20" s="203"/>
      <c r="L20" s="203"/>
    </row>
    <row r="21" spans="1:15">
      <c r="A21" s="196">
        <v>13</v>
      </c>
      <c r="B21" s="2" t="s">
        <v>574</v>
      </c>
      <c r="C21" s="202">
        <v>37011.11</v>
      </c>
      <c r="D21" s="202">
        <f>53322.68+48294.95</f>
        <v>101617.63</v>
      </c>
      <c r="E21" s="249">
        <f>+D21-C21</f>
        <v>64606.520000000004</v>
      </c>
      <c r="F21" s="315"/>
      <c r="G21" s="203"/>
      <c r="H21" s="203"/>
      <c r="I21" s="203"/>
      <c r="J21" s="203"/>
      <c r="K21" s="203"/>
      <c r="L21" s="203"/>
    </row>
    <row r="22" spans="1:15">
      <c r="A22" s="196">
        <v>14</v>
      </c>
      <c r="B22" s="2" t="s">
        <v>575</v>
      </c>
      <c r="C22" s="202">
        <v>3317.54</v>
      </c>
      <c r="D22" s="202">
        <v>67303.86</v>
      </c>
      <c r="E22" s="249">
        <f>+D22-C22</f>
        <v>63986.32</v>
      </c>
      <c r="F22" s="315"/>
      <c r="G22" s="203"/>
      <c r="H22" s="203"/>
      <c r="I22" s="203"/>
      <c r="J22" s="203"/>
      <c r="K22" s="203"/>
      <c r="L22" s="203"/>
    </row>
    <row r="23" spans="1:15">
      <c r="A23" s="196">
        <v>15</v>
      </c>
      <c r="B23" s="2" t="s">
        <v>93</v>
      </c>
      <c r="C23" s="261">
        <f>SUM(C21:C22)</f>
        <v>40328.65</v>
      </c>
      <c r="D23" s="261">
        <f t="shared" ref="D23:E23" si="1">SUM(D21:D22)</f>
        <v>168921.49</v>
      </c>
      <c r="E23" s="261">
        <f t="shared" si="1"/>
        <v>128592.84</v>
      </c>
      <c r="F23" s="255" t="s">
        <v>81</v>
      </c>
      <c r="G23" s="203"/>
      <c r="H23" s="203"/>
      <c r="I23" s="203"/>
      <c r="J23" s="203"/>
      <c r="K23" s="203"/>
      <c r="L23" s="203"/>
    </row>
    <row r="24" spans="1:15">
      <c r="A24" s="196">
        <v>16</v>
      </c>
      <c r="C24" s="204"/>
      <c r="D24" s="204"/>
      <c r="E24" s="249"/>
      <c r="F24" s="317"/>
      <c r="G24" s="205"/>
      <c r="H24" s="205"/>
      <c r="I24" s="205"/>
      <c r="J24" s="203"/>
      <c r="K24" s="203"/>
      <c r="L24" s="203"/>
      <c r="M24" s="203"/>
    </row>
    <row r="25" spans="1:15" ht="13.8" thickBot="1">
      <c r="A25" s="196">
        <v>17</v>
      </c>
      <c r="B25" s="12" t="s">
        <v>66</v>
      </c>
      <c r="C25" s="318">
        <f>C23+C15</f>
        <v>2174956.5099999998</v>
      </c>
      <c r="D25" s="318">
        <f t="shared" ref="D25:E25" si="2">D23+D15</f>
        <v>2573835.8200000003</v>
      </c>
      <c r="E25" s="319">
        <f t="shared" si="2"/>
        <v>398879.30999999994</v>
      </c>
      <c r="F25" s="317"/>
      <c r="G25" s="205"/>
      <c r="H25" s="205"/>
      <c r="I25" s="205"/>
      <c r="J25" s="203"/>
      <c r="K25" s="203"/>
      <c r="L25" s="203"/>
    </row>
    <row r="26" spans="1:15" ht="13.8" thickTop="1">
      <c r="A26" s="196">
        <v>18</v>
      </c>
      <c r="C26" s="205"/>
      <c r="D26" s="205"/>
      <c r="E26" s="206"/>
      <c r="F26" s="317"/>
      <c r="G26" s="205"/>
      <c r="H26" s="205"/>
      <c r="I26" s="205"/>
      <c r="J26" s="203"/>
      <c r="K26" s="203"/>
      <c r="L26" s="203"/>
    </row>
    <row r="27" spans="1:15">
      <c r="A27" s="196">
        <v>19</v>
      </c>
      <c r="B27" s="207" t="s">
        <v>576</v>
      </c>
      <c r="C27" s="17"/>
      <c r="D27" s="17"/>
      <c r="E27" s="17"/>
      <c r="F27" s="17"/>
      <c r="G27" s="17"/>
      <c r="H27" s="17"/>
    </row>
    <row r="28" spans="1:15">
      <c r="A28" s="196">
        <v>20</v>
      </c>
      <c r="B28" s="207" t="s">
        <v>577</v>
      </c>
      <c r="C28" s="17"/>
      <c r="D28" s="17"/>
      <c r="E28" s="17"/>
      <c r="F28" s="17"/>
      <c r="G28" s="17"/>
      <c r="H28" s="17"/>
    </row>
    <row r="29" spans="1:15">
      <c r="C29" s="17"/>
      <c r="D29" s="17"/>
      <c r="E29" s="17"/>
      <c r="F29" s="17"/>
      <c r="G29" s="17"/>
      <c r="H29" s="17"/>
    </row>
    <row r="30" spans="1:15" ht="28.5" customHeight="1">
      <c r="B30" s="379" t="s">
        <v>578</v>
      </c>
      <c r="C30" s="379"/>
      <c r="D30" s="379"/>
      <c r="E30" s="379"/>
      <c r="F30" s="194"/>
      <c r="G30" s="194"/>
      <c r="H30" s="194"/>
      <c r="I30" s="194"/>
      <c r="J30" s="194"/>
      <c r="K30" s="194"/>
      <c r="L30" s="194"/>
      <c r="M30" s="194"/>
      <c r="N30" s="194"/>
      <c r="O30" s="194"/>
    </row>
    <row r="31" spans="1:15">
      <c r="C31" s="17"/>
      <c r="D31" s="17"/>
      <c r="E31" s="17"/>
      <c r="F31" s="17"/>
      <c r="G31" s="17"/>
      <c r="H31" s="17"/>
    </row>
    <row r="32" spans="1:15">
      <c r="C32" s="17"/>
      <c r="D32" s="17"/>
      <c r="E32" s="17"/>
      <c r="F32" s="17"/>
      <c r="G32" s="17"/>
      <c r="H32" s="17"/>
    </row>
    <row r="33" spans="3:8">
      <c r="C33" s="17"/>
      <c r="D33" s="17"/>
      <c r="E33" s="17"/>
      <c r="F33" s="17"/>
      <c r="G33" s="17"/>
      <c r="H33" s="17"/>
    </row>
    <row r="34" spans="3:8">
      <c r="C34" s="17"/>
      <c r="D34" s="17"/>
      <c r="E34" s="17"/>
      <c r="F34" s="17"/>
      <c r="G34" s="17"/>
      <c r="H34" s="17"/>
    </row>
  </sheetData>
  <mergeCells count="4">
    <mergeCell ref="B4:F4"/>
    <mergeCell ref="B5:F5"/>
    <mergeCell ref="B7:F7"/>
    <mergeCell ref="B30:E30"/>
  </mergeCells>
  <printOptions horizontalCentered="1"/>
  <pageMargins left="0.7" right="0.7" top="0.75" bottom="0.75" header="0.3" footer="0.3"/>
  <pageSetup scale="89" orientation="portrait" r:id="rId1"/>
  <headerFooter>
    <oddFooter>&amp;RExhibit JW-2
Page &amp;P of &amp;N</oddFooter>
  </headerFooter>
  <ignoredErrors>
    <ignoredError sqref="E23:E25 C15 C21:D25" unlockedFormula="1"/>
    <ignoredError sqref="D15"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9"/>
  <sheetViews>
    <sheetView view="pageBreakPreview" topLeftCell="A36" zoomScale="75" zoomScaleNormal="75" zoomScaleSheetLayoutView="75" workbookViewId="0">
      <selection activeCell="H8" sqref="H8"/>
    </sheetView>
  </sheetViews>
  <sheetFormatPr defaultColWidth="9.109375" defaultRowHeight="13.2"/>
  <cols>
    <col min="1" max="1" width="5.88671875" style="31" customWidth="1"/>
    <col min="2" max="2" width="2.33203125" style="31" customWidth="1"/>
    <col min="3" max="3" width="13.33203125" style="31" customWidth="1"/>
    <col min="4" max="4" width="10.88671875" style="31" customWidth="1"/>
    <col min="5" max="5" width="4.109375" style="31" customWidth="1"/>
    <col min="6" max="7" width="16.6640625" style="31" customWidth="1"/>
    <col min="8" max="8" width="12.5546875" style="31" customWidth="1"/>
    <col min="9" max="10" width="13.44140625" style="31" customWidth="1"/>
    <col min="11" max="11" width="14.88671875" style="31" customWidth="1"/>
    <col min="12" max="16384" width="9.109375" style="31"/>
  </cols>
  <sheetData>
    <row r="1" spans="1:12">
      <c r="K1" s="54" t="s">
        <v>472</v>
      </c>
    </row>
    <row r="2" spans="1:12">
      <c r="K2" s="54"/>
    </row>
    <row r="3" spans="1:12">
      <c r="K3" s="54"/>
    </row>
    <row r="4" spans="1:12">
      <c r="A4" s="382" t="s">
        <v>521</v>
      </c>
      <c r="B4" s="382"/>
      <c r="C4" s="382"/>
      <c r="D4" s="382"/>
      <c r="E4" s="382"/>
      <c r="F4" s="382"/>
      <c r="G4" s="382"/>
      <c r="H4" s="382"/>
      <c r="I4" s="382"/>
      <c r="J4" s="382"/>
      <c r="K4" s="382"/>
    </row>
    <row r="5" spans="1:12">
      <c r="A5" s="382" t="s">
        <v>522</v>
      </c>
      <c r="B5" s="382"/>
      <c r="C5" s="382"/>
      <c r="D5" s="382"/>
      <c r="E5" s="382"/>
      <c r="F5" s="382"/>
      <c r="G5" s="382"/>
      <c r="H5" s="382"/>
      <c r="I5" s="382"/>
      <c r="J5" s="382"/>
      <c r="K5" s="382"/>
      <c r="L5" s="264"/>
    </row>
    <row r="6" spans="1:12">
      <c r="A6" s="264"/>
      <c r="B6" s="264"/>
      <c r="C6" s="264"/>
      <c r="D6" s="264"/>
      <c r="E6" s="264"/>
      <c r="F6" s="264"/>
      <c r="G6" s="264"/>
      <c r="H6" s="264"/>
      <c r="I6" s="264"/>
      <c r="J6" s="264"/>
      <c r="K6" s="264"/>
      <c r="L6" s="264"/>
    </row>
    <row r="7" spans="1:12">
      <c r="A7" s="378" t="s">
        <v>57</v>
      </c>
      <c r="B7" s="378"/>
      <c r="C7" s="378"/>
      <c r="D7" s="378"/>
      <c r="E7" s="378"/>
      <c r="F7" s="378"/>
      <c r="G7" s="378"/>
      <c r="H7" s="378"/>
      <c r="I7" s="378"/>
      <c r="J7" s="378"/>
      <c r="K7" s="378"/>
    </row>
    <row r="9" spans="1:12" ht="26.4">
      <c r="A9" s="24" t="s">
        <v>7</v>
      </c>
      <c r="C9" s="24" t="s">
        <v>94</v>
      </c>
      <c r="D9" s="24" t="s">
        <v>65</v>
      </c>
      <c r="E9" s="24"/>
      <c r="F9" s="13" t="s">
        <v>535</v>
      </c>
      <c r="G9" s="13" t="s">
        <v>536</v>
      </c>
      <c r="H9" s="13" t="s">
        <v>537</v>
      </c>
      <c r="I9" s="13" t="s">
        <v>538</v>
      </c>
      <c r="J9" s="13" t="s">
        <v>539</v>
      </c>
      <c r="K9" s="24" t="s">
        <v>53</v>
      </c>
    </row>
    <row r="10" spans="1:12">
      <c r="A10" s="15" t="s">
        <v>11</v>
      </c>
      <c r="C10" s="265" t="s">
        <v>95</v>
      </c>
      <c r="D10" s="265" t="s">
        <v>96</v>
      </c>
      <c r="E10" s="24"/>
      <c r="F10" s="265" t="s">
        <v>97</v>
      </c>
      <c r="G10" s="265" t="s">
        <v>12</v>
      </c>
      <c r="H10" s="265" t="s">
        <v>13</v>
      </c>
      <c r="I10" s="265" t="s">
        <v>14</v>
      </c>
      <c r="J10" s="265" t="s">
        <v>14</v>
      </c>
      <c r="K10" s="265" t="s">
        <v>98</v>
      </c>
    </row>
    <row r="11" spans="1:12">
      <c r="A11" s="24"/>
    </row>
    <row r="12" spans="1:12">
      <c r="A12" s="24"/>
    </row>
    <row r="13" spans="1:12">
      <c r="A13" s="24">
        <v>1</v>
      </c>
      <c r="C13" s="24">
        <v>2022</v>
      </c>
      <c r="D13" s="24" t="s">
        <v>67</v>
      </c>
      <c r="E13" s="55"/>
      <c r="F13" s="266">
        <v>12789</v>
      </c>
      <c r="G13" s="266">
        <v>31</v>
      </c>
      <c r="H13" s="266">
        <v>836</v>
      </c>
      <c r="I13" s="266">
        <v>3696</v>
      </c>
      <c r="J13" s="266">
        <v>62</v>
      </c>
      <c r="K13" s="267"/>
    </row>
    <row r="14" spans="1:12">
      <c r="A14" s="24">
        <v>2</v>
      </c>
      <c r="C14" s="24">
        <v>2022</v>
      </c>
      <c r="D14" s="24" t="s">
        <v>68</v>
      </c>
      <c r="E14" s="55"/>
      <c r="F14" s="266">
        <v>12797</v>
      </c>
      <c r="G14" s="266">
        <v>29</v>
      </c>
      <c r="H14" s="266">
        <v>838</v>
      </c>
      <c r="I14" s="266">
        <v>3714</v>
      </c>
      <c r="J14" s="266">
        <v>61</v>
      </c>
      <c r="K14" s="268"/>
    </row>
    <row r="15" spans="1:12">
      <c r="A15" s="24">
        <v>3</v>
      </c>
      <c r="C15" s="24">
        <v>2022</v>
      </c>
      <c r="D15" s="24" t="s">
        <v>69</v>
      </c>
      <c r="E15" s="55"/>
      <c r="F15" s="266">
        <v>12843</v>
      </c>
      <c r="G15" s="266">
        <v>30</v>
      </c>
      <c r="H15" s="266">
        <v>833</v>
      </c>
      <c r="I15" s="266">
        <v>3719</v>
      </c>
      <c r="J15" s="266">
        <v>61</v>
      </c>
      <c r="K15" s="268"/>
    </row>
    <row r="16" spans="1:12">
      <c r="A16" s="24">
        <v>4</v>
      </c>
      <c r="C16" s="24">
        <v>2022</v>
      </c>
      <c r="D16" s="24" t="s">
        <v>70</v>
      </c>
      <c r="E16" s="55"/>
      <c r="F16" s="266">
        <v>12919</v>
      </c>
      <c r="G16" s="266">
        <v>22</v>
      </c>
      <c r="H16" s="266">
        <v>818</v>
      </c>
      <c r="I16" s="266">
        <v>3709</v>
      </c>
      <c r="J16" s="266">
        <v>61</v>
      </c>
      <c r="K16" s="268"/>
    </row>
    <row r="17" spans="1:11">
      <c r="A17" s="24">
        <v>5</v>
      </c>
      <c r="C17" s="24">
        <v>2022</v>
      </c>
      <c r="D17" s="24" t="s">
        <v>59</v>
      </c>
      <c r="E17" s="55"/>
      <c r="F17" s="266">
        <v>12992</v>
      </c>
      <c r="G17" s="266">
        <v>11</v>
      </c>
      <c r="H17" s="266">
        <v>825</v>
      </c>
      <c r="I17" s="266">
        <v>3701</v>
      </c>
      <c r="J17" s="266">
        <v>61</v>
      </c>
      <c r="K17" s="268"/>
    </row>
    <row r="18" spans="1:11">
      <c r="A18" s="24">
        <v>6</v>
      </c>
      <c r="C18" s="24">
        <v>2022</v>
      </c>
      <c r="D18" s="24" t="s">
        <v>71</v>
      </c>
      <c r="E18" s="55"/>
      <c r="F18" s="266">
        <v>13002</v>
      </c>
      <c r="G18" s="266">
        <v>6</v>
      </c>
      <c r="H18" s="266">
        <v>822</v>
      </c>
      <c r="I18" s="266">
        <v>3729</v>
      </c>
      <c r="J18" s="266">
        <v>61</v>
      </c>
      <c r="K18" s="268"/>
    </row>
    <row r="19" spans="1:11">
      <c r="A19" s="24">
        <v>7</v>
      </c>
      <c r="C19" s="24">
        <v>2022</v>
      </c>
      <c r="D19" s="24" t="s">
        <v>72</v>
      </c>
      <c r="E19" s="55"/>
      <c r="F19" s="266">
        <v>13016</v>
      </c>
      <c r="G19" s="266">
        <v>3</v>
      </c>
      <c r="H19" s="266">
        <v>818</v>
      </c>
      <c r="I19" s="266">
        <v>3735</v>
      </c>
      <c r="J19" s="266">
        <v>61</v>
      </c>
      <c r="K19" s="268"/>
    </row>
    <row r="20" spans="1:11">
      <c r="A20" s="24">
        <v>8</v>
      </c>
      <c r="C20" s="24">
        <v>2022</v>
      </c>
      <c r="D20" s="24" t="s">
        <v>73</v>
      </c>
      <c r="E20" s="55"/>
      <c r="F20" s="266">
        <v>13025</v>
      </c>
      <c r="G20" s="266">
        <v>4</v>
      </c>
      <c r="H20" s="266">
        <v>810</v>
      </c>
      <c r="I20" s="266">
        <v>3755</v>
      </c>
      <c r="J20" s="266">
        <v>61</v>
      </c>
      <c r="K20" s="268"/>
    </row>
    <row r="21" spans="1:11">
      <c r="A21" s="24">
        <v>9</v>
      </c>
      <c r="C21" s="24">
        <v>2022</v>
      </c>
      <c r="D21" s="24" t="s">
        <v>74</v>
      </c>
      <c r="E21" s="55"/>
      <c r="F21" s="266">
        <v>13056</v>
      </c>
      <c r="G21" s="266">
        <v>11</v>
      </c>
      <c r="H21" s="266">
        <v>797</v>
      </c>
      <c r="I21" s="266">
        <v>3782</v>
      </c>
      <c r="J21" s="266">
        <v>61</v>
      </c>
      <c r="K21" s="268"/>
    </row>
    <row r="22" spans="1:11">
      <c r="A22" s="24">
        <v>10</v>
      </c>
      <c r="C22" s="24">
        <v>2022</v>
      </c>
      <c r="D22" s="24" t="s">
        <v>75</v>
      </c>
      <c r="E22" s="55"/>
      <c r="F22" s="266">
        <v>13082</v>
      </c>
      <c r="G22" s="266">
        <v>17</v>
      </c>
      <c r="H22" s="266">
        <v>791</v>
      </c>
      <c r="I22" s="266">
        <v>3840</v>
      </c>
      <c r="J22" s="266">
        <v>61</v>
      </c>
      <c r="K22" s="268"/>
    </row>
    <row r="23" spans="1:11">
      <c r="A23" s="24">
        <v>11</v>
      </c>
      <c r="C23" s="24">
        <v>2022</v>
      </c>
      <c r="D23" s="24" t="s">
        <v>76</v>
      </c>
      <c r="E23" s="55"/>
      <c r="F23" s="266">
        <v>13044</v>
      </c>
      <c r="G23" s="266">
        <v>21</v>
      </c>
      <c r="H23" s="266">
        <v>782</v>
      </c>
      <c r="I23" s="266">
        <v>3845</v>
      </c>
      <c r="J23" s="266">
        <v>62</v>
      </c>
      <c r="K23" s="268"/>
    </row>
    <row r="24" spans="1:11">
      <c r="A24" s="24">
        <v>12</v>
      </c>
      <c r="C24" s="24">
        <v>2022</v>
      </c>
      <c r="D24" s="24" t="s">
        <v>77</v>
      </c>
      <c r="E24" s="55"/>
      <c r="F24" s="266">
        <v>13040</v>
      </c>
      <c r="G24" s="266">
        <v>25</v>
      </c>
      <c r="H24" s="266">
        <v>779</v>
      </c>
      <c r="I24" s="266">
        <v>3845</v>
      </c>
      <c r="J24" s="266">
        <v>62</v>
      </c>
      <c r="K24" s="268"/>
    </row>
    <row r="25" spans="1:11">
      <c r="A25" s="24">
        <v>13</v>
      </c>
      <c r="C25" s="26" t="s">
        <v>100</v>
      </c>
      <c r="D25" s="49"/>
      <c r="E25" s="244"/>
      <c r="F25" s="213">
        <f>ROUND(AVERAGE(F13:F24),0)</f>
        <v>12967</v>
      </c>
      <c r="G25" s="213">
        <f>ROUND(AVERAGE(G13:G24),0)</f>
        <v>18</v>
      </c>
      <c r="H25" s="213">
        <f>ROUND(AVERAGE(H13:H24),0)</f>
        <v>812</v>
      </c>
      <c r="I25" s="213">
        <f>ROUND(AVERAGE(I13:I24),0)</f>
        <v>3756</v>
      </c>
      <c r="J25" s="213">
        <f>ROUND(AVERAGE(J13:J24),0)</f>
        <v>61</v>
      </c>
      <c r="K25" s="268"/>
    </row>
    <row r="26" spans="1:11">
      <c r="A26" s="24">
        <v>14</v>
      </c>
    </row>
    <row r="27" spans="1:11">
      <c r="A27" s="24">
        <v>15</v>
      </c>
      <c r="C27" s="28" t="s">
        <v>101</v>
      </c>
      <c r="E27" s="244"/>
      <c r="F27" s="223">
        <f>F24-F25</f>
        <v>73</v>
      </c>
      <c r="G27" s="223">
        <f t="shared" ref="G27:J27" si="0">G24-G25</f>
        <v>7</v>
      </c>
      <c r="H27" s="223">
        <f t="shared" si="0"/>
        <v>-33</v>
      </c>
      <c r="I27" s="223">
        <f t="shared" ref="I27" si="1">I24-I25</f>
        <v>89</v>
      </c>
      <c r="J27" s="223">
        <f t="shared" si="0"/>
        <v>1</v>
      </c>
      <c r="K27" s="268"/>
    </row>
    <row r="28" spans="1:11">
      <c r="A28" s="24">
        <v>16</v>
      </c>
      <c r="D28" s="24"/>
      <c r="E28" s="244"/>
      <c r="F28" s="244"/>
      <c r="G28" s="244"/>
    </row>
    <row r="29" spans="1:11">
      <c r="A29" s="24">
        <v>17</v>
      </c>
      <c r="C29" s="31" t="s">
        <v>102</v>
      </c>
      <c r="D29" s="24"/>
      <c r="E29" s="244"/>
      <c r="F29" s="223">
        <v>215297067</v>
      </c>
      <c r="G29" s="223">
        <v>188379</v>
      </c>
      <c r="H29" s="223">
        <v>15282197</v>
      </c>
      <c r="I29" s="223">
        <v>37399613</v>
      </c>
      <c r="J29" s="223">
        <v>61631409</v>
      </c>
      <c r="K29" s="268"/>
    </row>
    <row r="30" spans="1:11">
      <c r="A30" s="24">
        <v>18</v>
      </c>
      <c r="C30" s="31" t="s">
        <v>103</v>
      </c>
      <c r="D30" s="24"/>
      <c r="E30" s="244"/>
      <c r="F30" s="223">
        <f>F29/F25</f>
        <v>16603.46009100023</v>
      </c>
      <c r="G30" s="223">
        <f t="shared" ref="G30:J30" si="2">G29/G25</f>
        <v>10465.5</v>
      </c>
      <c r="H30" s="223">
        <f t="shared" si="2"/>
        <v>18820.439655172413</v>
      </c>
      <c r="I30" s="223">
        <f t="shared" ref="I30" si="3">I29/I25</f>
        <v>9957.2984558040462</v>
      </c>
      <c r="J30" s="223">
        <f t="shared" si="2"/>
        <v>1010350.9672131147</v>
      </c>
      <c r="K30" s="268"/>
    </row>
    <row r="31" spans="1:11">
      <c r="A31" s="24">
        <v>19</v>
      </c>
      <c r="C31" s="31" t="s">
        <v>104</v>
      </c>
      <c r="D31" s="24"/>
      <c r="E31" s="244"/>
      <c r="F31" s="223">
        <f>F30*F27</f>
        <v>1212052.5866430169</v>
      </c>
      <c r="G31" s="223">
        <f t="shared" ref="G31:J31" si="4">G30*G27</f>
        <v>73258.5</v>
      </c>
      <c r="H31" s="223">
        <f t="shared" si="4"/>
        <v>-621074.50862068962</v>
      </c>
      <c r="I31" s="223">
        <f t="shared" ref="I31" si="5">I30*I27</f>
        <v>886199.56256656011</v>
      </c>
      <c r="J31" s="223">
        <f t="shared" si="4"/>
        <v>1010350.9672131147</v>
      </c>
      <c r="K31" s="269">
        <f>SUM(F31:J31)</f>
        <v>2560787.1078020022</v>
      </c>
    </row>
    <row r="32" spans="1:11">
      <c r="A32" s="24">
        <v>20</v>
      </c>
      <c r="D32" s="24"/>
      <c r="E32" s="244"/>
      <c r="F32" s="244"/>
      <c r="G32" s="244"/>
    </row>
    <row r="33" spans="1:11">
      <c r="A33" s="24"/>
      <c r="C33" s="31" t="s">
        <v>489</v>
      </c>
      <c r="D33" s="24"/>
      <c r="E33" s="244"/>
      <c r="F33" s="244"/>
      <c r="G33" s="244"/>
    </row>
    <row r="34" spans="1:11">
      <c r="A34" s="24">
        <v>21</v>
      </c>
      <c r="C34" s="106" t="s">
        <v>105</v>
      </c>
      <c r="D34" s="24"/>
      <c r="E34" s="244"/>
      <c r="F34" s="244"/>
      <c r="G34" s="244"/>
    </row>
    <row r="35" spans="1:11">
      <c r="A35" s="24">
        <v>22</v>
      </c>
      <c r="C35" s="31" t="s">
        <v>106</v>
      </c>
      <c r="D35" s="24"/>
      <c r="E35" s="244"/>
      <c r="F35" s="244">
        <v>21699382.6032</v>
      </c>
      <c r="G35" s="244">
        <v>11423</v>
      </c>
      <c r="H35" s="55">
        <v>1523481.5345333333</v>
      </c>
      <c r="I35" s="324">
        <v>4340271.3463099999</v>
      </c>
      <c r="J35" s="324">
        <v>4940799.1071300004</v>
      </c>
      <c r="K35" s="268"/>
    </row>
    <row r="36" spans="1:11">
      <c r="A36" s="24">
        <v>23</v>
      </c>
      <c r="C36" s="31" t="s">
        <v>107</v>
      </c>
      <c r="D36" s="24"/>
      <c r="E36" s="244"/>
      <c r="F36" s="270">
        <f>F35/F29</f>
        <v>0.10078810132234639</v>
      </c>
      <c r="G36" s="270">
        <f t="shared" ref="G36:J36" si="6">G35/G29</f>
        <v>6.0638393876175159E-2</v>
      </c>
      <c r="H36" s="270">
        <f t="shared" si="6"/>
        <v>9.9689955216081386E-2</v>
      </c>
      <c r="I36" s="270">
        <f t="shared" ref="I36" si="7">I35/I29</f>
        <v>0.11605123684862728</v>
      </c>
      <c r="J36" s="270">
        <f t="shared" si="6"/>
        <v>8.0166901703155935E-2</v>
      </c>
      <c r="K36" s="268"/>
    </row>
    <row r="37" spans="1:11">
      <c r="A37" s="24">
        <v>24</v>
      </c>
      <c r="C37" s="31" t="s">
        <v>108</v>
      </c>
      <c r="D37" s="24"/>
      <c r="E37" s="244"/>
      <c r="F37" s="244">
        <f>F36*F31</f>
        <v>122160.47891058841</v>
      </c>
      <c r="G37" s="244">
        <f t="shared" ref="G37:J37" si="8">G36*G31</f>
        <v>4442.2777777777783</v>
      </c>
      <c r="H37" s="244">
        <f t="shared" si="8"/>
        <v>-61914.889950246303</v>
      </c>
      <c r="I37" s="244">
        <f t="shared" ref="I37" si="9">I36*I31</f>
        <v>102844.55533056177</v>
      </c>
      <c r="J37" s="244">
        <f t="shared" si="8"/>
        <v>80996.706674262299</v>
      </c>
      <c r="K37" s="269">
        <f>SUM(F37:J37)</f>
        <v>248529.12874294395</v>
      </c>
    </row>
    <row r="38" spans="1:11">
      <c r="A38" s="24">
        <v>25</v>
      </c>
      <c r="D38" s="24"/>
      <c r="E38" s="244"/>
      <c r="F38" s="244"/>
      <c r="G38" s="244"/>
      <c r="H38" s="244"/>
      <c r="I38" s="244"/>
      <c r="J38" s="244"/>
    </row>
    <row r="39" spans="1:11">
      <c r="A39" s="24">
        <v>26</v>
      </c>
      <c r="C39" s="106" t="s">
        <v>109</v>
      </c>
      <c r="D39" s="24"/>
      <c r="E39" s="244"/>
      <c r="F39" s="244"/>
      <c r="G39" s="244"/>
      <c r="H39" s="244"/>
      <c r="I39" s="244"/>
      <c r="J39" s="244"/>
    </row>
    <row r="40" spans="1:11">
      <c r="A40" s="24">
        <v>27</v>
      </c>
      <c r="C40" s="31" t="s">
        <v>110</v>
      </c>
      <c r="D40" s="24"/>
      <c r="E40" s="244"/>
      <c r="F40" s="271">
        <f>G56/G57</f>
        <v>6.0899091133657837E-2</v>
      </c>
      <c r="G40" s="271">
        <f>F40</f>
        <v>6.0899091133657837E-2</v>
      </c>
      <c r="H40" s="271">
        <f t="shared" ref="H40" si="10">G40</f>
        <v>6.0899091133657837E-2</v>
      </c>
      <c r="I40" s="271">
        <f>G40</f>
        <v>6.0899091133657837E-2</v>
      </c>
      <c r="J40" s="271">
        <f>H40</f>
        <v>6.0899091133657837E-2</v>
      </c>
      <c r="K40" s="268"/>
    </row>
    <row r="41" spans="1:11">
      <c r="A41" s="24">
        <v>28</v>
      </c>
      <c r="C41" s="31" t="s">
        <v>111</v>
      </c>
      <c r="D41" s="24"/>
      <c r="E41" s="244"/>
      <c r="F41" s="244">
        <f>F40*F31</f>
        <v>73812.900932758799</v>
      </c>
      <c r="G41" s="244">
        <f>G40*G31</f>
        <v>4461.3760678150729</v>
      </c>
      <c r="H41" s="244">
        <f>H40*H31</f>
        <v>-37822.873101283134</v>
      </c>
      <c r="I41" s="244">
        <f>I40*I31</f>
        <v>53968.747923348652</v>
      </c>
      <c r="J41" s="244">
        <f>J40*J31</f>
        <v>61529.455629290816</v>
      </c>
      <c r="K41" s="269">
        <f>SUM(F41:J41)</f>
        <v>155949.60745193021</v>
      </c>
    </row>
    <row r="42" spans="1:11" ht="13.8" thickBot="1">
      <c r="A42" s="24">
        <v>29</v>
      </c>
      <c r="C42" s="272"/>
      <c r="D42" s="30"/>
      <c r="E42" s="273"/>
      <c r="F42" s="273"/>
      <c r="G42" s="273"/>
      <c r="H42" s="273"/>
      <c r="I42" s="273"/>
      <c r="J42" s="273"/>
      <c r="K42" s="272"/>
    </row>
    <row r="43" spans="1:11" ht="13.8" thickTop="1">
      <c r="A43" s="24">
        <v>30</v>
      </c>
      <c r="D43" s="24"/>
      <c r="E43" s="244"/>
    </row>
    <row r="44" spans="1:11">
      <c r="A44" s="24">
        <v>31</v>
      </c>
      <c r="E44" s="244"/>
      <c r="F44" s="274" t="s">
        <v>112</v>
      </c>
      <c r="G44" s="274" t="s">
        <v>50</v>
      </c>
      <c r="I44" s="274" t="s">
        <v>113</v>
      </c>
      <c r="J44" s="274" t="s">
        <v>113</v>
      </c>
    </row>
    <row r="45" spans="1:11">
      <c r="A45" s="24">
        <v>32</v>
      </c>
      <c r="C45" s="31" t="s">
        <v>83</v>
      </c>
      <c r="E45" s="244"/>
      <c r="F45" s="275">
        <v>0</v>
      </c>
      <c r="G45" s="275">
        <v>0</v>
      </c>
      <c r="I45" s="96">
        <f>E45-F45</f>
        <v>0</v>
      </c>
      <c r="J45" s="96">
        <f>F45-G45</f>
        <v>0</v>
      </c>
    </row>
    <row r="46" spans="1:11">
      <c r="A46" s="24">
        <v>33</v>
      </c>
      <c r="E46" s="244"/>
      <c r="F46" s="244"/>
    </row>
    <row r="47" spans="1:11">
      <c r="A47" s="24">
        <v>34</v>
      </c>
      <c r="C47" s="31" t="s">
        <v>114</v>
      </c>
      <c r="E47" s="55"/>
      <c r="F47" s="55">
        <f>K37</f>
        <v>248529.12874294395</v>
      </c>
      <c r="G47" s="55">
        <f>K41</f>
        <v>155949.60745193021</v>
      </c>
      <c r="I47" s="96">
        <f>E47-F47</f>
        <v>-248529.12874294395</v>
      </c>
      <c r="J47" s="96">
        <f>F47-G47</f>
        <v>92579.521291013749</v>
      </c>
    </row>
    <row r="48" spans="1:11">
      <c r="A48" s="24">
        <v>35</v>
      </c>
    </row>
    <row r="49" spans="1:11" ht="13.8" thickBot="1">
      <c r="A49" s="24">
        <v>36</v>
      </c>
      <c r="C49" s="34" t="s">
        <v>10</v>
      </c>
      <c r="D49" s="34"/>
      <c r="E49" s="276"/>
      <c r="F49" s="277">
        <f>ROUND(F47-F45,2)</f>
        <v>248529.13</v>
      </c>
      <c r="G49" s="277">
        <f>ROUND(G47-G45,2)</f>
        <v>155949.60999999999</v>
      </c>
      <c r="I49" s="277">
        <f>ROUND(I47-I45,2)</f>
        <v>-248529.13</v>
      </c>
      <c r="J49" s="277">
        <f>ROUND(J47-J45,2)</f>
        <v>92579.520000000004</v>
      </c>
    </row>
    <row r="50" spans="1:11" ht="13.8" thickTop="1">
      <c r="A50" s="24">
        <v>37</v>
      </c>
    </row>
    <row r="51" spans="1:11">
      <c r="A51" s="24">
        <v>38</v>
      </c>
    </row>
    <row r="52" spans="1:11">
      <c r="A52" s="24">
        <v>39</v>
      </c>
      <c r="C52" s="88" t="s">
        <v>115</v>
      </c>
      <c r="G52" s="278" t="s">
        <v>116</v>
      </c>
    </row>
    <row r="53" spans="1:11">
      <c r="A53" s="24">
        <v>40</v>
      </c>
      <c r="C53" s="31" t="s">
        <v>117</v>
      </c>
      <c r="D53" s="24"/>
      <c r="E53" s="244"/>
      <c r="G53" s="244">
        <v>41971379</v>
      </c>
    </row>
    <row r="54" spans="1:11">
      <c r="A54" s="24">
        <v>41</v>
      </c>
      <c r="C54" s="31" t="s">
        <v>118</v>
      </c>
      <c r="D54" s="24"/>
      <c r="E54" s="244"/>
      <c r="G54" s="244">
        <f>-'1.01 FAC'!F25</f>
        <v>-6311733</v>
      </c>
    </row>
    <row r="55" spans="1:11">
      <c r="A55" s="24">
        <v>42</v>
      </c>
      <c r="C55" s="31" t="s">
        <v>119</v>
      </c>
      <c r="D55" s="24"/>
      <c r="E55" s="244"/>
      <c r="G55" s="244">
        <f>-'1.02 ES'!F25</f>
        <v>-5387556</v>
      </c>
    </row>
    <row r="56" spans="1:11">
      <c r="A56" s="24">
        <v>42</v>
      </c>
      <c r="C56" s="31" t="s">
        <v>120</v>
      </c>
      <c r="D56" s="24"/>
      <c r="E56" s="244"/>
      <c r="G56" s="244">
        <f>SUM(G53:G55)</f>
        <v>30272090</v>
      </c>
    </row>
    <row r="57" spans="1:11">
      <c r="A57" s="24">
        <v>42</v>
      </c>
      <c r="C57" s="31" t="s">
        <v>121</v>
      </c>
      <c r="D57" s="24"/>
      <c r="E57" s="244"/>
      <c r="G57" s="223">
        <v>497086072</v>
      </c>
    </row>
    <row r="59" spans="1:11" ht="27.6" customHeight="1">
      <c r="C59" s="383" t="s">
        <v>122</v>
      </c>
      <c r="D59" s="383"/>
      <c r="E59" s="383"/>
      <c r="F59" s="383"/>
      <c r="G59" s="383"/>
      <c r="H59" s="383"/>
      <c r="I59" s="383"/>
      <c r="J59" s="383"/>
      <c r="K59" s="383"/>
    </row>
  </sheetData>
  <mergeCells count="4">
    <mergeCell ref="A4:K4"/>
    <mergeCell ref="A5:K5"/>
    <mergeCell ref="A7:K7"/>
    <mergeCell ref="C59:K59"/>
  </mergeCells>
  <printOptions horizontalCentered="1"/>
  <pageMargins left="0.25" right="0.25" top="0.75" bottom="0.75" header="0.5" footer="0.25"/>
  <pageSetup scale="71" fitToHeight="2" orientation="portrait" r:id="rId1"/>
  <headerFooter alignWithMargins="0">
    <oddFooter>&amp;RExhibit JW-2
Page &amp;P of &amp;N</oddFooter>
  </headerFooter>
  <ignoredErrors>
    <ignoredError sqref="J10:K10 C10:H10" numberStoredAsText="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393D-8499-4374-A61D-463366C7CBFC}">
  <dimension ref="A1:AM147"/>
  <sheetViews>
    <sheetView view="pageBreakPreview" topLeftCell="A75" zoomScale="85" zoomScaleNormal="100" zoomScaleSheetLayoutView="85" workbookViewId="0">
      <selection activeCell="X1" sqref="V1:X1"/>
    </sheetView>
  </sheetViews>
  <sheetFormatPr defaultColWidth="9.109375" defaultRowHeight="13.2"/>
  <cols>
    <col min="1" max="1" width="5.88671875" style="24" customWidth="1"/>
    <col min="2" max="2" width="1.33203125" style="31" customWidth="1"/>
    <col min="3" max="3" width="6.44140625" style="24" customWidth="1"/>
    <col min="4" max="4" width="8.88671875" style="24" customWidth="1"/>
    <col min="5" max="5" width="11.109375" style="31" hidden="1" customWidth="1"/>
    <col min="6" max="6" width="9.88671875" style="24" customWidth="1"/>
    <col min="7" max="7" width="1.44140625" style="24" customWidth="1"/>
    <col min="8" max="8" width="11.109375" style="31" customWidth="1"/>
    <col min="9" max="10" width="10.88671875" style="31" customWidth="1"/>
    <col min="11" max="11" width="1.33203125" style="31" customWidth="1"/>
    <col min="12" max="12" width="11.6640625" style="31" bestFit="1" customWidth="1"/>
    <col min="13" max="13" width="9" style="31" bestFit="1" customWidth="1"/>
    <col min="14" max="14" width="10.88671875" style="31" customWidth="1"/>
    <col min="15" max="15" width="13.44140625" style="31" bestFit="1" customWidth="1"/>
    <col min="16" max="16" width="1.109375" style="31" customWidth="1"/>
    <col min="17" max="17" width="8.6640625" style="31" customWidth="1"/>
    <col min="18" max="18" width="0.88671875" style="31" customWidth="1"/>
    <col min="19" max="19" width="10.88671875" style="31" customWidth="1"/>
    <col min="20" max="20" width="9" style="31" bestFit="1" customWidth="1"/>
    <col min="21" max="21" width="11.6640625" style="31" bestFit="1" customWidth="1"/>
    <col min="22" max="22" width="10.88671875" style="31" customWidth="1"/>
    <col min="23" max="23" width="1" style="31" customWidth="1"/>
    <col min="24" max="24" width="11.5546875" style="31" customWidth="1"/>
    <col min="25" max="25" width="9.109375" style="31"/>
    <col min="26" max="26" width="12.88671875" style="55" bestFit="1" customWidth="1"/>
    <col min="27" max="27" width="9.6640625" style="31" bestFit="1" customWidth="1"/>
    <col min="28" max="28" width="10.33203125" style="31" bestFit="1" customWidth="1"/>
    <col min="29" max="29" width="9.88671875" style="31" bestFit="1" customWidth="1"/>
    <col min="30" max="16384" width="9.109375" style="31"/>
  </cols>
  <sheetData>
    <row r="1" spans="1:39">
      <c r="X1" s="20" t="s">
        <v>490</v>
      </c>
    </row>
    <row r="2" spans="1:39" ht="9.75" customHeight="1">
      <c r="L2" s="54"/>
    </row>
    <row r="3" spans="1:39">
      <c r="A3" s="382" t="s">
        <v>544</v>
      </c>
      <c r="B3" s="382"/>
      <c r="C3" s="382"/>
      <c r="D3" s="382"/>
      <c r="E3" s="382"/>
      <c r="F3" s="382"/>
      <c r="G3" s="382"/>
      <c r="H3" s="382"/>
      <c r="I3" s="382"/>
      <c r="J3" s="382"/>
      <c r="K3" s="382"/>
      <c r="L3" s="382"/>
      <c r="M3" s="382"/>
      <c r="N3" s="382"/>
      <c r="O3" s="382"/>
      <c r="P3" s="382"/>
      <c r="Q3" s="382"/>
      <c r="R3" s="382"/>
      <c r="S3" s="382"/>
      <c r="T3" s="382"/>
      <c r="U3" s="382"/>
      <c r="V3" s="382"/>
      <c r="W3" s="382"/>
      <c r="X3" s="382"/>
    </row>
    <row r="4" spans="1:39">
      <c r="A4" s="382" t="s">
        <v>588</v>
      </c>
      <c r="B4" s="382"/>
      <c r="C4" s="382"/>
      <c r="D4" s="382"/>
      <c r="E4" s="382"/>
      <c r="F4" s="382"/>
      <c r="G4" s="382"/>
      <c r="H4" s="382"/>
      <c r="I4" s="382"/>
      <c r="J4" s="382"/>
      <c r="K4" s="382"/>
      <c r="L4" s="382"/>
      <c r="M4" s="382"/>
      <c r="N4" s="382"/>
      <c r="O4" s="382"/>
      <c r="P4" s="382"/>
      <c r="Q4" s="382"/>
      <c r="R4" s="382"/>
      <c r="S4" s="382"/>
      <c r="T4" s="382"/>
      <c r="U4" s="382"/>
      <c r="V4" s="382"/>
      <c r="W4" s="382"/>
      <c r="X4" s="382"/>
    </row>
    <row r="5" spans="1:39">
      <c r="Z5" s="55" t="s">
        <v>589</v>
      </c>
    </row>
    <row r="6" spans="1:39" s="56" customFormat="1" ht="15" customHeight="1">
      <c r="A6" s="378" t="s">
        <v>54</v>
      </c>
      <c r="B6" s="378"/>
      <c r="C6" s="378"/>
      <c r="D6" s="378"/>
      <c r="E6" s="378"/>
      <c r="F6" s="378"/>
      <c r="G6" s="378"/>
      <c r="H6" s="378"/>
      <c r="I6" s="378"/>
      <c r="J6" s="378"/>
      <c r="K6" s="378"/>
      <c r="L6" s="378"/>
      <c r="M6" s="378"/>
      <c r="N6" s="378"/>
      <c r="O6" s="378"/>
      <c r="P6" s="378"/>
      <c r="Q6" s="378"/>
      <c r="R6" s="378"/>
      <c r="S6" s="378"/>
      <c r="T6" s="378"/>
      <c r="U6" s="378"/>
      <c r="V6" s="378"/>
      <c r="W6" s="378"/>
      <c r="X6" s="378"/>
      <c r="Z6" s="321" t="s">
        <v>590</v>
      </c>
    </row>
    <row r="7" spans="1:39">
      <c r="W7" s="56"/>
      <c r="Z7" s="321" t="s">
        <v>591</v>
      </c>
    </row>
    <row r="8" spans="1:39" ht="20.25" customHeight="1">
      <c r="C8" s="384" t="s">
        <v>142</v>
      </c>
      <c r="D8" s="384"/>
      <c r="E8" s="384"/>
      <c r="F8" s="384"/>
      <c r="H8" s="384" t="s">
        <v>143</v>
      </c>
      <c r="I8" s="384"/>
      <c r="J8" s="384"/>
      <c r="L8" s="384" t="s">
        <v>144</v>
      </c>
      <c r="M8" s="384"/>
      <c r="N8" s="384"/>
      <c r="O8" s="384"/>
      <c r="P8" s="24"/>
      <c r="Q8" s="385" t="s">
        <v>592</v>
      </c>
      <c r="S8" s="384" t="s">
        <v>146</v>
      </c>
      <c r="T8" s="384"/>
      <c r="U8" s="384"/>
      <c r="V8" s="384"/>
      <c r="W8" s="56"/>
      <c r="X8" s="385" t="s">
        <v>147</v>
      </c>
    </row>
    <row r="9" spans="1:39" ht="30.75" customHeight="1">
      <c r="A9" s="24" t="s">
        <v>7</v>
      </c>
      <c r="C9" s="24" t="s">
        <v>148</v>
      </c>
      <c r="D9" s="24" t="s">
        <v>149</v>
      </c>
      <c r="E9" s="57" t="s">
        <v>150</v>
      </c>
      <c r="F9" s="24" t="s">
        <v>151</v>
      </c>
      <c r="H9" s="13" t="s">
        <v>152</v>
      </c>
      <c r="I9" s="13" t="s">
        <v>153</v>
      </c>
      <c r="J9" s="13" t="s">
        <v>154</v>
      </c>
      <c r="K9" s="58"/>
      <c r="L9" s="13" t="s">
        <v>152</v>
      </c>
      <c r="M9" s="13" t="s">
        <v>153</v>
      </c>
      <c r="N9" s="13" t="s">
        <v>154</v>
      </c>
      <c r="O9" s="13" t="s">
        <v>53</v>
      </c>
      <c r="P9" s="59"/>
      <c r="Q9" s="385"/>
      <c r="R9" s="59"/>
      <c r="S9" s="13" t="s">
        <v>152</v>
      </c>
      <c r="T9" s="13" t="s">
        <v>153</v>
      </c>
      <c r="U9" s="13" t="s">
        <v>154</v>
      </c>
      <c r="V9" s="13" t="s">
        <v>53</v>
      </c>
      <c r="W9" s="60"/>
      <c r="X9" s="385"/>
    </row>
    <row r="10" spans="1:39">
      <c r="A10" s="15" t="s">
        <v>11</v>
      </c>
      <c r="C10" s="16">
        <v>1</v>
      </c>
      <c r="D10" s="16">
        <f>C10+1</f>
        <v>2</v>
      </c>
      <c r="E10" s="61" t="s">
        <v>155</v>
      </c>
      <c r="F10" s="16">
        <f>D10+1</f>
        <v>3</v>
      </c>
      <c r="H10" s="16">
        <f>F10+1</f>
        <v>4</v>
      </c>
      <c r="I10" s="16">
        <f>H10+1</f>
        <v>5</v>
      </c>
      <c r="J10" s="16">
        <f>I10+1</f>
        <v>6</v>
      </c>
      <c r="K10" s="58"/>
      <c r="L10" s="16">
        <f>J10+1</f>
        <v>7</v>
      </c>
      <c r="M10" s="16">
        <f>L10+1</f>
        <v>8</v>
      </c>
      <c r="N10" s="16">
        <f>M10+1</f>
        <v>9</v>
      </c>
      <c r="O10" s="16">
        <f>N10+1</f>
        <v>10</v>
      </c>
      <c r="P10" s="59"/>
      <c r="Q10" s="16">
        <f>O10+1</f>
        <v>11</v>
      </c>
      <c r="R10" s="59"/>
      <c r="S10" s="16">
        <f>Q10+1</f>
        <v>12</v>
      </c>
      <c r="T10" s="16">
        <f>S10+1</f>
        <v>13</v>
      </c>
      <c r="U10" s="16">
        <f>T10+1</f>
        <v>14</v>
      </c>
      <c r="V10" s="16">
        <f>U10+1</f>
        <v>15</v>
      </c>
      <c r="W10" s="60"/>
      <c r="X10" s="16">
        <f>V10+1</f>
        <v>16</v>
      </c>
    </row>
    <row r="11" spans="1:39">
      <c r="K11" s="58"/>
      <c r="P11" s="59"/>
      <c r="R11" s="59"/>
      <c r="W11" s="60"/>
    </row>
    <row r="12" spans="1:39" ht="20.100000000000001" hidden="1" customHeight="1" thickTop="1" thickBot="1">
      <c r="I12" s="62"/>
      <c r="J12" s="62"/>
      <c r="K12" s="63"/>
      <c r="L12" s="64" t="s">
        <v>144</v>
      </c>
      <c r="M12" s="65"/>
      <c r="N12" s="65"/>
      <c r="O12" s="66"/>
      <c r="P12" s="59"/>
      <c r="Q12" s="13" t="s">
        <v>156</v>
      </c>
      <c r="R12" s="59"/>
      <c r="S12" s="387" t="s">
        <v>157</v>
      </c>
      <c r="T12" s="388"/>
      <c r="U12" s="388"/>
      <c r="V12" s="389"/>
      <c r="W12" s="60"/>
      <c r="Y12" s="13"/>
      <c r="Z12" s="67"/>
      <c r="AA12" s="13"/>
      <c r="AB12" s="13"/>
      <c r="AK12" s="68"/>
      <c r="AM12" s="68"/>
    </row>
    <row r="13" spans="1:39" ht="20.100000000000001" hidden="1" customHeight="1" thickTop="1" thickBot="1">
      <c r="D13" s="69"/>
      <c r="E13" s="70"/>
      <c r="F13" s="69"/>
      <c r="G13" s="69"/>
      <c r="H13" s="390" t="s">
        <v>143</v>
      </c>
      <c r="I13" s="391"/>
      <c r="J13" s="392"/>
      <c r="K13" s="58"/>
      <c r="L13" s="71"/>
      <c r="O13" s="72"/>
      <c r="P13" s="59"/>
      <c r="Q13" s="13" t="s">
        <v>125</v>
      </c>
      <c r="R13" s="59"/>
      <c r="S13" s="393" t="s">
        <v>158</v>
      </c>
      <c r="T13" s="394"/>
      <c r="U13" s="73"/>
      <c r="V13" s="74"/>
      <c r="W13" s="60"/>
      <c r="Y13" s="13"/>
      <c r="Z13" s="67"/>
      <c r="AA13" s="13"/>
      <c r="AB13" s="13"/>
      <c r="AC13" s="24"/>
      <c r="AD13" s="24"/>
      <c r="AE13" s="24"/>
      <c r="AF13" s="24"/>
      <c r="AG13" s="24"/>
      <c r="AK13" s="68"/>
      <c r="AM13" s="68"/>
    </row>
    <row r="14" spans="1:39" s="24" customFormat="1" ht="27" hidden="1" thickBot="1">
      <c r="C14" s="24" t="s">
        <v>148</v>
      </c>
      <c r="D14" s="24" t="s">
        <v>159</v>
      </c>
      <c r="E14" s="31" t="s">
        <v>159</v>
      </c>
      <c r="H14" s="75" t="s">
        <v>160</v>
      </c>
      <c r="I14" s="76" t="s">
        <v>161</v>
      </c>
      <c r="J14" s="77" t="s">
        <v>162</v>
      </c>
      <c r="K14" s="78"/>
      <c r="L14" s="75" t="s">
        <v>152</v>
      </c>
      <c r="M14" s="79" t="s">
        <v>153</v>
      </c>
      <c r="N14" s="77" t="s">
        <v>162</v>
      </c>
      <c r="O14" s="80" t="s">
        <v>53</v>
      </c>
      <c r="P14" s="59"/>
      <c r="Q14" s="81" t="s">
        <v>163</v>
      </c>
      <c r="R14" s="59"/>
      <c r="S14" s="82" t="s">
        <v>152</v>
      </c>
      <c r="T14" s="82" t="s">
        <v>153</v>
      </c>
      <c r="U14" s="77" t="s">
        <v>162</v>
      </c>
      <c r="V14" s="83" t="s">
        <v>53</v>
      </c>
      <c r="W14" s="60"/>
      <c r="Y14" s="81"/>
      <c r="Z14" s="84"/>
      <c r="AB14" s="81"/>
      <c r="AC14" s="85"/>
      <c r="AD14" s="85"/>
      <c r="AE14" s="69"/>
      <c r="AF14" s="69"/>
      <c r="AG14" s="69"/>
      <c r="AJ14" s="86"/>
      <c r="AL14" s="87"/>
    </row>
    <row r="15" spans="1:39">
      <c r="A15" s="24">
        <v>1</v>
      </c>
      <c r="C15" s="88" t="s">
        <v>164</v>
      </c>
      <c r="F15" s="89"/>
      <c r="G15" s="89"/>
      <c r="H15" s="90"/>
      <c r="I15" s="90"/>
      <c r="J15" s="90"/>
      <c r="K15" s="91"/>
      <c r="L15" s="92"/>
      <c r="M15" s="92"/>
      <c r="N15" s="92"/>
      <c r="O15" s="92"/>
      <c r="P15" s="59"/>
      <c r="R15" s="59"/>
      <c r="W15" s="60"/>
    </row>
    <row r="16" spans="1:39">
      <c r="A16" s="24">
        <f>A15+1</f>
        <v>2</v>
      </c>
      <c r="C16" s="24">
        <v>1</v>
      </c>
      <c r="D16" s="24" t="s">
        <v>165</v>
      </c>
      <c r="E16" s="93">
        <v>14</v>
      </c>
      <c r="F16" s="24" t="s">
        <v>82</v>
      </c>
      <c r="H16" s="90">
        <f>1946+65+5+64</f>
        <v>2080</v>
      </c>
      <c r="I16" s="90"/>
      <c r="J16" s="90">
        <v>0</v>
      </c>
      <c r="K16" s="91"/>
      <c r="L16" s="92">
        <f>179634.45+6010.93+459.2+6024.7</f>
        <v>192129.28000000003</v>
      </c>
      <c r="M16" s="92"/>
      <c r="N16" s="92">
        <f>3228.88+9551.36+1302.84+6600</f>
        <v>20683.080000000002</v>
      </c>
      <c r="O16" s="92">
        <f>SUM(L16:N16)</f>
        <v>212812.36000000004</v>
      </c>
      <c r="P16" s="59"/>
      <c r="Q16" s="94">
        <v>96.432000000000002</v>
      </c>
      <c r="R16" s="59"/>
      <c r="S16" s="95">
        <f t="shared" ref="S16:S33" si="0">2080*Q16</f>
        <v>200578.56</v>
      </c>
      <c r="T16" s="95"/>
      <c r="U16" s="95">
        <f>IF(N16=0," ",+J16*Q16)+1302.84+6600</f>
        <v>7902.84</v>
      </c>
      <c r="V16" s="95">
        <f t="shared" ref="V16:V34" si="1">SUM(S16:U16)</f>
        <v>208481.4</v>
      </c>
      <c r="W16" s="60"/>
      <c r="X16" s="55">
        <f t="shared" ref="X16:X35" si="2">V16-O16</f>
        <v>-4330.9600000000501</v>
      </c>
      <c r="Y16" s="138"/>
      <c r="Z16" s="138"/>
      <c r="AA16" s="96"/>
    </row>
    <row r="17" spans="1:29">
      <c r="A17" s="24">
        <f t="shared" ref="A17:A70" si="3">A16+1</f>
        <v>3</v>
      </c>
      <c r="C17" s="24">
        <v>1</v>
      </c>
      <c r="D17" s="24" t="s">
        <v>166</v>
      </c>
      <c r="E17" s="93">
        <v>16</v>
      </c>
      <c r="H17" s="90">
        <v>2080</v>
      </c>
      <c r="I17" s="90"/>
      <c r="J17" s="90">
        <v>40</v>
      </c>
      <c r="K17" s="91"/>
      <c r="L17" s="92">
        <f>62689.61-68.21-1600</f>
        <v>61021.4</v>
      </c>
      <c r="M17" s="92"/>
      <c r="N17" s="92">
        <f>68.21+1600</f>
        <v>1668.21</v>
      </c>
      <c r="O17" s="92">
        <f t="shared" ref="O17:O34" si="4">SUM(L17:N17)</f>
        <v>62689.61</v>
      </c>
      <c r="P17" s="59"/>
      <c r="Q17" s="94">
        <v>29.946000000000002</v>
      </c>
      <c r="R17" s="59"/>
      <c r="S17" s="95">
        <f t="shared" si="0"/>
        <v>62287.68</v>
      </c>
      <c r="T17" s="95"/>
      <c r="U17" s="95">
        <f t="shared" ref="U17" si="5">IF(N17=0," ",+J17*Q17)</f>
        <v>1197.8400000000001</v>
      </c>
      <c r="V17" s="95">
        <f t="shared" si="1"/>
        <v>63485.520000000004</v>
      </c>
      <c r="W17" s="60"/>
      <c r="X17" s="55">
        <f t="shared" si="2"/>
        <v>795.91000000000349</v>
      </c>
      <c r="Z17" s="138"/>
      <c r="AA17" s="96"/>
    </row>
    <row r="18" spans="1:29">
      <c r="A18" s="24">
        <f t="shared" si="3"/>
        <v>4</v>
      </c>
      <c r="C18" s="24">
        <v>1</v>
      </c>
      <c r="D18" s="24" t="s">
        <v>167</v>
      </c>
      <c r="E18" s="93">
        <v>130</v>
      </c>
      <c r="F18" s="24" t="s">
        <v>593</v>
      </c>
      <c r="H18" s="90">
        <v>440</v>
      </c>
      <c r="I18" s="90"/>
      <c r="J18" s="90">
        <v>0</v>
      </c>
      <c r="K18" s="91"/>
      <c r="L18" s="92">
        <v>20096.54</v>
      </c>
      <c r="M18" s="92"/>
      <c r="N18" s="92">
        <v>927.07</v>
      </c>
      <c r="O18" s="92">
        <f t="shared" si="4"/>
        <v>21023.61</v>
      </c>
      <c r="P18" s="59"/>
      <c r="Q18" s="94">
        <v>45.673999999999999</v>
      </c>
      <c r="R18" s="59"/>
      <c r="S18" s="95">
        <f t="shared" si="0"/>
        <v>95001.919999999998</v>
      </c>
      <c r="T18" s="95"/>
      <c r="U18" s="95">
        <f>IF(N18=0," ",+J18*Q18)+3339+1302.84</f>
        <v>4641.84</v>
      </c>
      <c r="V18" s="95">
        <f t="shared" si="1"/>
        <v>99643.76</v>
      </c>
      <c r="W18" s="60"/>
      <c r="X18" s="55">
        <f t="shared" si="2"/>
        <v>78620.149999999994</v>
      </c>
      <c r="Z18" s="138"/>
      <c r="AA18" s="96"/>
    </row>
    <row r="19" spans="1:29">
      <c r="A19" s="24">
        <f t="shared" si="3"/>
        <v>5</v>
      </c>
      <c r="C19" s="24">
        <v>1</v>
      </c>
      <c r="D19" s="24" t="s">
        <v>169</v>
      </c>
      <c r="E19" s="93">
        <v>136</v>
      </c>
      <c r="F19" s="24" t="s">
        <v>594</v>
      </c>
      <c r="H19" s="90">
        <f>1841.5+78.5+88+8+64</f>
        <v>2080</v>
      </c>
      <c r="I19" s="90"/>
      <c r="J19" s="90">
        <f>78.5+13</f>
        <v>91.5</v>
      </c>
      <c r="K19" s="91"/>
      <c r="L19" s="92">
        <v>52336.52</v>
      </c>
      <c r="M19" s="92"/>
      <c r="N19" s="92">
        <v>8753.16</v>
      </c>
      <c r="O19" s="92">
        <f t="shared" si="4"/>
        <v>61089.679999999993</v>
      </c>
      <c r="P19" s="59"/>
      <c r="Q19" s="94">
        <v>28.521000000000001</v>
      </c>
      <c r="R19" s="59"/>
      <c r="S19" s="95">
        <f t="shared" si="0"/>
        <v>59323.68</v>
      </c>
      <c r="T19" s="95"/>
      <c r="U19" s="95">
        <f>IF(N19=0," ",+J19*Q19)+5000+1302.84</f>
        <v>8912.5115000000005</v>
      </c>
      <c r="V19" s="95">
        <f t="shared" si="1"/>
        <v>68236.191500000001</v>
      </c>
      <c r="W19" s="60"/>
      <c r="X19" s="55">
        <f t="shared" si="2"/>
        <v>7146.5115000000078</v>
      </c>
      <c r="Z19" s="138"/>
      <c r="AA19" s="96"/>
    </row>
    <row r="20" spans="1:29">
      <c r="A20" s="24">
        <f t="shared" si="3"/>
        <v>6</v>
      </c>
      <c r="C20" s="24">
        <v>1</v>
      </c>
      <c r="D20" s="24" t="s">
        <v>170</v>
      </c>
      <c r="E20" s="93">
        <v>149</v>
      </c>
      <c r="F20" s="24" t="s">
        <v>595</v>
      </c>
      <c r="H20" s="221">
        <v>2080</v>
      </c>
      <c r="I20" s="221"/>
      <c r="J20" s="221">
        <f>48+40</f>
        <v>88</v>
      </c>
      <c r="K20" s="221"/>
      <c r="L20" s="322">
        <v>119910.97</v>
      </c>
      <c r="M20" s="322"/>
      <c r="N20" s="322">
        <v>17875.400000000001</v>
      </c>
      <c r="O20" s="322">
        <f t="shared" si="4"/>
        <v>137786.37</v>
      </c>
      <c r="P20" s="13"/>
      <c r="Q20" s="94">
        <v>60.927</v>
      </c>
      <c r="R20" s="13"/>
      <c r="S20" s="95">
        <f t="shared" si="0"/>
        <v>126728.16</v>
      </c>
      <c r="T20" s="95"/>
      <c r="U20" s="95">
        <f>IF(N20=0," ",+J20*Q20)+5000+1302.84+650</f>
        <v>12314.416000000001</v>
      </c>
      <c r="V20" s="95">
        <f t="shared" si="1"/>
        <v>139042.576</v>
      </c>
      <c r="W20" s="323"/>
      <c r="X20" s="324">
        <f t="shared" si="2"/>
        <v>1256.2060000000056</v>
      </c>
      <c r="Z20" s="138" t="s">
        <v>596</v>
      </c>
      <c r="AA20" s="96"/>
    </row>
    <row r="21" spans="1:29">
      <c r="A21" s="24">
        <f t="shared" si="3"/>
        <v>7</v>
      </c>
      <c r="C21" s="24">
        <v>1</v>
      </c>
      <c r="D21" s="24" t="s">
        <v>172</v>
      </c>
      <c r="E21" s="93">
        <v>157</v>
      </c>
      <c r="F21" s="24" t="s">
        <v>594</v>
      </c>
      <c r="H21" s="90">
        <f>1768+240+48+64-40</f>
        <v>2080</v>
      </c>
      <c r="I21" s="90"/>
      <c r="J21" s="90">
        <f>40+15.75</f>
        <v>55.75</v>
      </c>
      <c r="K21" s="91"/>
      <c r="L21" s="92">
        <v>60162.84</v>
      </c>
      <c r="M21" s="92"/>
      <c r="N21" s="92">
        <f>1195.16+5000.06+452.5+1302.84</f>
        <v>7950.56</v>
      </c>
      <c r="O21" s="92">
        <f t="shared" si="4"/>
        <v>68113.399999999994</v>
      </c>
      <c r="P21" s="59"/>
      <c r="Q21" s="94">
        <v>29.879000000000001</v>
      </c>
      <c r="R21" s="59"/>
      <c r="S21" s="95">
        <f t="shared" si="0"/>
        <v>62148.32</v>
      </c>
      <c r="T21" s="95"/>
      <c r="U21" s="95">
        <f>IF(N21=0," ",+J21*Q21)+5000+1302.84</f>
        <v>7968.5942500000001</v>
      </c>
      <c r="V21" s="95">
        <f t="shared" si="1"/>
        <v>70116.914250000002</v>
      </c>
      <c r="W21" s="60"/>
      <c r="X21" s="55">
        <f t="shared" si="2"/>
        <v>2003.5142500000075</v>
      </c>
      <c r="Z21" s="138"/>
      <c r="AA21" s="96"/>
    </row>
    <row r="22" spans="1:29">
      <c r="A22" s="24">
        <f t="shared" si="3"/>
        <v>8</v>
      </c>
      <c r="C22" s="24">
        <v>1</v>
      </c>
      <c r="D22" s="24" t="s">
        <v>173</v>
      </c>
      <c r="E22" s="93">
        <v>159</v>
      </c>
      <c r="F22" s="24" t="s">
        <v>595</v>
      </c>
      <c r="H22" s="90">
        <v>2080</v>
      </c>
      <c r="I22" s="90"/>
      <c r="J22" s="90">
        <f>32</f>
        <v>32</v>
      </c>
      <c r="K22" s="91"/>
      <c r="L22" s="92">
        <f>81216.43+7501.47+5607.54+3045.16</f>
        <v>97370.599999999991</v>
      </c>
      <c r="M22" s="92"/>
      <c r="N22" s="92">
        <f>5000.06+1485.44+5000+1302.84+650</f>
        <v>13438.34</v>
      </c>
      <c r="O22" s="92">
        <f t="shared" si="4"/>
        <v>110808.93999999999</v>
      </c>
      <c r="P22" s="59"/>
      <c r="Q22" s="94">
        <v>48.741</v>
      </c>
      <c r="R22" s="59"/>
      <c r="S22" s="95">
        <f t="shared" si="0"/>
        <v>101381.28</v>
      </c>
      <c r="T22" s="95"/>
      <c r="U22" s="95">
        <f>IF(N22=0," ",+J22*Q22)+5000+1302.84+650</f>
        <v>8512.5519999999997</v>
      </c>
      <c r="V22" s="95">
        <f t="shared" si="1"/>
        <v>109893.83199999999</v>
      </c>
      <c r="W22" s="60"/>
      <c r="X22" s="55">
        <f t="shared" si="2"/>
        <v>-915.1079999999929</v>
      </c>
      <c r="Z22" s="138" t="s">
        <v>597</v>
      </c>
      <c r="AA22" s="96"/>
    </row>
    <row r="23" spans="1:29">
      <c r="A23" s="24">
        <f t="shared" si="3"/>
        <v>9</v>
      </c>
      <c r="C23" s="24">
        <v>1</v>
      </c>
      <c r="D23" s="24" t="s">
        <v>174</v>
      </c>
      <c r="E23" s="93"/>
      <c r="F23" s="24" t="s">
        <v>595</v>
      </c>
      <c r="H23" s="221">
        <v>2080</v>
      </c>
      <c r="I23" s="221"/>
      <c r="J23" s="221">
        <f>42</f>
        <v>42</v>
      </c>
      <c r="K23" s="221"/>
      <c r="L23" s="322">
        <f>78168.91+7062.71+4763.14+2984.63</f>
        <v>92979.390000000014</v>
      </c>
      <c r="M23" s="322"/>
      <c r="N23" s="322">
        <f>5000.06+1916.89+1302.84+650</f>
        <v>8869.7900000000009</v>
      </c>
      <c r="O23" s="322">
        <f t="shared" si="4"/>
        <v>101849.18000000002</v>
      </c>
      <c r="P23" s="13"/>
      <c r="Q23" s="94">
        <v>49.064999999999998</v>
      </c>
      <c r="R23" s="13"/>
      <c r="S23" s="95">
        <f t="shared" si="0"/>
        <v>102055.2</v>
      </c>
      <c r="T23" s="95"/>
      <c r="U23" s="95">
        <f>IF(N23=0," ",+J23*Q23)+5000+1302.84+650</f>
        <v>9013.57</v>
      </c>
      <c r="V23" s="95">
        <f t="shared" si="1"/>
        <v>111068.76999999999</v>
      </c>
      <c r="W23" s="323"/>
      <c r="X23" s="324">
        <f t="shared" si="2"/>
        <v>9219.5899999999674</v>
      </c>
      <c r="Z23" s="138"/>
      <c r="AA23" s="96"/>
    </row>
    <row r="24" spans="1:29">
      <c r="A24" s="24">
        <f>A23+1</f>
        <v>10</v>
      </c>
      <c r="C24" s="24">
        <v>1</v>
      </c>
      <c r="D24" s="24" t="s">
        <v>175</v>
      </c>
      <c r="E24" s="93">
        <v>163</v>
      </c>
      <c r="F24" s="24" t="s">
        <v>594</v>
      </c>
      <c r="H24" s="90">
        <v>2080</v>
      </c>
      <c r="I24" s="90"/>
      <c r="J24" s="90">
        <f>13+40</f>
        <v>53</v>
      </c>
      <c r="K24" s="91"/>
      <c r="L24" s="92">
        <v>87134.3</v>
      </c>
      <c r="M24" s="92"/>
      <c r="N24" s="92">
        <f>1744.68+5000.06+540.02+2400+1302.84+40</f>
        <v>11027.6</v>
      </c>
      <c r="O24" s="92">
        <f t="shared" si="4"/>
        <v>98161.900000000009</v>
      </c>
      <c r="P24" s="59"/>
      <c r="Q24" s="94">
        <v>43.616999999999997</v>
      </c>
      <c r="R24" s="59"/>
      <c r="S24" s="95">
        <f t="shared" si="0"/>
        <v>90723.36</v>
      </c>
      <c r="T24" s="95"/>
      <c r="U24" s="95">
        <f>IF(N24=0," ",+J24*Q24)+5000+1302.84</f>
        <v>8614.5409999999993</v>
      </c>
      <c r="V24" s="95">
        <f t="shared" si="1"/>
        <v>99337.900999999998</v>
      </c>
      <c r="W24" s="60"/>
      <c r="X24" s="55">
        <f t="shared" si="2"/>
        <v>1176.0009999999893</v>
      </c>
      <c r="Z24" s="138"/>
      <c r="AA24" s="96"/>
    </row>
    <row r="25" spans="1:29">
      <c r="A25" s="24">
        <f t="shared" si="3"/>
        <v>11</v>
      </c>
      <c r="C25" s="24">
        <v>1</v>
      </c>
      <c r="D25" s="24" t="s">
        <v>176</v>
      </c>
      <c r="E25" s="93">
        <v>171</v>
      </c>
      <c r="F25" s="24" t="s">
        <v>82</v>
      </c>
      <c r="H25" s="90">
        <v>2080</v>
      </c>
      <c r="I25" s="90"/>
      <c r="J25" s="90">
        <v>0</v>
      </c>
      <c r="K25" s="91"/>
      <c r="L25" s="92">
        <f>107841.89-1302.84</f>
        <v>106539.05</v>
      </c>
      <c r="M25" s="92"/>
      <c r="N25" s="92">
        <v>1302.8399999999999</v>
      </c>
      <c r="O25" s="92">
        <f t="shared" si="4"/>
        <v>107841.89</v>
      </c>
      <c r="P25" s="59"/>
      <c r="Q25" s="94">
        <v>52.884999999999998</v>
      </c>
      <c r="R25" s="59"/>
      <c r="S25" s="95">
        <f t="shared" si="0"/>
        <v>110000.8</v>
      </c>
      <c r="T25" s="95"/>
      <c r="U25" s="95">
        <f>IF(N25=0," ",+J25*Q25)+1302.84</f>
        <v>1302.8399999999999</v>
      </c>
      <c r="V25" s="95">
        <f t="shared" si="1"/>
        <v>111303.64</v>
      </c>
      <c r="W25" s="60"/>
      <c r="X25" s="55">
        <f t="shared" si="2"/>
        <v>3461.75</v>
      </c>
      <c r="Z25" s="138"/>
      <c r="AA25" s="96"/>
    </row>
    <row r="26" spans="1:29">
      <c r="A26" s="24">
        <f t="shared" si="3"/>
        <v>12</v>
      </c>
      <c r="C26" s="24">
        <v>1</v>
      </c>
      <c r="D26" s="24" t="s">
        <v>177</v>
      </c>
      <c r="E26" s="93"/>
      <c r="F26" s="24" t="s">
        <v>598</v>
      </c>
      <c r="H26" s="90">
        <v>2080</v>
      </c>
      <c r="I26" s="90"/>
      <c r="J26" s="90">
        <v>0</v>
      </c>
      <c r="K26" s="91"/>
      <c r="L26" s="92">
        <v>79670.59</v>
      </c>
      <c r="M26" s="92"/>
      <c r="N26" s="92">
        <f>1302.84+250</f>
        <v>1552.84</v>
      </c>
      <c r="O26" s="92">
        <f t="shared" si="4"/>
        <v>81223.429999999993</v>
      </c>
      <c r="P26" s="59"/>
      <c r="Q26" s="94">
        <v>40.625999999999998</v>
      </c>
      <c r="R26" s="59"/>
      <c r="S26" s="95">
        <f t="shared" si="0"/>
        <v>84502.080000000002</v>
      </c>
      <c r="T26" s="95"/>
      <c r="U26" s="95">
        <f>IF(N26=0," ",+J26*Q26)+1302.84+250</f>
        <v>1552.84</v>
      </c>
      <c r="V26" s="95">
        <f t="shared" si="1"/>
        <v>86054.92</v>
      </c>
      <c r="W26" s="60"/>
      <c r="X26" s="55">
        <f t="shared" si="2"/>
        <v>4831.4900000000052</v>
      </c>
      <c r="Z26" s="138"/>
      <c r="AA26" s="96"/>
    </row>
    <row r="27" spans="1:29">
      <c r="A27" s="24">
        <f>A26+1</f>
        <v>13</v>
      </c>
      <c r="C27" s="24">
        <v>1</v>
      </c>
      <c r="D27" s="24" t="s">
        <v>178</v>
      </c>
      <c r="E27" s="93"/>
      <c r="F27" s="24" t="s">
        <v>595</v>
      </c>
      <c r="H27" s="90">
        <v>2080</v>
      </c>
      <c r="I27" s="90"/>
      <c r="J27" s="90">
        <f>5</f>
        <v>5</v>
      </c>
      <c r="K27" s="91"/>
      <c r="L27" s="92">
        <v>74905.320000000007</v>
      </c>
      <c r="M27" s="92"/>
      <c r="N27" s="92">
        <f>5000.06+178.85+1302.84+650</f>
        <v>7131.7500000000009</v>
      </c>
      <c r="O27" s="92">
        <f t="shared" si="4"/>
        <v>82037.070000000007</v>
      </c>
      <c r="P27" s="59"/>
      <c r="Q27" s="94">
        <v>37.201000000000001</v>
      </c>
      <c r="R27" s="59"/>
      <c r="S27" s="95">
        <f t="shared" si="0"/>
        <v>77378.080000000002</v>
      </c>
      <c r="T27" s="95"/>
      <c r="U27" s="95">
        <f>IF(N27=0," ",+J27*Q27)+1302.84+650+5000</f>
        <v>7138.8449999999993</v>
      </c>
      <c r="V27" s="95">
        <f t="shared" si="1"/>
        <v>84516.925000000003</v>
      </c>
      <c r="W27" s="60"/>
      <c r="X27" s="55">
        <f t="shared" si="2"/>
        <v>2479.8549999999959</v>
      </c>
      <c r="Z27" s="138"/>
      <c r="AA27" s="96"/>
    </row>
    <row r="28" spans="1:29">
      <c r="A28" s="24">
        <f t="shared" si="3"/>
        <v>14</v>
      </c>
      <c r="C28" s="24">
        <v>1</v>
      </c>
      <c r="D28" s="24" t="s">
        <v>361</v>
      </c>
      <c r="E28" s="93"/>
      <c r="F28" s="24" t="s">
        <v>595</v>
      </c>
      <c r="H28" s="90">
        <f>1208+80+16+56</f>
        <v>1360</v>
      </c>
      <c r="I28" s="90"/>
      <c r="J28" s="90">
        <v>10</v>
      </c>
      <c r="K28" s="91"/>
      <c r="L28" s="92">
        <v>72668.08</v>
      </c>
      <c r="M28" s="92"/>
      <c r="N28" s="92">
        <f>3076.96+543.66+840.49+258.15</f>
        <v>4719.2599999999993</v>
      </c>
      <c r="O28" s="92">
        <f t="shared" si="4"/>
        <v>77387.34</v>
      </c>
      <c r="P28" s="59"/>
      <c r="Q28" s="94">
        <v>55</v>
      </c>
      <c r="R28" s="59"/>
      <c r="S28" s="95">
        <f t="shared" si="0"/>
        <v>114400</v>
      </c>
      <c r="T28" s="95"/>
      <c r="U28" s="95">
        <f>IF(N28=0," ",+J28*Q28)+1302.84+650+5000</f>
        <v>7502.84</v>
      </c>
      <c r="V28" s="95">
        <f t="shared" si="1"/>
        <v>121902.84</v>
      </c>
      <c r="W28" s="60"/>
      <c r="X28" s="55">
        <f t="shared" si="2"/>
        <v>44515.5</v>
      </c>
      <c r="Z28" s="138"/>
      <c r="AA28" s="96"/>
    </row>
    <row r="29" spans="1:29">
      <c r="A29" s="24">
        <f t="shared" si="3"/>
        <v>15</v>
      </c>
      <c r="C29" s="24">
        <v>1</v>
      </c>
      <c r="D29" s="24" t="s">
        <v>599</v>
      </c>
      <c r="E29" s="93"/>
      <c r="F29" s="24" t="s">
        <v>82</v>
      </c>
      <c r="H29" s="90">
        <v>2080</v>
      </c>
      <c r="I29" s="90"/>
      <c r="J29" s="90">
        <v>0</v>
      </c>
      <c r="K29" s="91"/>
      <c r="L29" s="92">
        <f>137983.52-1302.84</f>
        <v>136680.68</v>
      </c>
      <c r="M29" s="92"/>
      <c r="N29" s="92">
        <v>1302.8399999999999</v>
      </c>
      <c r="O29" s="92">
        <f t="shared" si="4"/>
        <v>137983.51999999999</v>
      </c>
      <c r="P29" s="59"/>
      <c r="Q29" s="94">
        <v>67.881</v>
      </c>
      <c r="R29" s="59"/>
      <c r="S29" s="95">
        <f t="shared" si="0"/>
        <v>141192.48000000001</v>
      </c>
      <c r="T29" s="95"/>
      <c r="U29" s="95">
        <f>IF(N29=0," ",+J29*Q29)+1302.84</f>
        <v>1302.8399999999999</v>
      </c>
      <c r="V29" s="95">
        <f t="shared" si="1"/>
        <v>142495.32</v>
      </c>
      <c r="W29" s="60"/>
      <c r="X29" s="55">
        <f t="shared" si="2"/>
        <v>4511.8000000000175</v>
      </c>
      <c r="Z29" s="138"/>
      <c r="AA29" s="96"/>
    </row>
    <row r="30" spans="1:29">
      <c r="A30" s="24">
        <f>A29+1</f>
        <v>16</v>
      </c>
      <c r="C30" s="24">
        <v>1</v>
      </c>
      <c r="D30" s="24" t="s">
        <v>600</v>
      </c>
      <c r="E30" s="93"/>
      <c r="F30" s="24" t="s">
        <v>595</v>
      </c>
      <c r="H30" s="90">
        <v>2080</v>
      </c>
      <c r="I30" s="90"/>
      <c r="J30" s="90">
        <f>4</f>
        <v>4</v>
      </c>
      <c r="K30" s="91"/>
      <c r="L30" s="92">
        <v>77774.28</v>
      </c>
      <c r="M30" s="92"/>
      <c r="N30" s="92">
        <f>5000.06+148.56+1302.84+650</f>
        <v>7101.4600000000009</v>
      </c>
      <c r="O30" s="92">
        <f t="shared" si="4"/>
        <v>84875.74</v>
      </c>
      <c r="P30" s="59"/>
      <c r="Q30" s="94">
        <v>38.625999999999998</v>
      </c>
      <c r="R30" s="59"/>
      <c r="S30" s="95">
        <f t="shared" si="0"/>
        <v>80342.080000000002</v>
      </c>
      <c r="T30" s="95"/>
      <c r="U30" s="95">
        <f>IF(N30=0,0,+J30*Q30)+1302.84+650+5000</f>
        <v>7107.3440000000001</v>
      </c>
      <c r="V30" s="95">
        <f t="shared" si="1"/>
        <v>87449.423999999999</v>
      </c>
      <c r="W30" s="60"/>
      <c r="X30" s="55">
        <f t="shared" si="2"/>
        <v>2573.6839999999938</v>
      </c>
      <c r="Z30" s="138"/>
      <c r="AA30" s="96"/>
    </row>
    <row r="31" spans="1:29">
      <c r="A31" s="24">
        <f t="shared" si="3"/>
        <v>17</v>
      </c>
      <c r="C31" s="24">
        <v>1</v>
      </c>
      <c r="D31" s="24" t="s">
        <v>601</v>
      </c>
      <c r="E31" s="93"/>
      <c r="F31" s="24" t="s">
        <v>180</v>
      </c>
      <c r="H31" s="90">
        <v>1444</v>
      </c>
      <c r="I31" s="90"/>
      <c r="J31" s="90">
        <v>0</v>
      </c>
      <c r="K31" s="91"/>
      <c r="L31" s="92">
        <v>37086.1</v>
      </c>
      <c r="M31" s="92"/>
      <c r="N31" s="92">
        <v>911.99</v>
      </c>
      <c r="O31" s="92">
        <f t="shared" si="4"/>
        <v>37998.089999999997</v>
      </c>
      <c r="P31" s="59"/>
      <c r="Q31" s="94">
        <v>0</v>
      </c>
      <c r="R31" s="59"/>
      <c r="S31" s="95">
        <f t="shared" si="0"/>
        <v>0</v>
      </c>
      <c r="T31" s="95"/>
      <c r="U31" s="95">
        <v>0</v>
      </c>
      <c r="V31" s="95">
        <f t="shared" si="1"/>
        <v>0</v>
      </c>
      <c r="W31" s="60"/>
      <c r="X31" s="55">
        <f t="shared" si="2"/>
        <v>-37998.089999999997</v>
      </c>
      <c r="Z31" s="138"/>
      <c r="AA31" s="96"/>
    </row>
    <row r="32" spans="1:29">
      <c r="A32" s="24">
        <f t="shared" si="3"/>
        <v>18</v>
      </c>
      <c r="C32" s="24">
        <v>1</v>
      </c>
      <c r="D32" s="24" t="s">
        <v>602</v>
      </c>
      <c r="E32" s="93"/>
      <c r="F32" s="24" t="s">
        <v>180</v>
      </c>
      <c r="H32" s="90">
        <v>847.35</v>
      </c>
      <c r="I32" s="90"/>
      <c r="J32" s="90">
        <v>0</v>
      </c>
      <c r="K32" s="91"/>
      <c r="L32" s="92">
        <v>34749.82</v>
      </c>
      <c r="M32" s="92"/>
      <c r="N32" s="92">
        <f>365.52+216.67</f>
        <v>582.18999999999994</v>
      </c>
      <c r="O32" s="92">
        <f t="shared" si="4"/>
        <v>35332.01</v>
      </c>
      <c r="P32" s="59"/>
      <c r="Q32" s="94">
        <v>0</v>
      </c>
      <c r="R32" s="59"/>
      <c r="S32" s="95">
        <f t="shared" si="0"/>
        <v>0</v>
      </c>
      <c r="T32" s="95"/>
      <c r="U32" s="95">
        <v>0</v>
      </c>
      <c r="V32" s="95">
        <f t="shared" si="1"/>
        <v>0</v>
      </c>
      <c r="W32" s="60"/>
      <c r="X32" s="55">
        <f t="shared" si="2"/>
        <v>-35332.01</v>
      </c>
      <c r="Z32" s="138"/>
      <c r="AA32" s="96"/>
      <c r="AC32" s="96"/>
    </row>
    <row r="33" spans="1:29">
      <c r="A33" s="24">
        <f>A32+1</f>
        <v>19</v>
      </c>
      <c r="C33" s="24">
        <v>1</v>
      </c>
      <c r="D33" s="24" t="s">
        <v>603</v>
      </c>
      <c r="E33" s="93"/>
      <c r="F33" s="24" t="s">
        <v>598</v>
      </c>
      <c r="H33" s="90">
        <v>2080</v>
      </c>
      <c r="I33" s="90"/>
      <c r="J33" s="90">
        <v>0</v>
      </c>
      <c r="K33" s="91"/>
      <c r="L33" s="92">
        <v>65154.400000000001</v>
      </c>
      <c r="M33" s="92"/>
      <c r="N33" s="92">
        <f>3228.88+1302.84+250</f>
        <v>4781.72</v>
      </c>
      <c r="O33" s="92">
        <f t="shared" si="4"/>
        <v>69936.12</v>
      </c>
      <c r="P33" s="59"/>
      <c r="Q33" s="94">
        <v>32.965000000000003</v>
      </c>
      <c r="R33" s="59"/>
      <c r="S33" s="95">
        <f t="shared" si="0"/>
        <v>68567.200000000012</v>
      </c>
      <c r="T33" s="95"/>
      <c r="U33" s="95">
        <f>IF(N33=0,0,+J33*Q33)+1302.84+250</f>
        <v>1552.84</v>
      </c>
      <c r="V33" s="95">
        <f t="shared" si="1"/>
        <v>70120.040000000008</v>
      </c>
      <c r="W33" s="60"/>
      <c r="X33" s="55">
        <f t="shared" si="2"/>
        <v>183.92000000001281</v>
      </c>
      <c r="Z33" s="138" t="s">
        <v>604</v>
      </c>
      <c r="AA33" s="96"/>
      <c r="AC33" s="96"/>
    </row>
    <row r="34" spans="1:29">
      <c r="A34" s="24">
        <f t="shared" si="3"/>
        <v>20</v>
      </c>
      <c r="C34" s="24">
        <v>1</v>
      </c>
      <c r="D34" s="24" t="s">
        <v>605</v>
      </c>
      <c r="E34" s="93"/>
      <c r="F34" s="24" t="s">
        <v>180</v>
      </c>
      <c r="H34" s="90">
        <v>414.02</v>
      </c>
      <c r="I34" s="90"/>
      <c r="J34" s="90">
        <v>0</v>
      </c>
      <c r="K34" s="91"/>
      <c r="L34" s="92">
        <v>21696.37</v>
      </c>
      <c r="M34" s="92"/>
      <c r="N34" s="92">
        <f>975.29+238.41+217.14+108.34</f>
        <v>1539.18</v>
      </c>
      <c r="O34" s="92">
        <f t="shared" si="4"/>
        <v>23235.55</v>
      </c>
      <c r="P34" s="59"/>
      <c r="Q34" s="94">
        <v>0</v>
      </c>
      <c r="R34" s="59"/>
      <c r="S34" s="95">
        <f>2080*Q34</f>
        <v>0</v>
      </c>
      <c r="T34" s="95"/>
      <c r="U34" s="95">
        <f>IF(N34=0," ",+J34*Q34)</f>
        <v>0</v>
      </c>
      <c r="V34" s="95">
        <f t="shared" si="1"/>
        <v>0</v>
      </c>
      <c r="W34" s="60"/>
      <c r="X34" s="55">
        <f t="shared" si="2"/>
        <v>-23235.55</v>
      </c>
      <c r="Z34" s="138"/>
      <c r="AA34" s="96"/>
    </row>
    <row r="35" spans="1:29">
      <c r="A35" s="24">
        <f t="shared" si="3"/>
        <v>21</v>
      </c>
      <c r="C35" s="26">
        <f>SUM(C16:C34)</f>
        <v>19</v>
      </c>
      <c r="D35" s="97" t="s">
        <v>93</v>
      </c>
      <c r="E35" s="98" t="s">
        <v>93</v>
      </c>
      <c r="F35" s="97"/>
      <c r="H35" s="99">
        <f>SUM(H16:H34)</f>
        <v>33625.369999999995</v>
      </c>
      <c r="I35" s="99">
        <f>SUM(I16:I34)</f>
        <v>0</v>
      </c>
      <c r="J35" s="99">
        <f>SUM(J16:J34)</f>
        <v>421.25</v>
      </c>
      <c r="K35" s="91"/>
      <c r="L35" s="100">
        <f>SUM(L16:L34)</f>
        <v>1490066.5300000003</v>
      </c>
      <c r="M35" s="100">
        <f>SUM(M16:M34)</f>
        <v>0</v>
      </c>
      <c r="N35" s="100">
        <f>SUM(N16:N34)</f>
        <v>122119.27999999998</v>
      </c>
      <c r="O35" s="100">
        <f>SUM(O16:O34)</f>
        <v>1612185.8100000003</v>
      </c>
      <c r="P35" s="59"/>
      <c r="Q35" s="98"/>
      <c r="R35" s="59"/>
      <c r="S35" s="101">
        <f>SUM(S16:S34)</f>
        <v>1576610.8800000001</v>
      </c>
      <c r="T35" s="101">
        <f>SUM(T16:T34)</f>
        <v>0</v>
      </c>
      <c r="U35" s="101">
        <f>SUM(U16:U34)</f>
        <v>96539.093749999985</v>
      </c>
      <c r="V35" s="101">
        <f>SUM(V16:V34)</f>
        <v>1673149.9737500004</v>
      </c>
      <c r="W35" s="60"/>
      <c r="X35" s="102">
        <f t="shared" si="2"/>
        <v>60964.163750000065</v>
      </c>
      <c r="Y35" s="114"/>
      <c r="Z35" s="138"/>
      <c r="AA35" s="96"/>
    </row>
    <row r="36" spans="1:29">
      <c r="A36" s="24">
        <f t="shared" si="3"/>
        <v>22</v>
      </c>
      <c r="H36" s="90"/>
      <c r="I36" s="90"/>
      <c r="J36" s="90"/>
      <c r="K36" s="91"/>
      <c r="L36" s="92"/>
      <c r="M36" s="92"/>
      <c r="N36" s="92"/>
      <c r="O36" s="92"/>
      <c r="P36" s="59"/>
      <c r="Q36" s="94" t="s">
        <v>606</v>
      </c>
      <c r="R36" s="59"/>
      <c r="S36" s="94"/>
      <c r="T36" s="94"/>
      <c r="U36" s="94"/>
      <c r="V36" s="94"/>
      <c r="W36" s="60"/>
      <c r="AA36" s="96"/>
    </row>
    <row r="37" spans="1:29">
      <c r="A37" s="24">
        <f t="shared" si="3"/>
        <v>23</v>
      </c>
      <c r="C37" s="88" t="s">
        <v>181</v>
      </c>
      <c r="F37" s="89"/>
      <c r="G37" s="89"/>
      <c r="H37" s="103"/>
      <c r="I37" s="103"/>
      <c r="J37" s="103"/>
      <c r="K37" s="104"/>
      <c r="L37" s="105"/>
      <c r="M37" s="105"/>
      <c r="N37" s="105"/>
      <c r="O37" s="105"/>
      <c r="P37" s="59"/>
      <c r="Q37" s="106"/>
      <c r="R37" s="59"/>
      <c r="S37" s="106"/>
      <c r="T37" s="106"/>
      <c r="U37" s="106"/>
      <c r="V37" s="106"/>
      <c r="W37" s="60"/>
      <c r="AA37" s="96"/>
    </row>
    <row r="38" spans="1:29">
      <c r="A38" s="24">
        <f t="shared" si="3"/>
        <v>24</v>
      </c>
      <c r="C38" s="24">
        <v>1</v>
      </c>
      <c r="D38" s="24" t="s">
        <v>182</v>
      </c>
      <c r="E38" s="93">
        <v>5</v>
      </c>
      <c r="F38" s="24" t="s">
        <v>607</v>
      </c>
      <c r="H38" s="107">
        <v>2051</v>
      </c>
      <c r="I38" s="107">
        <v>359.75</v>
      </c>
      <c r="J38" s="107">
        <v>44</v>
      </c>
      <c r="K38" s="91"/>
      <c r="L38" s="92">
        <v>88656.54</v>
      </c>
      <c r="M38" s="92">
        <f>20837.08+2836.39+1020+250</f>
        <v>24943.47</v>
      </c>
      <c r="N38" s="92">
        <v>3514.98</v>
      </c>
      <c r="O38" s="92">
        <f t="shared" ref="O38:O59" si="6">SUM(L38:N38)</f>
        <v>117114.98999999999</v>
      </c>
      <c r="P38" s="59"/>
      <c r="Q38" s="94">
        <v>43.89</v>
      </c>
      <c r="R38" s="59"/>
      <c r="S38" s="95">
        <f t="shared" ref="S38:S68" si="7">2080*Q38</f>
        <v>91291.199999999997</v>
      </c>
      <c r="T38" s="95">
        <f t="shared" ref="T38:T59" si="8">(+I38*Q38)*1.5</f>
        <v>23684.141250000001</v>
      </c>
      <c r="U38" s="95">
        <f>IF(N38=0," ",+J38*Q38*2)+1020+250</f>
        <v>5132.32</v>
      </c>
      <c r="V38" s="95">
        <f t="shared" ref="V38:V59" si="9">SUM(S38:U38)</f>
        <v>120107.66125</v>
      </c>
      <c r="W38" s="60"/>
      <c r="X38" s="55">
        <f t="shared" ref="X38:X59" si="10">V38-O38</f>
        <v>2992.671250000014</v>
      </c>
      <c r="AA38" s="96"/>
    </row>
    <row r="39" spans="1:29">
      <c r="A39" s="24">
        <f t="shared" si="3"/>
        <v>25</v>
      </c>
      <c r="C39" s="24">
        <v>1</v>
      </c>
      <c r="D39" s="24" t="s">
        <v>183</v>
      </c>
      <c r="E39" s="93">
        <v>8</v>
      </c>
      <c r="H39" s="107">
        <v>440</v>
      </c>
      <c r="I39" s="107"/>
      <c r="J39" s="107">
        <v>0</v>
      </c>
      <c r="K39" s="91"/>
      <c r="L39" s="92">
        <v>9460</v>
      </c>
      <c r="M39" s="92"/>
      <c r="N39" s="92">
        <v>0</v>
      </c>
      <c r="O39" s="92">
        <f t="shared" si="6"/>
        <v>9460</v>
      </c>
      <c r="P39" s="59"/>
      <c r="Q39" s="94">
        <v>23</v>
      </c>
      <c r="R39" s="59"/>
      <c r="S39" s="95">
        <f t="shared" si="7"/>
        <v>47840</v>
      </c>
      <c r="T39" s="95">
        <f t="shared" si="8"/>
        <v>0</v>
      </c>
      <c r="U39" s="95" t="str">
        <f t="shared" ref="U39:U58" si="11">IF(N39=0," ",+J39*Q39)</f>
        <v xml:space="preserve"> </v>
      </c>
      <c r="V39" s="95">
        <f t="shared" si="9"/>
        <v>47840</v>
      </c>
      <c r="W39" s="60"/>
      <c r="X39" s="55">
        <f t="shared" si="10"/>
        <v>38380</v>
      </c>
      <c r="AA39" s="96"/>
    </row>
    <row r="40" spans="1:29">
      <c r="A40" s="24">
        <f t="shared" si="3"/>
        <v>26</v>
      </c>
      <c r="C40" s="24">
        <v>1</v>
      </c>
      <c r="D40" s="24" t="s">
        <v>184</v>
      </c>
      <c r="E40" s="93">
        <v>10</v>
      </c>
      <c r="H40" s="107">
        <v>0</v>
      </c>
      <c r="I40" s="107">
        <v>0</v>
      </c>
      <c r="J40" s="107">
        <v>0</v>
      </c>
      <c r="K40" s="91"/>
      <c r="L40" s="92">
        <v>0</v>
      </c>
      <c r="M40" s="92">
        <v>0</v>
      </c>
      <c r="N40" s="92">
        <v>0</v>
      </c>
      <c r="O40" s="92">
        <f t="shared" si="6"/>
        <v>0</v>
      </c>
      <c r="P40" s="59"/>
      <c r="Q40" s="94">
        <v>23</v>
      </c>
      <c r="R40" s="59"/>
      <c r="S40" s="95">
        <f t="shared" si="7"/>
        <v>47840</v>
      </c>
      <c r="T40" s="95">
        <f t="shared" si="8"/>
        <v>0</v>
      </c>
      <c r="U40" s="95">
        <v>3339</v>
      </c>
      <c r="V40" s="95">
        <f t="shared" si="9"/>
        <v>51179</v>
      </c>
      <c r="W40" s="60"/>
      <c r="X40" s="55">
        <f t="shared" si="10"/>
        <v>51179</v>
      </c>
      <c r="AA40" s="96"/>
    </row>
    <row r="41" spans="1:29">
      <c r="A41" s="24">
        <f t="shared" si="3"/>
        <v>27</v>
      </c>
      <c r="C41" s="24">
        <v>1</v>
      </c>
      <c r="D41" s="24" t="s">
        <v>185</v>
      </c>
      <c r="E41" s="93">
        <v>11</v>
      </c>
      <c r="F41" s="24" t="s">
        <v>607</v>
      </c>
      <c r="H41" s="107">
        <v>2040</v>
      </c>
      <c r="I41" s="107">
        <f>275.25+41</f>
        <v>316.25</v>
      </c>
      <c r="J41" s="107">
        <v>60.5</v>
      </c>
      <c r="K41" s="91"/>
      <c r="L41" s="92">
        <v>85586.4</v>
      </c>
      <c r="M41" s="92">
        <f>17294.55+2577.37</f>
        <v>19871.919999999998</v>
      </c>
      <c r="N41" s="92">
        <f>5064.34+1020+200.8+1000</f>
        <v>7285.14</v>
      </c>
      <c r="O41" s="92">
        <f t="shared" si="6"/>
        <v>112743.45999999999</v>
      </c>
      <c r="P41" s="59"/>
      <c r="Q41" s="94">
        <v>42.89</v>
      </c>
      <c r="R41" s="59"/>
      <c r="S41" s="95">
        <f t="shared" si="7"/>
        <v>89211.199999999997</v>
      </c>
      <c r="T41" s="95">
        <f t="shared" si="8"/>
        <v>20345.943749999999</v>
      </c>
      <c r="U41" s="95">
        <f>IF(N41=0," ",+J41*Q41*2)+1020+250</f>
        <v>6459.6900000000005</v>
      </c>
      <c r="V41" s="95">
        <f t="shared" si="9"/>
        <v>116016.83374999999</v>
      </c>
      <c r="W41" s="60"/>
      <c r="X41" s="55">
        <f t="shared" si="10"/>
        <v>3273.3737499999988</v>
      </c>
      <c r="AA41" s="96"/>
    </row>
    <row r="42" spans="1:29">
      <c r="A42" s="24">
        <f t="shared" si="3"/>
        <v>28</v>
      </c>
      <c r="C42" s="24">
        <v>1</v>
      </c>
      <c r="D42" s="24" t="s">
        <v>186</v>
      </c>
      <c r="E42" s="93">
        <v>13</v>
      </c>
      <c r="F42" s="24" t="s">
        <v>607</v>
      </c>
      <c r="H42" s="107">
        <v>2051</v>
      </c>
      <c r="I42" s="107">
        <f>281+43</f>
        <v>324</v>
      </c>
      <c r="J42" s="107">
        <v>63.25</v>
      </c>
      <c r="K42" s="91"/>
      <c r="L42" s="92">
        <f>72265.59+1209.27</f>
        <v>73474.86</v>
      </c>
      <c r="M42" s="92">
        <f>14699.09+2257.55</f>
        <v>16956.64</v>
      </c>
      <c r="N42" s="92">
        <f>4372.44+1020+250</f>
        <v>5642.44</v>
      </c>
      <c r="O42" s="92">
        <f t="shared" si="6"/>
        <v>96073.94</v>
      </c>
      <c r="P42" s="59"/>
      <c r="Q42" s="94">
        <v>39.369999999999997</v>
      </c>
      <c r="R42" s="59"/>
      <c r="S42" s="95">
        <f t="shared" si="7"/>
        <v>81889.599999999991</v>
      </c>
      <c r="T42" s="95">
        <f t="shared" si="8"/>
        <v>19133.82</v>
      </c>
      <c r="U42" s="95">
        <f>IF(N42=0," ",+J42*Q42*2)+1020+250</f>
        <v>6250.3049999999994</v>
      </c>
      <c r="V42" s="95">
        <f t="shared" si="9"/>
        <v>107273.72499999998</v>
      </c>
      <c r="W42" s="60"/>
      <c r="X42" s="55">
        <f t="shared" si="10"/>
        <v>11199.784999999974</v>
      </c>
      <c r="Z42" s="55" t="s">
        <v>608</v>
      </c>
      <c r="AA42" s="96"/>
    </row>
    <row r="43" spans="1:29">
      <c r="A43" s="24">
        <f t="shared" si="3"/>
        <v>29</v>
      </c>
      <c r="C43" s="24">
        <v>1</v>
      </c>
      <c r="D43" s="24" t="s">
        <v>187</v>
      </c>
      <c r="E43" s="93">
        <v>15</v>
      </c>
      <c r="H43" s="107">
        <v>1052.75</v>
      </c>
      <c r="I43" s="107">
        <v>0</v>
      </c>
      <c r="J43" s="107">
        <v>0</v>
      </c>
      <c r="K43" s="91"/>
      <c r="L43" s="92">
        <v>21095</v>
      </c>
      <c r="M43" s="92">
        <v>0</v>
      </c>
      <c r="N43" s="92">
        <v>0</v>
      </c>
      <c r="O43" s="92">
        <f t="shared" si="6"/>
        <v>21095</v>
      </c>
      <c r="P43" s="59"/>
      <c r="Q43" s="94">
        <v>20</v>
      </c>
      <c r="R43" s="59"/>
      <c r="S43" s="95">
        <f>(24*50)*Q43</f>
        <v>24000</v>
      </c>
      <c r="T43" s="95">
        <f t="shared" si="8"/>
        <v>0</v>
      </c>
      <c r="U43" s="95" t="str">
        <f t="shared" si="11"/>
        <v xml:space="preserve"> </v>
      </c>
      <c r="V43" s="95">
        <f t="shared" si="9"/>
        <v>24000</v>
      </c>
      <c r="W43" s="60"/>
      <c r="X43" s="55">
        <f t="shared" si="10"/>
        <v>2905</v>
      </c>
      <c r="AA43" s="96"/>
    </row>
    <row r="44" spans="1:29">
      <c r="A44" s="24">
        <f t="shared" si="3"/>
        <v>30</v>
      </c>
      <c r="C44" s="24">
        <v>1</v>
      </c>
      <c r="D44" s="24" t="s">
        <v>188</v>
      </c>
      <c r="E44" s="93">
        <v>22</v>
      </c>
      <c r="F44" s="24" t="s">
        <v>607</v>
      </c>
      <c r="H44" s="107">
        <v>2064</v>
      </c>
      <c r="I44" s="107">
        <f>307.5+46</f>
        <v>353.5</v>
      </c>
      <c r="J44" s="107">
        <v>47</v>
      </c>
      <c r="K44" s="91"/>
      <c r="L44" s="92">
        <v>87550.16</v>
      </c>
      <c r="M44" s="92">
        <f>19701.69+2911.88</f>
        <v>22613.57</v>
      </c>
      <c r="N44" s="92">
        <f>3956.71+1020+250</f>
        <v>5226.71</v>
      </c>
      <c r="O44" s="92">
        <f t="shared" si="6"/>
        <v>115390.44000000002</v>
      </c>
      <c r="P44" s="59"/>
      <c r="Q44" s="94">
        <v>42.89</v>
      </c>
      <c r="R44" s="59"/>
      <c r="S44" s="95">
        <f t="shared" si="7"/>
        <v>89211.199999999997</v>
      </c>
      <c r="T44" s="95">
        <f t="shared" si="8"/>
        <v>22742.422500000001</v>
      </c>
      <c r="U44" s="95">
        <f>IF(N44=0," ",+J44*Q44*2)+1020+250</f>
        <v>5301.66</v>
      </c>
      <c r="V44" s="95">
        <f t="shared" si="9"/>
        <v>117255.2825</v>
      </c>
      <c r="W44" s="60"/>
      <c r="X44" s="55">
        <f t="shared" si="10"/>
        <v>1864.8424999999843</v>
      </c>
      <c r="AA44" s="96"/>
    </row>
    <row r="45" spans="1:29">
      <c r="A45" s="24">
        <f t="shared" si="3"/>
        <v>31</v>
      </c>
      <c r="C45" s="24">
        <v>1</v>
      </c>
      <c r="D45" s="24" t="s">
        <v>189</v>
      </c>
      <c r="E45" s="93">
        <v>24</v>
      </c>
      <c r="F45" s="24" t="s">
        <v>609</v>
      </c>
      <c r="H45" s="107">
        <v>2080</v>
      </c>
      <c r="I45" s="107">
        <v>10</v>
      </c>
      <c r="J45" s="107">
        <v>0</v>
      </c>
      <c r="K45" s="91"/>
      <c r="L45" s="92">
        <v>51807.68</v>
      </c>
      <c r="M45" s="92">
        <v>371.1</v>
      </c>
      <c r="N45" s="92">
        <f>5000.06+3228.88+1302.84+168.54+650</f>
        <v>10350.320000000002</v>
      </c>
      <c r="O45" s="92">
        <f t="shared" si="6"/>
        <v>62529.1</v>
      </c>
      <c r="P45" s="59"/>
      <c r="Q45" s="94">
        <v>25.73</v>
      </c>
      <c r="R45" s="59"/>
      <c r="S45" s="95">
        <f t="shared" si="7"/>
        <v>53518.400000000001</v>
      </c>
      <c r="T45" s="95">
        <f t="shared" si="8"/>
        <v>385.95000000000005</v>
      </c>
      <c r="U45" s="95">
        <f>IF(N45=0," ",+J45*Q45)+3339+5000+1302.84+650</f>
        <v>10291.84</v>
      </c>
      <c r="V45" s="95">
        <f t="shared" si="9"/>
        <v>64196.19</v>
      </c>
      <c r="W45" s="60"/>
      <c r="X45" s="55">
        <f t="shared" si="10"/>
        <v>1667.0900000000038</v>
      </c>
      <c r="AA45" s="96"/>
    </row>
    <row r="46" spans="1:29">
      <c r="A46" s="24">
        <f t="shared" si="3"/>
        <v>32</v>
      </c>
      <c r="C46" s="24">
        <v>1</v>
      </c>
      <c r="D46" s="24" t="s">
        <v>190</v>
      </c>
      <c r="E46" s="93">
        <v>25</v>
      </c>
      <c r="H46" s="107">
        <v>2080</v>
      </c>
      <c r="I46" s="107">
        <v>8</v>
      </c>
      <c r="J46" s="107">
        <v>0</v>
      </c>
      <c r="K46" s="91"/>
      <c r="L46" s="92">
        <v>45504.31</v>
      </c>
      <c r="M46" s="92">
        <v>263.37</v>
      </c>
      <c r="N46" s="92">
        <f>52.65</f>
        <v>52.65</v>
      </c>
      <c r="O46" s="92">
        <f t="shared" si="6"/>
        <v>45820.33</v>
      </c>
      <c r="P46" s="59"/>
      <c r="Q46" s="94">
        <v>22.599</v>
      </c>
      <c r="R46" s="59"/>
      <c r="S46" s="95">
        <f t="shared" si="7"/>
        <v>47005.919999999998</v>
      </c>
      <c r="T46" s="95">
        <f t="shared" si="8"/>
        <v>271.18799999999999</v>
      </c>
      <c r="U46" s="95">
        <f t="shared" si="11"/>
        <v>0</v>
      </c>
      <c r="V46" s="95">
        <f t="shared" si="9"/>
        <v>47277.108</v>
      </c>
      <c r="W46" s="60"/>
      <c r="X46" s="55">
        <f t="shared" si="10"/>
        <v>1456.7779999999984</v>
      </c>
      <c r="AA46" s="96"/>
    </row>
    <row r="47" spans="1:29">
      <c r="A47" s="24">
        <f t="shared" si="3"/>
        <v>33</v>
      </c>
      <c r="C47" s="24">
        <v>1</v>
      </c>
      <c r="D47" s="24" t="s">
        <v>191</v>
      </c>
      <c r="E47" s="93">
        <v>31</v>
      </c>
      <c r="F47" s="24" t="s">
        <v>564</v>
      </c>
      <c r="H47" s="107">
        <v>2080</v>
      </c>
      <c r="I47" s="107">
        <v>68.25</v>
      </c>
      <c r="J47" s="107">
        <v>0</v>
      </c>
      <c r="K47" s="91"/>
      <c r="L47" s="92">
        <v>47385</v>
      </c>
      <c r="M47" s="92">
        <v>2362.2600000000002</v>
      </c>
      <c r="N47" s="92">
        <v>3228.88</v>
      </c>
      <c r="O47" s="92">
        <f t="shared" si="6"/>
        <v>52976.14</v>
      </c>
      <c r="P47" s="59"/>
      <c r="Q47" s="94">
        <v>26.5</v>
      </c>
      <c r="R47" s="59"/>
      <c r="S47" s="95">
        <f t="shared" si="7"/>
        <v>55120</v>
      </c>
      <c r="T47" s="95">
        <f t="shared" si="8"/>
        <v>2712.9375</v>
      </c>
      <c r="U47" s="95">
        <f>IF(N47=0," ",+J47*Q47)+3339</f>
        <v>3339</v>
      </c>
      <c r="V47" s="95">
        <f t="shared" si="9"/>
        <v>61171.9375</v>
      </c>
      <c r="W47" s="60"/>
      <c r="X47" s="55">
        <f t="shared" si="10"/>
        <v>8195.7975000000006</v>
      </c>
      <c r="Z47" s="55" t="s">
        <v>610</v>
      </c>
      <c r="AA47" s="96"/>
    </row>
    <row r="48" spans="1:29">
      <c r="A48" s="24">
        <f t="shared" si="3"/>
        <v>34</v>
      </c>
      <c r="C48" s="24">
        <v>1</v>
      </c>
      <c r="D48" s="24" t="s">
        <v>192</v>
      </c>
      <c r="E48" s="93">
        <v>38</v>
      </c>
      <c r="F48" s="24" t="s">
        <v>607</v>
      </c>
      <c r="H48" s="107">
        <v>2064</v>
      </c>
      <c r="I48" s="107">
        <v>390.25</v>
      </c>
      <c r="J48" s="107">
        <v>102.25</v>
      </c>
      <c r="K48" s="91"/>
      <c r="L48" s="92">
        <v>76333.919999999998</v>
      </c>
      <c r="M48" s="92">
        <f>19023.99+3079.23</f>
        <v>22103.22</v>
      </c>
      <c r="N48" s="92">
        <f>7452.72+1020+250</f>
        <v>8722.7200000000012</v>
      </c>
      <c r="O48" s="92">
        <f t="shared" si="6"/>
        <v>107159.86</v>
      </c>
      <c r="P48" s="59"/>
      <c r="Q48" s="94">
        <v>39.369999999999997</v>
      </c>
      <c r="R48" s="59"/>
      <c r="S48" s="95">
        <f t="shared" si="7"/>
        <v>81889.599999999991</v>
      </c>
      <c r="T48" s="95">
        <f t="shared" si="8"/>
        <v>23046.213749999995</v>
      </c>
      <c r="U48" s="95">
        <f>IF(N48=0," ",+J48*Q48*2)+1020+250</f>
        <v>9321.1649999999991</v>
      </c>
      <c r="V48" s="95">
        <f t="shared" si="9"/>
        <v>114256.97874999998</v>
      </c>
      <c r="W48" s="60"/>
      <c r="X48" s="55">
        <f t="shared" si="10"/>
        <v>7097.1187499999796</v>
      </c>
      <c r="Z48" s="55" t="s">
        <v>608</v>
      </c>
      <c r="AA48" s="96"/>
    </row>
    <row r="49" spans="1:27">
      <c r="A49" s="24">
        <f t="shared" si="3"/>
        <v>35</v>
      </c>
      <c r="C49" s="24">
        <v>1</v>
      </c>
      <c r="D49" s="24" t="s">
        <v>193</v>
      </c>
      <c r="E49" s="93">
        <v>40</v>
      </c>
      <c r="F49" s="24" t="s">
        <v>607</v>
      </c>
      <c r="H49" s="107">
        <v>2080</v>
      </c>
      <c r="I49" s="107">
        <v>310.75</v>
      </c>
      <c r="J49" s="107">
        <v>64.5</v>
      </c>
      <c r="K49" s="91"/>
      <c r="L49" s="92">
        <v>87485</v>
      </c>
      <c r="M49" s="92">
        <f>16327.71+3278.76</f>
        <v>19606.47</v>
      </c>
      <c r="N49" s="92">
        <f>5440.51+1020+250</f>
        <v>6710.51</v>
      </c>
      <c r="O49" s="92">
        <f t="shared" si="6"/>
        <v>113801.98</v>
      </c>
      <c r="P49" s="59"/>
      <c r="Q49" s="94">
        <v>42.89</v>
      </c>
      <c r="R49" s="59"/>
      <c r="S49" s="95">
        <f t="shared" si="7"/>
        <v>89211.199999999997</v>
      </c>
      <c r="T49" s="95">
        <f t="shared" si="8"/>
        <v>19992.10125</v>
      </c>
      <c r="U49" s="95">
        <f>IF(N49=0," ",+J49*Q49*2)+1020+250</f>
        <v>6802.81</v>
      </c>
      <c r="V49" s="95">
        <f t="shared" si="9"/>
        <v>116006.11124999999</v>
      </c>
      <c r="W49" s="60"/>
      <c r="X49" s="55">
        <f t="shared" si="10"/>
        <v>2204.1312499999913</v>
      </c>
      <c r="AA49" s="96"/>
    </row>
    <row r="50" spans="1:27">
      <c r="A50" s="24">
        <f t="shared" si="3"/>
        <v>36</v>
      </c>
      <c r="C50" s="24">
        <v>1</v>
      </c>
      <c r="D50" s="24" t="s">
        <v>194</v>
      </c>
      <c r="E50" s="93">
        <v>41</v>
      </c>
      <c r="H50" s="107">
        <v>2080</v>
      </c>
      <c r="I50" s="107">
        <v>7.5</v>
      </c>
      <c r="J50" s="107">
        <v>0</v>
      </c>
      <c r="K50" s="91"/>
      <c r="L50" s="92">
        <v>58357.35</v>
      </c>
      <c r="M50" s="92">
        <v>314.8</v>
      </c>
      <c r="N50" s="92">
        <v>109.4</v>
      </c>
      <c r="O50" s="92">
        <f t="shared" si="6"/>
        <v>58781.55</v>
      </c>
      <c r="P50" s="59"/>
      <c r="Q50" s="94">
        <v>29.806000000000001</v>
      </c>
      <c r="R50" s="59"/>
      <c r="S50" s="95">
        <f t="shared" si="7"/>
        <v>61996.480000000003</v>
      </c>
      <c r="T50" s="95">
        <f t="shared" si="8"/>
        <v>335.3175</v>
      </c>
      <c r="U50" s="95">
        <f t="shared" si="11"/>
        <v>0</v>
      </c>
      <c r="V50" s="95">
        <f t="shared" si="9"/>
        <v>62331.797500000001</v>
      </c>
      <c r="W50" s="60"/>
      <c r="X50" s="55">
        <f t="shared" si="10"/>
        <v>3550.2474999999977</v>
      </c>
      <c r="AA50" s="96"/>
    </row>
    <row r="51" spans="1:27">
      <c r="A51" s="24">
        <f t="shared" si="3"/>
        <v>37</v>
      </c>
      <c r="C51" s="24">
        <v>1</v>
      </c>
      <c r="D51" s="24" t="s">
        <v>195</v>
      </c>
      <c r="E51" s="93">
        <v>43</v>
      </c>
      <c r="F51" s="24" t="s">
        <v>607</v>
      </c>
      <c r="H51" s="107">
        <v>2035.5</v>
      </c>
      <c r="I51" s="107">
        <v>479.25</v>
      </c>
      <c r="J51" s="107">
        <v>83.25</v>
      </c>
      <c r="K51" s="91"/>
      <c r="L51" s="92">
        <v>87402.07</v>
      </c>
      <c r="M51" s="92">
        <f>27081.31+3867.32</f>
        <v>30948.63</v>
      </c>
      <c r="N51" s="92">
        <f>7181.36+1020+250</f>
        <v>8451.36</v>
      </c>
      <c r="O51" s="92">
        <f t="shared" si="6"/>
        <v>126802.06000000001</v>
      </c>
      <c r="P51" s="59"/>
      <c r="Q51" s="94">
        <v>43.89</v>
      </c>
      <c r="R51" s="59"/>
      <c r="S51" s="95">
        <f t="shared" si="7"/>
        <v>91291.199999999997</v>
      </c>
      <c r="T51" s="95">
        <f t="shared" si="8"/>
        <v>31551.423750000002</v>
      </c>
      <c r="U51" s="95">
        <f t="shared" ref="U51:U56" si="12">IF(N51=0," ",+J51*Q51*2)+1020+250</f>
        <v>8577.6850000000013</v>
      </c>
      <c r="V51" s="95">
        <f t="shared" si="9"/>
        <v>131420.30875</v>
      </c>
      <c r="W51" s="60"/>
      <c r="X51" s="55">
        <f t="shared" si="10"/>
        <v>4618.2487499999843</v>
      </c>
      <c r="AA51" s="96"/>
    </row>
    <row r="52" spans="1:27">
      <c r="A52" s="24">
        <f t="shared" si="3"/>
        <v>38</v>
      </c>
      <c r="C52" s="24">
        <v>1</v>
      </c>
      <c r="D52" s="24" t="s">
        <v>196</v>
      </c>
      <c r="E52" s="93">
        <v>50</v>
      </c>
      <c r="F52" s="24" t="s">
        <v>607</v>
      </c>
      <c r="H52" s="107">
        <v>1806</v>
      </c>
      <c r="I52" s="107">
        <v>257</v>
      </c>
      <c r="J52" s="107">
        <v>60</v>
      </c>
      <c r="K52" s="91"/>
      <c r="L52" s="92">
        <v>80890.14</v>
      </c>
      <c r="M52" s="92">
        <f>14630.01+2617.29</f>
        <v>17247.3</v>
      </c>
      <c r="N52" s="92">
        <f>5368.8+1020+250</f>
        <v>6638.8</v>
      </c>
      <c r="O52" s="92">
        <f t="shared" si="6"/>
        <v>104776.24</v>
      </c>
      <c r="P52" s="59"/>
      <c r="Q52" s="94">
        <v>45.89</v>
      </c>
      <c r="R52" s="59"/>
      <c r="S52" s="95">
        <f t="shared" si="7"/>
        <v>95451.199999999997</v>
      </c>
      <c r="T52" s="95">
        <f t="shared" si="8"/>
        <v>17690.595000000001</v>
      </c>
      <c r="U52" s="95">
        <f t="shared" si="12"/>
        <v>6776.8</v>
      </c>
      <c r="V52" s="95">
        <f t="shared" si="9"/>
        <v>119918.595</v>
      </c>
      <c r="W52" s="60"/>
      <c r="X52" s="55">
        <f t="shared" si="10"/>
        <v>15142.354999999996</v>
      </c>
      <c r="Z52" s="55" t="s">
        <v>611</v>
      </c>
      <c r="AA52" s="96"/>
    </row>
    <row r="53" spans="1:27">
      <c r="A53" s="24">
        <f t="shared" si="3"/>
        <v>39</v>
      </c>
      <c r="C53" s="24">
        <v>1</v>
      </c>
      <c r="D53" s="24" t="s">
        <v>197</v>
      </c>
      <c r="E53" s="93">
        <v>138</v>
      </c>
      <c r="F53" s="24" t="s">
        <v>607</v>
      </c>
      <c r="H53" s="107">
        <v>2024</v>
      </c>
      <c r="I53" s="107">
        <v>336</v>
      </c>
      <c r="J53" s="107">
        <v>77.25</v>
      </c>
      <c r="K53" s="91"/>
      <c r="L53" s="92">
        <v>68775.37</v>
      </c>
      <c r="M53" s="92">
        <f>14488.88+2653.98</f>
        <v>17142.86</v>
      </c>
      <c r="N53" s="92">
        <f>5285.04+3228.88+1020+1000+100</f>
        <v>10633.92</v>
      </c>
      <c r="O53" s="92">
        <f t="shared" si="6"/>
        <v>96552.15</v>
      </c>
      <c r="P53" s="59"/>
      <c r="Q53" s="94">
        <v>36.81</v>
      </c>
      <c r="R53" s="59"/>
      <c r="S53" s="95">
        <f t="shared" si="7"/>
        <v>76564.800000000003</v>
      </c>
      <c r="T53" s="95">
        <f t="shared" si="8"/>
        <v>18552.239999999998</v>
      </c>
      <c r="U53" s="95">
        <f t="shared" si="12"/>
        <v>6957.1450000000004</v>
      </c>
      <c r="V53" s="95">
        <f t="shared" si="9"/>
        <v>102074.18500000001</v>
      </c>
      <c r="W53" s="60"/>
      <c r="X53" s="55">
        <f t="shared" si="10"/>
        <v>5522.035000000018</v>
      </c>
      <c r="Z53" s="55" t="s">
        <v>612</v>
      </c>
      <c r="AA53" s="96"/>
    </row>
    <row r="54" spans="1:27">
      <c r="A54" s="24">
        <f t="shared" si="3"/>
        <v>40</v>
      </c>
      <c r="C54" s="24">
        <v>1</v>
      </c>
      <c r="D54" s="24" t="s">
        <v>198</v>
      </c>
      <c r="E54" s="93">
        <v>139</v>
      </c>
      <c r="F54" s="24" t="s">
        <v>607</v>
      </c>
      <c r="H54" s="107">
        <v>2080</v>
      </c>
      <c r="I54" s="107">
        <v>279</v>
      </c>
      <c r="J54" s="107">
        <v>76</v>
      </c>
      <c r="K54" s="91"/>
      <c r="L54" s="92">
        <f>486.75+69852.17</f>
        <v>70338.92</v>
      </c>
      <c r="M54" s="92">
        <f>11646.21+2467.96</f>
        <v>14114.169999999998</v>
      </c>
      <c r="N54" s="92">
        <f>5059.07+1020+250</f>
        <v>6329.07</v>
      </c>
      <c r="O54" s="92">
        <f t="shared" si="6"/>
        <v>90782.16</v>
      </c>
      <c r="P54" s="59"/>
      <c r="Q54" s="94">
        <v>36.81</v>
      </c>
      <c r="R54" s="59"/>
      <c r="S54" s="95">
        <f t="shared" si="7"/>
        <v>76564.800000000003</v>
      </c>
      <c r="T54" s="95">
        <f t="shared" si="8"/>
        <v>15404.985000000001</v>
      </c>
      <c r="U54" s="95">
        <f t="shared" si="12"/>
        <v>6865.1200000000008</v>
      </c>
      <c r="V54" s="95">
        <f t="shared" si="9"/>
        <v>98834.904999999999</v>
      </c>
      <c r="W54" s="60"/>
      <c r="X54" s="55">
        <f t="shared" si="10"/>
        <v>8052.7449999999953</v>
      </c>
      <c r="Z54" s="55" t="s">
        <v>613</v>
      </c>
      <c r="AA54" s="96"/>
    </row>
    <row r="55" spans="1:27">
      <c r="A55" s="24">
        <f t="shared" si="3"/>
        <v>41</v>
      </c>
      <c r="C55" s="24">
        <v>1</v>
      </c>
      <c r="D55" s="24" t="s">
        <v>199</v>
      </c>
      <c r="E55" s="93">
        <v>144</v>
      </c>
      <c r="F55" s="24" t="s">
        <v>607</v>
      </c>
      <c r="H55" s="107">
        <v>2080</v>
      </c>
      <c r="I55" s="107">
        <v>286.25</v>
      </c>
      <c r="J55" s="107">
        <v>67.25</v>
      </c>
      <c r="K55" s="91"/>
      <c r="L55" s="92">
        <v>82284.800000000003</v>
      </c>
      <c r="M55" s="92">
        <f>13897.19+3035.51</f>
        <v>16932.7</v>
      </c>
      <c r="N55" s="92">
        <f>5293.39+1020+750+250</f>
        <v>7313.39</v>
      </c>
      <c r="O55" s="92">
        <f t="shared" si="6"/>
        <v>106530.89</v>
      </c>
      <c r="P55" s="59"/>
      <c r="Q55" s="94">
        <v>42.89</v>
      </c>
      <c r="R55" s="59"/>
      <c r="S55" s="95">
        <f t="shared" si="7"/>
        <v>89211.199999999997</v>
      </c>
      <c r="T55" s="95">
        <f t="shared" si="8"/>
        <v>18415.893750000003</v>
      </c>
      <c r="U55" s="95">
        <f t="shared" si="12"/>
        <v>7038.7049999999999</v>
      </c>
      <c r="V55" s="95">
        <f t="shared" si="9"/>
        <v>114665.79875</v>
      </c>
      <c r="W55" s="60"/>
      <c r="X55" s="55">
        <f t="shared" si="10"/>
        <v>8134.9087500000023</v>
      </c>
      <c r="Z55" s="55" t="s">
        <v>614</v>
      </c>
      <c r="AA55" s="96"/>
    </row>
    <row r="56" spans="1:27">
      <c r="A56" s="24">
        <f t="shared" si="3"/>
        <v>42</v>
      </c>
      <c r="C56" s="24">
        <v>1</v>
      </c>
      <c r="D56" s="24" t="s">
        <v>200</v>
      </c>
      <c r="E56" s="93">
        <v>164</v>
      </c>
      <c r="F56" s="24" t="s">
        <v>607</v>
      </c>
      <c r="H56" s="107">
        <v>2080</v>
      </c>
      <c r="I56" s="107">
        <v>171.5</v>
      </c>
      <c r="J56" s="107">
        <v>30.5</v>
      </c>
      <c r="K56" s="91"/>
      <c r="L56" s="92">
        <v>93464</v>
      </c>
      <c r="M56" s="92">
        <f>9596.85+1951.38</f>
        <v>11548.23</v>
      </c>
      <c r="N56" s="92">
        <f>2737.19+1020+250</f>
        <v>4007.19</v>
      </c>
      <c r="O56" s="92">
        <f t="shared" si="6"/>
        <v>109019.42</v>
      </c>
      <c r="P56" s="59"/>
      <c r="Q56" s="94">
        <v>45.89</v>
      </c>
      <c r="R56" s="59"/>
      <c r="S56" s="95">
        <f t="shared" si="7"/>
        <v>95451.199999999997</v>
      </c>
      <c r="T56" s="95">
        <f t="shared" si="8"/>
        <v>11805.202499999999</v>
      </c>
      <c r="U56" s="95">
        <f t="shared" si="12"/>
        <v>4069.29</v>
      </c>
      <c r="V56" s="95">
        <f t="shared" si="9"/>
        <v>111325.69249999999</v>
      </c>
      <c r="W56" s="60"/>
      <c r="X56" s="55">
        <f t="shared" si="10"/>
        <v>2306.2724999999919</v>
      </c>
      <c r="AA56" s="96"/>
    </row>
    <row r="57" spans="1:27">
      <c r="A57" s="24">
        <f t="shared" si="3"/>
        <v>43</v>
      </c>
      <c r="C57" s="24">
        <v>1</v>
      </c>
      <c r="D57" s="24" t="s">
        <v>201</v>
      </c>
      <c r="E57" s="93">
        <v>166</v>
      </c>
      <c r="F57" s="24" t="s">
        <v>615</v>
      </c>
      <c r="H57" s="107">
        <v>2080</v>
      </c>
      <c r="I57" s="107">
        <v>116</v>
      </c>
      <c r="J57" s="107">
        <v>0</v>
      </c>
      <c r="K57" s="91"/>
      <c r="L57" s="92">
        <v>71217.289999999994</v>
      </c>
      <c r="M57" s="92">
        <v>5942.26</v>
      </c>
      <c r="N57" s="92">
        <f>1020+250+3228.88</f>
        <v>4498.88</v>
      </c>
      <c r="O57" s="92">
        <f t="shared" si="6"/>
        <v>81658.429999999993</v>
      </c>
      <c r="P57" s="59"/>
      <c r="Q57" s="94">
        <v>35.020000000000003</v>
      </c>
      <c r="R57" s="59"/>
      <c r="S57" s="95">
        <f t="shared" si="7"/>
        <v>72841.600000000006</v>
      </c>
      <c r="T57" s="95">
        <f t="shared" si="8"/>
        <v>6093.4800000000005</v>
      </c>
      <c r="U57" s="95">
        <f>IF(N57=0," ",+J57*Q57)+1020+250+3339</f>
        <v>4609</v>
      </c>
      <c r="V57" s="95">
        <f t="shared" si="9"/>
        <v>83544.08</v>
      </c>
      <c r="W57" s="60"/>
      <c r="X57" s="55">
        <f t="shared" si="10"/>
        <v>1885.6500000000087</v>
      </c>
      <c r="AA57" s="96"/>
    </row>
    <row r="58" spans="1:27">
      <c r="A58" s="24">
        <f t="shared" si="3"/>
        <v>44</v>
      </c>
      <c r="C58" s="24">
        <v>1</v>
      </c>
      <c r="D58" s="24" t="s">
        <v>202</v>
      </c>
      <c r="E58" s="93">
        <v>169</v>
      </c>
      <c r="H58" s="107">
        <v>1680.19</v>
      </c>
      <c r="I58" s="107">
        <v>0</v>
      </c>
      <c r="J58" s="107">
        <v>0</v>
      </c>
      <c r="K58" s="91"/>
      <c r="L58" s="92">
        <v>37165.81</v>
      </c>
      <c r="M58" s="92">
        <v>0</v>
      </c>
      <c r="N58" s="92">
        <v>0</v>
      </c>
      <c r="O58" s="92">
        <f t="shared" si="6"/>
        <v>37165.81</v>
      </c>
      <c r="P58" s="59"/>
      <c r="Q58" s="94">
        <v>23</v>
      </c>
      <c r="R58" s="59"/>
      <c r="S58" s="95">
        <f>(30*50)*Q58</f>
        <v>34500</v>
      </c>
      <c r="T58" s="95">
        <f t="shared" si="8"/>
        <v>0</v>
      </c>
      <c r="U58" s="95" t="str">
        <f t="shared" si="11"/>
        <v xml:space="preserve"> </v>
      </c>
      <c r="V58" s="95">
        <f t="shared" si="9"/>
        <v>34500</v>
      </c>
      <c r="W58" s="60"/>
      <c r="X58" s="55">
        <f t="shared" si="10"/>
        <v>-2665.8099999999977</v>
      </c>
      <c r="Z58" s="55" t="s">
        <v>616</v>
      </c>
      <c r="AA58" s="96"/>
    </row>
    <row r="59" spans="1:27">
      <c r="A59" s="24">
        <f t="shared" si="3"/>
        <v>45</v>
      </c>
      <c r="C59" s="24">
        <v>1</v>
      </c>
      <c r="D59" s="24" t="s">
        <v>203</v>
      </c>
      <c r="E59" s="93">
        <v>174</v>
      </c>
      <c r="F59" s="24" t="s">
        <v>607</v>
      </c>
      <c r="H59" s="107">
        <v>2051</v>
      </c>
      <c r="I59" s="107">
        <v>558.25</v>
      </c>
      <c r="J59" s="107">
        <v>85</v>
      </c>
      <c r="K59" s="91"/>
      <c r="L59" s="92">
        <v>86764.54</v>
      </c>
      <c r="M59" s="92">
        <f>30344.11+5185.64</f>
        <v>35529.75</v>
      </c>
      <c r="N59" s="92">
        <f>7180.7+1020+250</f>
        <v>8450.7000000000007</v>
      </c>
      <c r="O59" s="92">
        <f t="shared" si="6"/>
        <v>130744.98999999999</v>
      </c>
      <c r="P59" s="59"/>
      <c r="Q59" s="94">
        <v>42.89</v>
      </c>
      <c r="R59" s="59"/>
      <c r="S59" s="95">
        <f t="shared" si="7"/>
        <v>89211.199999999997</v>
      </c>
      <c r="T59" s="95">
        <f t="shared" si="8"/>
        <v>35915.013749999998</v>
      </c>
      <c r="U59" s="95">
        <f>IF(N59=0," ",+J59*Q59*2)+1020+250</f>
        <v>8561.2999999999993</v>
      </c>
      <c r="V59" s="95">
        <f t="shared" si="9"/>
        <v>133687.51374999998</v>
      </c>
      <c r="W59" s="60"/>
      <c r="X59" s="55">
        <f t="shared" si="10"/>
        <v>2942.523749999993</v>
      </c>
      <c r="AA59" s="96"/>
    </row>
    <row r="60" spans="1:27">
      <c r="C60" s="24" t="s">
        <v>489</v>
      </c>
      <c r="E60" s="93"/>
      <c r="H60" s="107"/>
      <c r="I60" s="107"/>
      <c r="J60" s="107"/>
      <c r="K60" s="91"/>
      <c r="L60" s="92"/>
      <c r="M60" s="92"/>
      <c r="N60" s="92"/>
      <c r="O60" s="92"/>
      <c r="P60" s="59"/>
      <c r="Q60" s="94"/>
      <c r="R60" s="59"/>
      <c r="S60" s="95"/>
      <c r="T60" s="95"/>
      <c r="U60" s="95"/>
      <c r="V60" s="95"/>
      <c r="W60" s="60"/>
      <c r="X60" s="55"/>
      <c r="AA60" s="96"/>
    </row>
    <row r="61" spans="1:27" ht="20.25" customHeight="1">
      <c r="C61" s="384" t="s">
        <v>142</v>
      </c>
      <c r="D61" s="384"/>
      <c r="E61" s="384"/>
      <c r="F61" s="384"/>
      <c r="H61" s="384" t="s">
        <v>143</v>
      </c>
      <c r="I61" s="384"/>
      <c r="J61" s="384"/>
      <c r="K61" s="91"/>
      <c r="L61" s="384" t="s">
        <v>144</v>
      </c>
      <c r="M61" s="384"/>
      <c r="N61" s="384"/>
      <c r="O61" s="384"/>
      <c r="P61" s="59"/>
      <c r="Q61" s="385" t="s">
        <v>592</v>
      </c>
      <c r="R61" s="59"/>
      <c r="S61" s="384" t="s">
        <v>146</v>
      </c>
      <c r="T61" s="384"/>
      <c r="U61" s="384"/>
      <c r="V61" s="384"/>
      <c r="W61" s="60"/>
      <c r="X61" s="385" t="s">
        <v>147</v>
      </c>
      <c r="AA61" s="96"/>
    </row>
    <row r="62" spans="1:27" ht="31.5" customHeight="1">
      <c r="A62" s="24" t="s">
        <v>7</v>
      </c>
      <c r="C62" s="24" t="s">
        <v>148</v>
      </c>
      <c r="D62" s="24" t="s">
        <v>149</v>
      </c>
      <c r="E62" s="57" t="s">
        <v>150</v>
      </c>
      <c r="F62" s="24" t="s">
        <v>151</v>
      </c>
      <c r="H62" s="13" t="s">
        <v>152</v>
      </c>
      <c r="I62" s="13" t="s">
        <v>153</v>
      </c>
      <c r="J62" s="13" t="s">
        <v>154</v>
      </c>
      <c r="K62" s="58"/>
      <c r="L62" s="13" t="s">
        <v>152</v>
      </c>
      <c r="M62" s="13" t="s">
        <v>153</v>
      </c>
      <c r="N62" s="13" t="s">
        <v>154</v>
      </c>
      <c r="O62" s="13" t="s">
        <v>53</v>
      </c>
      <c r="P62" s="59"/>
      <c r="Q62" s="385"/>
      <c r="R62" s="59"/>
      <c r="S62" s="13" t="s">
        <v>152</v>
      </c>
      <c r="T62" s="13" t="s">
        <v>153</v>
      </c>
      <c r="U62" s="13" t="s">
        <v>154</v>
      </c>
      <c r="V62" s="13" t="s">
        <v>53</v>
      </c>
      <c r="W62" s="60"/>
      <c r="X62" s="385"/>
      <c r="AA62" s="96"/>
    </row>
    <row r="63" spans="1:27">
      <c r="A63" s="15" t="s">
        <v>11</v>
      </c>
      <c r="C63" s="16">
        <v>1</v>
      </c>
      <c r="D63" s="16">
        <f>C63+1</f>
        <v>2</v>
      </c>
      <c r="E63" s="61" t="s">
        <v>155</v>
      </c>
      <c r="F63" s="16">
        <f>D63+1</f>
        <v>3</v>
      </c>
      <c r="H63" s="16">
        <f>F63+1</f>
        <v>4</v>
      </c>
      <c r="I63" s="16">
        <f>H63+1</f>
        <v>5</v>
      </c>
      <c r="J63" s="16">
        <f>I63+1</f>
        <v>6</v>
      </c>
      <c r="K63" s="58"/>
      <c r="L63" s="16">
        <f>J63+1</f>
        <v>7</v>
      </c>
      <c r="M63" s="16">
        <f>L63+1</f>
        <v>8</v>
      </c>
      <c r="N63" s="16">
        <f>M63+1</f>
        <v>9</v>
      </c>
      <c r="O63" s="16">
        <f>N63+1</f>
        <v>10</v>
      </c>
      <c r="P63" s="59"/>
      <c r="Q63" s="16">
        <f>O63+1</f>
        <v>11</v>
      </c>
      <c r="R63" s="59"/>
      <c r="S63" s="16">
        <f>Q63+1</f>
        <v>12</v>
      </c>
      <c r="T63" s="16">
        <f>S63+1</f>
        <v>13</v>
      </c>
      <c r="U63" s="16">
        <f>T63+1</f>
        <v>14</v>
      </c>
      <c r="V63" s="16">
        <f>U63+1</f>
        <v>15</v>
      </c>
      <c r="W63" s="60"/>
      <c r="X63" s="16">
        <f>V63+1</f>
        <v>16</v>
      </c>
      <c r="AA63" s="96"/>
    </row>
    <row r="64" spans="1:27">
      <c r="A64" s="24">
        <f>A59+1</f>
        <v>46</v>
      </c>
      <c r="C64" s="24">
        <v>1</v>
      </c>
      <c r="D64" s="24" t="s">
        <v>204</v>
      </c>
      <c r="E64" s="93">
        <v>176</v>
      </c>
      <c r="H64" s="90">
        <v>1216</v>
      </c>
      <c r="I64" s="90">
        <v>6</v>
      </c>
      <c r="J64" s="90">
        <v>0</v>
      </c>
      <c r="K64" s="91"/>
      <c r="L64" s="92">
        <v>43776</v>
      </c>
      <c r="M64" s="92">
        <v>324</v>
      </c>
      <c r="N64" s="92">
        <v>650</v>
      </c>
      <c r="O64" s="92">
        <f>SUM(L64:N64)</f>
        <v>44750</v>
      </c>
      <c r="P64" s="59"/>
      <c r="Q64" s="94">
        <v>36</v>
      </c>
      <c r="R64" s="59"/>
      <c r="S64" s="95">
        <f>(24*50)*Q64</f>
        <v>43200</v>
      </c>
      <c r="T64" s="95">
        <f>(+I64*Q64)*1.5</f>
        <v>324</v>
      </c>
      <c r="U64" s="95">
        <f>IF(N64=0,0,+J64*Q64)+650</f>
        <v>650</v>
      </c>
      <c r="V64" s="95">
        <f>SUM(S64:U64)</f>
        <v>44174</v>
      </c>
      <c r="W64" s="60"/>
      <c r="X64" s="55">
        <f>V64-O64</f>
        <v>-576</v>
      </c>
      <c r="Z64" s="138"/>
      <c r="AA64" s="96"/>
    </row>
    <row r="65" spans="1:27">
      <c r="A65" s="24">
        <f t="shared" si="3"/>
        <v>47</v>
      </c>
      <c r="C65" s="24">
        <v>1</v>
      </c>
      <c r="D65" s="24" t="s">
        <v>205</v>
      </c>
      <c r="E65" s="93">
        <v>182</v>
      </c>
      <c r="F65" s="24" t="s">
        <v>81</v>
      </c>
      <c r="H65" s="90">
        <v>2052</v>
      </c>
      <c r="I65" s="90">
        <v>406.5</v>
      </c>
      <c r="J65" s="90">
        <v>61.5</v>
      </c>
      <c r="K65" s="91"/>
      <c r="L65" s="92">
        <v>88491.29</v>
      </c>
      <c r="M65" s="92">
        <f>23125.16+3224.49</f>
        <v>26349.65</v>
      </c>
      <c r="N65" s="92">
        <v>6599.67</v>
      </c>
      <c r="O65" s="92">
        <f>SUM(L65:N65)</f>
        <v>121440.61</v>
      </c>
      <c r="P65" s="59"/>
      <c r="Q65" s="94">
        <v>43.89</v>
      </c>
      <c r="R65" s="59"/>
      <c r="S65" s="95">
        <f t="shared" si="7"/>
        <v>91291.199999999997</v>
      </c>
      <c r="T65" s="95">
        <f>(+I65*Q65)*1.5</f>
        <v>26761.927499999998</v>
      </c>
      <c r="U65" s="95">
        <f>IF(N65=0," ",+J65*Q65*2)+1020+250</f>
        <v>6668.47</v>
      </c>
      <c r="V65" s="95">
        <f>SUM(S65:U65)</f>
        <v>124721.5975</v>
      </c>
      <c r="W65" s="60"/>
      <c r="X65" s="55">
        <f>V65-O65</f>
        <v>3280.9875000000029</v>
      </c>
      <c r="AA65" s="96"/>
    </row>
    <row r="66" spans="1:27">
      <c r="A66" s="24">
        <f>A65+1</f>
        <v>48</v>
      </c>
      <c r="C66" s="24">
        <v>1</v>
      </c>
      <c r="D66" s="24" t="s">
        <v>206</v>
      </c>
      <c r="E66" s="93"/>
      <c r="F66" s="24" t="s">
        <v>81</v>
      </c>
      <c r="H66" s="90">
        <v>2064</v>
      </c>
      <c r="I66" s="90">
        <v>239.25</v>
      </c>
      <c r="J66" s="90">
        <v>67.25</v>
      </c>
      <c r="K66" s="91"/>
      <c r="L66" s="92">
        <v>78688.03</v>
      </c>
      <c r="M66" s="92">
        <f>11552.36+2181.52</f>
        <v>13733.880000000001</v>
      </c>
      <c r="N66" s="92">
        <v>6364.96</v>
      </c>
      <c r="O66" s="92">
        <f t="shared" ref="O66:O68" si="13">SUM(L66:N66)</f>
        <v>98786.87000000001</v>
      </c>
      <c r="P66" s="59"/>
      <c r="Q66" s="94">
        <v>42.89</v>
      </c>
      <c r="R66" s="59"/>
      <c r="S66" s="95">
        <f t="shared" si="7"/>
        <v>89211.199999999997</v>
      </c>
      <c r="T66" s="95">
        <f t="shared" ref="T66:T68" si="14">(+I66*Q66)*1.5</f>
        <v>15392.14875</v>
      </c>
      <c r="U66" s="95">
        <f>IF(N66=0," ",+J66*Q66*2)+1020+250</f>
        <v>7038.7049999999999</v>
      </c>
      <c r="V66" s="95">
        <f t="shared" ref="V66:V68" si="15">SUM(S66:U66)</f>
        <v>111642.05375000001</v>
      </c>
      <c r="W66" s="60"/>
      <c r="X66" s="55">
        <f t="shared" ref="X66:X68" si="16">V66-O66</f>
        <v>12855.183749999997</v>
      </c>
      <c r="Z66" s="55" t="s">
        <v>617</v>
      </c>
      <c r="AA66" s="96"/>
    </row>
    <row r="67" spans="1:27">
      <c r="A67" s="24">
        <f t="shared" si="3"/>
        <v>49</v>
      </c>
      <c r="C67" s="24">
        <v>1</v>
      </c>
      <c r="D67" s="24" t="s">
        <v>207</v>
      </c>
      <c r="E67" s="93"/>
      <c r="F67" s="24" t="s">
        <v>180</v>
      </c>
      <c r="H67" s="221">
        <v>1360</v>
      </c>
      <c r="I67" s="221">
        <v>2.25</v>
      </c>
      <c r="J67" s="221">
        <v>0</v>
      </c>
      <c r="K67" s="221"/>
      <c r="L67" s="322">
        <v>29512.11</v>
      </c>
      <c r="M67" s="322">
        <v>73.89</v>
      </c>
      <c r="N67" s="322">
        <v>0</v>
      </c>
      <c r="O67" s="92">
        <f t="shared" si="13"/>
        <v>29586</v>
      </c>
      <c r="P67" s="13"/>
      <c r="Q67" s="94">
        <v>0</v>
      </c>
      <c r="R67" s="13"/>
      <c r="S67" s="95">
        <f t="shared" si="7"/>
        <v>0</v>
      </c>
      <c r="T67" s="95">
        <f t="shared" si="14"/>
        <v>0</v>
      </c>
      <c r="U67" s="95">
        <f t="shared" ref="U67:U68" si="17">IF(N67=0,0,+J67*Q67)</f>
        <v>0</v>
      </c>
      <c r="V67" s="95">
        <f t="shared" si="15"/>
        <v>0</v>
      </c>
      <c r="W67" s="323"/>
      <c r="X67" s="324">
        <f t="shared" si="16"/>
        <v>-29586</v>
      </c>
      <c r="Z67" s="163"/>
      <c r="AA67" s="96"/>
    </row>
    <row r="68" spans="1:27">
      <c r="A68" s="24">
        <f t="shared" si="3"/>
        <v>50</v>
      </c>
      <c r="C68" s="24">
        <v>1</v>
      </c>
      <c r="D68" s="24" t="s">
        <v>209</v>
      </c>
      <c r="E68" s="93"/>
      <c r="F68" s="24" t="s">
        <v>180</v>
      </c>
      <c r="H68" s="221">
        <v>324.45</v>
      </c>
      <c r="I68" s="221">
        <v>0</v>
      </c>
      <c r="J68" s="221">
        <v>0</v>
      </c>
      <c r="K68" s="221"/>
      <c r="L68" s="322">
        <v>6429</v>
      </c>
      <c r="M68" s="322">
        <v>0</v>
      </c>
      <c r="N68" s="322">
        <v>0</v>
      </c>
      <c r="O68" s="322">
        <f t="shared" si="13"/>
        <v>6429</v>
      </c>
      <c r="P68" s="13"/>
      <c r="Q68" s="94">
        <v>0</v>
      </c>
      <c r="R68" s="13"/>
      <c r="S68" s="95">
        <f t="shared" si="7"/>
        <v>0</v>
      </c>
      <c r="T68" s="95">
        <f t="shared" si="14"/>
        <v>0</v>
      </c>
      <c r="U68" s="95">
        <f t="shared" si="17"/>
        <v>0</v>
      </c>
      <c r="V68" s="95">
        <f t="shared" si="15"/>
        <v>0</v>
      </c>
      <c r="W68" s="323"/>
      <c r="X68" s="324">
        <f t="shared" si="16"/>
        <v>-6429</v>
      </c>
      <c r="AA68" s="96"/>
    </row>
    <row r="69" spans="1:27">
      <c r="A69" s="24">
        <f t="shared" si="3"/>
        <v>51</v>
      </c>
      <c r="C69" s="26">
        <f>SUM(C64:C68,C38:C59)</f>
        <v>27</v>
      </c>
      <c r="D69" s="26" t="s">
        <v>93</v>
      </c>
      <c r="E69" s="49" t="s">
        <v>93</v>
      </c>
      <c r="F69" s="26"/>
      <c r="H69" s="212">
        <f>SUM(H38:H59,H64:H68)</f>
        <v>47095.89</v>
      </c>
      <c r="I69" s="212">
        <f>SUM(I38:I59,I64:I68)</f>
        <v>5285.5</v>
      </c>
      <c r="J69" s="212">
        <f>SUM(J38:J59,J64:J68)</f>
        <v>989.5</v>
      </c>
      <c r="K69" s="115"/>
      <c r="L69" s="213">
        <f>SUM(L38:L59,L64:L68)</f>
        <v>1657895.5900000003</v>
      </c>
      <c r="M69" s="213">
        <f>SUM(M38:M59,M64:M68)</f>
        <v>319294.14</v>
      </c>
      <c r="N69" s="213">
        <f>SUM(N38:N59,N64:N68)</f>
        <v>120781.69</v>
      </c>
      <c r="O69" s="213">
        <f>SUM(O38:O59,O64:O68)</f>
        <v>2097971.42</v>
      </c>
      <c r="P69" s="116"/>
      <c r="Q69" s="213"/>
      <c r="R69" s="116"/>
      <c r="S69" s="213">
        <f>SUM(S38:S59,S64:S68)</f>
        <v>1804814.3999999997</v>
      </c>
      <c r="T69" s="213">
        <f>SUM(T38:T59,T64:T68)</f>
        <v>330556.94550000003</v>
      </c>
      <c r="U69" s="213">
        <f>SUM(U38:U59,U64:U68)</f>
        <v>124050.01000000001</v>
      </c>
      <c r="V69" s="213">
        <f>SUM(V38:V59,V64:V68)</f>
        <v>2259421.3555000001</v>
      </c>
      <c r="W69" s="117"/>
      <c r="X69" s="213">
        <f>SUM(X38:X59,X64:X68)</f>
        <v>161449.93549999988</v>
      </c>
      <c r="AA69" s="96"/>
    </row>
    <row r="70" spans="1:27">
      <c r="A70" s="24">
        <f t="shared" si="3"/>
        <v>52</v>
      </c>
      <c r="D70" s="89"/>
      <c r="E70" s="106"/>
      <c r="F70" s="89"/>
      <c r="H70" s="210"/>
      <c r="I70" s="210"/>
      <c r="J70" s="210"/>
      <c r="K70" s="115"/>
      <c r="L70" s="211"/>
      <c r="M70" s="211"/>
      <c r="N70" s="211"/>
      <c r="O70" s="211"/>
      <c r="P70" s="116"/>
      <c r="Q70" s="211"/>
      <c r="R70" s="116"/>
      <c r="S70" s="211"/>
      <c r="T70" s="211"/>
      <c r="U70" s="211"/>
      <c r="V70" s="211"/>
      <c r="W70" s="117"/>
      <c r="X70" s="211"/>
      <c r="AA70" s="96"/>
    </row>
    <row r="71" spans="1:27" s="118" customFormat="1" ht="15.75" customHeight="1">
      <c r="A71" s="24">
        <f>A70+1</f>
        <v>53</v>
      </c>
      <c r="C71" s="44">
        <f>+C35+C69</f>
        <v>46</v>
      </c>
      <c r="D71" s="44" t="s">
        <v>66</v>
      </c>
      <c r="E71" s="118" t="s">
        <v>66</v>
      </c>
      <c r="F71" s="44"/>
      <c r="G71" s="44"/>
      <c r="H71" s="214">
        <f>+H69+H35</f>
        <v>80721.259999999995</v>
      </c>
      <c r="I71" s="214">
        <f>+I69+I35</f>
        <v>5285.5</v>
      </c>
      <c r="J71" s="214">
        <f>+J69+J35</f>
        <v>1410.75</v>
      </c>
      <c r="K71" s="119"/>
      <c r="L71" s="215">
        <f>+L69+L35</f>
        <v>3147962.1200000006</v>
      </c>
      <c r="M71" s="215">
        <f>+M69+M35</f>
        <v>319294.14</v>
      </c>
      <c r="N71" s="215">
        <f>+N69+N35</f>
        <v>242900.96999999997</v>
      </c>
      <c r="O71" s="215">
        <f>+O69+O35</f>
        <v>3710157.2300000004</v>
      </c>
      <c r="P71" s="120"/>
      <c r="R71" s="59"/>
      <c r="S71" s="215">
        <f>+S69+S35</f>
        <v>3381425.28</v>
      </c>
      <c r="T71" s="215">
        <f>+T69+T35</f>
        <v>330556.94550000003</v>
      </c>
      <c r="U71" s="215">
        <f>+U69+U35</f>
        <v>220589.10375000001</v>
      </c>
      <c r="V71" s="215">
        <f>+V69+V35</f>
        <v>3932571.3292500004</v>
      </c>
      <c r="W71" s="121"/>
      <c r="X71" s="124">
        <f>V71-O71</f>
        <v>222414.09924999997</v>
      </c>
      <c r="Z71" s="55"/>
      <c r="AA71" s="96"/>
    </row>
    <row r="72" spans="1:27" s="118" customFormat="1">
      <c r="A72" s="24">
        <f t="shared" ref="A72:A73" si="18">A71+1</f>
        <v>54</v>
      </c>
      <c r="C72" s="44"/>
      <c r="D72" s="44"/>
      <c r="F72" s="44"/>
      <c r="G72" s="44"/>
      <c r="K72" s="119"/>
      <c r="O72" s="122"/>
      <c r="P72" s="120"/>
      <c r="R72" s="59"/>
      <c r="W72" s="121"/>
      <c r="Z72" s="55"/>
      <c r="AA72" s="96"/>
    </row>
    <row r="73" spans="1:27" s="118" customFormat="1" ht="13.5" customHeight="1" thickBot="1">
      <c r="A73" s="24">
        <f t="shared" si="18"/>
        <v>55</v>
      </c>
      <c r="C73" s="123"/>
      <c r="D73" s="216" t="s">
        <v>481</v>
      </c>
      <c r="E73" s="216" t="s">
        <v>10</v>
      </c>
      <c r="F73" s="123"/>
      <c r="G73" s="123"/>
      <c r="H73" s="123"/>
      <c r="I73" s="123"/>
      <c r="J73" s="123"/>
      <c r="K73" s="123"/>
      <c r="L73" s="123"/>
      <c r="M73" s="123"/>
      <c r="N73" s="123"/>
      <c r="O73" s="123"/>
      <c r="P73" s="123"/>
      <c r="Q73" s="123"/>
      <c r="R73" s="123"/>
      <c r="S73" s="123"/>
      <c r="T73" s="123"/>
      <c r="U73" s="123"/>
      <c r="V73" s="123"/>
      <c r="W73" s="123"/>
      <c r="X73" s="217">
        <f>X71</f>
        <v>222414.09924999997</v>
      </c>
      <c r="Z73" s="55"/>
      <c r="AA73" s="96"/>
    </row>
    <row r="74" spans="1:27" ht="13.8" thickTop="1">
      <c r="A74" s="44"/>
    </row>
    <row r="75" spans="1:27" s="141" customFormat="1" ht="43.5" customHeight="1">
      <c r="D75" s="142" t="s">
        <v>255</v>
      </c>
      <c r="E75" s="142" t="s">
        <v>255</v>
      </c>
      <c r="H75" s="383" t="s">
        <v>618</v>
      </c>
      <c r="I75" s="383"/>
      <c r="J75" s="383"/>
      <c r="K75" s="383"/>
      <c r="L75" s="383"/>
      <c r="M75" s="383"/>
      <c r="N75" s="383"/>
      <c r="O75" s="383"/>
      <c r="P75" s="383"/>
      <c r="Q75" s="383"/>
      <c r="R75" s="383"/>
      <c r="S75" s="383"/>
      <c r="T75" s="383"/>
      <c r="U75" s="383"/>
      <c r="V75" s="383"/>
      <c r="Z75" s="143"/>
    </row>
    <row r="76" spans="1:27">
      <c r="A76" s="44"/>
      <c r="Z76" s="124"/>
    </row>
    <row r="77" spans="1:27" ht="15.75" customHeight="1">
      <c r="A77" s="44"/>
      <c r="B77" s="45"/>
      <c r="C77" s="383" t="s">
        <v>619</v>
      </c>
      <c r="D77" s="383"/>
      <c r="E77" s="383"/>
      <c r="F77" s="383"/>
      <c r="G77" s="383"/>
      <c r="H77" s="383"/>
      <c r="I77" s="383"/>
      <c r="J77" s="383"/>
      <c r="K77" s="383"/>
      <c r="L77" s="383"/>
      <c r="M77" s="383"/>
      <c r="N77" s="383"/>
      <c r="O77" s="383"/>
      <c r="P77" s="383"/>
      <c r="Q77" s="383"/>
      <c r="R77" s="383"/>
      <c r="S77" s="383"/>
      <c r="T77" s="383"/>
      <c r="U77" s="383"/>
      <c r="V77" s="383"/>
      <c r="W77" s="383"/>
      <c r="X77" s="383"/>
      <c r="Z77" s="124"/>
    </row>
    <row r="79" spans="1:27">
      <c r="A79" s="44"/>
      <c r="D79" s="125" t="s">
        <v>256</v>
      </c>
      <c r="E79" s="46" t="s">
        <v>256</v>
      </c>
      <c r="L79" s="47" t="s">
        <v>257</v>
      </c>
      <c r="M79" s="47" t="s">
        <v>135</v>
      </c>
      <c r="N79" s="47"/>
      <c r="O79" s="47" t="s">
        <v>10</v>
      </c>
      <c r="P79" s="126"/>
      <c r="Q79" s="24" t="s">
        <v>620</v>
      </c>
      <c r="S79" s="125" t="s">
        <v>621</v>
      </c>
      <c r="T79" s="24" t="s">
        <v>622</v>
      </c>
      <c r="U79" s="125" t="s">
        <v>53</v>
      </c>
    </row>
    <row r="80" spans="1:27" ht="3.75" customHeight="1">
      <c r="A80" s="44"/>
    </row>
    <row r="81" spans="1:21">
      <c r="A81" s="44">
        <f>A73+1</f>
        <v>56</v>
      </c>
      <c r="C81" s="31"/>
      <c r="D81" s="24" t="s">
        <v>258</v>
      </c>
      <c r="E81" s="24" t="s">
        <v>258</v>
      </c>
      <c r="F81" s="31" t="s">
        <v>136</v>
      </c>
      <c r="H81" s="24"/>
      <c r="L81" s="48">
        <f>+SUM(L104:L110)</f>
        <v>529839.52</v>
      </c>
      <c r="M81" s="51">
        <f>+SUM(M104:M110)</f>
        <v>0.14280783458872442</v>
      </c>
      <c r="O81" s="96">
        <f>$X$73*M81</f>
        <v>31762.475895894135</v>
      </c>
      <c r="S81" s="113">
        <f>O81*0.0765</f>
        <v>2429.8294060359012</v>
      </c>
      <c r="U81" s="113">
        <f>O81+S81</f>
        <v>34192.305301930035</v>
      </c>
    </row>
    <row r="82" spans="1:21">
      <c r="A82" s="24">
        <f t="shared" ref="A82:A86" si="19">A81+1</f>
        <v>57</v>
      </c>
      <c r="C82" s="31"/>
      <c r="D82" s="24" t="s">
        <v>259</v>
      </c>
      <c r="E82" s="24" t="s">
        <v>259</v>
      </c>
      <c r="F82" s="31" t="s">
        <v>137</v>
      </c>
      <c r="H82" s="24"/>
      <c r="L82" s="48">
        <f>+SUM(L111:L118)</f>
        <v>597739.16</v>
      </c>
      <c r="M82" s="51">
        <f>+SUM(M111:M118)</f>
        <v>0.16110884874817019</v>
      </c>
      <c r="O82" s="96">
        <f>$X$73*M82</f>
        <v>35832.87947552876</v>
      </c>
      <c r="S82" s="113">
        <f>O82*0.0765</f>
        <v>2741.2152798779503</v>
      </c>
      <c r="U82" s="113">
        <f t="shared" ref="U82:U85" si="20">O82+S82</f>
        <v>38574.09475540671</v>
      </c>
    </row>
    <row r="83" spans="1:21">
      <c r="A83" s="24">
        <f t="shared" si="19"/>
        <v>58</v>
      </c>
      <c r="C83" s="31"/>
      <c r="D83" s="24" t="s">
        <v>623</v>
      </c>
      <c r="E83" s="24" t="s">
        <v>260</v>
      </c>
      <c r="F83" s="31" t="s">
        <v>138</v>
      </c>
      <c r="H83" s="24"/>
      <c r="L83" s="48">
        <f>+SUM(L119:L121)</f>
        <v>181720.83</v>
      </c>
      <c r="M83" s="51">
        <f>+SUM(M119:M121)</f>
        <v>4.8979280050619314E-2</v>
      </c>
      <c r="O83" s="96">
        <f>$X$73*M83</f>
        <v>10893.682454371989</v>
      </c>
      <c r="S83" s="113">
        <f>O83*0.0765</f>
        <v>833.36670775945709</v>
      </c>
      <c r="U83" s="113">
        <f t="shared" si="20"/>
        <v>11727.049162131445</v>
      </c>
    </row>
    <row r="84" spans="1:21">
      <c r="A84" s="24">
        <f t="shared" si="19"/>
        <v>59</v>
      </c>
      <c r="C84" s="31"/>
      <c r="D84" s="24" t="s">
        <v>624</v>
      </c>
      <c r="E84" s="24" t="s">
        <v>261</v>
      </c>
      <c r="F84" s="31" t="s">
        <v>24</v>
      </c>
      <c r="H84" s="24"/>
      <c r="L84" s="48">
        <f>+SUM(L122:L124)</f>
        <v>198748.2</v>
      </c>
      <c r="M84" s="51">
        <f>+SUM(M122:M124)</f>
        <v>5.3568673152970397E-2</v>
      </c>
      <c r="O84" s="96">
        <f>$X$73*M84</f>
        <v>11914.428187335567</v>
      </c>
      <c r="S84" s="113">
        <f>O84*0.0765</f>
        <v>911.45375633117078</v>
      </c>
      <c r="U84" s="113">
        <f t="shared" si="20"/>
        <v>12825.881943666738</v>
      </c>
    </row>
    <row r="85" spans="1:21">
      <c r="A85" s="24">
        <f>A84+1</f>
        <v>60</v>
      </c>
      <c r="C85" s="31"/>
      <c r="D85" s="24" t="s">
        <v>262</v>
      </c>
      <c r="E85" s="24" t="s">
        <v>262</v>
      </c>
      <c r="F85" s="31" t="s">
        <v>139</v>
      </c>
      <c r="H85" s="24"/>
      <c r="L85" s="48">
        <f>+SUM(L125:L128)</f>
        <v>400509.85000000003</v>
      </c>
      <c r="M85" s="51">
        <f>+SUM(M125:M128)</f>
        <v>0.10794956255802671</v>
      </c>
      <c r="O85" s="135">
        <f>$X$73*M85</f>
        <v>24009.504720775032</v>
      </c>
      <c r="S85" s="113">
        <f>O85*0.0765</f>
        <v>1836.7271111392899</v>
      </c>
      <c r="U85" s="113">
        <f t="shared" si="20"/>
        <v>25846.231831914323</v>
      </c>
    </row>
    <row r="86" spans="1:21" ht="15" customHeight="1">
      <c r="A86" s="24">
        <f t="shared" si="19"/>
        <v>61</v>
      </c>
      <c r="C86" s="31"/>
      <c r="D86" s="26"/>
      <c r="E86" s="26"/>
      <c r="F86" s="49"/>
      <c r="G86" s="26"/>
      <c r="H86" s="26"/>
      <c r="I86" s="98" t="s">
        <v>482</v>
      </c>
      <c r="J86" s="49"/>
      <c r="K86" s="386">
        <f>SUM(L81:L85)</f>
        <v>1908557.5600000003</v>
      </c>
      <c r="L86" s="386"/>
      <c r="M86" s="127">
        <f>SUM(M81:M85)</f>
        <v>0.51441419909851094</v>
      </c>
      <c r="O86" s="325">
        <f>SUM(O81:O85)</f>
        <v>114412.97073390547</v>
      </c>
      <c r="S86" s="325">
        <f>SUM(S81:S85)</f>
        <v>8752.5922611437691</v>
      </c>
      <c r="U86" s="326">
        <f>SUM(U81:U85)</f>
        <v>123165.56299504926</v>
      </c>
    </row>
    <row r="87" spans="1:21" ht="5.25" customHeight="1">
      <c r="A87" s="44"/>
      <c r="C87" s="31"/>
      <c r="E87" s="24"/>
      <c r="F87" s="31"/>
      <c r="H87" s="24"/>
      <c r="K87" s="50"/>
      <c r="L87" s="50"/>
      <c r="M87" s="51"/>
    </row>
    <row r="88" spans="1:21">
      <c r="A88" s="24">
        <f>A86+1</f>
        <v>62</v>
      </c>
      <c r="C88" s="31"/>
      <c r="E88" s="24"/>
      <c r="F88" s="31" t="s">
        <v>263</v>
      </c>
      <c r="H88" s="24"/>
      <c r="K88" s="96"/>
      <c r="L88" s="48">
        <f>+L103</f>
        <v>1801599.67</v>
      </c>
      <c r="M88" s="51">
        <f>+M103</f>
        <v>0.48558580090148906</v>
      </c>
      <c r="O88" s="96">
        <f>$X$73*M88</f>
        <v>108001.12851609451</v>
      </c>
    </row>
    <row r="89" spans="1:21">
      <c r="A89" s="24">
        <f t="shared" ref="A89:A92" si="21">A88+1</f>
        <v>63</v>
      </c>
      <c r="C89" s="31"/>
      <c r="E89" s="24"/>
      <c r="F89" s="31"/>
      <c r="H89" s="24"/>
      <c r="L89" s="48"/>
      <c r="M89" s="51"/>
      <c r="O89" s="96"/>
    </row>
    <row r="90" spans="1:21">
      <c r="A90" s="24">
        <f t="shared" si="21"/>
        <v>64</v>
      </c>
      <c r="C90" s="31"/>
      <c r="D90" s="26"/>
      <c r="E90" s="26"/>
      <c r="F90" s="49"/>
      <c r="G90" s="26"/>
      <c r="H90" s="26"/>
      <c r="I90" s="49" t="s">
        <v>93</v>
      </c>
      <c r="J90" s="49"/>
      <c r="K90" s="172">
        <f>SUM(L88:L89)</f>
        <v>1801599.67</v>
      </c>
      <c r="L90" s="172"/>
      <c r="M90" s="127">
        <f>SUM(M88:M89)</f>
        <v>0.48558580090148906</v>
      </c>
      <c r="O90" s="128">
        <f>SUM(O88:O89)</f>
        <v>108001.12851609451</v>
      </c>
    </row>
    <row r="91" spans="1:21">
      <c r="A91" s="24">
        <f t="shared" si="21"/>
        <v>65</v>
      </c>
      <c r="C91" s="31"/>
      <c r="E91" s="24"/>
      <c r="F91" s="31"/>
      <c r="H91" s="24"/>
      <c r="K91" s="50"/>
      <c r="L91" s="50"/>
      <c r="M91" s="51"/>
    </row>
    <row r="92" spans="1:21" ht="15" customHeight="1" thickBot="1">
      <c r="A92" s="24">
        <f t="shared" si="21"/>
        <v>66</v>
      </c>
      <c r="C92" s="31"/>
      <c r="D92" s="52"/>
      <c r="E92" s="52"/>
      <c r="F92" s="34" t="s">
        <v>53</v>
      </c>
      <c r="G92" s="52"/>
      <c r="H92" s="52"/>
      <c r="I92" s="34"/>
      <c r="J92" s="34"/>
      <c r="K92" s="395">
        <f>K86+K90</f>
        <v>3710157.2300000004</v>
      </c>
      <c r="L92" s="395"/>
      <c r="M92" s="53">
        <f>M86+M90</f>
        <v>1</v>
      </c>
      <c r="O92" s="129">
        <f>O86+O90</f>
        <v>222414.09924999997</v>
      </c>
    </row>
    <row r="93" spans="1:21" ht="5.25" customHeight="1" thickTop="1">
      <c r="A93" s="44"/>
      <c r="C93" s="31"/>
      <c r="D93" s="31"/>
      <c r="F93" s="31"/>
      <c r="G93" s="31"/>
    </row>
    <row r="94" spans="1:21" ht="15" customHeight="1">
      <c r="C94" s="31"/>
      <c r="D94" s="31"/>
      <c r="F94" s="31"/>
      <c r="G94" s="31"/>
    </row>
    <row r="99" spans="4:17">
      <c r="D99" s="125" t="s">
        <v>264</v>
      </c>
      <c r="E99" s="46" t="s">
        <v>264</v>
      </c>
      <c r="L99" s="96"/>
    </row>
    <row r="100" spans="4:17">
      <c r="J100" s="24"/>
      <c r="K100" s="24"/>
    </row>
    <row r="101" spans="4:17">
      <c r="D101" s="125" t="s">
        <v>265</v>
      </c>
      <c r="E101" s="125" t="s">
        <v>265</v>
      </c>
      <c r="F101" s="125" t="s">
        <v>266</v>
      </c>
      <c r="G101" s="125"/>
      <c r="L101" s="130" t="s">
        <v>267</v>
      </c>
      <c r="M101" s="130" t="s">
        <v>268</v>
      </c>
    </row>
    <row r="102" spans="4:17">
      <c r="E102" s="24"/>
      <c r="F102" s="31"/>
      <c r="O102" s="269">
        <f>O71</f>
        <v>3710157.2300000004</v>
      </c>
      <c r="Q102" s="31" t="s">
        <v>625</v>
      </c>
    </row>
    <row r="103" spans="4:17">
      <c r="D103" s="131"/>
      <c r="E103" s="131">
        <v>107.2</v>
      </c>
      <c r="F103" s="31" t="s">
        <v>269</v>
      </c>
      <c r="L103" s="132">
        <f>1304888.37+151635.4+3365.21+2060.72+43251.95+88493.48+4500+203404.54</f>
        <v>1801599.67</v>
      </c>
      <c r="M103" s="68">
        <f t="shared" ref="M103:M128" si="22">L103/K$129</f>
        <v>0.48558580090148906</v>
      </c>
      <c r="O103" s="269">
        <v>-151694.37</v>
      </c>
      <c r="Q103" s="31" t="s">
        <v>626</v>
      </c>
    </row>
    <row r="104" spans="4:17" ht="13.8">
      <c r="D104" s="182" t="s">
        <v>270</v>
      </c>
      <c r="E104" s="131"/>
      <c r="F104" s="182" t="s">
        <v>271</v>
      </c>
      <c r="L104" s="132">
        <v>95832.15</v>
      </c>
      <c r="M104" s="68">
        <f t="shared" si="22"/>
        <v>2.5829673531113397E-2</v>
      </c>
      <c r="O104" s="299">
        <v>123729.92</v>
      </c>
      <c r="Q104" s="31" t="s">
        <v>627</v>
      </c>
    </row>
    <row r="105" spans="4:17" ht="13.8">
      <c r="D105" s="182" t="s">
        <v>276</v>
      </c>
      <c r="E105" s="131"/>
      <c r="F105" s="182" t="s">
        <v>628</v>
      </c>
      <c r="L105" s="132">
        <v>125290.98</v>
      </c>
      <c r="M105" s="68">
        <f t="shared" si="22"/>
        <v>3.3769722476155013E-2</v>
      </c>
      <c r="O105" s="269">
        <f>SUM(O102:O104)</f>
        <v>3682192.7800000003</v>
      </c>
    </row>
    <row r="106" spans="4:17" ht="13.8">
      <c r="D106" s="182" t="s">
        <v>282</v>
      </c>
      <c r="E106" s="131"/>
      <c r="F106" s="182" t="s">
        <v>283</v>
      </c>
      <c r="L106" s="132">
        <v>35443.9</v>
      </c>
      <c r="M106" s="68">
        <f t="shared" si="22"/>
        <v>9.5532069944108556E-3</v>
      </c>
      <c r="O106" s="299">
        <v>3682192.78</v>
      </c>
      <c r="Q106" s="31" t="s">
        <v>629</v>
      </c>
    </row>
    <row r="107" spans="4:17" ht="13.8">
      <c r="D107" s="182" t="s">
        <v>284</v>
      </c>
      <c r="E107" s="131"/>
      <c r="F107" s="182" t="s">
        <v>285</v>
      </c>
      <c r="L107" s="132">
        <v>77664.3</v>
      </c>
      <c r="M107" s="68">
        <f t="shared" si="22"/>
        <v>2.093288644804954E-2</v>
      </c>
      <c r="O107" s="269">
        <f>O105-O106</f>
        <v>0</v>
      </c>
      <c r="Q107" s="31" t="s">
        <v>92</v>
      </c>
    </row>
    <row r="108" spans="4:17" ht="13.8">
      <c r="D108" s="182" t="s">
        <v>286</v>
      </c>
      <c r="E108" s="131"/>
      <c r="F108" s="182" t="s">
        <v>630</v>
      </c>
      <c r="L108" s="132">
        <v>6259.55</v>
      </c>
      <c r="M108" s="68">
        <f t="shared" si="22"/>
        <v>1.6871387415567833E-3</v>
      </c>
      <c r="O108" s="112"/>
    </row>
    <row r="109" spans="4:17" ht="13.8">
      <c r="D109" s="327" t="s">
        <v>631</v>
      </c>
      <c r="E109" s="131"/>
      <c r="F109" s="182" t="s">
        <v>632</v>
      </c>
      <c r="L109" s="132">
        <v>10805.96</v>
      </c>
      <c r="M109" s="68">
        <f t="shared" si="22"/>
        <v>2.912534248582236E-3</v>
      </c>
      <c r="O109" s="112"/>
    </row>
    <row r="110" spans="4:17" ht="13.8">
      <c r="D110" s="182" t="s">
        <v>288</v>
      </c>
      <c r="E110" s="131"/>
      <c r="F110" s="182" t="s">
        <v>633</v>
      </c>
      <c r="L110" s="132">
        <v>178542.68</v>
      </c>
      <c r="M110" s="68">
        <f t="shared" si="22"/>
        <v>4.812267214885662E-2</v>
      </c>
      <c r="O110" s="112"/>
    </row>
    <row r="111" spans="4:17" ht="13.8">
      <c r="D111" s="182" t="s">
        <v>296</v>
      </c>
      <c r="E111" s="131"/>
      <c r="F111" s="182" t="s">
        <v>297</v>
      </c>
      <c r="L111" s="132">
        <v>18127.810000000001</v>
      </c>
      <c r="M111" s="68">
        <f t="shared" si="22"/>
        <v>4.8859950875990241E-3</v>
      </c>
      <c r="O111" s="112"/>
    </row>
    <row r="112" spans="4:17" ht="13.8">
      <c r="D112" s="182" t="s">
        <v>300</v>
      </c>
      <c r="E112" s="131"/>
      <c r="F112" s="182" t="s">
        <v>301</v>
      </c>
      <c r="L112" s="132">
        <v>355040</v>
      </c>
      <c r="M112" s="68">
        <f t="shared" si="22"/>
        <v>9.5694057688223644E-2</v>
      </c>
      <c r="O112" s="112"/>
    </row>
    <row r="113" spans="4:15" ht="13.8">
      <c r="D113" s="183" t="s">
        <v>634</v>
      </c>
      <c r="E113" s="131"/>
      <c r="F113" s="182" t="s">
        <v>635</v>
      </c>
      <c r="L113" s="132">
        <v>44126.27</v>
      </c>
      <c r="M113" s="68">
        <f t="shared" si="22"/>
        <v>1.1893369273732909E-2</v>
      </c>
      <c r="O113" s="112"/>
    </row>
    <row r="114" spans="4:15" ht="13.8">
      <c r="D114" s="182" t="s">
        <v>302</v>
      </c>
      <c r="E114" s="131"/>
      <c r="F114" s="182" t="s">
        <v>636</v>
      </c>
      <c r="L114" s="132">
        <v>39095.93</v>
      </c>
      <c r="M114" s="68">
        <f t="shared" si="22"/>
        <v>1.0537539941400274E-2</v>
      </c>
    </row>
    <row r="115" spans="4:15" ht="13.8">
      <c r="D115" s="182" t="s">
        <v>305</v>
      </c>
      <c r="E115" s="131"/>
      <c r="F115" s="182" t="s">
        <v>637</v>
      </c>
      <c r="L115" s="132">
        <v>19515.900000000001</v>
      </c>
      <c r="M115" s="68">
        <f t="shared" si="22"/>
        <v>5.26012747982651E-3</v>
      </c>
    </row>
    <row r="116" spans="4:15" ht="13.8">
      <c r="D116" s="183" t="s">
        <v>638</v>
      </c>
      <c r="E116" s="131"/>
      <c r="F116" s="182" t="s">
        <v>639</v>
      </c>
      <c r="L116" s="132">
        <v>6626.16</v>
      </c>
      <c r="M116" s="68">
        <f t="shared" si="22"/>
        <v>1.7859512654669896E-3</v>
      </c>
    </row>
    <row r="117" spans="4:15" ht="13.8">
      <c r="D117" s="182" t="s">
        <v>313</v>
      </c>
      <c r="E117" s="131"/>
      <c r="F117" s="182" t="s">
        <v>314</v>
      </c>
      <c r="L117" s="132">
        <v>10805.96</v>
      </c>
      <c r="M117" s="68">
        <f t="shared" si="22"/>
        <v>2.912534248582236E-3</v>
      </c>
    </row>
    <row r="118" spans="4:15" ht="13.8">
      <c r="D118" s="182" t="s">
        <v>319</v>
      </c>
      <c r="E118" s="131"/>
      <c r="F118" s="182" t="s">
        <v>320</v>
      </c>
      <c r="L118" s="132">
        <v>104401.13</v>
      </c>
      <c r="M118" s="68">
        <f t="shared" si="22"/>
        <v>2.81392737633386E-2</v>
      </c>
    </row>
    <row r="119" spans="4:15" ht="13.8">
      <c r="D119" s="182" t="s">
        <v>322</v>
      </c>
      <c r="E119" s="131"/>
      <c r="F119" s="182" t="s">
        <v>640</v>
      </c>
      <c r="L119" s="132">
        <v>82193.149999999994</v>
      </c>
      <c r="M119" s="68">
        <f t="shared" si="22"/>
        <v>2.215354900201898E-2</v>
      </c>
    </row>
    <row r="120" spans="4:15" ht="13.8">
      <c r="D120" s="183" t="s">
        <v>324</v>
      </c>
      <c r="E120" s="131"/>
      <c r="F120" s="182" t="s">
        <v>325</v>
      </c>
      <c r="L120" s="132">
        <v>42644.4</v>
      </c>
      <c r="M120" s="68">
        <f t="shared" si="22"/>
        <v>1.1493960324694921E-2</v>
      </c>
    </row>
    <row r="121" spans="4:15" ht="13.8">
      <c r="D121" s="182" t="s">
        <v>326</v>
      </c>
      <c r="E121" s="131"/>
      <c r="F121" s="182" t="s">
        <v>641</v>
      </c>
      <c r="L121" s="132">
        <v>56883.28</v>
      </c>
      <c r="M121" s="68">
        <f t="shared" si="22"/>
        <v>1.5331770723905415E-2</v>
      </c>
      <c r="O121" s="244"/>
    </row>
    <row r="122" spans="4:15" ht="13.8">
      <c r="D122" s="183" t="s">
        <v>642</v>
      </c>
      <c r="E122" s="131"/>
      <c r="F122" s="182" t="s">
        <v>643</v>
      </c>
      <c r="L122" s="132">
        <v>59365.85</v>
      </c>
      <c r="M122" s="68">
        <f t="shared" si="22"/>
        <v>1.6000898700457501E-2</v>
      </c>
      <c r="O122" s="328"/>
    </row>
    <row r="123" spans="4:15" ht="13.8">
      <c r="D123" s="183" t="s">
        <v>644</v>
      </c>
      <c r="E123" s="131"/>
      <c r="F123" s="182" t="s">
        <v>645</v>
      </c>
      <c r="L123" s="132">
        <v>2517.46</v>
      </c>
      <c r="M123" s="68">
        <f t="shared" si="22"/>
        <v>6.7853189068216399E-4</v>
      </c>
      <c r="O123" s="328"/>
    </row>
    <row r="124" spans="4:15" ht="13.8">
      <c r="D124" s="182" t="s">
        <v>345</v>
      </c>
      <c r="E124" s="131"/>
      <c r="F124" s="182" t="s">
        <v>646</v>
      </c>
      <c r="L124" s="132">
        <v>136864.89000000001</v>
      </c>
      <c r="M124" s="68">
        <f t="shared" si="22"/>
        <v>3.6889242561830737E-2</v>
      </c>
      <c r="O124" s="244"/>
    </row>
    <row r="125" spans="4:15" ht="13.8">
      <c r="D125" s="182" t="s">
        <v>347</v>
      </c>
      <c r="E125" s="131"/>
      <c r="F125" s="182" t="s">
        <v>647</v>
      </c>
      <c r="L125" s="132">
        <v>123334.54</v>
      </c>
      <c r="M125" s="68">
        <f t="shared" si="22"/>
        <v>3.3242402505944471E-2</v>
      </c>
      <c r="O125" s="328"/>
    </row>
    <row r="126" spans="4:15" ht="13.8">
      <c r="D126" s="183" t="s">
        <v>648</v>
      </c>
      <c r="E126" s="131"/>
      <c r="F126" s="182" t="s">
        <v>649</v>
      </c>
      <c r="L126" s="132">
        <v>257103.54</v>
      </c>
      <c r="M126" s="68">
        <f t="shared" si="22"/>
        <v>6.9297208733118856E-2</v>
      </c>
      <c r="O126" s="244"/>
    </row>
    <row r="127" spans="4:15" ht="13.8">
      <c r="D127" s="183" t="s">
        <v>650</v>
      </c>
      <c r="E127" s="136"/>
      <c r="F127" s="182" t="s">
        <v>651</v>
      </c>
      <c r="L127" s="132">
        <v>18590.830000000002</v>
      </c>
      <c r="M127" s="68">
        <f t="shared" si="22"/>
        <v>5.0107930331567121E-3</v>
      </c>
      <c r="O127" s="328"/>
    </row>
    <row r="128" spans="4:15" ht="13.8">
      <c r="D128" s="329" t="s">
        <v>652</v>
      </c>
      <c r="E128" s="131"/>
      <c r="F128" s="184" t="s">
        <v>653</v>
      </c>
      <c r="L128" s="132">
        <v>1480.94</v>
      </c>
      <c r="M128" s="68">
        <f t="shared" si="22"/>
        <v>3.9915828580666386E-4</v>
      </c>
      <c r="O128" s="244"/>
    </row>
    <row r="129" spans="4:15">
      <c r="D129" s="26"/>
      <c r="E129" s="49"/>
      <c r="F129" s="49"/>
      <c r="G129" s="26"/>
      <c r="H129" s="49"/>
      <c r="I129" s="49"/>
      <c r="J129" s="49"/>
      <c r="K129" s="386">
        <f>SUM(L103:L128)</f>
        <v>3710157.2299999995</v>
      </c>
      <c r="L129" s="386"/>
      <c r="M129" s="137">
        <f>SUM(M103:M128)</f>
        <v>1.0000000000000002</v>
      </c>
      <c r="O129" s="328"/>
    </row>
    <row r="130" spans="4:15">
      <c r="O130" s="328"/>
    </row>
    <row r="131" spans="4:15">
      <c r="O131" s="244"/>
    </row>
    <row r="132" spans="4:15">
      <c r="O132" s="328"/>
    </row>
    <row r="133" spans="4:15">
      <c r="O133" s="244"/>
    </row>
    <row r="134" spans="4:15">
      <c r="O134" s="328"/>
    </row>
    <row r="135" spans="4:15">
      <c r="O135" s="96"/>
    </row>
    <row r="136" spans="4:15">
      <c r="O136" s="96"/>
    </row>
    <row r="146" spans="19:19">
      <c r="S146" s="94"/>
    </row>
    <row r="147" spans="19:19" ht="15" customHeight="1"/>
  </sheetData>
  <mergeCells count="23">
    <mergeCell ref="X61:X62"/>
    <mergeCell ref="H75:V75"/>
    <mergeCell ref="C77:X77"/>
    <mergeCell ref="K86:L86"/>
    <mergeCell ref="K92:L92"/>
    <mergeCell ref="K129:L129"/>
    <mergeCell ref="S12:V12"/>
    <mergeCell ref="H13:J13"/>
    <mergeCell ref="S13:T13"/>
    <mergeCell ref="C61:F61"/>
    <mergeCell ref="H61:J61"/>
    <mergeCell ref="L61:O61"/>
    <mergeCell ref="Q61:Q62"/>
    <mergeCell ref="S61:V61"/>
    <mergeCell ref="A3:X3"/>
    <mergeCell ref="A4:X4"/>
    <mergeCell ref="A6:X6"/>
    <mergeCell ref="C8:F8"/>
    <mergeCell ref="H8:J8"/>
    <mergeCell ref="L8:O8"/>
    <mergeCell ref="Q8:Q9"/>
    <mergeCell ref="S8:V8"/>
    <mergeCell ref="X8:X9"/>
  </mergeCells>
  <printOptions horizontalCentered="1"/>
  <pageMargins left="0.25" right="0.25" top="0.75" bottom="0.5" header="0.5" footer="0.5"/>
  <pageSetup scale="60" fitToHeight="3" orientation="landscape" r:id="rId1"/>
  <headerFooter alignWithMargins="0">
    <oddFooter>&amp;RExhibit JW-2
Page &amp;P of &amp;N</oddFooter>
  </headerFooter>
  <rowBreaks count="1" manualBreakCount="1">
    <brk id="60" max="2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7F9E1-E89A-42B4-B780-63C14E26B02E}">
  <sheetPr>
    <pageSetUpPr fitToPage="1"/>
  </sheetPr>
  <dimension ref="A1:Y59"/>
  <sheetViews>
    <sheetView view="pageBreakPreview" topLeftCell="A16" zoomScale="60" zoomScaleNormal="100" workbookViewId="0">
      <selection activeCell="L55" sqref="L55"/>
    </sheetView>
  </sheetViews>
  <sheetFormatPr defaultColWidth="9.109375" defaultRowHeight="13.2"/>
  <cols>
    <col min="1" max="1" width="5.88671875" style="2" customWidth="1"/>
    <col min="2" max="2" width="2.33203125" style="2" customWidth="1"/>
    <col min="3" max="3" width="9.33203125" style="2" customWidth="1"/>
    <col min="4" max="4" width="30.5546875" style="2" bestFit="1" customWidth="1"/>
    <col min="5" max="5" width="16.5546875" style="2" bestFit="1" customWidth="1"/>
    <col min="6" max="6" width="12.88671875" style="2" bestFit="1" customWidth="1"/>
    <col min="7" max="7" width="9.6640625" style="2" customWidth="1"/>
    <col min="8" max="8" width="15.109375" style="2" bestFit="1" customWidth="1"/>
    <col min="9" max="9" width="14.5546875" style="2" bestFit="1" customWidth="1"/>
    <col min="10" max="10" width="12" style="2" customWidth="1"/>
    <col min="11" max="11" width="9.109375" style="2"/>
    <col min="12" max="12" width="16" style="2" bestFit="1" customWidth="1"/>
    <col min="13" max="13" width="9.109375" style="2"/>
    <col min="14" max="14" width="14" style="2" bestFit="1" customWidth="1"/>
    <col min="15" max="16384" width="9.109375" style="2"/>
  </cols>
  <sheetData>
    <row r="1" spans="1:10">
      <c r="G1" s="20"/>
      <c r="J1" s="20" t="s">
        <v>479</v>
      </c>
    </row>
    <row r="2" spans="1:10" ht="14.25" customHeight="1">
      <c r="G2" s="20"/>
    </row>
    <row r="3" spans="1:10">
      <c r="A3" s="377" t="s">
        <v>566</v>
      </c>
      <c r="B3" s="377"/>
      <c r="C3" s="377"/>
      <c r="D3" s="377"/>
      <c r="E3" s="377"/>
      <c r="F3" s="377"/>
      <c r="G3" s="377"/>
      <c r="H3" s="377"/>
      <c r="I3" s="377"/>
      <c r="J3" s="377"/>
    </row>
    <row r="4" spans="1:10">
      <c r="A4" s="377" t="s">
        <v>522</v>
      </c>
      <c r="B4" s="377"/>
      <c r="C4" s="377"/>
      <c r="D4" s="377"/>
      <c r="E4" s="377"/>
      <c r="F4" s="377"/>
      <c r="G4" s="377"/>
      <c r="H4" s="377"/>
      <c r="I4" s="377"/>
      <c r="J4" s="377"/>
    </row>
    <row r="6" spans="1:10" s="21" customFormat="1" ht="15" customHeight="1">
      <c r="A6" s="378" t="s">
        <v>485</v>
      </c>
      <c r="B6" s="378"/>
      <c r="C6" s="378"/>
      <c r="D6" s="378"/>
      <c r="E6" s="378"/>
      <c r="F6" s="378"/>
      <c r="G6" s="378"/>
      <c r="H6" s="378"/>
      <c r="I6" s="378"/>
      <c r="J6" s="378"/>
    </row>
    <row r="8" spans="1:10" s="14" customFormat="1" ht="38.25" customHeight="1">
      <c r="A8" s="14" t="s">
        <v>7</v>
      </c>
      <c r="C8" s="14" t="s">
        <v>123</v>
      </c>
      <c r="D8" s="14" t="s">
        <v>8</v>
      </c>
      <c r="E8" s="14" t="s">
        <v>486</v>
      </c>
      <c r="F8" s="14" t="s">
        <v>124</v>
      </c>
      <c r="G8" s="14" t="s">
        <v>125</v>
      </c>
      <c r="H8" s="14" t="s">
        <v>126</v>
      </c>
      <c r="I8" s="14" t="s">
        <v>127</v>
      </c>
      <c r="J8" s="14" t="s">
        <v>128</v>
      </c>
    </row>
    <row r="9" spans="1:10">
      <c r="A9" s="22" t="s">
        <v>11</v>
      </c>
      <c r="B9" s="4"/>
      <c r="C9" s="23" t="s">
        <v>95</v>
      </c>
      <c r="D9" s="23" t="s">
        <v>96</v>
      </c>
      <c r="E9" s="23" t="s">
        <v>97</v>
      </c>
      <c r="F9" s="23" t="s">
        <v>12</v>
      </c>
      <c r="G9" s="23" t="s">
        <v>13</v>
      </c>
      <c r="H9" s="23" t="s">
        <v>14</v>
      </c>
      <c r="I9" s="23" t="s">
        <v>98</v>
      </c>
      <c r="J9" s="23" t="s">
        <v>99</v>
      </c>
    </row>
    <row r="10" spans="1:10">
      <c r="A10" s="4"/>
      <c r="B10" s="4"/>
    </row>
    <row r="11" spans="1:10">
      <c r="A11" s="4">
        <v>1</v>
      </c>
      <c r="B11" s="4"/>
      <c r="C11" s="38" t="s">
        <v>129</v>
      </c>
    </row>
    <row r="12" spans="1:10">
      <c r="A12" s="4">
        <f>A11+1</f>
        <v>2</v>
      </c>
      <c r="B12" s="4"/>
      <c r="C12" s="93" t="s">
        <v>722</v>
      </c>
      <c r="D12" s="31" t="s">
        <v>723</v>
      </c>
      <c r="E12" s="39">
        <v>922418.64</v>
      </c>
      <c r="F12" s="39">
        <v>0</v>
      </c>
      <c r="G12" s="243">
        <f>0.0024*12</f>
        <v>2.8799999999999999E-2</v>
      </c>
      <c r="H12" s="39">
        <f>ROUND(((+E12-F12)*G12),2)</f>
        <v>26565.66</v>
      </c>
      <c r="I12" s="349"/>
      <c r="J12" s="350"/>
    </row>
    <row r="13" spans="1:10">
      <c r="A13" s="4">
        <f t="shared" ref="A13:A59" si="0">A12+1</f>
        <v>3</v>
      </c>
      <c r="B13" s="4"/>
      <c r="C13" s="93" t="s">
        <v>724</v>
      </c>
      <c r="D13" s="31" t="s">
        <v>725</v>
      </c>
      <c r="E13" s="39">
        <v>32209045.030000001</v>
      </c>
      <c r="F13" s="39">
        <v>0</v>
      </c>
      <c r="G13" s="243">
        <f>0.00325*12</f>
        <v>3.9E-2</v>
      </c>
      <c r="H13" s="39">
        <f>ROUND(((+E13-F13)*G13),2)</f>
        <v>1256152.76</v>
      </c>
      <c r="I13" s="349"/>
      <c r="J13" s="350"/>
    </row>
    <row r="14" spans="1:10">
      <c r="A14" s="4">
        <f t="shared" si="0"/>
        <v>4</v>
      </c>
      <c r="B14" s="4"/>
      <c r="C14" s="93" t="s">
        <v>726</v>
      </c>
      <c r="D14" s="31" t="s">
        <v>727</v>
      </c>
      <c r="E14" s="39">
        <v>30534126.559999999</v>
      </c>
      <c r="F14" s="39">
        <v>0</v>
      </c>
      <c r="G14" s="243">
        <f>0.00242*12</f>
        <v>2.9039999999999996E-2</v>
      </c>
      <c r="H14" s="39">
        <f t="shared" ref="H14:H21" si="1">ROUND(((+E14-F14)*G14),2)</f>
        <v>886711.04</v>
      </c>
      <c r="I14" s="349"/>
      <c r="J14" s="350"/>
    </row>
    <row r="15" spans="1:10">
      <c r="A15" s="4">
        <f t="shared" si="0"/>
        <v>5</v>
      </c>
      <c r="B15" s="4"/>
      <c r="C15" s="93" t="s">
        <v>728</v>
      </c>
      <c r="D15" s="31" t="s">
        <v>729</v>
      </c>
      <c r="E15" s="39">
        <v>1076893.47</v>
      </c>
      <c r="F15" s="39">
        <v>0</v>
      </c>
      <c r="G15" s="243">
        <f>0.00242*12</f>
        <v>2.9039999999999996E-2</v>
      </c>
      <c r="H15" s="39">
        <f t="shared" si="1"/>
        <v>31272.99</v>
      </c>
      <c r="I15" s="349"/>
      <c r="J15" s="350"/>
    </row>
    <row r="16" spans="1:10">
      <c r="A16" s="4">
        <f t="shared" si="0"/>
        <v>6</v>
      </c>
      <c r="B16" s="4"/>
      <c r="C16" s="93" t="s">
        <v>730</v>
      </c>
      <c r="D16" s="31" t="s">
        <v>731</v>
      </c>
      <c r="E16" s="39">
        <v>10971394.23</v>
      </c>
      <c r="F16" s="39">
        <v>0</v>
      </c>
      <c r="G16" s="243">
        <f>0.00425*12</f>
        <v>5.1000000000000004E-2</v>
      </c>
      <c r="H16" s="39">
        <f t="shared" si="1"/>
        <v>559541.11</v>
      </c>
      <c r="I16" s="349"/>
      <c r="J16" s="350"/>
    </row>
    <row r="17" spans="1:14">
      <c r="A17" s="4">
        <f t="shared" si="0"/>
        <v>7</v>
      </c>
      <c r="B17" s="4"/>
      <c r="C17" s="93" t="s">
        <v>732</v>
      </c>
      <c r="D17" s="31" t="s">
        <v>733</v>
      </c>
      <c r="E17" s="39">
        <v>13958447.1</v>
      </c>
      <c r="F17" s="39">
        <v>0</v>
      </c>
      <c r="G17" s="243">
        <f>0.00192*12</f>
        <v>2.3040000000000001E-2</v>
      </c>
      <c r="H17" s="39">
        <f t="shared" si="1"/>
        <v>321602.62</v>
      </c>
      <c r="I17" s="349"/>
      <c r="J17" s="350"/>
    </row>
    <row r="18" spans="1:14">
      <c r="A18" s="4">
        <f t="shared" si="0"/>
        <v>8</v>
      </c>
      <c r="B18" s="4"/>
      <c r="C18" s="93" t="s">
        <v>734</v>
      </c>
      <c r="D18" s="31" t="s">
        <v>130</v>
      </c>
      <c r="E18" s="39">
        <v>11492998.25</v>
      </c>
      <c r="F18" s="39">
        <v>0</v>
      </c>
      <c r="G18" s="243">
        <f>0.00267*12</f>
        <v>3.2039999999999999E-2</v>
      </c>
      <c r="H18" s="39">
        <f t="shared" si="1"/>
        <v>368235.66</v>
      </c>
      <c r="I18" s="349"/>
      <c r="J18" s="350"/>
    </row>
    <row r="19" spans="1:14">
      <c r="A19" s="4">
        <f t="shared" si="0"/>
        <v>9</v>
      </c>
      <c r="B19" s="4"/>
      <c r="C19" s="93" t="s">
        <v>735</v>
      </c>
      <c r="D19" s="31" t="s">
        <v>131</v>
      </c>
      <c r="E19" s="39">
        <v>4142078.44</v>
      </c>
      <c r="F19" s="39">
        <v>0</v>
      </c>
      <c r="G19" s="243">
        <f>0.00558*12</f>
        <v>6.6959999999999992E-2</v>
      </c>
      <c r="H19" s="39">
        <f t="shared" si="1"/>
        <v>277353.57</v>
      </c>
      <c r="I19" s="349"/>
      <c r="J19" s="350"/>
    </row>
    <row r="20" spans="1:14">
      <c r="A20" s="4">
        <f t="shared" si="0"/>
        <v>10</v>
      </c>
      <c r="C20" s="93" t="s">
        <v>736</v>
      </c>
      <c r="D20" s="31" t="s">
        <v>737</v>
      </c>
      <c r="E20" s="39">
        <v>3245169.06</v>
      </c>
      <c r="F20" s="39">
        <v>0</v>
      </c>
      <c r="G20" s="243">
        <f>0.00308*12</f>
        <v>3.696E-2</v>
      </c>
      <c r="H20" s="39">
        <f t="shared" si="1"/>
        <v>119941.45</v>
      </c>
      <c r="I20" s="349"/>
      <c r="J20" s="350"/>
    </row>
    <row r="21" spans="1:14">
      <c r="A21" s="4">
        <f t="shared" si="0"/>
        <v>11</v>
      </c>
      <c r="C21" s="93" t="s">
        <v>738</v>
      </c>
      <c r="D21" s="31" t="s">
        <v>739</v>
      </c>
      <c r="E21" s="39">
        <v>197136.42</v>
      </c>
      <c r="F21" s="39">
        <v>0</v>
      </c>
      <c r="G21" s="243">
        <f>0.00333*12</f>
        <v>3.9960000000000002E-2</v>
      </c>
      <c r="H21" s="39">
        <f t="shared" si="1"/>
        <v>7877.57</v>
      </c>
      <c r="I21" s="349"/>
      <c r="J21" s="350"/>
    </row>
    <row r="22" spans="1:14">
      <c r="A22" s="4">
        <f t="shared" si="0"/>
        <v>12</v>
      </c>
      <c r="D22" s="40" t="s">
        <v>93</v>
      </c>
      <c r="E22" s="139">
        <f>SUM(E12:E21)</f>
        <v>108749707.2</v>
      </c>
      <c r="F22" s="139">
        <f>SUM(F12:F21)</f>
        <v>0</v>
      </c>
      <c r="G22" s="139"/>
      <c r="H22" s="139">
        <f>SUM(H12:H21)</f>
        <v>3855254.43</v>
      </c>
      <c r="I22" s="197">
        <v>3723282.82</v>
      </c>
      <c r="J22" s="139">
        <f>+H22-I22</f>
        <v>131971.61000000034</v>
      </c>
      <c r="L22" s="228"/>
      <c r="N22" s="228"/>
    </row>
    <row r="23" spans="1:14">
      <c r="A23" s="4">
        <f t="shared" si="0"/>
        <v>13</v>
      </c>
    </row>
    <row r="24" spans="1:14">
      <c r="A24" s="4">
        <f t="shared" si="0"/>
        <v>14</v>
      </c>
      <c r="C24" s="38" t="s">
        <v>132</v>
      </c>
    </row>
    <row r="25" spans="1:14">
      <c r="A25" s="4">
        <f t="shared" si="0"/>
        <v>15</v>
      </c>
      <c r="C25" s="93" t="s">
        <v>740</v>
      </c>
      <c r="D25" s="31" t="s">
        <v>741</v>
      </c>
      <c r="E25" s="39">
        <v>20010.189999999999</v>
      </c>
      <c r="F25" s="39">
        <v>0</v>
      </c>
      <c r="G25" s="245">
        <v>0</v>
      </c>
      <c r="H25" s="39">
        <f>ROUND(((+E25-F25)*G25),2)</f>
        <v>0</v>
      </c>
      <c r="I25" s="39">
        <v>0</v>
      </c>
      <c r="J25" s="27">
        <f>ROUND(+H25-I25,0)</f>
        <v>0</v>
      </c>
    </row>
    <row r="26" spans="1:14">
      <c r="A26" s="4">
        <f t="shared" si="0"/>
        <v>16</v>
      </c>
      <c r="C26" s="93" t="s">
        <v>742</v>
      </c>
      <c r="D26" s="31" t="s">
        <v>741</v>
      </c>
      <c r="E26" s="39">
        <v>2075</v>
      </c>
      <c r="F26" s="39">
        <v>0</v>
      </c>
      <c r="G26" s="245">
        <v>0</v>
      </c>
      <c r="H26" s="39">
        <f>ROUND(((+E26-F26)*G26),2)</f>
        <v>0</v>
      </c>
      <c r="I26" s="39">
        <v>0</v>
      </c>
      <c r="J26" s="27">
        <f t="shared" ref="J26:J33" si="2">ROUND(+H26-I26,0)</f>
        <v>0</v>
      </c>
      <c r="N26" s="43"/>
    </row>
    <row r="27" spans="1:14">
      <c r="A27" s="4">
        <f t="shared" si="0"/>
        <v>17</v>
      </c>
      <c r="C27" s="93" t="s">
        <v>743</v>
      </c>
      <c r="D27" s="31" t="s">
        <v>744</v>
      </c>
      <c r="E27" s="39">
        <v>1532138.74</v>
      </c>
      <c r="F27" s="39">
        <v>739940</v>
      </c>
      <c r="G27" s="243">
        <f>1/17</f>
        <v>5.8823529411764705E-2</v>
      </c>
      <c r="H27" s="39">
        <f t="shared" ref="H27:H33" si="3">ROUND(((+E27-F27)*G27),2)</f>
        <v>46599.93</v>
      </c>
      <c r="I27" s="39">
        <v>48637.11</v>
      </c>
      <c r="J27" s="27">
        <f t="shared" si="2"/>
        <v>-2037</v>
      </c>
      <c r="N27" s="43"/>
    </row>
    <row r="28" spans="1:14">
      <c r="A28" s="4">
        <f t="shared" si="0"/>
        <v>18</v>
      </c>
      <c r="C28" s="93" t="s">
        <v>745</v>
      </c>
      <c r="D28" s="31" t="s">
        <v>746</v>
      </c>
      <c r="E28" s="39">
        <v>419911.31</v>
      </c>
      <c r="F28" s="39">
        <v>6087.35</v>
      </c>
      <c r="G28" s="243">
        <f>1/5</f>
        <v>0.2</v>
      </c>
      <c r="H28" s="39">
        <f t="shared" si="3"/>
        <v>82764.789999999994</v>
      </c>
      <c r="I28" s="39">
        <f>74523.54-213.25</f>
        <v>74310.289999999994</v>
      </c>
      <c r="J28" s="27">
        <f t="shared" si="2"/>
        <v>8455</v>
      </c>
      <c r="N28" s="43"/>
    </row>
    <row r="29" spans="1:14">
      <c r="A29" s="4">
        <f t="shared" si="0"/>
        <v>19</v>
      </c>
      <c r="C29" s="93" t="s">
        <v>747</v>
      </c>
      <c r="D29" s="31" t="s">
        <v>748</v>
      </c>
      <c r="E29" s="39">
        <v>20402.57</v>
      </c>
      <c r="F29" s="39">
        <v>0</v>
      </c>
      <c r="G29" s="243">
        <v>0.1</v>
      </c>
      <c r="H29" s="39">
        <f t="shared" si="3"/>
        <v>2040.26</v>
      </c>
      <c r="I29" s="39">
        <v>2040</v>
      </c>
      <c r="J29" s="27">
        <f t="shared" si="2"/>
        <v>0</v>
      </c>
      <c r="N29" s="43"/>
    </row>
    <row r="30" spans="1:14">
      <c r="A30" s="4">
        <f t="shared" si="0"/>
        <v>20</v>
      </c>
      <c r="C30" s="93" t="s">
        <v>749</v>
      </c>
      <c r="D30" s="31" t="s">
        <v>750</v>
      </c>
      <c r="E30" s="39">
        <v>83232.34</v>
      </c>
      <c r="F30" s="39">
        <v>3286</v>
      </c>
      <c r="G30" s="243">
        <f>1/6</f>
        <v>0.16666666666666666</v>
      </c>
      <c r="H30" s="39">
        <f t="shared" si="3"/>
        <v>13324.39</v>
      </c>
      <c r="I30" s="39">
        <v>10634.7</v>
      </c>
      <c r="J30" s="27">
        <f t="shared" si="2"/>
        <v>2690</v>
      </c>
      <c r="N30" s="43"/>
    </row>
    <row r="31" spans="1:14">
      <c r="A31" s="4">
        <f t="shared" si="0"/>
        <v>21</v>
      </c>
      <c r="C31" s="93" t="s">
        <v>751</v>
      </c>
      <c r="D31" s="31" t="s">
        <v>752</v>
      </c>
      <c r="E31" s="39">
        <v>58276.34</v>
      </c>
      <c r="F31" s="39">
        <v>2973.3</v>
      </c>
      <c r="G31" s="243">
        <f>1/7</f>
        <v>0.14285714285714285</v>
      </c>
      <c r="H31" s="39">
        <f t="shared" si="3"/>
        <v>7900.43</v>
      </c>
      <c r="I31" s="39">
        <v>6926.28</v>
      </c>
      <c r="J31" s="27">
        <f t="shared" si="2"/>
        <v>974</v>
      </c>
      <c r="N31" s="43"/>
    </row>
    <row r="32" spans="1:14">
      <c r="A32" s="4">
        <f t="shared" si="0"/>
        <v>22</v>
      </c>
      <c r="C32" s="93" t="s">
        <v>753</v>
      </c>
      <c r="D32" s="31" t="s">
        <v>754</v>
      </c>
      <c r="E32" s="39">
        <v>414401.28000000003</v>
      </c>
      <c r="F32" s="39">
        <v>14052.88</v>
      </c>
      <c r="G32" s="243">
        <f>1/9</f>
        <v>0.1111111111111111</v>
      </c>
      <c r="H32" s="39">
        <f t="shared" si="3"/>
        <v>44483.16</v>
      </c>
      <c r="I32" s="39">
        <v>46560.67</v>
      </c>
      <c r="J32" s="27">
        <f t="shared" si="2"/>
        <v>-2078</v>
      </c>
      <c r="N32" s="43"/>
    </row>
    <row r="33" spans="1:25">
      <c r="A33" s="4">
        <f t="shared" si="0"/>
        <v>23</v>
      </c>
      <c r="C33" s="93" t="s">
        <v>755</v>
      </c>
      <c r="D33" s="31" t="s">
        <v>756</v>
      </c>
      <c r="E33" s="39">
        <v>66301.06</v>
      </c>
      <c r="F33" s="39">
        <v>16612.3</v>
      </c>
      <c r="G33" s="243">
        <f>1/7</f>
        <v>0.14285714285714285</v>
      </c>
      <c r="H33" s="39">
        <f t="shared" si="3"/>
        <v>7098.39</v>
      </c>
      <c r="I33" s="39">
        <v>7240.57</v>
      </c>
      <c r="J33" s="27">
        <f t="shared" si="2"/>
        <v>-142</v>
      </c>
      <c r="N33" s="43"/>
    </row>
    <row r="34" spans="1:25">
      <c r="A34" s="4">
        <f t="shared" si="0"/>
        <v>24</v>
      </c>
      <c r="D34" s="40" t="s">
        <v>93</v>
      </c>
      <c r="E34" s="41">
        <f>SUM(E25:E33)</f>
        <v>2616748.8300000005</v>
      </c>
      <c r="F34" s="41">
        <f>SUM(F25:F33)</f>
        <v>782951.83000000007</v>
      </c>
      <c r="G34" s="41"/>
      <c r="H34" s="41">
        <f>SUM(H25:H33)</f>
        <v>204211.35</v>
      </c>
      <c r="I34" s="41">
        <f>SUM(I26:I33)</f>
        <v>196349.62</v>
      </c>
      <c r="J34" s="41">
        <f>+H34-I34</f>
        <v>7861.7300000000105</v>
      </c>
    </row>
    <row r="35" spans="1:25">
      <c r="A35" s="4">
        <f t="shared" si="0"/>
        <v>25</v>
      </c>
      <c r="C35" s="313" t="s">
        <v>80</v>
      </c>
      <c r="D35" s="351" t="s">
        <v>363</v>
      </c>
      <c r="E35" s="352">
        <f>E22+E34</f>
        <v>111366456.03</v>
      </c>
      <c r="F35" s="352">
        <f>F22+F34</f>
        <v>782951.83000000007</v>
      </c>
      <c r="G35" s="352"/>
      <c r="H35" s="352">
        <f>H22+H34</f>
        <v>4059465.7800000003</v>
      </c>
      <c r="I35" s="352">
        <f>I22+I34</f>
        <v>3919632.44</v>
      </c>
      <c r="J35" s="352">
        <f>J22+J34</f>
        <v>139833.34000000035</v>
      </c>
    </row>
    <row r="36" spans="1:25">
      <c r="A36" s="4">
        <f t="shared" si="0"/>
        <v>26</v>
      </c>
      <c r="D36" s="42"/>
      <c r="E36" s="43"/>
      <c r="F36" s="43"/>
      <c r="G36" s="43"/>
      <c r="H36" s="43"/>
      <c r="I36" s="43"/>
      <c r="J36" s="43"/>
    </row>
    <row r="37" spans="1:25">
      <c r="A37" s="4">
        <f t="shared" si="0"/>
        <v>27</v>
      </c>
      <c r="C37" s="38" t="s">
        <v>757</v>
      </c>
      <c r="E37" s="43"/>
      <c r="F37" s="43"/>
      <c r="G37" s="43"/>
      <c r="H37" s="43"/>
      <c r="I37" s="43"/>
      <c r="J37" s="43"/>
    </row>
    <row r="38" spans="1:25">
      <c r="A38" s="4">
        <f t="shared" si="0"/>
        <v>28</v>
      </c>
      <c r="C38" s="93">
        <v>392</v>
      </c>
      <c r="D38" s="31" t="s">
        <v>362</v>
      </c>
      <c r="E38" s="39">
        <v>2184877.4</v>
      </c>
      <c r="F38" s="39">
        <v>421891.25</v>
      </c>
      <c r="G38" s="243">
        <f>1/8</f>
        <v>0.125</v>
      </c>
      <c r="H38" s="39">
        <f>ROUND(((+E38-F38)*G38),2)</f>
        <v>220373.27</v>
      </c>
      <c r="I38" s="39">
        <v>215655.47</v>
      </c>
      <c r="J38" s="32">
        <f>+H38-I38</f>
        <v>4717.7999999999884</v>
      </c>
      <c r="N38" s="43"/>
    </row>
    <row r="39" spans="1:25">
      <c r="A39" s="4">
        <f t="shared" si="0"/>
        <v>29</v>
      </c>
      <c r="C39" s="93">
        <v>396</v>
      </c>
      <c r="D39" s="31" t="s">
        <v>133</v>
      </c>
      <c r="E39" s="39">
        <v>151727.24</v>
      </c>
      <c r="F39" s="39">
        <v>71202.399999999994</v>
      </c>
      <c r="G39" s="243">
        <f>1/8</f>
        <v>0.125</v>
      </c>
      <c r="H39" s="39">
        <f>ROUND(((+E39-F39)*G39),2)</f>
        <v>10065.61</v>
      </c>
      <c r="I39" s="39">
        <v>6351.46</v>
      </c>
      <c r="J39" s="32">
        <f>+H39-I39</f>
        <v>3714.1500000000005</v>
      </c>
      <c r="N39" s="43"/>
    </row>
    <row r="40" spans="1:25">
      <c r="A40" s="4">
        <f t="shared" si="0"/>
        <v>30</v>
      </c>
      <c r="D40" s="40" t="s">
        <v>93</v>
      </c>
      <c r="E40" s="41">
        <f>SUM(E38:E39)</f>
        <v>2336604.6399999997</v>
      </c>
      <c r="F40" s="41">
        <f>SUM(F38:F39)</f>
        <v>493093.65</v>
      </c>
      <c r="G40" s="41"/>
      <c r="H40" s="41">
        <f>SUM(H38:H39)</f>
        <v>230438.88</v>
      </c>
      <c r="I40" s="41">
        <f>SUM(I38:I39)</f>
        <v>222006.93</v>
      </c>
      <c r="J40" s="41">
        <f>SUM(J38:J39)</f>
        <v>8431.9499999999898</v>
      </c>
    </row>
    <row r="41" spans="1:25">
      <c r="A41" s="4">
        <f t="shared" si="0"/>
        <v>31</v>
      </c>
      <c r="C41" s="313" t="s">
        <v>81</v>
      </c>
      <c r="D41" s="351" t="s">
        <v>758</v>
      </c>
      <c r="E41" s="353"/>
      <c r="F41" s="353"/>
      <c r="G41" s="353"/>
      <c r="H41" s="353"/>
      <c r="I41" s="353"/>
      <c r="J41" s="353">
        <f>F55</f>
        <v>4337.514806088685</v>
      </c>
    </row>
    <row r="42" spans="1:25">
      <c r="A42" s="4">
        <f t="shared" si="0"/>
        <v>32</v>
      </c>
      <c r="D42" s="42"/>
      <c r="E42" s="43"/>
      <c r="F42" s="43"/>
      <c r="G42" s="43"/>
      <c r="H42" s="43"/>
      <c r="I42" s="43"/>
      <c r="J42" s="43"/>
    </row>
    <row r="43" spans="1:25">
      <c r="A43" s="4">
        <f t="shared" si="0"/>
        <v>33</v>
      </c>
    </row>
    <row r="44" spans="1:25" ht="13.8" thickBot="1">
      <c r="A44" s="4">
        <f t="shared" si="0"/>
        <v>34</v>
      </c>
      <c r="C44" s="12" t="s">
        <v>759</v>
      </c>
      <c r="D44" s="354" t="s">
        <v>66</v>
      </c>
      <c r="E44" s="355"/>
      <c r="F44" s="356"/>
      <c r="G44" s="357"/>
      <c r="H44" s="356"/>
      <c r="I44" s="356"/>
      <c r="J44" s="358">
        <f>J35+J41</f>
        <v>144170.85480608902</v>
      </c>
    </row>
    <row r="45" spans="1:25" ht="13.8" thickTop="1">
      <c r="A45" s="4">
        <f t="shared" si="0"/>
        <v>35</v>
      </c>
    </row>
    <row r="46" spans="1:25" s="31" customFormat="1" ht="29.25" customHeight="1">
      <c r="A46" s="4">
        <f t="shared" si="0"/>
        <v>36</v>
      </c>
      <c r="B46" s="45"/>
      <c r="C46" s="383" t="s">
        <v>134</v>
      </c>
      <c r="D46" s="383"/>
      <c r="E46" s="383"/>
      <c r="F46" s="383"/>
      <c r="G46" s="383"/>
      <c r="H46" s="383"/>
      <c r="I46" s="383"/>
      <c r="J46" s="383"/>
      <c r="K46" s="45"/>
      <c r="L46" s="45"/>
      <c r="M46" s="45"/>
      <c r="N46" s="45"/>
      <c r="O46" s="45"/>
      <c r="P46" s="45"/>
      <c r="Q46" s="45"/>
      <c r="R46" s="45"/>
      <c r="S46" s="45"/>
      <c r="T46" s="45"/>
      <c r="U46" s="45"/>
      <c r="V46" s="45"/>
      <c r="W46" s="45"/>
      <c r="X46" s="45"/>
      <c r="Y46" s="45"/>
    </row>
    <row r="47" spans="1:25">
      <c r="A47" s="4">
        <f t="shared" si="0"/>
        <v>37</v>
      </c>
    </row>
    <row r="48" spans="1:25" ht="12.75" customHeight="1">
      <c r="A48" s="4">
        <f t="shared" si="0"/>
        <v>38</v>
      </c>
      <c r="D48" s="46" t="s">
        <v>758</v>
      </c>
      <c r="E48" s="47" t="s">
        <v>135</v>
      </c>
      <c r="F48" s="47" t="s">
        <v>760</v>
      </c>
    </row>
    <row r="49" spans="1:10">
      <c r="A49" s="4">
        <f t="shared" si="0"/>
        <v>39</v>
      </c>
      <c r="C49" s="31"/>
      <c r="D49" s="24"/>
      <c r="E49" s="31"/>
      <c r="F49" s="31"/>
    </row>
    <row r="50" spans="1:10">
      <c r="A50" s="4">
        <f t="shared" si="0"/>
        <v>40</v>
      </c>
      <c r="C50" s="24"/>
      <c r="D50" s="31" t="s">
        <v>136</v>
      </c>
      <c r="E50" s="359">
        <v>0.14280783458872442</v>
      </c>
      <c r="F50" s="48">
        <f>E50*J40</f>
        <v>1204.1485208603935</v>
      </c>
      <c r="H50" s="379" t="s">
        <v>761</v>
      </c>
      <c r="I50" s="379"/>
      <c r="J50" s="379"/>
    </row>
    <row r="51" spans="1:10">
      <c r="A51" s="4">
        <f t="shared" si="0"/>
        <v>41</v>
      </c>
      <c r="C51" s="24"/>
      <c r="D51" s="31" t="s">
        <v>137</v>
      </c>
      <c r="E51" s="359">
        <v>0.16110884874817019</v>
      </c>
      <c r="F51" s="48">
        <f>E51*J40</f>
        <v>1358.461757202132</v>
      </c>
      <c r="H51" s="379"/>
      <c r="I51" s="379"/>
      <c r="J51" s="379"/>
    </row>
    <row r="52" spans="1:10">
      <c r="A52" s="4">
        <f t="shared" si="0"/>
        <v>42</v>
      </c>
      <c r="C52" s="24"/>
      <c r="D52" s="31" t="s">
        <v>138</v>
      </c>
      <c r="E52" s="359">
        <v>4.8979280050619314E-2</v>
      </c>
      <c r="F52" s="48">
        <f>E52*J40</f>
        <v>412.99084042281902</v>
      </c>
    </row>
    <row r="53" spans="1:10">
      <c r="A53" s="4">
        <f t="shared" si="0"/>
        <v>43</v>
      </c>
      <c r="D53" s="31" t="s">
        <v>24</v>
      </c>
      <c r="E53" s="359">
        <v>5.3568673152970397E-2</v>
      </c>
      <c r="F53" s="48">
        <f>E53*J40</f>
        <v>451.68837359218821</v>
      </c>
    </row>
    <row r="54" spans="1:10">
      <c r="A54" s="4">
        <f t="shared" si="0"/>
        <v>44</v>
      </c>
      <c r="C54" s="24"/>
      <c r="D54" s="31" t="s">
        <v>139</v>
      </c>
      <c r="E54" s="359">
        <v>0.10794956255802671</v>
      </c>
      <c r="F54" s="48">
        <f>E54*J40</f>
        <v>910.22531401115225</v>
      </c>
    </row>
    <row r="55" spans="1:10">
      <c r="A55" s="4">
        <f t="shared" si="0"/>
        <v>45</v>
      </c>
      <c r="C55" s="24"/>
      <c r="D55" s="49" t="s">
        <v>93</v>
      </c>
      <c r="E55" s="360">
        <f>SUM(E50:E54)</f>
        <v>0.51441419909851094</v>
      </c>
      <c r="F55" s="361">
        <f>SUM(F50:F54)</f>
        <v>4337.514806088685</v>
      </c>
    </row>
    <row r="56" spans="1:10">
      <c r="A56" s="4">
        <f t="shared" si="0"/>
        <v>46</v>
      </c>
      <c r="C56" s="24"/>
      <c r="D56" s="31"/>
      <c r="E56" s="359"/>
      <c r="F56" s="50"/>
    </row>
    <row r="57" spans="1:10">
      <c r="A57" s="4">
        <f t="shared" si="0"/>
        <v>47</v>
      </c>
      <c r="C57" s="24"/>
      <c r="D57" s="31" t="s">
        <v>269</v>
      </c>
      <c r="E57" s="359">
        <v>0.48558580090148906</v>
      </c>
      <c r="F57" s="48">
        <f>E57*J40</f>
        <v>4094.4351939113058</v>
      </c>
    </row>
    <row r="58" spans="1:10">
      <c r="A58" s="4">
        <f t="shared" si="0"/>
        <v>48</v>
      </c>
      <c r="C58" s="24"/>
      <c r="D58" s="31"/>
      <c r="E58" s="359"/>
      <c r="F58" s="48"/>
    </row>
    <row r="59" spans="1:10">
      <c r="A59" s="4">
        <f t="shared" si="0"/>
        <v>49</v>
      </c>
      <c r="C59" s="24"/>
      <c r="D59" s="49" t="s">
        <v>53</v>
      </c>
      <c r="E59" s="127">
        <f>E55+E57</f>
        <v>1</v>
      </c>
      <c r="F59" s="172">
        <f>F55+F57</f>
        <v>8431.9499999999898</v>
      </c>
    </row>
  </sheetData>
  <mergeCells count="5">
    <mergeCell ref="A3:J3"/>
    <mergeCell ref="A4:J4"/>
    <mergeCell ref="A6:J6"/>
    <mergeCell ref="C46:J46"/>
    <mergeCell ref="H50:J51"/>
  </mergeCells>
  <printOptions horizontalCentered="1"/>
  <pageMargins left="1" right="0.75" top="0.75" bottom="0.5" header="0.5" footer="0.5"/>
  <pageSetup scale="66" orientation="portrait" r:id="rId1"/>
  <headerFooter alignWithMargins="0">
    <oddFooter>&amp;RExhibit JW-2
Page &amp;P of &amp;N</oddFooter>
  </headerFooter>
  <ignoredErrors>
    <ignoredError sqref="C9:J9 C25:C33 C12:C21" numberStoredAsText="1"/>
    <ignoredError sqref="G3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0B4-59CA-4326-8CBB-68896E44C2B5}">
  <sheetPr>
    <pageSetUpPr fitToPage="1"/>
  </sheetPr>
  <dimension ref="A1:O37"/>
  <sheetViews>
    <sheetView view="pageBreakPreview" zoomScale="80" zoomScaleNormal="100" zoomScaleSheetLayoutView="80" workbookViewId="0">
      <selection activeCell="H1" sqref="G1:H1"/>
    </sheetView>
  </sheetViews>
  <sheetFormatPr defaultColWidth="9.109375" defaultRowHeight="13.8"/>
  <cols>
    <col min="1" max="1" width="5.33203125" style="173" customWidth="1"/>
    <col min="2" max="2" width="42.44140625" style="173" customWidth="1"/>
    <col min="3" max="3" width="13.88671875" style="173" bestFit="1" customWidth="1"/>
    <col min="4" max="4" width="12" style="173" bestFit="1" customWidth="1"/>
    <col min="5" max="5" width="12.33203125" style="173" customWidth="1"/>
    <col min="6" max="6" width="12" style="173" bestFit="1" customWidth="1"/>
    <col min="7" max="7" width="10.33203125" style="173" bestFit="1" customWidth="1"/>
    <col min="8" max="8" width="13.5546875" style="173" customWidth="1"/>
    <col min="9" max="9" width="10.33203125" style="173" bestFit="1" customWidth="1"/>
    <col min="10" max="10" width="13.88671875" style="173" bestFit="1" customWidth="1"/>
    <col min="11" max="11" width="8.33203125" style="173" bestFit="1" customWidth="1"/>
    <col min="12" max="12" width="13.109375" style="173" bestFit="1" customWidth="1"/>
    <col min="13" max="16384" width="9.109375" style="173"/>
  </cols>
  <sheetData>
    <row r="1" spans="1:14" s="2" customFormat="1" ht="13.2">
      <c r="H1" s="20" t="s">
        <v>480</v>
      </c>
    </row>
    <row r="2" spans="1:14" s="2" customFormat="1" ht="13.2">
      <c r="K2" s="20"/>
    </row>
    <row r="3" spans="1:14" s="2" customFormat="1" ht="13.2">
      <c r="K3" s="20"/>
    </row>
    <row r="4" spans="1:14" s="2" customFormat="1" ht="13.2">
      <c r="A4" s="377" t="s">
        <v>566</v>
      </c>
      <c r="B4" s="377"/>
      <c r="C4" s="377"/>
      <c r="D4" s="377"/>
      <c r="E4" s="377"/>
      <c r="F4" s="377"/>
      <c r="G4" s="377"/>
      <c r="H4" s="377"/>
      <c r="I4" s="377"/>
      <c r="J4" s="193"/>
      <c r="K4" s="193"/>
    </row>
    <row r="5" spans="1:14" s="2" customFormat="1" ht="13.2">
      <c r="A5" s="377" t="s">
        <v>522</v>
      </c>
      <c r="B5" s="377"/>
      <c r="C5" s="377"/>
      <c r="D5" s="377"/>
      <c r="E5" s="377"/>
      <c r="F5" s="377"/>
      <c r="G5" s="377"/>
      <c r="H5" s="377"/>
      <c r="I5" s="377"/>
      <c r="J5" s="193"/>
      <c r="K5" s="193"/>
      <c r="L5" s="193"/>
    </row>
    <row r="6" spans="1:14" s="2" customFormat="1" ht="13.2">
      <c r="A6" s="193"/>
      <c r="B6" s="193"/>
      <c r="C6" s="193"/>
      <c r="D6" s="193"/>
      <c r="E6" s="193"/>
      <c r="F6" s="193"/>
      <c r="G6" s="193"/>
      <c r="H6" s="193"/>
      <c r="I6" s="193"/>
      <c r="J6" s="193"/>
      <c r="K6" s="193"/>
      <c r="L6" s="193"/>
    </row>
    <row r="7" spans="1:14" s="2" customFormat="1" ht="13.2">
      <c r="A7" s="378" t="s">
        <v>365</v>
      </c>
      <c r="B7" s="378"/>
      <c r="C7" s="378"/>
      <c r="D7" s="378"/>
      <c r="E7" s="378"/>
      <c r="F7" s="378"/>
      <c r="G7" s="378"/>
      <c r="H7" s="378"/>
      <c r="I7" s="378"/>
      <c r="J7" s="88"/>
      <c r="K7" s="88"/>
    </row>
    <row r="8" spans="1:14" s="2" customFormat="1" ht="13.2"/>
    <row r="9" spans="1:14">
      <c r="A9" s="347" t="s">
        <v>11</v>
      </c>
      <c r="B9" s="22" t="s">
        <v>48</v>
      </c>
      <c r="C9" s="22" t="s">
        <v>706</v>
      </c>
      <c r="D9" s="22" t="s">
        <v>707</v>
      </c>
      <c r="E9" s="22" t="s">
        <v>708</v>
      </c>
      <c r="F9" s="22" t="s">
        <v>709</v>
      </c>
      <c r="G9" s="22" t="s">
        <v>710</v>
      </c>
      <c r="H9" s="22" t="s">
        <v>711</v>
      </c>
      <c r="I9" s="1"/>
      <c r="J9" s="174"/>
      <c r="K9" s="174"/>
    </row>
    <row r="10" spans="1:14">
      <c r="A10" s="196">
        <v>1</v>
      </c>
      <c r="B10" s="4" t="s">
        <v>712</v>
      </c>
      <c r="C10" s="246">
        <v>264</v>
      </c>
      <c r="D10" s="246">
        <v>0</v>
      </c>
      <c r="E10" s="246">
        <v>527.66</v>
      </c>
      <c r="F10" s="246">
        <v>0</v>
      </c>
      <c r="G10" s="246">
        <v>0</v>
      </c>
      <c r="H10" s="246">
        <v>0</v>
      </c>
      <c r="I10" s="280"/>
      <c r="J10" s="240"/>
      <c r="K10" s="240"/>
      <c r="M10" s="176"/>
      <c r="N10" s="176"/>
    </row>
    <row r="11" spans="1:14">
      <c r="A11" s="196">
        <f>+A10+1</f>
        <v>2</v>
      </c>
      <c r="B11" s="4" t="s">
        <v>713</v>
      </c>
      <c r="C11" s="246">
        <v>200</v>
      </c>
      <c r="D11" s="246">
        <v>0</v>
      </c>
      <c r="E11" s="246">
        <v>309.22000000000003</v>
      </c>
      <c r="F11" s="246"/>
      <c r="G11" s="246">
        <v>0</v>
      </c>
      <c r="H11" s="246">
        <v>0</v>
      </c>
      <c r="I11" s="280"/>
      <c r="J11" s="240"/>
      <c r="K11" s="240"/>
      <c r="M11" s="176"/>
      <c r="N11" s="176"/>
    </row>
    <row r="12" spans="1:14">
      <c r="A12" s="196">
        <f t="shared" ref="A12:A27" si="0">+A11+1</f>
        <v>3</v>
      </c>
      <c r="B12" s="4" t="s">
        <v>714</v>
      </c>
      <c r="C12" s="246">
        <v>280</v>
      </c>
      <c r="D12" s="246">
        <v>0</v>
      </c>
      <c r="E12" s="246">
        <f>280+108+190+108</f>
        <v>686</v>
      </c>
      <c r="F12" s="246">
        <v>0</v>
      </c>
      <c r="G12" s="246">
        <v>0</v>
      </c>
      <c r="H12" s="246">
        <v>0</v>
      </c>
      <c r="I12" s="280"/>
      <c r="J12" s="240"/>
      <c r="K12" s="240"/>
      <c r="M12" s="176"/>
      <c r="N12" s="176"/>
    </row>
    <row r="13" spans="1:14">
      <c r="A13" s="196">
        <f t="shared" si="0"/>
        <v>4</v>
      </c>
      <c r="B13" s="4" t="s">
        <v>715</v>
      </c>
      <c r="C13" s="280">
        <v>100</v>
      </c>
      <c r="D13" s="280">
        <v>0</v>
      </c>
      <c r="E13" s="280">
        <v>0</v>
      </c>
      <c r="F13" s="280">
        <v>100</v>
      </c>
      <c r="G13" s="280">
        <v>0</v>
      </c>
      <c r="H13" s="280">
        <v>0</v>
      </c>
      <c r="I13" s="280"/>
      <c r="J13" s="240"/>
      <c r="K13" s="240"/>
      <c r="M13" s="176"/>
      <c r="N13" s="176"/>
    </row>
    <row r="14" spans="1:14">
      <c r="A14" s="196">
        <f t="shared" si="0"/>
        <v>5</v>
      </c>
      <c r="B14" s="4" t="s">
        <v>716</v>
      </c>
      <c r="C14" s="280">
        <v>153</v>
      </c>
      <c r="D14" s="280">
        <v>0</v>
      </c>
      <c r="E14" s="280">
        <v>0</v>
      </c>
      <c r="F14" s="280">
        <v>0</v>
      </c>
      <c r="G14" s="280">
        <v>0</v>
      </c>
      <c r="H14" s="280">
        <v>0</v>
      </c>
      <c r="I14" s="280"/>
      <c r="J14" s="240"/>
      <c r="K14" s="240"/>
      <c r="M14" s="176"/>
      <c r="N14" s="176"/>
    </row>
    <row r="15" spans="1:14">
      <c r="A15" s="196">
        <f t="shared" si="0"/>
        <v>6</v>
      </c>
      <c r="B15" s="4" t="s">
        <v>717</v>
      </c>
      <c r="C15" s="348">
        <f>1.35*12</f>
        <v>16.200000000000003</v>
      </c>
      <c r="D15" s="348">
        <f>0.61*12</f>
        <v>7.32</v>
      </c>
      <c r="E15" s="348">
        <f>1.35*12</f>
        <v>16.200000000000003</v>
      </c>
      <c r="F15" s="348">
        <f>1.35*12</f>
        <v>16.200000000000003</v>
      </c>
      <c r="G15" s="348">
        <f>0.88*12</f>
        <v>10.56</v>
      </c>
      <c r="H15" s="348">
        <f>1.35*12</f>
        <v>16.200000000000003</v>
      </c>
      <c r="I15" s="280"/>
      <c r="J15" s="240"/>
      <c r="K15" s="240"/>
      <c r="M15" s="176"/>
      <c r="N15" s="176"/>
    </row>
    <row r="16" spans="1:14">
      <c r="A16" s="196">
        <f t="shared" si="0"/>
        <v>7</v>
      </c>
      <c r="B16" s="2"/>
      <c r="C16" s="242">
        <f>SUM(C10:C15)</f>
        <v>1013.2</v>
      </c>
      <c r="D16" s="242">
        <f t="shared" ref="D16:H16" si="1">SUM(D10:D15)</f>
        <v>7.32</v>
      </c>
      <c r="E16" s="242">
        <f t="shared" si="1"/>
        <v>1539.0800000000002</v>
      </c>
      <c r="F16" s="242">
        <f t="shared" si="1"/>
        <v>116.2</v>
      </c>
      <c r="G16" s="242">
        <f t="shared" si="1"/>
        <v>10.56</v>
      </c>
      <c r="H16" s="242">
        <f t="shared" si="1"/>
        <v>16.200000000000003</v>
      </c>
      <c r="I16" s="263"/>
      <c r="J16" s="239"/>
      <c r="K16" s="239"/>
      <c r="M16" s="176"/>
      <c r="N16" s="176"/>
    </row>
    <row r="17" spans="1:15">
      <c r="A17" s="196">
        <f t="shared" si="0"/>
        <v>8</v>
      </c>
      <c r="B17" s="2"/>
      <c r="C17" s="246"/>
      <c r="D17" s="246"/>
      <c r="E17" s="246"/>
      <c r="F17" s="246"/>
      <c r="G17" s="246"/>
      <c r="H17" s="246"/>
      <c r="I17" s="246"/>
      <c r="J17" s="188"/>
      <c r="K17" s="188"/>
      <c r="M17" s="176"/>
      <c r="N17" s="176"/>
    </row>
    <row r="18" spans="1:15">
      <c r="A18" s="196">
        <f t="shared" si="0"/>
        <v>9</v>
      </c>
      <c r="B18" s="246"/>
      <c r="C18" s="246"/>
      <c r="D18" s="246"/>
      <c r="E18" s="246"/>
      <c r="F18" s="246"/>
      <c r="G18" s="246"/>
      <c r="H18" s="246"/>
      <c r="I18" s="246"/>
      <c r="J18" s="188"/>
      <c r="K18" s="188"/>
      <c r="M18" s="176"/>
      <c r="N18" s="176"/>
    </row>
    <row r="19" spans="1:15">
      <c r="A19" s="196">
        <f t="shared" si="0"/>
        <v>10</v>
      </c>
      <c r="B19" s="2"/>
      <c r="C19" s="246"/>
      <c r="D19" s="246"/>
      <c r="E19" s="246"/>
      <c r="F19" s="246"/>
      <c r="G19" s="246"/>
      <c r="H19" s="246"/>
      <c r="I19" s="246"/>
      <c r="J19" s="188"/>
      <c r="K19" s="188"/>
      <c r="M19" s="176"/>
      <c r="N19" s="176"/>
    </row>
    <row r="20" spans="1:15">
      <c r="A20" s="196">
        <f t="shared" si="0"/>
        <v>11</v>
      </c>
      <c r="B20" s="37" t="s">
        <v>451</v>
      </c>
      <c r="C20" s="199" t="s">
        <v>452</v>
      </c>
      <c r="D20" s="246"/>
      <c r="E20" s="246"/>
      <c r="F20" s="246"/>
      <c r="G20" s="246"/>
      <c r="H20" s="246"/>
      <c r="I20" s="246"/>
      <c r="J20" s="188"/>
      <c r="K20" s="188"/>
      <c r="L20" s="176"/>
      <c r="M20" s="176"/>
      <c r="N20" s="176"/>
    </row>
    <row r="21" spans="1:15">
      <c r="A21" s="196">
        <f t="shared" si="0"/>
        <v>12</v>
      </c>
      <c r="B21" s="2" t="s">
        <v>718</v>
      </c>
      <c r="C21" s="246">
        <f>+C10+E10</f>
        <v>791.66</v>
      </c>
      <c r="D21" s="246"/>
      <c r="E21" s="246"/>
      <c r="F21" s="2"/>
      <c r="G21" s="2"/>
      <c r="H21" s="2"/>
      <c r="I21" s="246"/>
      <c r="J21" s="188"/>
      <c r="K21" s="188"/>
      <c r="L21" s="176"/>
      <c r="M21" s="176"/>
      <c r="N21" s="176"/>
    </row>
    <row r="22" spans="1:15">
      <c r="A22" s="196">
        <f t="shared" si="0"/>
        <v>13</v>
      </c>
      <c r="B22" s="2" t="s">
        <v>719</v>
      </c>
      <c r="C22" s="246">
        <f>+C11+E11</f>
        <v>509.22</v>
      </c>
      <c r="D22" s="246"/>
      <c r="E22" s="2"/>
      <c r="F22" s="2" t="s">
        <v>83</v>
      </c>
      <c r="G22" s="2"/>
      <c r="H22" s="242">
        <v>106481.88</v>
      </c>
      <c r="I22" s="246"/>
    </row>
    <row r="23" spans="1:15">
      <c r="A23" s="196">
        <f t="shared" si="0"/>
        <v>14</v>
      </c>
      <c r="B23" s="2" t="s">
        <v>720</v>
      </c>
      <c r="C23" s="246">
        <f>+C12+E12</f>
        <v>966</v>
      </c>
      <c r="D23" s="246"/>
      <c r="E23" s="2"/>
      <c r="F23" s="2"/>
      <c r="G23" s="2"/>
      <c r="H23" s="242"/>
      <c r="I23" s="246"/>
    </row>
    <row r="24" spans="1:15">
      <c r="A24" s="196">
        <f t="shared" si="0"/>
        <v>15</v>
      </c>
      <c r="B24" s="2" t="s">
        <v>721</v>
      </c>
      <c r="C24" s="246">
        <f>+C13+F13</f>
        <v>200</v>
      </c>
      <c r="D24" s="246"/>
      <c r="E24" s="2"/>
      <c r="F24" s="2" t="s">
        <v>436</v>
      </c>
      <c r="G24" s="2"/>
      <c r="H24" s="247">
        <f>+H22-C27</f>
        <v>103779.32</v>
      </c>
      <c r="I24" s="246"/>
    </row>
    <row r="25" spans="1:15">
      <c r="A25" s="196">
        <f t="shared" si="0"/>
        <v>16</v>
      </c>
      <c r="B25" s="196" t="s">
        <v>716</v>
      </c>
      <c r="C25" s="280">
        <f>SUM(C14:H14)</f>
        <v>153</v>
      </c>
      <c r="D25" s="246"/>
      <c r="E25" s="2"/>
      <c r="F25" s="2"/>
      <c r="G25" s="2"/>
      <c r="H25" s="247"/>
      <c r="I25" s="246"/>
    </row>
    <row r="26" spans="1:15">
      <c r="A26" s="196">
        <f t="shared" si="0"/>
        <v>17</v>
      </c>
      <c r="B26" s="196" t="s">
        <v>717</v>
      </c>
      <c r="C26" s="348">
        <f>SUM(C15:H15)</f>
        <v>82.68</v>
      </c>
      <c r="D26" s="246"/>
      <c r="E26" s="2"/>
      <c r="F26" s="2"/>
      <c r="G26" s="2"/>
      <c r="H26" s="247"/>
      <c r="I26" s="246"/>
    </row>
    <row r="27" spans="1:15" ht="14.4" thickBot="1">
      <c r="A27" s="196">
        <f t="shared" si="0"/>
        <v>18</v>
      </c>
      <c r="B27" s="9" t="s">
        <v>453</v>
      </c>
      <c r="C27" s="242">
        <f>SUM(C21:C26)</f>
        <v>2702.56</v>
      </c>
      <c r="D27" s="246"/>
      <c r="E27" s="246"/>
      <c r="F27" s="12" t="s">
        <v>10</v>
      </c>
      <c r="G27" s="12"/>
      <c r="H27" s="248">
        <f>H24-H22</f>
        <v>-2702.5599999999977</v>
      </c>
      <c r="I27" s="246"/>
      <c r="J27" s="188"/>
      <c r="K27" s="188"/>
    </row>
    <row r="28" spans="1:15" ht="14.4" thickTop="1">
      <c r="A28" s="2"/>
      <c r="B28" s="2"/>
      <c r="C28" s="246"/>
      <c r="D28" s="246"/>
      <c r="E28" s="246"/>
      <c r="F28" s="246"/>
      <c r="G28" s="246"/>
      <c r="H28" s="246"/>
      <c r="I28" s="246"/>
      <c r="J28" s="188"/>
      <c r="K28" s="188"/>
    </row>
    <row r="29" spans="1:15" ht="7.5" customHeight="1">
      <c r="A29" s="2"/>
      <c r="B29" s="2"/>
      <c r="C29" s="2"/>
      <c r="D29" s="140"/>
      <c r="E29" s="140"/>
      <c r="F29" s="246"/>
      <c r="G29" s="246"/>
      <c r="H29" s="246"/>
      <c r="I29" s="140"/>
      <c r="J29" s="140"/>
      <c r="K29" s="140"/>
      <c r="L29" s="140"/>
      <c r="M29" s="140"/>
      <c r="N29" s="140"/>
      <c r="O29" s="140"/>
    </row>
    <row r="30" spans="1:15" ht="18" customHeight="1">
      <c r="A30" s="2"/>
      <c r="B30" s="380" t="s">
        <v>484</v>
      </c>
      <c r="C30" s="380"/>
      <c r="D30" s="380"/>
      <c r="E30" s="380"/>
      <c r="F30" s="380"/>
      <c r="G30" s="380"/>
      <c r="H30" s="380"/>
      <c r="I30" s="246"/>
      <c r="J30" s="188"/>
      <c r="K30" s="188"/>
    </row>
    <row r="31" spans="1:15">
      <c r="A31" s="2"/>
      <c r="B31" s="2"/>
      <c r="C31" s="2"/>
      <c r="D31" s="246"/>
      <c r="E31" s="246"/>
      <c r="F31" s="246"/>
      <c r="G31" s="246"/>
      <c r="H31" s="246"/>
      <c r="I31" s="246"/>
      <c r="J31" s="188"/>
      <c r="K31" s="188"/>
    </row>
    <row r="32" spans="1:15">
      <c r="A32" s="2"/>
      <c r="B32" s="2"/>
      <c r="C32" s="2"/>
      <c r="D32" s="246"/>
      <c r="E32" s="246"/>
      <c r="F32" s="246"/>
      <c r="G32" s="246"/>
      <c r="H32" s="246"/>
      <c r="I32" s="246"/>
      <c r="J32" s="188"/>
      <c r="K32" s="188"/>
    </row>
    <row r="33" spans="3:11">
      <c r="D33" s="188"/>
      <c r="E33" s="188"/>
      <c r="F33" s="188"/>
      <c r="G33" s="188"/>
      <c r="H33" s="188"/>
      <c r="I33" s="188"/>
      <c r="J33" s="188"/>
      <c r="K33" s="188"/>
    </row>
    <row r="34" spans="3:11">
      <c r="C34" s="188"/>
      <c r="D34" s="188"/>
      <c r="E34" s="188"/>
      <c r="F34" s="188"/>
      <c r="G34" s="188"/>
      <c r="H34" s="188"/>
      <c r="I34" s="188"/>
      <c r="J34" s="188"/>
      <c r="K34" s="188"/>
    </row>
    <row r="35" spans="3:11">
      <c r="C35" s="188"/>
      <c r="D35" s="188"/>
      <c r="E35" s="188"/>
      <c r="F35" s="188"/>
      <c r="G35" s="188"/>
      <c r="H35" s="188"/>
      <c r="I35" s="188"/>
      <c r="J35" s="188"/>
      <c r="K35" s="188"/>
    </row>
    <row r="36" spans="3:11">
      <c r="C36" s="188"/>
      <c r="D36" s="188"/>
      <c r="E36" s="188"/>
      <c r="F36" s="188"/>
      <c r="G36" s="188"/>
      <c r="H36" s="188"/>
      <c r="I36" s="188"/>
      <c r="J36" s="188"/>
      <c r="K36" s="188"/>
    </row>
    <row r="37" spans="3:11">
      <c r="C37" s="188"/>
      <c r="F37" s="188"/>
      <c r="G37" s="188"/>
      <c r="H37" s="188"/>
    </row>
  </sheetData>
  <mergeCells count="4">
    <mergeCell ref="A4:I4"/>
    <mergeCell ref="A5:I5"/>
    <mergeCell ref="A7:I7"/>
    <mergeCell ref="B30:H30"/>
  </mergeCells>
  <printOptions horizontalCentered="1"/>
  <pageMargins left="0.7" right="0.7" top="0.75" bottom="0.75" header="0.3" footer="0.3"/>
  <pageSetup orientation="landscape" r:id="rId1"/>
  <headerFooter>
    <oddFooter>&amp;RExhibit JW-2
Page &amp;P of &amp;N</oddFooter>
  </headerFooter>
  <ignoredErrors>
    <ignoredError sqref="G15 D1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60310-4D66-4C2D-AEFE-8D44AAC1C1B7}">
  <sheetPr>
    <pageSetUpPr fitToPage="1"/>
  </sheetPr>
  <dimension ref="A1:L26"/>
  <sheetViews>
    <sheetView view="pageBreakPreview" zoomScaleNormal="100" zoomScaleSheetLayoutView="100" workbookViewId="0">
      <selection activeCell="C14" sqref="C14"/>
    </sheetView>
  </sheetViews>
  <sheetFormatPr defaultColWidth="8.88671875" defaultRowHeight="13.2"/>
  <cols>
    <col min="1" max="1" width="8.88671875" style="2"/>
    <col min="2" max="2" width="60.6640625" style="2" customWidth="1"/>
    <col min="3" max="3" width="23.5546875" style="2" customWidth="1"/>
    <col min="4" max="12" width="18.109375" style="2" customWidth="1"/>
    <col min="13" max="13" width="10.5546875" style="2" bestFit="1" customWidth="1"/>
    <col min="14" max="16384" width="8.88671875" style="2"/>
  </cols>
  <sheetData>
    <row r="1" spans="1:12">
      <c r="C1" s="20" t="s">
        <v>763</v>
      </c>
    </row>
    <row r="2" spans="1:12">
      <c r="K2" s="20"/>
    </row>
    <row r="3" spans="1:12">
      <c r="K3" s="20"/>
    </row>
    <row r="4" spans="1:12">
      <c r="A4" s="377" t="s">
        <v>566</v>
      </c>
      <c r="B4" s="377"/>
      <c r="C4" s="377"/>
      <c r="D4" s="193"/>
      <c r="E4" s="193"/>
      <c r="F4" s="193"/>
      <c r="G4" s="193"/>
      <c r="H4" s="193"/>
      <c r="I4" s="193"/>
      <c r="J4" s="193"/>
      <c r="K4" s="193"/>
    </row>
    <row r="5" spans="1:12">
      <c r="A5" s="377" t="s">
        <v>522</v>
      </c>
      <c r="B5" s="377"/>
      <c r="C5" s="377"/>
      <c r="D5" s="193"/>
      <c r="E5" s="193"/>
      <c r="F5" s="193"/>
      <c r="G5" s="193"/>
      <c r="H5" s="193"/>
      <c r="I5" s="193"/>
      <c r="J5" s="193"/>
      <c r="K5" s="193"/>
      <c r="L5" s="193"/>
    </row>
    <row r="6" spans="1:12">
      <c r="A6" s="193"/>
      <c r="B6" s="193"/>
      <c r="C6" s="193"/>
      <c r="D6" s="193"/>
      <c r="E6" s="193"/>
      <c r="F6" s="193"/>
      <c r="G6" s="193"/>
      <c r="H6" s="193"/>
      <c r="I6" s="193"/>
      <c r="J6" s="193"/>
      <c r="K6" s="193"/>
      <c r="L6" s="193"/>
    </row>
    <row r="7" spans="1:12">
      <c r="A7" s="378" t="s">
        <v>519</v>
      </c>
      <c r="B7" s="378"/>
      <c r="C7" s="378"/>
      <c r="D7" s="88"/>
      <c r="E7" s="88"/>
      <c r="F7" s="88"/>
      <c r="G7" s="88"/>
      <c r="H7" s="88"/>
      <c r="I7" s="88"/>
      <c r="J7" s="88"/>
      <c r="K7" s="88"/>
    </row>
    <row r="8" spans="1:12">
      <c r="A8" s="218"/>
      <c r="B8" s="218"/>
      <c r="C8" s="218"/>
      <c r="D8" s="88"/>
      <c r="E8" s="88"/>
      <c r="F8" s="88"/>
      <c r="G8" s="88"/>
      <c r="H8" s="88"/>
      <c r="I8" s="88"/>
      <c r="J8" s="88"/>
      <c r="K8" s="88"/>
    </row>
    <row r="9" spans="1:12">
      <c r="B9" s="4" t="s">
        <v>515</v>
      </c>
      <c r="C9" s="14"/>
      <c r="D9" s="198"/>
      <c r="E9" s="198"/>
      <c r="F9" s="198"/>
      <c r="G9" s="198"/>
      <c r="H9" s="198"/>
      <c r="I9" s="198"/>
      <c r="J9" s="198"/>
      <c r="K9" s="198"/>
      <c r="L9" s="198"/>
    </row>
    <row r="10" spans="1:12">
      <c r="A10" s="253" t="s">
        <v>11</v>
      </c>
      <c r="B10" s="22" t="s">
        <v>48</v>
      </c>
      <c r="C10" s="23" t="s">
        <v>513</v>
      </c>
      <c r="D10" s="201"/>
      <c r="E10" s="201"/>
      <c r="F10" s="201"/>
      <c r="G10" s="201"/>
      <c r="H10" s="201"/>
      <c r="I10" s="201"/>
      <c r="J10" s="201"/>
      <c r="K10" s="201"/>
      <c r="L10" s="201"/>
    </row>
    <row r="11" spans="1:12">
      <c r="A11" s="196"/>
      <c r="B11" s="1"/>
      <c r="C11" s="201"/>
      <c r="D11" s="201"/>
      <c r="E11" s="201"/>
      <c r="F11" s="201"/>
      <c r="G11" s="201"/>
      <c r="H11" s="201"/>
      <c r="I11" s="201"/>
      <c r="J11" s="201"/>
      <c r="K11" s="201"/>
      <c r="L11" s="201"/>
    </row>
    <row r="12" spans="1:12">
      <c r="A12" s="196">
        <v>1</v>
      </c>
      <c r="B12" s="4" t="s">
        <v>516</v>
      </c>
      <c r="C12" s="258">
        <v>1559288</v>
      </c>
      <c r="D12" s="241"/>
      <c r="E12" s="201"/>
      <c r="F12" s="201"/>
      <c r="G12" s="201"/>
      <c r="H12" s="201"/>
      <c r="I12" s="201"/>
      <c r="J12" s="201"/>
      <c r="K12" s="201"/>
      <c r="L12" s="201"/>
    </row>
    <row r="13" spans="1:12">
      <c r="A13" s="196">
        <f>A12+1</f>
        <v>2</v>
      </c>
      <c r="B13" s="4" t="s">
        <v>658</v>
      </c>
      <c r="C13" s="258">
        <v>1999717</v>
      </c>
      <c r="D13" s="241"/>
      <c r="E13" s="201"/>
      <c r="F13" s="201"/>
      <c r="G13" s="201"/>
      <c r="H13" s="201"/>
      <c r="I13" s="201"/>
      <c r="J13" s="201"/>
      <c r="K13" s="201"/>
      <c r="L13" s="201"/>
    </row>
    <row r="14" spans="1:12">
      <c r="A14" s="196">
        <f>A13+1</f>
        <v>3</v>
      </c>
      <c r="B14" s="259" t="s">
        <v>10</v>
      </c>
      <c r="C14" s="260">
        <f>+C13-C12</f>
        <v>440429</v>
      </c>
      <c r="D14" s="241"/>
      <c r="E14" s="201"/>
      <c r="F14" s="201"/>
      <c r="G14" s="201"/>
      <c r="H14" s="201"/>
      <c r="I14" s="201"/>
      <c r="J14" s="201"/>
      <c r="K14" s="201"/>
      <c r="L14" s="201"/>
    </row>
    <row r="15" spans="1:12">
      <c r="B15" s="1"/>
      <c r="D15" s="241"/>
      <c r="E15" s="201"/>
      <c r="F15" s="201"/>
      <c r="G15" s="201"/>
      <c r="H15" s="201"/>
      <c r="I15" s="201"/>
      <c r="J15" s="201"/>
      <c r="K15" s="201"/>
      <c r="L15" s="201"/>
    </row>
    <row r="16" spans="1:12">
      <c r="B16" s="250" t="s">
        <v>659</v>
      </c>
      <c r="C16" s="206"/>
      <c r="D16" s="206"/>
      <c r="E16" s="206"/>
      <c r="F16" s="206"/>
      <c r="G16" s="206"/>
      <c r="H16" s="206"/>
      <c r="I16" s="206"/>
      <c r="J16" s="206"/>
      <c r="K16" s="206"/>
      <c r="L16" s="206"/>
    </row>
    <row r="17" spans="2:8">
      <c r="B17" s="250"/>
      <c r="C17" s="18"/>
      <c r="D17" s="18"/>
      <c r="E17" s="18"/>
      <c r="F17" s="18"/>
      <c r="G17" s="18"/>
      <c r="H17" s="18"/>
    </row>
    <row r="18" spans="2:8">
      <c r="C18" s="18"/>
      <c r="D18" s="18"/>
      <c r="E18" s="18"/>
      <c r="F18" s="18"/>
      <c r="G18" s="18"/>
      <c r="H18" s="18"/>
    </row>
    <row r="19" spans="2:8">
      <c r="B19" s="29"/>
      <c r="C19" s="17"/>
      <c r="D19" s="17"/>
      <c r="E19" s="17"/>
      <c r="F19" s="17"/>
      <c r="G19" s="17"/>
      <c r="H19" s="17"/>
    </row>
    <row r="20" spans="2:8">
      <c r="C20" s="17"/>
      <c r="D20" s="17"/>
      <c r="E20" s="17"/>
      <c r="F20" s="17"/>
      <c r="G20" s="17"/>
      <c r="H20" s="17"/>
    </row>
    <row r="21" spans="2:8">
      <c r="C21" s="17"/>
      <c r="D21" s="17"/>
      <c r="E21" s="17"/>
      <c r="F21" s="17"/>
      <c r="G21" s="17"/>
      <c r="H21" s="17"/>
    </row>
    <row r="22" spans="2:8">
      <c r="C22" s="17"/>
      <c r="D22" s="17"/>
      <c r="E22" s="17"/>
      <c r="F22" s="17"/>
      <c r="G22" s="17"/>
      <c r="H22" s="246"/>
    </row>
    <row r="23" spans="2:8">
      <c r="C23" s="17"/>
      <c r="D23" s="17"/>
      <c r="E23" s="17"/>
      <c r="F23" s="17"/>
      <c r="G23" s="17"/>
      <c r="H23" s="17"/>
    </row>
    <row r="24" spans="2:8">
      <c r="C24" s="17"/>
      <c r="D24" s="17"/>
      <c r="E24" s="17"/>
      <c r="F24" s="17"/>
      <c r="G24" s="17"/>
      <c r="H24" s="17"/>
    </row>
    <row r="25" spans="2:8">
      <c r="C25" s="17"/>
      <c r="D25" s="17"/>
      <c r="E25" s="17"/>
      <c r="F25" s="17"/>
      <c r="G25" s="17"/>
      <c r="H25" s="17"/>
    </row>
    <row r="26" spans="2:8">
      <c r="C26" s="17"/>
      <c r="D26" s="17"/>
      <c r="E26" s="17"/>
      <c r="F26" s="17"/>
      <c r="G26" s="17"/>
      <c r="H26" s="17"/>
    </row>
  </sheetData>
  <mergeCells count="3">
    <mergeCell ref="A4:C4"/>
    <mergeCell ref="A5:C5"/>
    <mergeCell ref="A7:C7"/>
  </mergeCells>
  <printOptions horizontalCentered="1"/>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F163-2240-4012-B873-2B1EE6DE18C4}">
  <sheetPr>
    <pageSetUpPr fitToPage="1"/>
  </sheetPr>
  <dimension ref="A1:L28"/>
  <sheetViews>
    <sheetView view="pageBreakPreview" zoomScaleNormal="100" zoomScaleSheetLayoutView="100" workbookViewId="0">
      <selection activeCell="C13" sqref="C13"/>
    </sheetView>
  </sheetViews>
  <sheetFormatPr defaultColWidth="8.88671875" defaultRowHeight="13.2"/>
  <cols>
    <col min="1" max="1" width="5.44140625" style="2" customWidth="1"/>
    <col min="2" max="2" width="34.6640625" style="2" customWidth="1"/>
    <col min="3" max="3" width="19.6640625" style="2" customWidth="1"/>
    <col min="4" max="11" width="18.109375" style="2" customWidth="1"/>
    <col min="12" max="12" width="10.5546875" style="2" bestFit="1" customWidth="1"/>
    <col min="13" max="16384" width="8.88671875" style="2"/>
  </cols>
  <sheetData>
    <row r="1" spans="1:12">
      <c r="C1" s="20" t="s">
        <v>483</v>
      </c>
    </row>
    <row r="2" spans="1:12">
      <c r="K2" s="20"/>
    </row>
    <row r="3" spans="1:12">
      <c r="K3" s="20"/>
    </row>
    <row r="4" spans="1:12">
      <c r="A4" s="377" t="s">
        <v>521</v>
      </c>
      <c r="B4" s="377"/>
      <c r="C4" s="377"/>
      <c r="D4" s="193"/>
      <c r="E4" s="193"/>
      <c r="F4" s="193"/>
      <c r="G4" s="193"/>
      <c r="H4" s="193"/>
      <c r="I4" s="193"/>
      <c r="J4" s="193"/>
      <c r="K4" s="193"/>
    </row>
    <row r="5" spans="1:12">
      <c r="A5" s="377" t="s">
        <v>522</v>
      </c>
      <c r="B5" s="377"/>
      <c r="C5" s="377"/>
      <c r="D5" s="193"/>
      <c r="E5" s="193"/>
      <c r="F5" s="193"/>
      <c r="G5" s="193"/>
      <c r="H5" s="193"/>
      <c r="I5" s="193"/>
      <c r="J5" s="193"/>
      <c r="K5" s="193"/>
      <c r="L5" s="193"/>
    </row>
    <row r="6" spans="1:12">
      <c r="A6" s="193"/>
      <c r="B6" s="193"/>
      <c r="C6" s="193"/>
      <c r="D6" s="193"/>
      <c r="E6" s="193"/>
      <c r="F6" s="193"/>
      <c r="G6" s="193"/>
      <c r="H6" s="193"/>
      <c r="I6" s="193"/>
      <c r="J6" s="193"/>
      <c r="K6" s="193"/>
      <c r="L6" s="193"/>
    </row>
    <row r="7" spans="1:12">
      <c r="A7" s="378" t="s">
        <v>39</v>
      </c>
      <c r="B7" s="378"/>
      <c r="C7" s="378"/>
      <c r="D7" s="88"/>
      <c r="E7" s="88"/>
      <c r="F7" s="88"/>
      <c r="G7" s="88"/>
      <c r="H7" s="88"/>
      <c r="I7" s="88"/>
      <c r="J7" s="88"/>
      <c r="K7" s="88"/>
    </row>
    <row r="9" spans="1:12">
      <c r="A9" s="196"/>
      <c r="B9" s="4" t="s">
        <v>515</v>
      </c>
      <c r="C9" s="14"/>
      <c r="D9" s="198"/>
      <c r="E9" s="198"/>
      <c r="F9" s="198"/>
      <c r="G9" s="198"/>
      <c r="H9" s="198"/>
      <c r="I9" s="198"/>
      <c r="J9" s="198"/>
      <c r="K9" s="198"/>
    </row>
    <row r="10" spans="1:12">
      <c r="A10" s="279" t="s">
        <v>11</v>
      </c>
      <c r="B10" s="22" t="s">
        <v>48</v>
      </c>
      <c r="C10" s="23" t="s">
        <v>513</v>
      </c>
      <c r="D10" s="201"/>
      <c r="E10" s="201"/>
      <c r="F10" s="201"/>
      <c r="G10" s="201"/>
      <c r="H10" s="201"/>
      <c r="I10" s="201"/>
      <c r="J10" s="201"/>
      <c r="K10" s="201"/>
    </row>
    <row r="11" spans="1:12">
      <c r="A11" s="196">
        <v>1</v>
      </c>
      <c r="B11" s="2" t="s">
        <v>764</v>
      </c>
      <c r="C11" s="257">
        <f>RevReq!C37</f>
        <v>1395150</v>
      </c>
      <c r="D11" s="256"/>
      <c r="E11" s="203"/>
      <c r="F11" s="203"/>
      <c r="G11" s="203"/>
      <c r="H11" s="203"/>
      <c r="I11" s="203"/>
      <c r="J11" s="203"/>
      <c r="K11" s="203"/>
      <c r="L11" s="203"/>
    </row>
    <row r="12" spans="1:12">
      <c r="A12" s="196">
        <f>A11+1</f>
        <v>2</v>
      </c>
      <c r="C12" s="257"/>
      <c r="D12" s="206"/>
      <c r="E12" s="203"/>
      <c r="F12" s="203"/>
      <c r="G12" s="203"/>
      <c r="H12" s="203"/>
      <c r="I12" s="203"/>
      <c r="J12" s="203"/>
      <c r="K12" s="203"/>
    </row>
    <row r="13" spans="1:12">
      <c r="A13" s="196">
        <f t="shared" ref="A13:A15" si="0">A12+1</f>
        <v>3</v>
      </c>
      <c r="B13" s="2" t="s">
        <v>436</v>
      </c>
      <c r="C13" s="257">
        <v>0</v>
      </c>
      <c r="D13" s="206"/>
      <c r="E13" s="203"/>
      <c r="F13" s="203"/>
      <c r="G13" s="203"/>
      <c r="H13" s="203"/>
      <c r="I13" s="203"/>
      <c r="J13" s="203"/>
      <c r="K13" s="203"/>
    </row>
    <row r="14" spans="1:12">
      <c r="A14" s="196">
        <f t="shared" si="0"/>
        <v>4</v>
      </c>
      <c r="C14" s="236"/>
      <c r="D14" s="206"/>
      <c r="E14" s="203"/>
      <c r="F14" s="203"/>
      <c r="G14" s="203"/>
      <c r="H14" s="203"/>
      <c r="I14" s="203"/>
      <c r="J14" s="203"/>
      <c r="K14" s="203"/>
    </row>
    <row r="15" spans="1:12" ht="13.8" thickBot="1">
      <c r="A15" s="196">
        <f t="shared" si="0"/>
        <v>5</v>
      </c>
      <c r="B15" s="12" t="s">
        <v>514</v>
      </c>
      <c r="C15" s="320">
        <f>C13-C11</f>
        <v>-1395150</v>
      </c>
      <c r="D15" s="206"/>
      <c r="E15" s="205"/>
      <c r="F15" s="205"/>
      <c r="G15" s="205"/>
      <c r="H15" s="205"/>
      <c r="I15" s="203"/>
      <c r="J15" s="203"/>
      <c r="K15" s="203"/>
      <c r="L15" s="203"/>
    </row>
    <row r="16" spans="1:12" ht="13.8" thickTop="1">
      <c r="B16" s="205"/>
      <c r="C16" s="205"/>
      <c r="D16" s="206"/>
      <c r="E16" s="205"/>
      <c r="F16" s="205"/>
      <c r="G16" s="205"/>
      <c r="H16" s="205"/>
      <c r="I16" s="203"/>
      <c r="J16" s="203"/>
      <c r="K16" s="203"/>
    </row>
    <row r="17" spans="1:11">
      <c r="B17" s="205"/>
      <c r="C17" s="205"/>
      <c r="D17" s="206"/>
      <c r="E17" s="205"/>
      <c r="F17" s="205"/>
      <c r="G17" s="205"/>
      <c r="H17" s="205"/>
      <c r="I17" s="203"/>
      <c r="J17" s="203"/>
      <c r="K17" s="203"/>
    </row>
    <row r="18" spans="1:11">
      <c r="A18" s="2" t="s">
        <v>765</v>
      </c>
      <c r="B18" s="206"/>
      <c r="C18" s="206"/>
      <c r="D18" s="206"/>
      <c r="E18" s="206"/>
      <c r="F18" s="206"/>
      <c r="G18" s="206"/>
      <c r="H18" s="206"/>
      <c r="I18" s="206"/>
      <c r="J18" s="206"/>
      <c r="K18" s="206"/>
    </row>
    <row r="19" spans="1:11">
      <c r="A19" s="2" t="s">
        <v>766</v>
      </c>
      <c r="B19" s="18"/>
      <c r="C19" s="18"/>
      <c r="D19" s="18"/>
      <c r="E19" s="18"/>
      <c r="F19" s="18"/>
      <c r="G19" s="18"/>
    </row>
    <row r="20" spans="1:11">
      <c r="B20" s="18"/>
      <c r="C20" s="18"/>
      <c r="D20" s="18"/>
      <c r="E20" s="18"/>
      <c r="F20" s="18"/>
      <c r="G20" s="18"/>
    </row>
    <row r="21" spans="1:11">
      <c r="A21" s="29"/>
      <c r="B21" s="17"/>
      <c r="C21" s="17"/>
      <c r="D21" s="17"/>
      <c r="E21" s="17"/>
      <c r="F21" s="17"/>
      <c r="G21" s="17"/>
    </row>
    <row r="22" spans="1:11">
      <c r="B22" s="17"/>
      <c r="C22" s="17"/>
      <c r="D22" s="17"/>
      <c r="E22" s="17"/>
      <c r="F22" s="17"/>
      <c r="G22" s="17"/>
    </row>
    <row r="23" spans="1:11">
      <c r="B23" s="17"/>
      <c r="C23" s="17"/>
      <c r="D23" s="17"/>
      <c r="E23" s="17"/>
      <c r="F23" s="17"/>
      <c r="G23" s="17"/>
    </row>
    <row r="24" spans="1:11">
      <c r="B24" s="17"/>
      <c r="C24" s="17"/>
      <c r="D24" s="17"/>
      <c r="E24" s="17"/>
      <c r="F24" s="17"/>
      <c r="G24" s="246"/>
    </row>
    <row r="25" spans="1:11">
      <c r="B25" s="17"/>
      <c r="C25" s="17"/>
      <c r="D25" s="17"/>
      <c r="E25" s="17"/>
      <c r="F25" s="17"/>
      <c r="G25" s="17"/>
    </row>
    <row r="26" spans="1:11">
      <c r="B26" s="17"/>
      <c r="C26" s="17"/>
      <c r="D26" s="17"/>
      <c r="E26" s="17"/>
      <c r="F26" s="17"/>
      <c r="G26" s="17"/>
    </row>
    <row r="27" spans="1:11">
      <c r="B27" s="17"/>
      <c r="C27" s="17"/>
      <c r="D27" s="17"/>
      <c r="E27" s="17"/>
      <c r="F27" s="17"/>
      <c r="G27" s="17"/>
    </row>
    <row r="28" spans="1:11">
      <c r="B28" s="17"/>
      <c r="C28" s="17"/>
      <c r="D28" s="17"/>
      <c r="E28" s="17"/>
      <c r="F28" s="17"/>
      <c r="G28" s="17"/>
    </row>
  </sheetData>
  <mergeCells count="3">
    <mergeCell ref="A4:C4"/>
    <mergeCell ref="A5:C5"/>
    <mergeCell ref="A7:C7"/>
  </mergeCells>
  <printOptions horizontalCentered="1"/>
  <pageMargins left="0.7" right="0.7" top="0.75" bottom="0.75" header="0.3" footer="0.3"/>
  <pageSetup orientation="landscape" r:id="rId1"/>
  <ignoredErrors>
    <ignoredError sqref="C11:C12 C14:C15" unlocked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M181"/>
  <sheetViews>
    <sheetView view="pageBreakPreview" zoomScaleNormal="100" zoomScaleSheetLayoutView="100" workbookViewId="0">
      <selection activeCell="S120" sqref="S120"/>
    </sheetView>
  </sheetViews>
  <sheetFormatPr defaultColWidth="9.109375" defaultRowHeight="13.2"/>
  <cols>
    <col min="1" max="1" width="5.88671875" style="24" customWidth="1"/>
    <col min="2" max="2" width="1.33203125" style="31" customWidth="1"/>
    <col min="3" max="3" width="6.44140625" style="24" customWidth="1"/>
    <col min="4" max="4" width="8.88671875" style="24" customWidth="1"/>
    <col min="5" max="5" width="11.109375" style="31" hidden="1" customWidth="1"/>
    <col min="6" max="6" width="5.44140625" style="24" customWidth="1"/>
    <col min="7" max="7" width="1.44140625" style="24" customWidth="1"/>
    <col min="8" max="8" width="11.109375" style="31" customWidth="1"/>
    <col min="9" max="10" width="10.88671875" style="31" customWidth="1"/>
    <col min="11" max="11" width="1.33203125" style="31" customWidth="1"/>
    <col min="12" max="12" width="11.33203125" style="31" bestFit="1" customWidth="1"/>
    <col min="13" max="14" width="10.88671875" style="31" customWidth="1"/>
    <col min="15" max="15" width="12.33203125" style="31" customWidth="1"/>
    <col min="16" max="16" width="1.109375" style="31" customWidth="1"/>
    <col min="17" max="17" width="8.6640625" style="31" customWidth="1"/>
    <col min="18" max="18" width="0.88671875" style="31" customWidth="1"/>
    <col min="19" max="22" width="10.88671875" style="31" customWidth="1"/>
    <col min="23" max="23" width="1" style="31" customWidth="1"/>
    <col min="24" max="24" width="11.5546875" style="31" customWidth="1"/>
    <col min="25" max="25" width="9.109375" style="31"/>
    <col min="26" max="26" width="12.88671875" style="55" bestFit="1" customWidth="1"/>
    <col min="27" max="27" width="9.6640625" style="31" bestFit="1" customWidth="1"/>
    <col min="28" max="28" width="10.33203125" style="31" bestFit="1" customWidth="1"/>
    <col min="29" max="29" width="9.88671875" style="31" bestFit="1" customWidth="1"/>
    <col min="30" max="16384" width="9.109375" style="31"/>
  </cols>
  <sheetData>
    <row r="1" spans="1:39">
      <c r="X1" s="20" t="s">
        <v>480</v>
      </c>
    </row>
    <row r="2" spans="1:39" ht="9.75" customHeight="1">
      <c r="L2" s="54"/>
    </row>
    <row r="3" spans="1:39">
      <c r="A3" s="382" t="s">
        <v>140</v>
      </c>
      <c r="B3" s="382"/>
      <c r="C3" s="382"/>
      <c r="D3" s="382"/>
      <c r="E3" s="382"/>
      <c r="F3" s="382"/>
      <c r="G3" s="382"/>
      <c r="H3" s="382"/>
      <c r="I3" s="382"/>
      <c r="J3" s="382"/>
      <c r="K3" s="382"/>
      <c r="L3" s="382"/>
      <c r="M3" s="382"/>
      <c r="N3" s="382"/>
      <c r="O3" s="382"/>
      <c r="P3" s="382"/>
      <c r="Q3" s="382"/>
      <c r="R3" s="382"/>
      <c r="S3" s="382"/>
      <c r="T3" s="382"/>
      <c r="U3" s="382"/>
      <c r="V3" s="382"/>
      <c r="W3" s="382"/>
      <c r="X3" s="382"/>
    </row>
    <row r="4" spans="1:39">
      <c r="A4" s="382" t="s">
        <v>141</v>
      </c>
      <c r="B4" s="382"/>
      <c r="C4" s="382"/>
      <c r="D4" s="382"/>
      <c r="E4" s="382"/>
      <c r="F4" s="382"/>
      <c r="G4" s="382"/>
      <c r="H4" s="382"/>
      <c r="I4" s="382"/>
      <c r="J4" s="382"/>
      <c r="K4" s="382"/>
      <c r="L4" s="382"/>
      <c r="M4" s="382"/>
      <c r="N4" s="382"/>
      <c r="O4" s="382"/>
      <c r="P4" s="382"/>
      <c r="Q4" s="382"/>
      <c r="R4" s="382"/>
      <c r="S4" s="382"/>
      <c r="T4" s="382"/>
      <c r="U4" s="382"/>
      <c r="V4" s="382"/>
      <c r="W4" s="382"/>
      <c r="X4" s="382"/>
    </row>
    <row r="6" spans="1:39" s="56" customFormat="1" ht="15" customHeight="1">
      <c r="A6" s="378" t="s">
        <v>54</v>
      </c>
      <c r="B6" s="378"/>
      <c r="C6" s="378"/>
      <c r="D6" s="378"/>
      <c r="E6" s="378"/>
      <c r="F6" s="378"/>
      <c r="G6" s="378"/>
      <c r="H6" s="378"/>
      <c r="I6" s="378"/>
      <c r="J6" s="378"/>
      <c r="K6" s="378"/>
      <c r="L6" s="378"/>
      <c r="M6" s="378"/>
      <c r="N6" s="378"/>
      <c r="O6" s="378"/>
      <c r="P6" s="378"/>
      <c r="Q6" s="378"/>
      <c r="R6" s="378"/>
      <c r="S6" s="378"/>
      <c r="T6" s="378"/>
      <c r="U6" s="378"/>
      <c r="V6" s="378"/>
      <c r="W6" s="378"/>
      <c r="X6" s="378"/>
      <c r="Z6" s="55"/>
    </row>
    <row r="7" spans="1:39" ht="7.5" customHeight="1">
      <c r="W7" s="56"/>
    </row>
    <row r="8" spans="1:39" ht="20.25" customHeight="1">
      <c r="C8" s="384" t="s">
        <v>142</v>
      </c>
      <c r="D8" s="384"/>
      <c r="E8" s="384"/>
      <c r="F8" s="384"/>
      <c r="H8" s="384" t="s">
        <v>143</v>
      </c>
      <c r="I8" s="384"/>
      <c r="J8" s="384"/>
      <c r="L8" s="384" t="s">
        <v>144</v>
      </c>
      <c r="M8" s="384"/>
      <c r="N8" s="384"/>
      <c r="O8" s="384"/>
      <c r="P8" s="24"/>
      <c r="Q8" s="385" t="s">
        <v>145</v>
      </c>
      <c r="S8" s="384" t="s">
        <v>146</v>
      </c>
      <c r="T8" s="384"/>
      <c r="U8" s="384"/>
      <c r="V8" s="384"/>
      <c r="W8" s="56"/>
      <c r="X8" s="385" t="s">
        <v>147</v>
      </c>
    </row>
    <row r="9" spans="1:39" ht="30.75" customHeight="1">
      <c r="A9" s="24" t="s">
        <v>7</v>
      </c>
      <c r="C9" s="24" t="s">
        <v>148</v>
      </c>
      <c r="D9" s="24" t="s">
        <v>149</v>
      </c>
      <c r="E9" s="57" t="s">
        <v>150</v>
      </c>
      <c r="F9" s="24" t="s">
        <v>151</v>
      </c>
      <c r="H9" s="13" t="s">
        <v>152</v>
      </c>
      <c r="I9" s="13" t="s">
        <v>153</v>
      </c>
      <c r="J9" s="13" t="s">
        <v>154</v>
      </c>
      <c r="K9" s="58"/>
      <c r="L9" s="13" t="s">
        <v>152</v>
      </c>
      <c r="M9" s="13" t="s">
        <v>153</v>
      </c>
      <c r="N9" s="13" t="s">
        <v>154</v>
      </c>
      <c r="O9" s="13" t="s">
        <v>53</v>
      </c>
      <c r="P9" s="59"/>
      <c r="Q9" s="385"/>
      <c r="R9" s="59"/>
      <c r="S9" s="13" t="s">
        <v>152</v>
      </c>
      <c r="T9" s="13" t="s">
        <v>153</v>
      </c>
      <c r="U9" s="13" t="s">
        <v>154</v>
      </c>
      <c r="V9" s="13" t="s">
        <v>53</v>
      </c>
      <c r="W9" s="60"/>
      <c r="X9" s="385"/>
    </row>
    <row r="10" spans="1:39">
      <c r="A10" s="15" t="s">
        <v>11</v>
      </c>
      <c r="C10" s="16">
        <v>1</v>
      </c>
      <c r="D10" s="16">
        <f>C10+1</f>
        <v>2</v>
      </c>
      <c r="E10" s="61" t="s">
        <v>155</v>
      </c>
      <c r="F10" s="16">
        <f>D10+1</f>
        <v>3</v>
      </c>
      <c r="H10" s="16">
        <f>F10+1</f>
        <v>4</v>
      </c>
      <c r="I10" s="16">
        <f>H10+1</f>
        <v>5</v>
      </c>
      <c r="J10" s="16">
        <f>I10+1</f>
        <v>6</v>
      </c>
      <c r="K10" s="58"/>
      <c r="L10" s="16">
        <f>J10+1</f>
        <v>7</v>
      </c>
      <c r="M10" s="16">
        <f>L10+1</f>
        <v>8</v>
      </c>
      <c r="N10" s="16">
        <f>M10+1</f>
        <v>9</v>
      </c>
      <c r="O10" s="16">
        <f>N10+1</f>
        <v>10</v>
      </c>
      <c r="P10" s="59"/>
      <c r="Q10" s="16">
        <f>O10+1</f>
        <v>11</v>
      </c>
      <c r="R10" s="59"/>
      <c r="S10" s="16">
        <f>Q10+1</f>
        <v>12</v>
      </c>
      <c r="T10" s="16">
        <f>S10+1</f>
        <v>13</v>
      </c>
      <c r="U10" s="16">
        <f>T10+1</f>
        <v>14</v>
      </c>
      <c r="V10" s="16">
        <f>U10+1</f>
        <v>15</v>
      </c>
      <c r="W10" s="60"/>
      <c r="X10" s="16">
        <f>V10+1</f>
        <v>16</v>
      </c>
    </row>
    <row r="11" spans="1:39">
      <c r="K11" s="58"/>
      <c r="P11" s="59"/>
      <c r="R11" s="59"/>
      <c r="W11" s="60"/>
    </row>
    <row r="12" spans="1:39" ht="20.100000000000001" hidden="1" customHeight="1" thickTop="1" thickBot="1">
      <c r="I12" s="62"/>
      <c r="J12" s="62"/>
      <c r="K12" s="63"/>
      <c r="L12" s="64" t="s">
        <v>144</v>
      </c>
      <c r="M12" s="65"/>
      <c r="N12" s="65"/>
      <c r="O12" s="66"/>
      <c r="P12" s="59"/>
      <c r="Q12" s="13" t="s">
        <v>156</v>
      </c>
      <c r="R12" s="59"/>
      <c r="S12" s="387" t="s">
        <v>157</v>
      </c>
      <c r="T12" s="388"/>
      <c r="U12" s="388"/>
      <c r="V12" s="389"/>
      <c r="W12" s="60"/>
      <c r="Y12" s="13"/>
      <c r="Z12" s="67"/>
      <c r="AA12" s="13"/>
      <c r="AB12" s="13"/>
      <c r="AK12" s="68"/>
      <c r="AM12" s="68"/>
    </row>
    <row r="13" spans="1:39" ht="20.100000000000001" hidden="1" customHeight="1" thickTop="1" thickBot="1">
      <c r="D13" s="69"/>
      <c r="E13" s="70"/>
      <c r="F13" s="69"/>
      <c r="G13" s="69"/>
      <c r="H13" s="390" t="s">
        <v>143</v>
      </c>
      <c r="I13" s="391"/>
      <c r="J13" s="392"/>
      <c r="K13" s="58"/>
      <c r="L13" s="71"/>
      <c r="O13" s="72"/>
      <c r="P13" s="59"/>
      <c r="Q13" s="13" t="s">
        <v>125</v>
      </c>
      <c r="R13" s="59"/>
      <c r="S13" s="393" t="s">
        <v>158</v>
      </c>
      <c r="T13" s="394"/>
      <c r="U13" s="73"/>
      <c r="V13" s="74"/>
      <c r="W13" s="60"/>
      <c r="Y13" s="13"/>
      <c r="Z13" s="67"/>
      <c r="AA13" s="13"/>
      <c r="AB13" s="13"/>
      <c r="AC13" s="24"/>
      <c r="AD13" s="24"/>
      <c r="AE13" s="24"/>
      <c r="AF13" s="24"/>
      <c r="AG13" s="24"/>
      <c r="AK13" s="68"/>
      <c r="AM13" s="68"/>
    </row>
    <row r="14" spans="1:39" s="24" customFormat="1" ht="27" hidden="1" thickBot="1">
      <c r="C14" s="24" t="s">
        <v>148</v>
      </c>
      <c r="D14" s="24" t="s">
        <v>159</v>
      </c>
      <c r="E14" s="31" t="s">
        <v>159</v>
      </c>
      <c r="H14" s="75" t="s">
        <v>160</v>
      </c>
      <c r="I14" s="76" t="s">
        <v>161</v>
      </c>
      <c r="J14" s="77" t="s">
        <v>162</v>
      </c>
      <c r="K14" s="78"/>
      <c r="L14" s="75" t="s">
        <v>152</v>
      </c>
      <c r="M14" s="79" t="s">
        <v>153</v>
      </c>
      <c r="N14" s="77" t="s">
        <v>162</v>
      </c>
      <c r="O14" s="80" t="s">
        <v>53</v>
      </c>
      <c r="P14" s="59"/>
      <c r="Q14" s="81" t="s">
        <v>163</v>
      </c>
      <c r="R14" s="59"/>
      <c r="S14" s="82" t="s">
        <v>152</v>
      </c>
      <c r="T14" s="82" t="s">
        <v>153</v>
      </c>
      <c r="U14" s="77" t="s">
        <v>162</v>
      </c>
      <c r="V14" s="83" t="s">
        <v>53</v>
      </c>
      <c r="W14" s="60"/>
      <c r="Y14" s="81"/>
      <c r="Z14" s="84"/>
      <c r="AB14" s="81"/>
      <c r="AC14" s="85"/>
      <c r="AD14" s="85"/>
      <c r="AE14" s="69"/>
      <c r="AF14" s="69"/>
      <c r="AG14" s="69"/>
      <c r="AJ14" s="86"/>
      <c r="AL14" s="87"/>
    </row>
    <row r="15" spans="1:39">
      <c r="A15" s="24">
        <v>1</v>
      </c>
      <c r="C15" s="88" t="s">
        <v>164</v>
      </c>
      <c r="F15" s="89"/>
      <c r="G15" s="89"/>
      <c r="H15" s="90"/>
      <c r="I15" s="90"/>
      <c r="J15" s="90"/>
      <c r="K15" s="91"/>
      <c r="L15" s="92"/>
      <c r="M15" s="92"/>
      <c r="N15" s="92"/>
      <c r="O15" s="92"/>
      <c r="P15" s="59"/>
      <c r="R15" s="59"/>
      <c r="W15" s="60"/>
    </row>
    <row r="16" spans="1:39">
      <c r="A16" s="24">
        <f>A15+1</f>
        <v>2</v>
      </c>
      <c r="C16" s="24">
        <v>1</v>
      </c>
      <c r="D16" s="24" t="s">
        <v>165</v>
      </c>
      <c r="E16" s="93">
        <v>14</v>
      </c>
      <c r="H16" s="90">
        <v>2080</v>
      </c>
      <c r="I16" s="90"/>
      <c r="J16" s="90">
        <v>32</v>
      </c>
      <c r="K16" s="91"/>
      <c r="L16" s="92">
        <v>76364.73</v>
      </c>
      <c r="M16" s="92"/>
      <c r="N16" s="92">
        <v>1380.81</v>
      </c>
      <c r="O16" s="92">
        <f>SUM(L16:N16)</f>
        <v>77745.539999999994</v>
      </c>
      <c r="P16" s="59"/>
      <c r="Q16" s="94">
        <v>39.692999999999998</v>
      </c>
      <c r="R16" s="59"/>
      <c r="S16" s="95">
        <f t="shared" ref="S16:S27" si="0">2080*Q16</f>
        <v>82561.440000000002</v>
      </c>
      <c r="T16" s="95"/>
      <c r="U16" s="95">
        <f t="shared" ref="U16:U26" si="1">IF(N16=0," ",+J16*Q16)</f>
        <v>1270.1759999999999</v>
      </c>
      <c r="V16" s="95">
        <f t="shared" ref="V16:V28" si="2">SUM(S16:U16)</f>
        <v>83831.616000000009</v>
      </c>
      <c r="W16" s="60"/>
      <c r="X16" s="55">
        <f t="shared" ref="X16:X29" si="3">V16-O16</f>
        <v>6086.0760000000155</v>
      </c>
      <c r="Y16" s="138"/>
      <c r="Z16" s="138"/>
      <c r="AA16" s="96"/>
    </row>
    <row r="17" spans="1:27">
      <c r="A17" s="24">
        <f t="shared" ref="A17:A80" si="4">A16+1</f>
        <v>3</v>
      </c>
      <c r="C17" s="24">
        <v>1</v>
      </c>
      <c r="D17" s="24" t="s">
        <v>166</v>
      </c>
      <c r="E17" s="93">
        <v>16</v>
      </c>
      <c r="H17" s="90">
        <v>2080</v>
      </c>
      <c r="I17" s="90"/>
      <c r="J17" s="90">
        <v>152</v>
      </c>
      <c r="K17" s="91"/>
      <c r="L17" s="92">
        <v>151009.85</v>
      </c>
      <c r="M17" s="92"/>
      <c r="N17" s="92">
        <v>26861.66</v>
      </c>
      <c r="O17" s="92">
        <f t="shared" ref="O17:O28" si="5">SUM(L17:N17)</f>
        <v>177871.51</v>
      </c>
      <c r="P17" s="59"/>
      <c r="Q17" s="94">
        <f>129.81</f>
        <v>129.81</v>
      </c>
      <c r="R17" s="59"/>
      <c r="S17" s="95">
        <f t="shared" si="0"/>
        <v>270004.8</v>
      </c>
      <c r="T17" s="95"/>
      <c r="U17" s="95">
        <f t="shared" si="1"/>
        <v>19731.12</v>
      </c>
      <c r="V17" s="95">
        <f t="shared" si="2"/>
        <v>289735.92</v>
      </c>
      <c r="W17" s="60"/>
      <c r="X17" s="55">
        <f t="shared" si="3"/>
        <v>111864.40999999997</v>
      </c>
      <c r="Z17" s="138"/>
      <c r="AA17" s="96"/>
    </row>
    <row r="18" spans="1:27">
      <c r="A18" s="24">
        <f t="shared" si="4"/>
        <v>4</v>
      </c>
      <c r="C18" s="24">
        <v>1</v>
      </c>
      <c r="D18" s="24" t="s">
        <v>167</v>
      </c>
      <c r="E18" s="93">
        <v>130</v>
      </c>
      <c r="F18" s="24" t="s">
        <v>168</v>
      </c>
      <c r="H18" s="90">
        <v>2032</v>
      </c>
      <c r="I18" s="90"/>
      <c r="J18" s="90">
        <v>52</v>
      </c>
      <c r="K18" s="91"/>
      <c r="L18" s="92">
        <v>92037.13</v>
      </c>
      <c r="M18" s="92"/>
      <c r="N18" s="92">
        <v>5818.48</v>
      </c>
      <c r="O18" s="92">
        <f t="shared" si="5"/>
        <v>97855.61</v>
      </c>
      <c r="P18" s="59"/>
      <c r="Q18" s="94">
        <v>45.936</v>
      </c>
      <c r="R18" s="59"/>
      <c r="S18" s="95">
        <f t="shared" si="0"/>
        <v>95546.880000000005</v>
      </c>
      <c r="T18" s="95"/>
      <c r="U18" s="95">
        <f>IF(N18=0," ",+J18*Q18)+13*325</f>
        <v>6613.6720000000005</v>
      </c>
      <c r="V18" s="95">
        <f t="shared" si="2"/>
        <v>102160.55200000001</v>
      </c>
      <c r="W18" s="60"/>
      <c r="X18" s="55">
        <f t="shared" si="3"/>
        <v>4304.94200000001</v>
      </c>
      <c r="Z18" s="138"/>
      <c r="AA18" s="96"/>
    </row>
    <row r="19" spans="1:27">
      <c r="A19" s="24">
        <f t="shared" si="4"/>
        <v>5</v>
      </c>
      <c r="C19" s="24">
        <v>1</v>
      </c>
      <c r="D19" s="24" t="s">
        <v>169</v>
      </c>
      <c r="E19" s="93">
        <v>136</v>
      </c>
      <c r="F19" s="24" t="s">
        <v>168</v>
      </c>
      <c r="H19" s="90">
        <v>2080</v>
      </c>
      <c r="I19" s="90"/>
      <c r="J19" s="90">
        <v>88</v>
      </c>
      <c r="K19" s="91"/>
      <c r="L19" s="92">
        <v>93526.54</v>
      </c>
      <c r="M19" s="92"/>
      <c r="N19" s="92">
        <v>9970.92</v>
      </c>
      <c r="O19" s="92">
        <f t="shared" si="5"/>
        <v>103497.45999999999</v>
      </c>
      <c r="P19" s="59"/>
      <c r="Q19" s="94">
        <v>45.587000000000003</v>
      </c>
      <c r="R19" s="59"/>
      <c r="S19" s="95">
        <f t="shared" si="0"/>
        <v>94820.96</v>
      </c>
      <c r="T19" s="95"/>
      <c r="U19" s="95">
        <f>IF(N19=0," ",+J19*Q19)+13*325</f>
        <v>8236.6560000000009</v>
      </c>
      <c r="V19" s="95">
        <f t="shared" si="2"/>
        <v>103057.61600000001</v>
      </c>
      <c r="W19" s="60"/>
      <c r="X19" s="55">
        <f t="shared" si="3"/>
        <v>-439.84399999998277</v>
      </c>
      <c r="Z19" s="138"/>
      <c r="AA19" s="96"/>
    </row>
    <row r="20" spans="1:27">
      <c r="A20" s="24">
        <f t="shared" si="4"/>
        <v>6</v>
      </c>
      <c r="C20" s="24">
        <v>1</v>
      </c>
      <c r="D20" s="24" t="s">
        <v>170</v>
      </c>
      <c r="E20" s="93">
        <v>149</v>
      </c>
      <c r="F20" s="24" t="s">
        <v>171</v>
      </c>
      <c r="H20" s="90">
        <v>2080</v>
      </c>
      <c r="I20" s="90"/>
      <c r="J20" s="90">
        <v>168</v>
      </c>
      <c r="K20" s="91"/>
      <c r="L20" s="92">
        <v>72012.710000000006</v>
      </c>
      <c r="M20" s="92"/>
      <c r="N20" s="92">
        <v>12176.3</v>
      </c>
      <c r="O20" s="92">
        <f t="shared" si="5"/>
        <v>84189.010000000009</v>
      </c>
      <c r="P20" s="59"/>
      <c r="Q20" s="94">
        <v>35.36</v>
      </c>
      <c r="R20" s="59"/>
      <c r="S20" s="95">
        <f t="shared" si="0"/>
        <v>73548.800000000003</v>
      </c>
      <c r="T20" s="95"/>
      <c r="U20" s="95">
        <f>IF(N20=0," ",+J20*Q20)+125*52</f>
        <v>12440.48</v>
      </c>
      <c r="V20" s="95">
        <f t="shared" si="2"/>
        <v>85989.28</v>
      </c>
      <c r="W20" s="60"/>
      <c r="X20" s="55">
        <f t="shared" si="3"/>
        <v>1800.2699999999895</v>
      </c>
      <c r="Z20" s="138"/>
      <c r="AA20" s="96"/>
    </row>
    <row r="21" spans="1:27">
      <c r="A21" s="24">
        <f t="shared" si="4"/>
        <v>7</v>
      </c>
      <c r="C21" s="24">
        <v>1</v>
      </c>
      <c r="D21" s="24" t="s">
        <v>172</v>
      </c>
      <c r="E21" s="93">
        <v>157</v>
      </c>
      <c r="H21" s="90">
        <v>632</v>
      </c>
      <c r="I21" s="90"/>
      <c r="J21" s="90">
        <v>0</v>
      </c>
      <c r="K21" s="91"/>
      <c r="L21" s="92">
        <v>27040.9</v>
      </c>
      <c r="M21" s="92"/>
      <c r="N21" s="92">
        <v>110.52</v>
      </c>
      <c r="O21" s="92">
        <f t="shared" si="5"/>
        <v>27151.420000000002</v>
      </c>
      <c r="P21" s="59"/>
      <c r="Q21" s="94">
        <v>42.786000000000001</v>
      </c>
      <c r="R21" s="59"/>
      <c r="S21" s="95">
        <f t="shared" si="0"/>
        <v>88994.880000000005</v>
      </c>
      <c r="T21" s="95"/>
      <c r="U21" s="95">
        <f t="shared" si="1"/>
        <v>0</v>
      </c>
      <c r="V21" s="95">
        <f t="shared" si="2"/>
        <v>88994.880000000005</v>
      </c>
      <c r="W21" s="60"/>
      <c r="X21" s="55">
        <f t="shared" si="3"/>
        <v>61843.460000000006</v>
      </c>
      <c r="Z21" s="138"/>
      <c r="AA21" s="96"/>
    </row>
    <row r="22" spans="1:27">
      <c r="A22" s="24">
        <f t="shared" si="4"/>
        <v>8</v>
      </c>
      <c r="C22" s="24">
        <v>1</v>
      </c>
      <c r="D22" s="24" t="s">
        <v>173</v>
      </c>
      <c r="E22" s="93">
        <v>159</v>
      </c>
      <c r="H22" s="90">
        <v>2080</v>
      </c>
      <c r="I22" s="90"/>
      <c r="J22" s="90">
        <v>136</v>
      </c>
      <c r="K22" s="91"/>
      <c r="L22" s="92">
        <v>63655.17</v>
      </c>
      <c r="M22" s="92"/>
      <c r="N22" s="92">
        <v>4330.33</v>
      </c>
      <c r="O22" s="92">
        <f t="shared" si="5"/>
        <v>67985.5</v>
      </c>
      <c r="P22" s="59"/>
      <c r="Q22" s="94">
        <v>31.027000000000001</v>
      </c>
      <c r="R22" s="59"/>
      <c r="S22" s="95">
        <f t="shared" si="0"/>
        <v>64536.160000000003</v>
      </c>
      <c r="T22" s="95"/>
      <c r="U22" s="95">
        <f t="shared" si="1"/>
        <v>4219.6720000000005</v>
      </c>
      <c r="V22" s="95">
        <f t="shared" si="2"/>
        <v>68755.832000000009</v>
      </c>
      <c r="W22" s="60"/>
      <c r="X22" s="55">
        <f t="shared" si="3"/>
        <v>770.33200000000943</v>
      </c>
      <c r="Z22" s="138"/>
      <c r="AA22" s="96"/>
    </row>
    <row r="23" spans="1:27">
      <c r="A23" s="24">
        <f t="shared" si="4"/>
        <v>9</v>
      </c>
      <c r="C23" s="24">
        <v>1</v>
      </c>
      <c r="D23" s="24" t="s">
        <v>174</v>
      </c>
      <c r="E23" s="93"/>
      <c r="H23" s="90">
        <v>2080</v>
      </c>
      <c r="I23" s="90"/>
      <c r="J23" s="90">
        <v>40</v>
      </c>
      <c r="K23" s="91"/>
      <c r="L23" s="92">
        <v>73958.89</v>
      </c>
      <c r="M23" s="92"/>
      <c r="N23" s="92">
        <v>1829.06</v>
      </c>
      <c r="O23" s="92">
        <f t="shared" si="5"/>
        <v>75787.95</v>
      </c>
      <c r="P23" s="59"/>
      <c r="Q23" s="94">
        <v>36.048999999999999</v>
      </c>
      <c r="R23" s="59"/>
      <c r="S23" s="95">
        <f t="shared" si="0"/>
        <v>74981.919999999998</v>
      </c>
      <c r="T23" s="95"/>
      <c r="U23" s="95">
        <f t="shared" si="1"/>
        <v>1441.96</v>
      </c>
      <c r="V23" s="95">
        <f t="shared" si="2"/>
        <v>76423.88</v>
      </c>
      <c r="W23" s="60"/>
      <c r="X23" s="55">
        <f t="shared" si="3"/>
        <v>635.93000000000757</v>
      </c>
      <c r="Z23" s="138"/>
      <c r="AA23" s="96"/>
    </row>
    <row r="24" spans="1:27">
      <c r="A24" s="24">
        <f>A23+1</f>
        <v>10</v>
      </c>
      <c r="C24" s="24">
        <v>1</v>
      </c>
      <c r="D24" s="24" t="s">
        <v>175</v>
      </c>
      <c r="E24" s="93">
        <v>163</v>
      </c>
      <c r="F24" s="24" t="s">
        <v>168</v>
      </c>
      <c r="H24" s="90">
        <v>2080</v>
      </c>
      <c r="I24" s="90"/>
      <c r="J24" s="90">
        <v>104</v>
      </c>
      <c r="K24" s="91"/>
      <c r="L24" s="92">
        <v>54835.48</v>
      </c>
      <c r="M24" s="92"/>
      <c r="N24" s="92">
        <v>2972.5</v>
      </c>
      <c r="O24" s="92">
        <f t="shared" si="5"/>
        <v>57807.98</v>
      </c>
      <c r="P24" s="59"/>
      <c r="Q24" s="94">
        <v>27.518000000000001</v>
      </c>
      <c r="R24" s="59"/>
      <c r="S24" s="95">
        <f t="shared" si="0"/>
        <v>57237.440000000002</v>
      </c>
      <c r="T24" s="95"/>
      <c r="U24" s="95">
        <f t="shared" si="1"/>
        <v>2861.8720000000003</v>
      </c>
      <c r="V24" s="95">
        <f t="shared" si="2"/>
        <v>60099.312000000005</v>
      </c>
      <c r="W24" s="60"/>
      <c r="X24" s="55">
        <f t="shared" si="3"/>
        <v>2291.3320000000022</v>
      </c>
      <c r="Z24" s="138"/>
      <c r="AA24" s="96"/>
    </row>
    <row r="25" spans="1:27">
      <c r="A25" s="24">
        <f t="shared" si="4"/>
        <v>11</v>
      </c>
      <c r="C25" s="24">
        <v>1</v>
      </c>
      <c r="D25" s="24" t="s">
        <v>176</v>
      </c>
      <c r="E25" s="93">
        <v>171</v>
      </c>
      <c r="F25" s="24" t="s">
        <v>168</v>
      </c>
      <c r="H25" s="90">
        <v>2080</v>
      </c>
      <c r="I25" s="90"/>
      <c r="J25" s="90">
        <v>144</v>
      </c>
      <c r="K25" s="91"/>
      <c r="L25" s="92">
        <v>127238.67</v>
      </c>
      <c r="M25" s="92"/>
      <c r="N25" s="92">
        <v>14675.29</v>
      </c>
      <c r="O25" s="92">
        <f t="shared" si="5"/>
        <v>141913.96</v>
      </c>
      <c r="P25" s="59"/>
      <c r="Q25" s="94">
        <v>62.48</v>
      </c>
      <c r="R25" s="59"/>
      <c r="S25" s="95">
        <f t="shared" si="0"/>
        <v>129958.39999999999</v>
      </c>
      <c r="T25" s="95"/>
      <c r="U25" s="95">
        <f t="shared" si="1"/>
        <v>8997.119999999999</v>
      </c>
      <c r="V25" s="95">
        <f t="shared" si="2"/>
        <v>138955.51999999999</v>
      </c>
      <c r="W25" s="60"/>
      <c r="X25" s="55">
        <f t="shared" si="3"/>
        <v>-2958.4400000000023</v>
      </c>
      <c r="Z25" s="138"/>
      <c r="AA25" s="96"/>
    </row>
    <row r="26" spans="1:27">
      <c r="A26" s="24">
        <f t="shared" si="4"/>
        <v>12</v>
      </c>
      <c r="C26" s="24">
        <v>1</v>
      </c>
      <c r="D26" s="24" t="s">
        <v>177</v>
      </c>
      <c r="E26" s="93"/>
      <c r="H26" s="90">
        <v>2080</v>
      </c>
      <c r="I26" s="90"/>
      <c r="J26" s="90">
        <v>82.01</v>
      </c>
      <c r="K26" s="91"/>
      <c r="L26" s="92">
        <v>72010.929999999993</v>
      </c>
      <c r="M26" s="92"/>
      <c r="N26" s="92">
        <v>2988.02</v>
      </c>
      <c r="O26" s="92">
        <f t="shared" si="5"/>
        <v>74998.95</v>
      </c>
      <c r="P26" s="59"/>
      <c r="Q26" s="94">
        <v>35.1</v>
      </c>
      <c r="R26" s="59"/>
      <c r="S26" s="95">
        <f t="shared" si="0"/>
        <v>73008</v>
      </c>
      <c r="T26" s="95"/>
      <c r="U26" s="95">
        <f t="shared" si="1"/>
        <v>2878.5510000000004</v>
      </c>
      <c r="V26" s="95">
        <f t="shared" si="2"/>
        <v>75886.551000000007</v>
      </c>
      <c r="W26" s="60"/>
      <c r="X26" s="55">
        <f t="shared" si="3"/>
        <v>887.60100000000966</v>
      </c>
      <c r="Z26" s="138"/>
      <c r="AA26" s="96"/>
    </row>
    <row r="27" spans="1:27">
      <c r="A27" s="24">
        <f t="shared" si="4"/>
        <v>13</v>
      </c>
      <c r="C27" s="24">
        <v>1</v>
      </c>
      <c r="D27" s="24" t="s">
        <v>178</v>
      </c>
      <c r="E27" s="93"/>
      <c r="F27" s="24" t="s">
        <v>179</v>
      </c>
      <c r="H27" s="90"/>
      <c r="I27" s="90"/>
      <c r="J27" s="90"/>
      <c r="K27" s="91"/>
      <c r="L27" s="92"/>
      <c r="M27" s="92"/>
      <c r="N27" s="92"/>
      <c r="O27" s="92">
        <f t="shared" si="5"/>
        <v>0</v>
      </c>
      <c r="P27" s="59"/>
      <c r="Q27" s="94">
        <f>145000/2080</f>
        <v>69.711538461538467</v>
      </c>
      <c r="R27" s="59"/>
      <c r="S27" s="95">
        <f t="shared" si="0"/>
        <v>145000</v>
      </c>
      <c r="T27" s="95"/>
      <c r="U27" s="95">
        <f>IF(N27=0,0,+J27*Q27)</f>
        <v>0</v>
      </c>
      <c r="V27" s="95">
        <f t="shared" si="2"/>
        <v>145000</v>
      </c>
      <c r="W27" s="60"/>
      <c r="X27" s="55">
        <f t="shared" si="3"/>
        <v>145000</v>
      </c>
      <c r="Z27" s="138"/>
      <c r="AA27" s="96"/>
    </row>
    <row r="28" spans="1:27">
      <c r="A28" s="24">
        <f t="shared" si="4"/>
        <v>14</v>
      </c>
      <c r="C28" s="24">
        <v>1</v>
      </c>
      <c r="D28" s="24" t="s">
        <v>361</v>
      </c>
      <c r="E28" s="93"/>
      <c r="F28" s="24" t="s">
        <v>180</v>
      </c>
      <c r="H28" s="90"/>
      <c r="I28" s="90"/>
      <c r="J28" s="90"/>
      <c r="K28" s="91"/>
      <c r="L28" s="92"/>
      <c r="M28" s="92"/>
      <c r="N28" s="92">
        <v>75604.509999999995</v>
      </c>
      <c r="O28" s="92">
        <f t="shared" si="5"/>
        <v>75604.509999999995</v>
      </c>
      <c r="P28" s="59"/>
      <c r="Q28" s="94"/>
      <c r="R28" s="59"/>
      <c r="S28" s="95">
        <f>2080*Q28</f>
        <v>0</v>
      </c>
      <c r="T28" s="95"/>
      <c r="U28" s="95">
        <f>IF(N28=0," ",+J28*Q28)</f>
        <v>0</v>
      </c>
      <c r="V28" s="95">
        <f t="shared" si="2"/>
        <v>0</v>
      </c>
      <c r="W28" s="60"/>
      <c r="X28" s="55">
        <f t="shared" si="3"/>
        <v>-75604.509999999995</v>
      </c>
      <c r="Z28" s="138"/>
      <c r="AA28" s="96"/>
    </row>
    <row r="29" spans="1:27">
      <c r="A29" s="24">
        <f t="shared" si="4"/>
        <v>15</v>
      </c>
      <c r="C29" s="26">
        <f>SUM(C16:C28)</f>
        <v>13</v>
      </c>
      <c r="D29" s="97" t="s">
        <v>93</v>
      </c>
      <c r="E29" s="98" t="s">
        <v>93</v>
      </c>
      <c r="F29" s="97"/>
      <c r="H29" s="99">
        <f>SUM(H16:H28)</f>
        <v>21384</v>
      </c>
      <c r="I29" s="99">
        <f>SUM(I16:I28)</f>
        <v>0</v>
      </c>
      <c r="J29" s="99">
        <f>SUM(J16:J28)</f>
        <v>998.01</v>
      </c>
      <c r="K29" s="91"/>
      <c r="L29" s="100">
        <f>SUM(L16:L28)</f>
        <v>903691</v>
      </c>
      <c r="M29" s="100">
        <f>SUM(M16:M28)</f>
        <v>0</v>
      </c>
      <c r="N29" s="100">
        <f>SUM(N16:N28)</f>
        <v>158718.39999999999</v>
      </c>
      <c r="O29" s="100">
        <f>SUM(O16:O28)</f>
        <v>1062409.3999999999</v>
      </c>
      <c r="P29" s="59"/>
      <c r="Q29" s="98"/>
      <c r="R29" s="59"/>
      <c r="S29" s="101">
        <f>SUM(S16:S28)</f>
        <v>1250199.6800000002</v>
      </c>
      <c r="T29" s="101">
        <f>SUM(T16:T28)</f>
        <v>0</v>
      </c>
      <c r="U29" s="101">
        <f>SUM(U16:U28)</f>
        <v>68691.27900000001</v>
      </c>
      <c r="V29" s="101">
        <f>SUM(V16:V28)</f>
        <v>1318890.959</v>
      </c>
      <c r="W29" s="60"/>
      <c r="X29" s="102">
        <f t="shared" si="3"/>
        <v>256481.55900000012</v>
      </c>
      <c r="Y29" s="114"/>
      <c r="Z29" s="138"/>
      <c r="AA29" s="96"/>
    </row>
    <row r="30" spans="1:27">
      <c r="A30" s="24">
        <f t="shared" si="4"/>
        <v>16</v>
      </c>
      <c r="H30" s="90"/>
      <c r="I30" s="90"/>
      <c r="J30" s="90"/>
      <c r="K30" s="91"/>
      <c r="L30" s="92"/>
      <c r="M30" s="92"/>
      <c r="N30" s="92"/>
      <c r="O30" s="92"/>
      <c r="P30" s="59"/>
      <c r="Q30" s="94"/>
      <c r="R30" s="59"/>
      <c r="S30" s="94"/>
      <c r="T30" s="94"/>
      <c r="U30" s="94"/>
      <c r="V30" s="94"/>
      <c r="W30" s="60"/>
      <c r="AA30" s="96"/>
    </row>
    <row r="31" spans="1:27">
      <c r="A31" s="24">
        <f t="shared" si="4"/>
        <v>17</v>
      </c>
      <c r="C31" s="88" t="s">
        <v>181</v>
      </c>
      <c r="F31" s="89"/>
      <c r="G31" s="89"/>
      <c r="H31" s="103"/>
      <c r="I31" s="103"/>
      <c r="J31" s="103"/>
      <c r="K31" s="104"/>
      <c r="L31" s="105"/>
      <c r="M31" s="105"/>
      <c r="N31" s="105"/>
      <c r="O31" s="105"/>
      <c r="P31" s="59"/>
      <c r="Q31" s="106"/>
      <c r="R31" s="59"/>
      <c r="S31" s="106"/>
      <c r="T31" s="106"/>
      <c r="U31" s="106"/>
      <c r="V31" s="106"/>
      <c r="W31" s="60"/>
      <c r="AA31" s="96"/>
    </row>
    <row r="32" spans="1:27">
      <c r="A32" s="24">
        <f t="shared" si="4"/>
        <v>18</v>
      </c>
      <c r="C32" s="24">
        <v>1</v>
      </c>
      <c r="D32" s="24" t="s">
        <v>182</v>
      </c>
      <c r="E32" s="93">
        <v>5</v>
      </c>
      <c r="H32" s="107">
        <v>2154.5</v>
      </c>
      <c r="I32" s="107">
        <v>202.5</v>
      </c>
      <c r="J32" s="107">
        <v>0</v>
      </c>
      <c r="K32" s="91"/>
      <c r="L32" s="92">
        <v>48011.19</v>
      </c>
      <c r="M32" s="92">
        <v>6772.34</v>
      </c>
      <c r="N32" s="92">
        <v>110.67</v>
      </c>
      <c r="O32" s="92">
        <f t="shared" ref="O32:O53" si="6">SUM(L32:N32)</f>
        <v>54894.2</v>
      </c>
      <c r="P32" s="59"/>
      <c r="Q32" s="94">
        <v>22.59</v>
      </c>
      <c r="R32" s="59"/>
      <c r="S32" s="95">
        <f t="shared" ref="S32:S95" si="7">2080*Q32</f>
        <v>46987.199999999997</v>
      </c>
      <c r="T32" s="95">
        <f t="shared" ref="T32:T53" si="8">(+I32*Q32)*1.5</f>
        <v>6861.7125000000005</v>
      </c>
      <c r="U32" s="95">
        <f t="shared" ref="U32:U53" si="9">IF(N32=0," ",+J32*Q32)</f>
        <v>0</v>
      </c>
      <c r="V32" s="95">
        <f t="shared" ref="V32:V53" si="10">SUM(S32:U32)</f>
        <v>53848.912499999999</v>
      </c>
      <c r="W32" s="60"/>
      <c r="X32" s="55">
        <f t="shared" ref="X32:X53" si="11">V32-O32</f>
        <v>-1045.2874999999985</v>
      </c>
      <c r="AA32" s="96"/>
    </row>
    <row r="33" spans="1:27">
      <c r="A33" s="24">
        <f t="shared" si="4"/>
        <v>19</v>
      </c>
      <c r="C33" s="24">
        <v>1</v>
      </c>
      <c r="D33" s="24" t="s">
        <v>183</v>
      </c>
      <c r="E33" s="93">
        <v>8</v>
      </c>
      <c r="H33" s="107">
        <v>2084.5</v>
      </c>
      <c r="I33" s="107">
        <v>228.5</v>
      </c>
      <c r="J33" s="107">
        <v>96.05</v>
      </c>
      <c r="K33" s="91"/>
      <c r="L33" s="92">
        <v>65096.01</v>
      </c>
      <c r="M33" s="92">
        <v>10647.96</v>
      </c>
      <c r="N33" s="92">
        <v>3151.53</v>
      </c>
      <c r="O33" s="92">
        <f t="shared" si="6"/>
        <v>78895.5</v>
      </c>
      <c r="P33" s="59"/>
      <c r="Q33" s="94">
        <v>31.66</v>
      </c>
      <c r="R33" s="59"/>
      <c r="S33" s="95">
        <f t="shared" si="7"/>
        <v>65852.800000000003</v>
      </c>
      <c r="T33" s="95">
        <f t="shared" si="8"/>
        <v>10851.465</v>
      </c>
      <c r="U33" s="95">
        <f t="shared" si="9"/>
        <v>3040.9429999999998</v>
      </c>
      <c r="V33" s="95">
        <f t="shared" si="10"/>
        <v>79745.207999999999</v>
      </c>
      <c r="W33" s="60"/>
      <c r="X33" s="55">
        <f t="shared" si="11"/>
        <v>849.70799999999872</v>
      </c>
      <c r="AA33" s="96"/>
    </row>
    <row r="34" spans="1:27">
      <c r="A34" s="24">
        <f t="shared" si="4"/>
        <v>20</v>
      </c>
      <c r="C34" s="24">
        <v>1</v>
      </c>
      <c r="D34" s="24" t="s">
        <v>184</v>
      </c>
      <c r="E34" s="93">
        <v>10</v>
      </c>
      <c r="H34" s="107">
        <v>2104.5</v>
      </c>
      <c r="I34" s="107">
        <v>224.5</v>
      </c>
      <c r="J34" s="107">
        <v>25.02</v>
      </c>
      <c r="K34" s="91"/>
      <c r="L34" s="92">
        <v>54665.599999999999</v>
      </c>
      <c r="M34" s="92">
        <v>8722.25</v>
      </c>
      <c r="N34" s="92">
        <v>769.46</v>
      </c>
      <c r="O34" s="92">
        <f t="shared" si="6"/>
        <v>64157.31</v>
      </c>
      <c r="P34" s="59"/>
      <c r="Q34" s="94">
        <v>26.33</v>
      </c>
      <c r="R34" s="59"/>
      <c r="S34" s="95">
        <f t="shared" si="7"/>
        <v>54766.399999999994</v>
      </c>
      <c r="T34" s="95">
        <f t="shared" si="8"/>
        <v>8866.6275000000005</v>
      </c>
      <c r="U34" s="95">
        <f t="shared" si="9"/>
        <v>658.77659999999992</v>
      </c>
      <c r="V34" s="95">
        <f t="shared" si="10"/>
        <v>64291.804099999994</v>
      </c>
      <c r="W34" s="60"/>
      <c r="X34" s="55">
        <f t="shared" si="11"/>
        <v>134.49409999999625</v>
      </c>
      <c r="AA34" s="96"/>
    </row>
    <row r="35" spans="1:27">
      <c r="A35" s="24">
        <f t="shared" si="4"/>
        <v>21</v>
      </c>
      <c r="C35" s="24">
        <v>1</v>
      </c>
      <c r="D35" s="24" t="s">
        <v>185</v>
      </c>
      <c r="E35" s="93">
        <v>11</v>
      </c>
      <c r="H35" s="107">
        <v>2074</v>
      </c>
      <c r="I35" s="107">
        <v>30</v>
      </c>
      <c r="J35" s="107">
        <v>52.13</v>
      </c>
      <c r="K35" s="91"/>
      <c r="L35" s="92">
        <v>32431.759999999998</v>
      </c>
      <c r="M35" s="92">
        <v>704.04</v>
      </c>
      <c r="N35" s="92">
        <v>804.39</v>
      </c>
      <c r="O35" s="92">
        <f t="shared" si="6"/>
        <v>33940.189999999995</v>
      </c>
      <c r="P35" s="59"/>
      <c r="Q35" s="94">
        <v>15.72</v>
      </c>
      <c r="R35" s="59"/>
      <c r="S35" s="95">
        <f t="shared" si="7"/>
        <v>32697.600000000002</v>
      </c>
      <c r="T35" s="95">
        <f t="shared" si="8"/>
        <v>707.40000000000009</v>
      </c>
      <c r="U35" s="95">
        <f t="shared" si="9"/>
        <v>819.48360000000002</v>
      </c>
      <c r="V35" s="95">
        <f t="shared" si="10"/>
        <v>34224.4836</v>
      </c>
      <c r="W35" s="60"/>
      <c r="X35" s="55">
        <f t="shared" si="11"/>
        <v>284.29360000000452</v>
      </c>
      <c r="AA35" s="96"/>
    </row>
    <row r="36" spans="1:27">
      <c r="A36" s="24">
        <f t="shared" si="4"/>
        <v>22</v>
      </c>
      <c r="C36" s="24">
        <v>1</v>
      </c>
      <c r="D36" s="24" t="s">
        <v>186</v>
      </c>
      <c r="E36" s="93">
        <v>13</v>
      </c>
      <c r="H36" s="107">
        <v>2088.5</v>
      </c>
      <c r="I36" s="107">
        <v>33</v>
      </c>
      <c r="J36" s="107">
        <v>36</v>
      </c>
      <c r="K36" s="91"/>
      <c r="L36" s="92">
        <v>33952.17</v>
      </c>
      <c r="M36" s="92">
        <v>809.66</v>
      </c>
      <c r="N36" s="92">
        <v>703.95</v>
      </c>
      <c r="O36" s="92">
        <f t="shared" si="6"/>
        <v>35465.78</v>
      </c>
      <c r="P36" s="59"/>
      <c r="Q36" s="94">
        <v>16.48</v>
      </c>
      <c r="R36" s="59"/>
      <c r="S36" s="95">
        <f t="shared" si="7"/>
        <v>34278.400000000001</v>
      </c>
      <c r="T36" s="95">
        <f t="shared" si="8"/>
        <v>815.76</v>
      </c>
      <c r="U36" s="95">
        <f t="shared" si="9"/>
        <v>593.28</v>
      </c>
      <c r="V36" s="95">
        <f t="shared" si="10"/>
        <v>35687.440000000002</v>
      </c>
      <c r="W36" s="60"/>
      <c r="X36" s="55">
        <f t="shared" si="11"/>
        <v>221.66000000000349</v>
      </c>
      <c r="AA36" s="96"/>
    </row>
    <row r="37" spans="1:27">
      <c r="A37" s="24">
        <f t="shared" si="4"/>
        <v>23</v>
      </c>
      <c r="C37" s="24">
        <v>1</v>
      </c>
      <c r="D37" s="24" t="s">
        <v>187</v>
      </c>
      <c r="E37" s="93">
        <v>15</v>
      </c>
      <c r="H37" s="107">
        <v>2196</v>
      </c>
      <c r="I37" s="107">
        <v>1008.5</v>
      </c>
      <c r="J37" s="107">
        <v>176</v>
      </c>
      <c r="K37" s="91"/>
      <c r="L37" s="92">
        <v>57764.88</v>
      </c>
      <c r="M37" s="92">
        <v>39831.01</v>
      </c>
      <c r="N37" s="92">
        <v>4979.8100000000004</v>
      </c>
      <c r="O37" s="92">
        <f t="shared" si="6"/>
        <v>102575.7</v>
      </c>
      <c r="P37" s="59"/>
      <c r="Q37" s="94">
        <v>26.74</v>
      </c>
      <c r="R37" s="59"/>
      <c r="S37" s="95">
        <f t="shared" si="7"/>
        <v>55619.199999999997</v>
      </c>
      <c r="T37" s="95">
        <f t="shared" si="8"/>
        <v>40450.934999999998</v>
      </c>
      <c r="U37" s="95">
        <f t="shared" si="9"/>
        <v>4706.24</v>
      </c>
      <c r="V37" s="95">
        <f t="shared" si="10"/>
        <v>100776.375</v>
      </c>
      <c r="W37" s="60"/>
      <c r="X37" s="55">
        <f t="shared" si="11"/>
        <v>-1799.3249999999971</v>
      </c>
      <c r="AA37" s="96"/>
    </row>
    <row r="38" spans="1:27">
      <c r="A38" s="24">
        <f t="shared" si="4"/>
        <v>24</v>
      </c>
      <c r="C38" s="24">
        <v>1</v>
      </c>
      <c r="D38" s="24" t="s">
        <v>188</v>
      </c>
      <c r="E38" s="93">
        <v>22</v>
      </c>
      <c r="H38" s="107">
        <v>2092.5</v>
      </c>
      <c r="I38" s="107">
        <v>67.5</v>
      </c>
      <c r="J38" s="107">
        <v>146</v>
      </c>
      <c r="K38" s="91"/>
      <c r="L38" s="92">
        <v>34802.589999999997</v>
      </c>
      <c r="M38" s="92">
        <v>1672.52</v>
      </c>
      <c r="N38" s="92">
        <v>2572.2199999999998</v>
      </c>
      <c r="O38" s="92">
        <f t="shared" si="6"/>
        <v>39047.329999999994</v>
      </c>
      <c r="P38" s="59"/>
      <c r="Q38" s="94">
        <v>16.86</v>
      </c>
      <c r="R38" s="59"/>
      <c r="S38" s="95">
        <f t="shared" si="7"/>
        <v>35068.799999999996</v>
      </c>
      <c r="T38" s="95">
        <f t="shared" si="8"/>
        <v>1707.0749999999998</v>
      </c>
      <c r="U38" s="95">
        <f t="shared" si="9"/>
        <v>2461.56</v>
      </c>
      <c r="V38" s="95">
        <f t="shared" si="10"/>
        <v>39237.43499999999</v>
      </c>
      <c r="W38" s="60"/>
      <c r="X38" s="55">
        <f t="shared" si="11"/>
        <v>190.10499999999593</v>
      </c>
      <c r="AA38" s="96"/>
    </row>
    <row r="39" spans="1:27">
      <c r="A39" s="24">
        <f t="shared" si="4"/>
        <v>25</v>
      </c>
      <c r="C39" s="24">
        <v>1</v>
      </c>
      <c r="D39" s="24" t="s">
        <v>189</v>
      </c>
      <c r="E39" s="93">
        <v>24</v>
      </c>
      <c r="H39" s="107">
        <v>2100</v>
      </c>
      <c r="I39" s="107">
        <v>47.5</v>
      </c>
      <c r="J39" s="107">
        <v>45</v>
      </c>
      <c r="K39" s="91"/>
      <c r="L39" s="92">
        <v>39049.58</v>
      </c>
      <c r="M39" s="92">
        <v>1323.21</v>
      </c>
      <c r="N39" s="92">
        <v>961.17</v>
      </c>
      <c r="O39" s="92">
        <f t="shared" si="6"/>
        <v>41333.96</v>
      </c>
      <c r="P39" s="59"/>
      <c r="Q39" s="94">
        <v>18.899999999999999</v>
      </c>
      <c r="R39" s="59"/>
      <c r="S39" s="95">
        <f t="shared" si="7"/>
        <v>39312</v>
      </c>
      <c r="T39" s="95">
        <f t="shared" si="8"/>
        <v>1346.6249999999998</v>
      </c>
      <c r="U39" s="95">
        <f t="shared" si="9"/>
        <v>850.49999999999989</v>
      </c>
      <c r="V39" s="95">
        <f t="shared" si="10"/>
        <v>41509.125</v>
      </c>
      <c r="W39" s="60"/>
      <c r="X39" s="55">
        <f t="shared" si="11"/>
        <v>175.16500000000087</v>
      </c>
      <c r="AA39" s="96"/>
    </row>
    <row r="40" spans="1:27">
      <c r="A40" s="24">
        <f t="shared" si="4"/>
        <v>26</v>
      </c>
      <c r="C40" s="24">
        <v>1</v>
      </c>
      <c r="D40" s="24" t="s">
        <v>190</v>
      </c>
      <c r="E40" s="93">
        <v>25</v>
      </c>
      <c r="H40" s="107">
        <v>2094</v>
      </c>
      <c r="I40" s="107">
        <v>40.5</v>
      </c>
      <c r="J40" s="107">
        <v>0</v>
      </c>
      <c r="K40" s="91"/>
      <c r="L40" s="92">
        <v>35317.360000000001</v>
      </c>
      <c r="M40" s="92">
        <v>1021.3</v>
      </c>
      <c r="N40" s="92">
        <v>221.34</v>
      </c>
      <c r="O40" s="92">
        <f t="shared" si="6"/>
        <v>36560</v>
      </c>
      <c r="P40" s="59"/>
      <c r="Q40" s="94">
        <v>17.100000000000001</v>
      </c>
      <c r="R40" s="59"/>
      <c r="S40" s="95">
        <f t="shared" si="7"/>
        <v>35568</v>
      </c>
      <c r="T40" s="95">
        <f t="shared" si="8"/>
        <v>1038.825</v>
      </c>
      <c r="U40" s="95">
        <f t="shared" si="9"/>
        <v>0</v>
      </c>
      <c r="V40" s="95">
        <f t="shared" si="10"/>
        <v>36606.824999999997</v>
      </c>
      <c r="W40" s="60"/>
      <c r="X40" s="55">
        <f t="shared" si="11"/>
        <v>46.82499999999709</v>
      </c>
      <c r="AA40" s="96"/>
    </row>
    <row r="41" spans="1:27">
      <c r="A41" s="24">
        <f t="shared" si="4"/>
        <v>27</v>
      </c>
      <c r="C41" s="24">
        <v>1</v>
      </c>
      <c r="D41" s="24" t="s">
        <v>191</v>
      </c>
      <c r="E41" s="93">
        <v>31</v>
      </c>
      <c r="H41" s="107">
        <v>2085</v>
      </c>
      <c r="I41" s="107">
        <v>122</v>
      </c>
      <c r="J41" s="107">
        <v>111.98</v>
      </c>
      <c r="K41" s="91"/>
      <c r="L41" s="92">
        <v>34175.550000000003</v>
      </c>
      <c r="M41" s="92">
        <v>3085.36</v>
      </c>
      <c r="N41" s="92">
        <v>2018.75</v>
      </c>
      <c r="O41" s="92">
        <f t="shared" si="6"/>
        <v>39279.660000000003</v>
      </c>
      <c r="P41" s="59"/>
      <c r="Q41" s="94">
        <v>17.05</v>
      </c>
      <c r="R41" s="59"/>
      <c r="S41" s="95">
        <f t="shared" si="7"/>
        <v>35464</v>
      </c>
      <c r="T41" s="95">
        <f t="shared" si="8"/>
        <v>3120.1499999999996</v>
      </c>
      <c r="U41" s="95">
        <f t="shared" si="9"/>
        <v>1909.2590000000002</v>
      </c>
      <c r="V41" s="95">
        <f t="shared" si="10"/>
        <v>40493.409</v>
      </c>
      <c r="W41" s="60"/>
      <c r="X41" s="55">
        <f t="shared" si="11"/>
        <v>1213.7489999999962</v>
      </c>
      <c r="AA41" s="96"/>
    </row>
    <row r="42" spans="1:27">
      <c r="A42" s="24">
        <f t="shared" si="4"/>
        <v>28</v>
      </c>
      <c r="C42" s="24">
        <v>1</v>
      </c>
      <c r="D42" s="24" t="s">
        <v>192</v>
      </c>
      <c r="E42" s="93">
        <v>38</v>
      </c>
      <c r="H42" s="107">
        <v>2090.5</v>
      </c>
      <c r="I42" s="107">
        <v>31.5</v>
      </c>
      <c r="J42" s="107">
        <v>0</v>
      </c>
      <c r="K42" s="91"/>
      <c r="L42" s="92">
        <v>42206.13</v>
      </c>
      <c r="M42" s="92">
        <v>955.08</v>
      </c>
      <c r="N42" s="92">
        <v>110.67</v>
      </c>
      <c r="O42" s="92">
        <f t="shared" si="6"/>
        <v>43271.88</v>
      </c>
      <c r="P42" s="59"/>
      <c r="Q42" s="94">
        <v>20.47</v>
      </c>
      <c r="R42" s="59"/>
      <c r="S42" s="95">
        <f t="shared" si="7"/>
        <v>42577.599999999999</v>
      </c>
      <c r="T42" s="95">
        <f t="shared" si="8"/>
        <v>967.20749999999998</v>
      </c>
      <c r="U42" s="95">
        <f t="shared" si="9"/>
        <v>0</v>
      </c>
      <c r="V42" s="95">
        <f t="shared" si="10"/>
        <v>43544.807499999995</v>
      </c>
      <c r="W42" s="60"/>
      <c r="X42" s="55">
        <f t="shared" si="11"/>
        <v>272.92749999999796</v>
      </c>
      <c r="AA42" s="96"/>
    </row>
    <row r="43" spans="1:27">
      <c r="A43" s="24">
        <f t="shared" si="4"/>
        <v>29</v>
      </c>
      <c r="C43" s="24">
        <v>1</v>
      </c>
      <c r="D43" s="24" t="s">
        <v>193</v>
      </c>
      <c r="E43" s="93">
        <v>40</v>
      </c>
      <c r="H43" s="107">
        <v>2153.5</v>
      </c>
      <c r="I43" s="107">
        <v>100</v>
      </c>
      <c r="J43" s="107">
        <v>40</v>
      </c>
      <c r="K43" s="91"/>
      <c r="L43" s="92">
        <v>45205.73</v>
      </c>
      <c r="M43" s="92">
        <v>3137.87</v>
      </c>
      <c r="N43" s="92">
        <v>945.42</v>
      </c>
      <c r="O43" s="92">
        <f t="shared" si="6"/>
        <v>49289.020000000004</v>
      </c>
      <c r="P43" s="59"/>
      <c r="Q43" s="94">
        <v>20.87</v>
      </c>
      <c r="R43" s="59"/>
      <c r="S43" s="95">
        <f t="shared" si="7"/>
        <v>43409.599999999999</v>
      </c>
      <c r="T43" s="95">
        <f t="shared" si="8"/>
        <v>3130.5</v>
      </c>
      <c r="U43" s="95">
        <f t="shared" si="9"/>
        <v>834.80000000000007</v>
      </c>
      <c r="V43" s="95">
        <f t="shared" si="10"/>
        <v>47374.9</v>
      </c>
      <c r="W43" s="60"/>
      <c r="X43" s="55">
        <f t="shared" si="11"/>
        <v>-1914.1200000000026</v>
      </c>
      <c r="AA43" s="96"/>
    </row>
    <row r="44" spans="1:27">
      <c r="A44" s="24">
        <f t="shared" si="4"/>
        <v>30</v>
      </c>
      <c r="C44" s="24">
        <v>1</v>
      </c>
      <c r="D44" s="24" t="s">
        <v>194</v>
      </c>
      <c r="E44" s="93">
        <v>41</v>
      </c>
      <c r="H44" s="107">
        <v>2145</v>
      </c>
      <c r="I44" s="107">
        <v>153.5</v>
      </c>
      <c r="J44" s="107">
        <v>44</v>
      </c>
      <c r="K44" s="91"/>
      <c r="L44" s="92">
        <v>51904.76</v>
      </c>
      <c r="M44" s="92">
        <v>5522.7</v>
      </c>
      <c r="N44" s="92">
        <v>1163.0999999999999</v>
      </c>
      <c r="O44" s="92">
        <f t="shared" si="6"/>
        <v>58590.559999999998</v>
      </c>
      <c r="P44" s="59"/>
      <c r="Q44" s="94">
        <v>23.92</v>
      </c>
      <c r="R44" s="59"/>
      <c r="S44" s="95">
        <f t="shared" si="7"/>
        <v>49753.600000000006</v>
      </c>
      <c r="T44" s="95">
        <f t="shared" si="8"/>
        <v>5507.58</v>
      </c>
      <c r="U44" s="95">
        <f t="shared" si="9"/>
        <v>1052.48</v>
      </c>
      <c r="V44" s="95">
        <f t="shared" si="10"/>
        <v>56313.660000000011</v>
      </c>
      <c r="W44" s="60"/>
      <c r="X44" s="55">
        <f t="shared" si="11"/>
        <v>-2276.8999999999869</v>
      </c>
      <c r="AA44" s="96"/>
    </row>
    <row r="45" spans="1:27">
      <c r="A45" s="24">
        <f t="shared" si="4"/>
        <v>31</v>
      </c>
      <c r="C45" s="24">
        <v>1</v>
      </c>
      <c r="D45" s="24" t="s">
        <v>195</v>
      </c>
      <c r="E45" s="93">
        <v>43</v>
      </c>
      <c r="H45" s="107">
        <v>2103.5</v>
      </c>
      <c r="I45" s="107">
        <v>44</v>
      </c>
      <c r="J45" s="107">
        <v>71.459999999999994</v>
      </c>
      <c r="K45" s="91"/>
      <c r="L45" s="92">
        <v>37614.31</v>
      </c>
      <c r="M45" s="92">
        <v>1175.3599999999999</v>
      </c>
      <c r="N45" s="92">
        <v>1406.22</v>
      </c>
      <c r="O45" s="92">
        <f t="shared" si="6"/>
        <v>40195.89</v>
      </c>
      <c r="P45" s="59"/>
      <c r="Q45" s="94">
        <v>18.13</v>
      </c>
      <c r="R45" s="59"/>
      <c r="S45" s="95">
        <f t="shared" si="7"/>
        <v>37710.400000000001</v>
      </c>
      <c r="T45" s="95">
        <f t="shared" si="8"/>
        <v>1196.58</v>
      </c>
      <c r="U45" s="95">
        <f t="shared" si="9"/>
        <v>1295.5697999999998</v>
      </c>
      <c r="V45" s="95">
        <f t="shared" si="10"/>
        <v>40202.549800000001</v>
      </c>
      <c r="W45" s="60"/>
      <c r="X45" s="55">
        <f t="shared" si="11"/>
        <v>6.6598000000012689</v>
      </c>
      <c r="AA45" s="96"/>
    </row>
    <row r="46" spans="1:27">
      <c r="A46" s="24">
        <f t="shared" si="4"/>
        <v>32</v>
      </c>
      <c r="C46" s="24">
        <v>1</v>
      </c>
      <c r="D46" s="24" t="s">
        <v>196</v>
      </c>
      <c r="E46" s="93">
        <v>50</v>
      </c>
      <c r="F46" s="24" t="s">
        <v>180</v>
      </c>
      <c r="H46" s="107">
        <v>1329.84</v>
      </c>
      <c r="I46" s="107">
        <v>13.5</v>
      </c>
      <c r="J46" s="107">
        <v>0</v>
      </c>
      <c r="K46" s="91"/>
      <c r="L46" s="92">
        <v>32173.34</v>
      </c>
      <c r="M46" s="92">
        <v>489.42</v>
      </c>
      <c r="N46" s="92">
        <v>0</v>
      </c>
      <c r="O46" s="92">
        <f t="shared" si="6"/>
        <v>32662.76</v>
      </c>
      <c r="P46" s="59"/>
      <c r="Q46" s="94">
        <v>0</v>
      </c>
      <c r="R46" s="59"/>
      <c r="S46" s="95">
        <f t="shared" si="7"/>
        <v>0</v>
      </c>
      <c r="T46" s="95">
        <f t="shared" si="8"/>
        <v>0</v>
      </c>
      <c r="U46" s="95">
        <f>IF(N46=0,0,+J46*Q46)</f>
        <v>0</v>
      </c>
      <c r="V46" s="95">
        <f t="shared" si="10"/>
        <v>0</v>
      </c>
      <c r="W46" s="60"/>
      <c r="X46" s="55">
        <f t="shared" si="11"/>
        <v>-32662.76</v>
      </c>
      <c r="AA46" s="96"/>
    </row>
    <row r="47" spans="1:27">
      <c r="A47" s="24">
        <f t="shared" si="4"/>
        <v>33</v>
      </c>
      <c r="C47" s="24">
        <v>1</v>
      </c>
      <c r="D47" s="24" t="s">
        <v>197</v>
      </c>
      <c r="E47" s="93">
        <v>138</v>
      </c>
      <c r="H47" s="107">
        <v>2105</v>
      </c>
      <c r="I47" s="107">
        <v>103.5</v>
      </c>
      <c r="J47" s="107">
        <v>85</v>
      </c>
      <c r="K47" s="91"/>
      <c r="L47" s="92">
        <v>48848.36</v>
      </c>
      <c r="M47" s="92">
        <v>3582.86</v>
      </c>
      <c r="N47" s="92">
        <v>2110.1</v>
      </c>
      <c r="O47" s="92">
        <f t="shared" si="6"/>
        <v>54541.32</v>
      </c>
      <c r="P47" s="59"/>
      <c r="Q47" s="94">
        <v>23.53</v>
      </c>
      <c r="R47" s="59"/>
      <c r="S47" s="95">
        <f t="shared" si="7"/>
        <v>48942.400000000001</v>
      </c>
      <c r="T47" s="95">
        <f t="shared" si="8"/>
        <v>3653.0325000000003</v>
      </c>
      <c r="U47" s="95">
        <f t="shared" si="9"/>
        <v>2000.0500000000002</v>
      </c>
      <c r="V47" s="95">
        <f t="shared" si="10"/>
        <v>54595.482500000006</v>
      </c>
      <c r="W47" s="60"/>
      <c r="X47" s="55">
        <f t="shared" si="11"/>
        <v>54.162500000005821</v>
      </c>
      <c r="AA47" s="96"/>
    </row>
    <row r="48" spans="1:27">
      <c r="A48" s="24">
        <f t="shared" si="4"/>
        <v>34</v>
      </c>
      <c r="C48" s="24">
        <v>1</v>
      </c>
      <c r="D48" s="24" t="s">
        <v>198</v>
      </c>
      <c r="E48" s="93">
        <v>139</v>
      </c>
      <c r="H48" s="107">
        <v>2086.5</v>
      </c>
      <c r="I48" s="107">
        <v>29</v>
      </c>
      <c r="J48" s="107">
        <v>76</v>
      </c>
      <c r="K48" s="91"/>
      <c r="L48" s="92">
        <v>37047.32</v>
      </c>
      <c r="M48" s="92">
        <v>769.97</v>
      </c>
      <c r="N48" s="92">
        <v>1478.68</v>
      </c>
      <c r="O48" s="92">
        <f t="shared" si="6"/>
        <v>39295.97</v>
      </c>
      <c r="P48" s="59"/>
      <c r="Q48" s="94">
        <v>18</v>
      </c>
      <c r="R48" s="59"/>
      <c r="S48" s="95">
        <f t="shared" si="7"/>
        <v>37440</v>
      </c>
      <c r="T48" s="95">
        <f t="shared" si="8"/>
        <v>783</v>
      </c>
      <c r="U48" s="95">
        <f t="shared" si="9"/>
        <v>1368</v>
      </c>
      <c r="V48" s="95">
        <f t="shared" si="10"/>
        <v>39591</v>
      </c>
      <c r="W48" s="60"/>
      <c r="X48" s="55">
        <f t="shared" si="11"/>
        <v>295.02999999999884</v>
      </c>
      <c r="AA48" s="96"/>
    </row>
    <row r="49" spans="1:29">
      <c r="A49" s="24">
        <f t="shared" si="4"/>
        <v>35</v>
      </c>
      <c r="C49" s="24">
        <v>1</v>
      </c>
      <c r="D49" s="24" t="s">
        <v>199</v>
      </c>
      <c r="E49" s="93">
        <v>144</v>
      </c>
      <c r="H49" s="107">
        <v>2097</v>
      </c>
      <c r="I49" s="107">
        <v>26.5</v>
      </c>
      <c r="J49" s="107">
        <v>0</v>
      </c>
      <c r="K49" s="91"/>
      <c r="L49" s="92">
        <v>49657.9</v>
      </c>
      <c r="M49" s="92">
        <v>936.92</v>
      </c>
      <c r="N49" s="92">
        <v>110.65</v>
      </c>
      <c r="O49" s="92">
        <f t="shared" si="6"/>
        <v>50705.47</v>
      </c>
      <c r="P49" s="59"/>
      <c r="Q49" s="94">
        <v>24.01</v>
      </c>
      <c r="R49" s="59"/>
      <c r="S49" s="95">
        <f t="shared" si="7"/>
        <v>49940.800000000003</v>
      </c>
      <c r="T49" s="95">
        <f t="shared" si="8"/>
        <v>954.39750000000004</v>
      </c>
      <c r="U49" s="95">
        <f t="shared" si="9"/>
        <v>0</v>
      </c>
      <c r="V49" s="95">
        <f t="shared" si="10"/>
        <v>50895.197500000002</v>
      </c>
      <c r="W49" s="60"/>
      <c r="X49" s="55">
        <f t="shared" si="11"/>
        <v>189.72750000000087</v>
      </c>
      <c r="AA49" s="96"/>
    </row>
    <row r="50" spans="1:29">
      <c r="A50" s="24">
        <f t="shared" si="4"/>
        <v>36</v>
      </c>
      <c r="C50" s="24">
        <v>1</v>
      </c>
      <c r="D50" s="24" t="s">
        <v>200</v>
      </c>
      <c r="E50" s="93">
        <v>164</v>
      </c>
      <c r="H50" s="107">
        <v>2208.5</v>
      </c>
      <c r="I50" s="107">
        <v>434</v>
      </c>
      <c r="J50" s="107">
        <v>36</v>
      </c>
      <c r="K50" s="91"/>
      <c r="L50" s="92">
        <v>43620.6</v>
      </c>
      <c r="M50" s="92">
        <v>12859.6</v>
      </c>
      <c r="N50" s="92">
        <v>831.8</v>
      </c>
      <c r="O50" s="92">
        <f t="shared" si="6"/>
        <v>57312</v>
      </c>
      <c r="P50" s="59"/>
      <c r="Q50" s="94">
        <v>20.07</v>
      </c>
      <c r="R50" s="59"/>
      <c r="S50" s="95">
        <f t="shared" si="7"/>
        <v>41745.599999999999</v>
      </c>
      <c r="T50" s="95">
        <f t="shared" si="8"/>
        <v>13065.570000000002</v>
      </c>
      <c r="U50" s="95">
        <f t="shared" si="9"/>
        <v>722.52</v>
      </c>
      <c r="V50" s="95">
        <f t="shared" si="10"/>
        <v>55533.689999999995</v>
      </c>
      <c r="W50" s="60"/>
      <c r="X50" s="55">
        <f t="shared" si="11"/>
        <v>-1778.3100000000049</v>
      </c>
      <c r="AA50" s="96"/>
    </row>
    <row r="51" spans="1:29">
      <c r="A51" s="24">
        <f t="shared" si="4"/>
        <v>37</v>
      </c>
      <c r="C51" s="24">
        <v>1</v>
      </c>
      <c r="D51" s="24" t="s">
        <v>201</v>
      </c>
      <c r="E51" s="93">
        <v>166</v>
      </c>
      <c r="H51" s="107">
        <v>2089.5</v>
      </c>
      <c r="I51" s="107">
        <v>53</v>
      </c>
      <c r="J51" s="107">
        <v>36</v>
      </c>
      <c r="K51" s="91"/>
      <c r="L51" s="92">
        <v>37101.279999999999</v>
      </c>
      <c r="M51" s="92">
        <v>1480.18</v>
      </c>
      <c r="N51" s="92">
        <v>846.52</v>
      </c>
      <c r="O51" s="92">
        <f t="shared" si="6"/>
        <v>39427.979999999996</v>
      </c>
      <c r="P51" s="59"/>
      <c r="Q51" s="94">
        <v>20.440000000000001</v>
      </c>
      <c r="R51" s="59"/>
      <c r="S51" s="95">
        <f t="shared" si="7"/>
        <v>42515.200000000004</v>
      </c>
      <c r="T51" s="95">
        <f t="shared" si="8"/>
        <v>1624.9800000000002</v>
      </c>
      <c r="U51" s="95">
        <f t="shared" si="9"/>
        <v>735.84</v>
      </c>
      <c r="V51" s="95">
        <f t="shared" si="10"/>
        <v>44876.020000000004</v>
      </c>
      <c r="W51" s="60"/>
      <c r="X51" s="55">
        <f t="shared" si="11"/>
        <v>5448.0400000000081</v>
      </c>
      <c r="AA51" s="96"/>
    </row>
    <row r="52" spans="1:29">
      <c r="A52" s="24">
        <f t="shared" si="4"/>
        <v>38</v>
      </c>
      <c r="C52" s="24">
        <v>1</v>
      </c>
      <c r="D52" s="24" t="s">
        <v>202</v>
      </c>
      <c r="E52" s="93">
        <v>169</v>
      </c>
      <c r="H52" s="107">
        <v>2130.5</v>
      </c>
      <c r="I52" s="107">
        <v>157</v>
      </c>
      <c r="J52" s="107">
        <v>176</v>
      </c>
      <c r="K52" s="91"/>
      <c r="L52" s="92">
        <v>53163.94</v>
      </c>
      <c r="M52" s="92">
        <v>5843.68</v>
      </c>
      <c r="N52" s="92">
        <v>4447.25</v>
      </c>
      <c r="O52" s="92">
        <f t="shared" si="6"/>
        <v>63454.87</v>
      </c>
      <c r="P52" s="59"/>
      <c r="Q52" s="94">
        <v>24.64</v>
      </c>
      <c r="R52" s="59"/>
      <c r="S52" s="95">
        <f t="shared" si="7"/>
        <v>51251.200000000004</v>
      </c>
      <c r="T52" s="95">
        <f t="shared" si="8"/>
        <v>5802.72</v>
      </c>
      <c r="U52" s="95">
        <f t="shared" si="9"/>
        <v>4336.6400000000003</v>
      </c>
      <c r="V52" s="95">
        <f t="shared" si="10"/>
        <v>61390.560000000005</v>
      </c>
      <c r="W52" s="60"/>
      <c r="X52" s="55">
        <f t="shared" si="11"/>
        <v>-2064.3099999999977</v>
      </c>
      <c r="AA52" s="96"/>
    </row>
    <row r="53" spans="1:29">
      <c r="A53" s="24">
        <f t="shared" si="4"/>
        <v>39</v>
      </c>
      <c r="C53" s="24">
        <v>1</v>
      </c>
      <c r="D53" s="24" t="s">
        <v>203</v>
      </c>
      <c r="E53" s="93">
        <v>174</v>
      </c>
      <c r="H53" s="107">
        <v>2000</v>
      </c>
      <c r="I53" s="107">
        <v>379</v>
      </c>
      <c r="J53" s="107">
        <v>80</v>
      </c>
      <c r="K53" s="91"/>
      <c r="L53" s="92">
        <v>77775.39</v>
      </c>
      <c r="M53" s="92">
        <v>26899.86</v>
      </c>
      <c r="N53" s="92">
        <v>3219.32</v>
      </c>
      <c r="O53" s="92">
        <f t="shared" si="6"/>
        <v>107894.57</v>
      </c>
      <c r="P53" s="59"/>
      <c r="Q53" s="94">
        <v>38.869999999999997</v>
      </c>
      <c r="R53" s="59"/>
      <c r="S53" s="95">
        <f t="shared" si="7"/>
        <v>80849.599999999991</v>
      </c>
      <c r="T53" s="95">
        <f t="shared" si="8"/>
        <v>22097.595000000001</v>
      </c>
      <c r="U53" s="95">
        <f t="shared" si="9"/>
        <v>3109.6</v>
      </c>
      <c r="V53" s="95">
        <f t="shared" si="10"/>
        <v>106056.795</v>
      </c>
      <c r="W53" s="60"/>
      <c r="X53" s="55">
        <f t="shared" si="11"/>
        <v>-1837.7750000000087</v>
      </c>
      <c r="AA53" s="96"/>
    </row>
    <row r="54" spans="1:29">
      <c r="C54" s="24" t="s">
        <v>489</v>
      </c>
      <c r="E54" s="93"/>
      <c r="H54" s="107"/>
      <c r="I54" s="107"/>
      <c r="J54" s="107"/>
      <c r="K54" s="91"/>
      <c r="L54" s="92"/>
      <c r="M54" s="92"/>
      <c r="N54" s="92"/>
      <c r="O54" s="92"/>
      <c r="P54" s="59"/>
      <c r="Q54" s="94"/>
      <c r="R54" s="59"/>
      <c r="S54" s="95"/>
      <c r="T54" s="95"/>
      <c r="U54" s="95"/>
      <c r="V54" s="95"/>
      <c r="W54" s="60"/>
      <c r="X54" s="55"/>
      <c r="AA54" s="96"/>
    </row>
    <row r="55" spans="1:29" ht="20.25" customHeight="1">
      <c r="C55" s="384" t="s">
        <v>142</v>
      </c>
      <c r="D55" s="384"/>
      <c r="E55" s="384"/>
      <c r="F55" s="384"/>
      <c r="H55" s="384" t="s">
        <v>143</v>
      </c>
      <c r="I55" s="384"/>
      <c r="J55" s="384"/>
      <c r="K55" s="91"/>
      <c r="L55" s="384" t="s">
        <v>144</v>
      </c>
      <c r="M55" s="384"/>
      <c r="N55" s="384"/>
      <c r="O55" s="384"/>
      <c r="P55" s="59"/>
      <c r="Q55" s="385" t="s">
        <v>145</v>
      </c>
      <c r="R55" s="59"/>
      <c r="S55" s="384" t="s">
        <v>146</v>
      </c>
      <c r="T55" s="384"/>
      <c r="U55" s="384"/>
      <c r="V55" s="384"/>
      <c r="W55" s="60"/>
      <c r="X55" s="385" t="s">
        <v>147</v>
      </c>
      <c r="AA55" s="96"/>
    </row>
    <row r="56" spans="1:29" ht="31.5" customHeight="1">
      <c r="A56" s="24" t="s">
        <v>7</v>
      </c>
      <c r="C56" s="24" t="s">
        <v>148</v>
      </c>
      <c r="D56" s="24" t="s">
        <v>149</v>
      </c>
      <c r="E56" s="57" t="s">
        <v>150</v>
      </c>
      <c r="F56" s="24" t="s">
        <v>151</v>
      </c>
      <c r="H56" s="13" t="s">
        <v>152</v>
      </c>
      <c r="I56" s="13" t="s">
        <v>153</v>
      </c>
      <c r="J56" s="13" t="s">
        <v>154</v>
      </c>
      <c r="K56" s="58"/>
      <c r="L56" s="13" t="s">
        <v>152</v>
      </c>
      <c r="M56" s="13" t="s">
        <v>153</v>
      </c>
      <c r="N56" s="13" t="s">
        <v>154</v>
      </c>
      <c r="O56" s="13" t="s">
        <v>53</v>
      </c>
      <c r="P56" s="59"/>
      <c r="Q56" s="385"/>
      <c r="R56" s="59"/>
      <c r="S56" s="13" t="s">
        <v>152</v>
      </c>
      <c r="T56" s="13" t="s">
        <v>153</v>
      </c>
      <c r="U56" s="13" t="s">
        <v>154</v>
      </c>
      <c r="V56" s="13" t="s">
        <v>53</v>
      </c>
      <c r="W56" s="60"/>
      <c r="X56" s="385"/>
      <c r="AA56" s="96"/>
    </row>
    <row r="57" spans="1:29">
      <c r="A57" s="15" t="s">
        <v>11</v>
      </c>
      <c r="C57" s="16">
        <v>1</v>
      </c>
      <c r="D57" s="16">
        <f>C57+1</f>
        <v>2</v>
      </c>
      <c r="E57" s="61" t="s">
        <v>155</v>
      </c>
      <c r="F57" s="16">
        <f>D57+1</f>
        <v>3</v>
      </c>
      <c r="H57" s="16">
        <f>F57+1</f>
        <v>4</v>
      </c>
      <c r="I57" s="16">
        <f>H57+1</f>
        <v>5</v>
      </c>
      <c r="J57" s="16">
        <f>I57+1</f>
        <v>6</v>
      </c>
      <c r="K57" s="58"/>
      <c r="L57" s="16">
        <f>J57+1</f>
        <v>7</v>
      </c>
      <c r="M57" s="16">
        <f>L57+1</f>
        <v>8</v>
      </c>
      <c r="N57" s="16">
        <f>M57+1</f>
        <v>9</v>
      </c>
      <c r="O57" s="16">
        <f>N57+1</f>
        <v>10</v>
      </c>
      <c r="P57" s="59"/>
      <c r="Q57" s="16">
        <f>O57+1</f>
        <v>11</v>
      </c>
      <c r="R57" s="59"/>
      <c r="S57" s="16">
        <f>Q57+1</f>
        <v>12</v>
      </c>
      <c r="T57" s="16">
        <f>S57+1</f>
        <v>13</v>
      </c>
      <c r="U57" s="16">
        <f>T57+1</f>
        <v>14</v>
      </c>
      <c r="V57" s="16">
        <f>U57+1</f>
        <v>15</v>
      </c>
      <c r="W57" s="60"/>
      <c r="X57" s="16">
        <f>V57+1</f>
        <v>16</v>
      </c>
      <c r="AA57" s="96"/>
    </row>
    <row r="58" spans="1:29">
      <c r="A58" s="24">
        <f>A53+1</f>
        <v>40</v>
      </c>
      <c r="C58" s="24">
        <v>1</v>
      </c>
      <c r="D58" s="24" t="s">
        <v>204</v>
      </c>
      <c r="E58" s="93">
        <v>176</v>
      </c>
      <c r="H58" s="90">
        <v>2151</v>
      </c>
      <c r="I58" s="90">
        <v>410</v>
      </c>
      <c r="J58" s="90">
        <v>176</v>
      </c>
      <c r="K58" s="91"/>
      <c r="L58" s="92">
        <v>57567.11</v>
      </c>
      <c r="M58" s="92">
        <v>16449.7</v>
      </c>
      <c r="N58" s="92">
        <v>4885.5200000000004</v>
      </c>
      <c r="O58" s="92">
        <f>SUM(L58:N58)</f>
        <v>78902.33</v>
      </c>
      <c r="P58" s="59"/>
      <c r="Q58" s="94">
        <v>27.13</v>
      </c>
      <c r="R58" s="59"/>
      <c r="S58" s="95">
        <f t="shared" si="7"/>
        <v>56430.400000000001</v>
      </c>
      <c r="T58" s="95">
        <f>(+I58*Q58)*1.5</f>
        <v>16684.949999999997</v>
      </c>
      <c r="U58" s="95">
        <f>IF(N58=0,0,+J58*Q58)</f>
        <v>4774.88</v>
      </c>
      <c r="V58" s="95">
        <f>SUM(S58:U58)</f>
        <v>77890.23000000001</v>
      </c>
      <c r="W58" s="60"/>
      <c r="X58" s="55">
        <f>V58-O58</f>
        <v>-1012.0999999999913</v>
      </c>
      <c r="Z58" s="138"/>
      <c r="AA58" s="96"/>
    </row>
    <row r="59" spans="1:29">
      <c r="A59" s="24">
        <f t="shared" si="4"/>
        <v>41</v>
      </c>
      <c r="C59" s="24">
        <v>1</v>
      </c>
      <c r="D59" s="24" t="s">
        <v>205</v>
      </c>
      <c r="E59" s="93">
        <v>182</v>
      </c>
      <c r="H59" s="90">
        <v>2100.5</v>
      </c>
      <c r="I59" s="90">
        <v>67.5</v>
      </c>
      <c r="J59" s="90">
        <v>120</v>
      </c>
      <c r="K59" s="91"/>
      <c r="L59" s="92">
        <v>43184.7</v>
      </c>
      <c r="M59" s="92">
        <v>2080.11</v>
      </c>
      <c r="N59" s="92">
        <v>2617.48</v>
      </c>
      <c r="O59" s="92">
        <f>SUM(L59:N59)</f>
        <v>47882.29</v>
      </c>
      <c r="P59" s="59"/>
      <c r="Q59" s="94">
        <v>20.89</v>
      </c>
      <c r="R59" s="59"/>
      <c r="S59" s="95">
        <f t="shared" si="7"/>
        <v>43451.200000000004</v>
      </c>
      <c r="T59" s="95">
        <f>(+I59*Q59)*1.5</f>
        <v>2115.1125000000002</v>
      </c>
      <c r="U59" s="95">
        <f t="shared" ref="U59:U98" si="12">IF(N59=0,0,+J59*Q59)</f>
        <v>2506.8000000000002</v>
      </c>
      <c r="V59" s="95">
        <f>SUM(S59:U59)</f>
        <v>48073.11250000001</v>
      </c>
      <c r="W59" s="60"/>
      <c r="X59" s="55">
        <f>V59-O59</f>
        <v>190.82250000000931</v>
      </c>
      <c r="AA59" s="96"/>
    </row>
    <row r="60" spans="1:29">
      <c r="A60" s="24">
        <f>A59+1</f>
        <v>42</v>
      </c>
      <c r="C60" s="24">
        <v>1</v>
      </c>
      <c r="D60" s="24" t="s">
        <v>206</v>
      </c>
      <c r="E60" s="93"/>
      <c r="F60" s="24" t="s">
        <v>179</v>
      </c>
      <c r="H60" s="90"/>
      <c r="I60" s="90"/>
      <c r="J60" s="90"/>
      <c r="K60" s="91"/>
      <c r="L60" s="92"/>
      <c r="M60" s="92"/>
      <c r="N60" s="92"/>
      <c r="O60" s="92">
        <f t="shared" ref="O60:O62" si="13">SUM(L60:N60)</f>
        <v>0</v>
      </c>
      <c r="P60" s="59"/>
      <c r="Q60" s="94">
        <f>1039.04*0.025</f>
        <v>25.975999999999999</v>
      </c>
      <c r="R60" s="59"/>
      <c r="S60" s="95">
        <f t="shared" si="7"/>
        <v>54030.080000000002</v>
      </c>
      <c r="T60" s="95">
        <f t="shared" ref="T60:T64" si="14">(+I60*Q60)*1.5</f>
        <v>0</v>
      </c>
      <c r="U60" s="95">
        <f t="shared" si="12"/>
        <v>0</v>
      </c>
      <c r="V60" s="95">
        <f t="shared" ref="V60:V64" si="15">SUM(S60:U60)</f>
        <v>54030.080000000002</v>
      </c>
      <c r="W60" s="60"/>
      <c r="X60" s="55">
        <f t="shared" ref="X60:X98" si="16">V60-O60</f>
        <v>54030.080000000002</v>
      </c>
      <c r="AA60" s="96"/>
    </row>
    <row r="61" spans="1:29">
      <c r="A61" s="24">
        <f t="shared" si="4"/>
        <v>43</v>
      </c>
      <c r="C61" s="24">
        <v>1</v>
      </c>
      <c r="D61" s="24" t="s">
        <v>207</v>
      </c>
      <c r="E61" s="93"/>
      <c r="F61" s="24" t="s">
        <v>179</v>
      </c>
      <c r="H61" s="90"/>
      <c r="I61" s="90"/>
      <c r="J61" s="90"/>
      <c r="K61" s="91"/>
      <c r="L61" s="92"/>
      <c r="M61" s="92"/>
      <c r="N61" s="92"/>
      <c r="O61" s="92"/>
      <c r="P61" s="59"/>
      <c r="Q61" s="94">
        <v>20.260000000000002</v>
      </c>
      <c r="R61" s="59"/>
      <c r="S61" s="95">
        <f t="shared" si="7"/>
        <v>42140.800000000003</v>
      </c>
      <c r="T61" s="95">
        <f t="shared" si="14"/>
        <v>0</v>
      </c>
      <c r="U61" s="95">
        <f t="shared" si="12"/>
        <v>0</v>
      </c>
      <c r="V61" s="95">
        <f t="shared" si="15"/>
        <v>42140.800000000003</v>
      </c>
      <c r="W61" s="60"/>
      <c r="X61" s="55">
        <f t="shared" si="16"/>
        <v>42140.800000000003</v>
      </c>
      <c r="Z61" s="163" t="s">
        <v>208</v>
      </c>
      <c r="AA61" s="96"/>
    </row>
    <row r="62" spans="1:29">
      <c r="A62" s="24">
        <f t="shared" si="4"/>
        <v>44</v>
      </c>
      <c r="C62" s="24">
        <v>1</v>
      </c>
      <c r="D62" s="24" t="s">
        <v>209</v>
      </c>
      <c r="E62" s="93"/>
      <c r="F62" s="24" t="s">
        <v>179</v>
      </c>
      <c r="H62" s="90"/>
      <c r="I62" s="90"/>
      <c r="J62" s="90"/>
      <c r="K62" s="91"/>
      <c r="L62" s="92"/>
      <c r="M62" s="92"/>
      <c r="N62" s="92"/>
      <c r="O62" s="92">
        <f t="shared" si="13"/>
        <v>0</v>
      </c>
      <c r="P62" s="59"/>
      <c r="Q62" s="94">
        <f>1250*0.025</f>
        <v>31.25</v>
      </c>
      <c r="R62" s="59"/>
      <c r="S62" s="95">
        <f t="shared" si="7"/>
        <v>65000</v>
      </c>
      <c r="T62" s="95">
        <f t="shared" si="14"/>
        <v>0</v>
      </c>
      <c r="U62" s="95">
        <f t="shared" si="12"/>
        <v>0</v>
      </c>
      <c r="V62" s="95">
        <f t="shared" si="15"/>
        <v>65000</v>
      </c>
      <c r="W62" s="60"/>
      <c r="X62" s="55">
        <f t="shared" si="16"/>
        <v>65000</v>
      </c>
      <c r="AA62" s="96"/>
    </row>
    <row r="63" spans="1:29">
      <c r="A63" s="24">
        <f t="shared" si="4"/>
        <v>45</v>
      </c>
      <c r="C63" s="24">
        <v>1</v>
      </c>
      <c r="D63" s="24" t="s">
        <v>210</v>
      </c>
      <c r="E63" s="93"/>
      <c r="F63" s="24" t="s">
        <v>179</v>
      </c>
      <c r="H63" s="90"/>
      <c r="I63" s="90"/>
      <c r="J63" s="90"/>
      <c r="K63" s="91"/>
      <c r="L63" s="92"/>
      <c r="M63" s="92"/>
      <c r="N63" s="92"/>
      <c r="O63" s="92"/>
      <c r="P63" s="59"/>
      <c r="Q63" s="94">
        <f>24.04*1</f>
        <v>24.04</v>
      </c>
      <c r="R63" s="59"/>
      <c r="S63" s="95">
        <f t="shared" si="7"/>
        <v>50003.199999999997</v>
      </c>
      <c r="T63" s="95">
        <f t="shared" si="14"/>
        <v>0</v>
      </c>
      <c r="U63" s="95">
        <f t="shared" si="12"/>
        <v>0</v>
      </c>
      <c r="V63" s="95">
        <f t="shared" si="15"/>
        <v>50003.199999999997</v>
      </c>
      <c r="W63" s="60"/>
      <c r="X63" s="55">
        <f t="shared" si="16"/>
        <v>50003.199999999997</v>
      </c>
      <c r="Z63" s="108" t="s">
        <v>211</v>
      </c>
      <c r="AA63" s="109" t="s">
        <v>211</v>
      </c>
      <c r="AB63" s="89" t="s">
        <v>212</v>
      </c>
      <c r="AC63" s="89" t="s">
        <v>213</v>
      </c>
    </row>
    <row r="64" spans="1:29">
      <c r="A64" s="24">
        <f t="shared" si="4"/>
        <v>46</v>
      </c>
      <c r="C64" s="24">
        <v>1</v>
      </c>
      <c r="D64" s="24" t="s">
        <v>214</v>
      </c>
      <c r="E64" s="93"/>
      <c r="F64" s="24" t="s">
        <v>179</v>
      </c>
      <c r="H64" s="90"/>
      <c r="I64" s="90"/>
      <c r="J64" s="90"/>
      <c r="K64" s="91"/>
      <c r="L64" s="92"/>
      <c r="M64" s="92"/>
      <c r="N64" s="92"/>
      <c r="O64" s="92"/>
      <c r="P64" s="59"/>
      <c r="Q64" s="94">
        <f>1090.99*0.025</f>
        <v>27.274750000000001</v>
      </c>
      <c r="R64" s="59"/>
      <c r="S64" s="95">
        <f t="shared" si="7"/>
        <v>56731.48</v>
      </c>
      <c r="T64" s="95">
        <f t="shared" si="14"/>
        <v>0</v>
      </c>
      <c r="U64" s="95">
        <f t="shared" si="12"/>
        <v>0</v>
      </c>
      <c r="V64" s="95">
        <f t="shared" si="15"/>
        <v>56731.48</v>
      </c>
      <c r="W64" s="60"/>
      <c r="X64" s="55">
        <f t="shared" si="16"/>
        <v>56731.48</v>
      </c>
      <c r="Z64" s="110" t="s">
        <v>215</v>
      </c>
      <c r="AA64" s="111" t="s">
        <v>216</v>
      </c>
      <c r="AB64" s="5" t="s">
        <v>217</v>
      </c>
      <c r="AC64" s="5" t="s">
        <v>218</v>
      </c>
    </row>
    <row r="65" spans="1:29">
      <c r="A65" s="24">
        <f t="shared" si="4"/>
        <v>47</v>
      </c>
      <c r="C65" s="24">
        <v>1</v>
      </c>
      <c r="D65" s="24" t="s">
        <v>219</v>
      </c>
      <c r="E65" s="93">
        <v>185</v>
      </c>
      <c r="F65" s="24" t="s">
        <v>220</v>
      </c>
      <c r="H65" s="90">
        <v>1112</v>
      </c>
      <c r="I65" s="90">
        <v>156.5</v>
      </c>
      <c r="J65" s="90">
        <v>32</v>
      </c>
      <c r="K65" s="91"/>
      <c r="L65" s="92">
        <v>38677.32</v>
      </c>
      <c r="M65" s="92">
        <v>8923.4</v>
      </c>
      <c r="N65" s="92">
        <v>674.85</v>
      </c>
      <c r="O65" s="92">
        <f t="shared" ref="O65:O70" si="17">SUM(L65:N65)</f>
        <v>48275.57</v>
      </c>
      <c r="P65" s="59"/>
      <c r="Q65" s="94">
        <v>35.340000000000003</v>
      </c>
      <c r="R65" s="59"/>
      <c r="S65" s="95">
        <f t="shared" si="7"/>
        <v>73507.200000000012</v>
      </c>
      <c r="T65" s="95">
        <f t="shared" ref="T65:T98" si="18">(+I65*Q65)*1.5+AC65</f>
        <v>9054.4462320143903</v>
      </c>
      <c r="U65" s="95">
        <f t="shared" si="12"/>
        <v>1130.8800000000001</v>
      </c>
      <c r="V65" s="95">
        <f t="shared" ref="V65:V70" si="19">SUM(S65:U65)</f>
        <v>83692.52623201441</v>
      </c>
      <c r="W65" s="60"/>
      <c r="X65" s="55">
        <f t="shared" si="16"/>
        <v>35416.95623201441</v>
      </c>
      <c r="Z65" s="112">
        <f>+L65/H65</f>
        <v>34.781762589928057</v>
      </c>
      <c r="AA65" s="113">
        <f>+Z65*1.5</f>
        <v>52.172643884892082</v>
      </c>
      <c r="AB65" s="114">
        <f>+AA65*I65</f>
        <v>8165.0187679856108</v>
      </c>
      <c r="AC65" s="114">
        <f>+M65-AB65</f>
        <v>758.38123201438884</v>
      </c>
    </row>
    <row r="66" spans="1:29">
      <c r="A66" s="24">
        <f t="shared" si="4"/>
        <v>48</v>
      </c>
      <c r="C66" s="24">
        <v>1</v>
      </c>
      <c r="D66" s="24" t="s">
        <v>221</v>
      </c>
      <c r="E66" s="93">
        <v>187</v>
      </c>
      <c r="F66" s="24" t="s">
        <v>220</v>
      </c>
      <c r="H66" s="90">
        <v>2056</v>
      </c>
      <c r="I66" s="90">
        <v>180.5</v>
      </c>
      <c r="J66" s="90">
        <v>65.569999999999993</v>
      </c>
      <c r="K66" s="91"/>
      <c r="L66" s="92">
        <v>67428.73</v>
      </c>
      <c r="M66" s="92">
        <v>8955.65</v>
      </c>
      <c r="N66" s="92">
        <v>2310.8200000000002</v>
      </c>
      <c r="O66" s="92">
        <f t="shared" si="17"/>
        <v>78695.199999999997</v>
      </c>
      <c r="P66" s="59"/>
      <c r="Q66" s="94">
        <v>33.57</v>
      </c>
      <c r="R66" s="59"/>
      <c r="S66" s="95">
        <f t="shared" si="7"/>
        <v>69825.600000000006</v>
      </c>
      <c r="T66" s="95">
        <f t="shared" si="18"/>
        <v>9165.1902200875484</v>
      </c>
      <c r="U66" s="95">
        <f t="shared" si="12"/>
        <v>2201.1848999999997</v>
      </c>
      <c r="V66" s="95">
        <f t="shared" si="19"/>
        <v>81191.975120087547</v>
      </c>
      <c r="W66" s="60"/>
      <c r="X66" s="55">
        <f t="shared" si="16"/>
        <v>2496.77512008755</v>
      </c>
      <c r="Z66" s="112">
        <f t="shared" ref="Z66:Z98" si="20">+L66/H66</f>
        <v>32.796074902723731</v>
      </c>
      <c r="AA66" s="113">
        <f t="shared" ref="AA66:AA98" si="21">+Z66*1.5</f>
        <v>49.194112354085597</v>
      </c>
      <c r="AB66" s="114">
        <f t="shared" ref="AB66:AB98" si="22">+AA66*I66</f>
        <v>8879.5372799124507</v>
      </c>
      <c r="AC66" s="114">
        <f t="shared" ref="AC66:AC98" si="23">+M66-AB66</f>
        <v>76.112720087548951</v>
      </c>
    </row>
    <row r="67" spans="1:29">
      <c r="A67" s="24">
        <f t="shared" si="4"/>
        <v>49</v>
      </c>
      <c r="C67" s="24">
        <v>1</v>
      </c>
      <c r="D67" s="24" t="s">
        <v>222</v>
      </c>
      <c r="E67" s="93">
        <v>188</v>
      </c>
      <c r="F67" s="24" t="s">
        <v>223</v>
      </c>
      <c r="H67" s="90">
        <v>806.15</v>
      </c>
      <c r="I67" s="90">
        <v>58.5</v>
      </c>
      <c r="J67" s="90">
        <v>0</v>
      </c>
      <c r="K67" s="91"/>
      <c r="L67" s="92">
        <v>21805.67</v>
      </c>
      <c r="M67" s="92">
        <v>2402.41</v>
      </c>
      <c r="N67" s="92">
        <v>0</v>
      </c>
      <c r="O67" s="92">
        <f t="shared" si="17"/>
        <v>24208.079999999998</v>
      </c>
      <c r="P67" s="59"/>
      <c r="Q67" s="94">
        <v>0</v>
      </c>
      <c r="R67" s="59"/>
      <c r="S67" s="95">
        <f t="shared" si="7"/>
        <v>0</v>
      </c>
      <c r="T67" s="95">
        <v>0</v>
      </c>
      <c r="U67" s="95">
        <f t="shared" si="12"/>
        <v>0</v>
      </c>
      <c r="V67" s="95">
        <f t="shared" si="19"/>
        <v>0</v>
      </c>
      <c r="W67" s="60"/>
      <c r="X67" s="55">
        <f t="shared" si="16"/>
        <v>-24208.079999999998</v>
      </c>
      <c r="Z67" s="112">
        <f t="shared" si="20"/>
        <v>27.049147181045711</v>
      </c>
      <c r="AA67" s="113">
        <f t="shared" si="21"/>
        <v>40.573720771568567</v>
      </c>
      <c r="AB67" s="114">
        <f t="shared" si="22"/>
        <v>2373.5626651367611</v>
      </c>
      <c r="AC67" s="114">
        <f t="shared" si="23"/>
        <v>28.847334863238757</v>
      </c>
    </row>
    <row r="68" spans="1:29">
      <c r="A68" s="24">
        <f t="shared" si="4"/>
        <v>50</v>
      </c>
      <c r="C68" s="24">
        <v>1</v>
      </c>
      <c r="D68" s="24" t="s">
        <v>224</v>
      </c>
      <c r="E68" s="93">
        <v>189</v>
      </c>
      <c r="F68" s="24" t="s">
        <v>220</v>
      </c>
      <c r="H68" s="90">
        <v>2032</v>
      </c>
      <c r="I68" s="90">
        <v>264</v>
      </c>
      <c r="J68" s="90">
        <v>14.67</v>
      </c>
      <c r="K68" s="91"/>
      <c r="L68" s="92">
        <v>57159.12</v>
      </c>
      <c r="M68" s="92">
        <v>11357.31</v>
      </c>
      <c r="N68" s="92">
        <v>550.15</v>
      </c>
      <c r="O68" s="92">
        <f t="shared" si="17"/>
        <v>69066.58</v>
      </c>
      <c r="P68" s="59"/>
      <c r="Q68" s="94">
        <v>30.04</v>
      </c>
      <c r="R68" s="59"/>
      <c r="S68" s="95">
        <f t="shared" si="7"/>
        <v>62483.199999999997</v>
      </c>
      <c r="T68" s="95">
        <f t="shared" si="18"/>
        <v>12113.872677165355</v>
      </c>
      <c r="U68" s="95">
        <f t="shared" si="12"/>
        <v>440.68680000000001</v>
      </c>
      <c r="V68" s="95">
        <f t="shared" si="19"/>
        <v>75037.759477165353</v>
      </c>
      <c r="W68" s="60"/>
      <c r="X68" s="55">
        <f t="shared" si="16"/>
        <v>5971.1794771653513</v>
      </c>
      <c r="Z68" s="112">
        <f t="shared" si="20"/>
        <v>28.129488188976378</v>
      </c>
      <c r="AA68" s="113">
        <f t="shared" si="21"/>
        <v>42.194232283464565</v>
      </c>
      <c r="AB68" s="114">
        <f t="shared" si="22"/>
        <v>11139.277322834645</v>
      </c>
      <c r="AC68" s="114">
        <f t="shared" si="23"/>
        <v>218.03267716535447</v>
      </c>
    </row>
    <row r="69" spans="1:29">
      <c r="A69" s="24">
        <f t="shared" si="4"/>
        <v>51</v>
      </c>
      <c r="C69" s="24">
        <v>1</v>
      </c>
      <c r="D69" s="24" t="s">
        <v>225</v>
      </c>
      <c r="E69" s="93">
        <v>192</v>
      </c>
      <c r="F69" s="24" t="s">
        <v>220</v>
      </c>
      <c r="H69" s="90">
        <v>2040</v>
      </c>
      <c r="I69" s="90">
        <v>352</v>
      </c>
      <c r="J69" s="90">
        <v>6.67</v>
      </c>
      <c r="K69" s="91"/>
      <c r="L69" s="92">
        <v>55562.879999999997</v>
      </c>
      <c r="M69" s="92">
        <v>14856.25</v>
      </c>
      <c r="N69" s="92">
        <v>309.77999999999997</v>
      </c>
      <c r="O69" s="92">
        <f t="shared" si="17"/>
        <v>70728.91</v>
      </c>
      <c r="P69" s="59"/>
      <c r="Q69" s="94">
        <v>30.04</v>
      </c>
      <c r="R69" s="59"/>
      <c r="S69" s="95">
        <f t="shared" si="7"/>
        <v>62483.199999999997</v>
      </c>
      <c r="T69" s="95">
        <f t="shared" si="18"/>
        <v>16336.389294117645</v>
      </c>
      <c r="U69" s="95">
        <f t="shared" si="12"/>
        <v>200.36679999999998</v>
      </c>
      <c r="V69" s="95">
        <f t="shared" si="19"/>
        <v>79019.956094117646</v>
      </c>
      <c r="W69" s="60"/>
      <c r="X69" s="55">
        <f t="shared" si="16"/>
        <v>8291.0460941176425</v>
      </c>
      <c r="Z69" s="112">
        <f t="shared" si="20"/>
        <v>27.23670588235294</v>
      </c>
      <c r="AA69" s="113">
        <f t="shared" si="21"/>
        <v>40.855058823529411</v>
      </c>
      <c r="AB69" s="114">
        <f t="shared" si="22"/>
        <v>14380.980705882354</v>
      </c>
      <c r="AC69" s="114">
        <f t="shared" si="23"/>
        <v>475.2692941176465</v>
      </c>
    </row>
    <row r="70" spans="1:29">
      <c r="A70" s="24">
        <f t="shared" si="4"/>
        <v>52</v>
      </c>
      <c r="C70" s="24">
        <v>1</v>
      </c>
      <c r="D70" s="24" t="s">
        <v>226</v>
      </c>
      <c r="E70" s="93">
        <v>193</v>
      </c>
      <c r="F70" s="24" t="s">
        <v>220</v>
      </c>
      <c r="H70" s="90">
        <v>1824</v>
      </c>
      <c r="I70" s="90">
        <v>873.5</v>
      </c>
      <c r="J70" s="90">
        <v>120.67</v>
      </c>
      <c r="K70" s="91"/>
      <c r="L70" s="92">
        <v>65513.279999999999</v>
      </c>
      <c r="M70" s="92">
        <v>54068.480000000003</v>
      </c>
      <c r="N70" s="92">
        <v>133.15</v>
      </c>
      <c r="O70" s="92">
        <f t="shared" si="17"/>
        <v>119714.91</v>
      </c>
      <c r="P70" s="59"/>
      <c r="Q70" s="94">
        <v>35.340000000000003</v>
      </c>
      <c r="R70" s="59"/>
      <c r="S70" s="95">
        <f t="shared" si="7"/>
        <v>73507.200000000012</v>
      </c>
      <c r="T70" s="95">
        <f t="shared" si="18"/>
        <v>53311.9830263158</v>
      </c>
      <c r="U70" s="95">
        <f t="shared" si="12"/>
        <v>4264.4778000000006</v>
      </c>
      <c r="V70" s="95">
        <f t="shared" si="19"/>
        <v>131083.66082631581</v>
      </c>
      <c r="W70" s="60"/>
      <c r="X70" s="55">
        <f t="shared" si="16"/>
        <v>11368.750826315809</v>
      </c>
      <c r="Z70" s="112">
        <f t="shared" si="20"/>
        <v>35.917368421052629</v>
      </c>
      <c r="AA70" s="113">
        <f t="shared" si="21"/>
        <v>53.876052631578943</v>
      </c>
      <c r="AB70" s="114">
        <f t="shared" si="22"/>
        <v>47060.731973684204</v>
      </c>
      <c r="AC70" s="114">
        <f t="shared" si="23"/>
        <v>7007.7480263157995</v>
      </c>
    </row>
    <row r="71" spans="1:29">
      <c r="A71" s="24">
        <f t="shared" si="4"/>
        <v>53</v>
      </c>
      <c r="C71" s="24">
        <v>1</v>
      </c>
      <c r="D71" s="24" t="s">
        <v>227</v>
      </c>
      <c r="E71" s="93"/>
      <c r="F71" s="24" t="s">
        <v>220</v>
      </c>
      <c r="H71" s="90">
        <v>1992</v>
      </c>
      <c r="I71" s="90">
        <v>447</v>
      </c>
      <c r="J71" s="90">
        <v>72.67</v>
      </c>
      <c r="K71" s="91"/>
      <c r="L71" s="92">
        <v>77192.03</v>
      </c>
      <c r="M71" s="92">
        <v>31332.78</v>
      </c>
      <c r="N71" s="92">
        <v>2934.14</v>
      </c>
      <c r="O71" s="92">
        <f t="shared" ref="O71:O98" si="24">SUM(L71:N71)</f>
        <v>111458.95</v>
      </c>
      <c r="P71" s="59"/>
      <c r="Q71" s="94">
        <v>38.869999999999997</v>
      </c>
      <c r="R71" s="59"/>
      <c r="S71" s="95">
        <f t="shared" si="7"/>
        <v>80849.599999999991</v>
      </c>
      <c r="T71" s="95">
        <f t="shared" si="18"/>
        <v>31412.55670933735</v>
      </c>
      <c r="U71" s="95">
        <f t="shared" si="12"/>
        <v>2824.6828999999998</v>
      </c>
      <c r="V71" s="95">
        <f t="shared" ref="V71:V98" si="25">SUM(S71:U71)</f>
        <v>115086.83960933734</v>
      </c>
      <c r="W71" s="60"/>
      <c r="X71" s="55">
        <f t="shared" si="16"/>
        <v>3627.8896093373478</v>
      </c>
      <c r="Z71" s="112">
        <f t="shared" si="20"/>
        <v>38.751019076305219</v>
      </c>
      <c r="AA71" s="113">
        <f t="shared" si="21"/>
        <v>58.126528614457825</v>
      </c>
      <c r="AB71" s="114">
        <f t="shared" si="22"/>
        <v>25982.558290662648</v>
      </c>
      <c r="AC71" s="114">
        <f t="shared" si="23"/>
        <v>5350.2217093373511</v>
      </c>
    </row>
    <row r="72" spans="1:29">
      <c r="A72" s="24">
        <f t="shared" si="4"/>
        <v>54</v>
      </c>
      <c r="C72" s="24">
        <v>1</v>
      </c>
      <c r="D72" s="24" t="s">
        <v>228</v>
      </c>
      <c r="E72" s="93"/>
      <c r="F72" s="24" t="s">
        <v>220</v>
      </c>
      <c r="H72" s="90">
        <v>2008.5</v>
      </c>
      <c r="I72" s="90">
        <v>323</v>
      </c>
      <c r="J72" s="90">
        <v>72</v>
      </c>
      <c r="K72" s="91"/>
      <c r="L72" s="92">
        <v>77372.25</v>
      </c>
      <c r="M72" s="92">
        <v>23366.080000000002</v>
      </c>
      <c r="N72" s="92">
        <v>2908.12</v>
      </c>
      <c r="O72" s="92">
        <f t="shared" si="24"/>
        <v>103646.45</v>
      </c>
      <c r="P72" s="59"/>
      <c r="Q72" s="94">
        <v>38.869999999999997</v>
      </c>
      <c r="R72" s="59"/>
      <c r="S72" s="95">
        <f t="shared" si="7"/>
        <v>80849.599999999991</v>
      </c>
      <c r="T72" s="95">
        <f t="shared" si="18"/>
        <v>23534.489884241972</v>
      </c>
      <c r="U72" s="95">
        <f t="shared" si="12"/>
        <v>2798.64</v>
      </c>
      <c r="V72" s="95">
        <f t="shared" si="25"/>
        <v>107182.72988424196</v>
      </c>
      <c r="W72" s="60"/>
      <c r="X72" s="55">
        <f t="shared" si="16"/>
        <v>3536.2798842419579</v>
      </c>
      <c r="Z72" s="112">
        <f t="shared" si="20"/>
        <v>38.522404779686333</v>
      </c>
      <c r="AA72" s="113">
        <f t="shared" si="21"/>
        <v>57.783607169529503</v>
      </c>
      <c r="AB72" s="114">
        <f t="shared" si="22"/>
        <v>18664.10511575803</v>
      </c>
      <c r="AC72" s="114">
        <f t="shared" si="23"/>
        <v>4701.9748842419722</v>
      </c>
    </row>
    <row r="73" spans="1:29">
      <c r="A73" s="24">
        <f t="shared" si="4"/>
        <v>55</v>
      </c>
      <c r="C73" s="24">
        <v>1</v>
      </c>
      <c r="D73" s="24" t="s">
        <v>229</v>
      </c>
      <c r="E73" s="93"/>
      <c r="F73" s="24" t="s">
        <v>220</v>
      </c>
      <c r="H73" s="90">
        <v>2064</v>
      </c>
      <c r="I73" s="90">
        <v>59.5</v>
      </c>
      <c r="J73" s="90">
        <v>0</v>
      </c>
      <c r="K73" s="91"/>
      <c r="L73" s="92">
        <v>67690.080000000002</v>
      </c>
      <c r="M73" s="92">
        <v>3111.82</v>
      </c>
      <c r="N73" s="92">
        <v>109.22</v>
      </c>
      <c r="O73" s="92">
        <f t="shared" si="24"/>
        <v>70911.12000000001</v>
      </c>
      <c r="P73" s="59"/>
      <c r="Q73" s="94">
        <v>33.57</v>
      </c>
      <c r="R73" s="59"/>
      <c r="S73" s="95">
        <f t="shared" si="7"/>
        <v>69825.600000000006</v>
      </c>
      <c r="T73" s="95">
        <f t="shared" si="18"/>
        <v>3180.9368604651163</v>
      </c>
      <c r="U73" s="95">
        <f t="shared" si="12"/>
        <v>0</v>
      </c>
      <c r="V73" s="95">
        <f t="shared" si="25"/>
        <v>73006.536860465116</v>
      </c>
      <c r="W73" s="60"/>
      <c r="X73" s="55">
        <f t="shared" si="16"/>
        <v>2095.4168604651059</v>
      </c>
      <c r="Z73" s="112">
        <f t="shared" si="20"/>
        <v>32.79558139534884</v>
      </c>
      <c r="AA73" s="113">
        <f t="shared" si="21"/>
        <v>49.193372093023257</v>
      </c>
      <c r="AB73" s="114">
        <f t="shared" si="22"/>
        <v>2927.0056395348838</v>
      </c>
      <c r="AC73" s="114">
        <f t="shared" si="23"/>
        <v>184.81436046511635</v>
      </c>
    </row>
    <row r="74" spans="1:29">
      <c r="A74" s="24">
        <f t="shared" si="4"/>
        <v>56</v>
      </c>
      <c r="C74" s="24">
        <v>1</v>
      </c>
      <c r="D74" s="24" t="s">
        <v>230</v>
      </c>
      <c r="E74" s="93"/>
      <c r="F74" s="24" t="s">
        <v>220</v>
      </c>
      <c r="H74" s="90">
        <v>2005</v>
      </c>
      <c r="I74" s="90">
        <v>446</v>
      </c>
      <c r="J74" s="90">
        <v>40</v>
      </c>
      <c r="K74" s="91"/>
      <c r="L74" s="92">
        <v>71372.990000000005</v>
      </c>
      <c r="M74" s="92">
        <v>30102.98</v>
      </c>
      <c r="N74" s="92">
        <v>1523.2</v>
      </c>
      <c r="O74" s="92">
        <f t="shared" si="24"/>
        <v>102999.17</v>
      </c>
      <c r="P74" s="59"/>
      <c r="Q74" s="94">
        <v>35.340000000000003</v>
      </c>
      <c r="R74" s="59"/>
      <c r="S74" s="95">
        <f t="shared" si="7"/>
        <v>73507.200000000012</v>
      </c>
      <c r="T74" s="95">
        <f t="shared" si="18"/>
        <v>29930.711665835413</v>
      </c>
      <c r="U74" s="95">
        <f t="shared" si="12"/>
        <v>1413.6000000000001</v>
      </c>
      <c r="V74" s="95">
        <f t="shared" si="25"/>
        <v>104851.51166583542</v>
      </c>
      <c r="W74" s="60"/>
      <c r="X74" s="55">
        <f t="shared" si="16"/>
        <v>1852.3416658354254</v>
      </c>
      <c r="Z74" s="112">
        <f t="shared" si="20"/>
        <v>35.597501246882793</v>
      </c>
      <c r="AA74" s="113">
        <f t="shared" si="21"/>
        <v>53.396251870324193</v>
      </c>
      <c r="AB74" s="114">
        <f t="shared" si="22"/>
        <v>23814.728334164589</v>
      </c>
      <c r="AC74" s="114">
        <f t="shared" si="23"/>
        <v>6288.2516658354107</v>
      </c>
    </row>
    <row r="75" spans="1:29">
      <c r="A75" s="24">
        <f t="shared" si="4"/>
        <v>57</v>
      </c>
      <c r="C75" s="24">
        <v>1</v>
      </c>
      <c r="D75" s="24" t="s">
        <v>231</v>
      </c>
      <c r="E75" s="93"/>
      <c r="F75" s="24" t="s">
        <v>223</v>
      </c>
      <c r="H75" s="90">
        <v>129</v>
      </c>
      <c r="I75" s="90">
        <v>0</v>
      </c>
      <c r="J75" s="90">
        <v>0</v>
      </c>
      <c r="K75" s="91"/>
      <c r="L75" s="92">
        <v>4436.3100000000004</v>
      </c>
      <c r="M75" s="92">
        <v>0</v>
      </c>
      <c r="N75" s="92">
        <v>0</v>
      </c>
      <c r="O75" s="92">
        <f t="shared" si="24"/>
        <v>4436.3100000000004</v>
      </c>
      <c r="P75" s="59"/>
      <c r="Q75" s="94">
        <v>0</v>
      </c>
      <c r="R75" s="59"/>
      <c r="S75" s="95">
        <f t="shared" si="7"/>
        <v>0</v>
      </c>
      <c r="T75" s="95">
        <f t="shared" si="18"/>
        <v>0</v>
      </c>
      <c r="U75" s="95">
        <f t="shared" si="12"/>
        <v>0</v>
      </c>
      <c r="V75" s="95">
        <f t="shared" si="25"/>
        <v>0</v>
      </c>
      <c r="W75" s="60"/>
      <c r="X75" s="55">
        <f t="shared" si="16"/>
        <v>-4436.3100000000004</v>
      </c>
      <c r="Z75" s="112">
        <f t="shared" si="20"/>
        <v>34.39</v>
      </c>
      <c r="AA75" s="113">
        <f t="shared" si="21"/>
        <v>51.585000000000001</v>
      </c>
      <c r="AB75" s="114">
        <f t="shared" si="22"/>
        <v>0</v>
      </c>
      <c r="AC75" s="114">
        <f t="shared" si="23"/>
        <v>0</v>
      </c>
    </row>
    <row r="76" spans="1:29">
      <c r="A76" s="24">
        <f t="shared" si="4"/>
        <v>58</v>
      </c>
      <c r="C76" s="24">
        <v>1</v>
      </c>
      <c r="D76" s="24" t="s">
        <v>232</v>
      </c>
      <c r="E76" s="93"/>
      <c r="F76" s="24" t="s">
        <v>220</v>
      </c>
      <c r="H76" s="90">
        <v>1980.5</v>
      </c>
      <c r="I76" s="90">
        <v>482</v>
      </c>
      <c r="J76" s="90">
        <v>30.5</v>
      </c>
      <c r="K76" s="91"/>
      <c r="L76" s="92">
        <v>70290.17</v>
      </c>
      <c r="M76" s="92">
        <v>29720.58</v>
      </c>
      <c r="N76" s="92">
        <v>1187.32</v>
      </c>
      <c r="O76" s="92">
        <f t="shared" si="24"/>
        <v>101198.07</v>
      </c>
      <c r="P76" s="59"/>
      <c r="Q76" s="94">
        <v>35.340000000000003</v>
      </c>
      <c r="R76" s="59"/>
      <c r="S76" s="95">
        <f t="shared" si="7"/>
        <v>73507.200000000012</v>
      </c>
      <c r="T76" s="95">
        <f t="shared" si="18"/>
        <v>29611.317742994197</v>
      </c>
      <c r="U76" s="95">
        <f t="shared" si="12"/>
        <v>1077.8700000000001</v>
      </c>
      <c r="V76" s="95">
        <f t="shared" si="25"/>
        <v>104196.38774299421</v>
      </c>
      <c r="W76" s="60"/>
      <c r="X76" s="55">
        <f t="shared" si="16"/>
        <v>2998.3177429942007</v>
      </c>
      <c r="Z76" s="112">
        <f t="shared" si="20"/>
        <v>35.49112345367331</v>
      </c>
      <c r="AA76" s="113">
        <f t="shared" si="21"/>
        <v>53.236685180509966</v>
      </c>
      <c r="AB76" s="114">
        <f t="shared" si="22"/>
        <v>25660.082257005804</v>
      </c>
      <c r="AC76" s="114">
        <f t="shared" si="23"/>
        <v>4060.4977429941973</v>
      </c>
    </row>
    <row r="77" spans="1:29">
      <c r="A77" s="24">
        <f t="shared" si="4"/>
        <v>59</v>
      </c>
      <c r="C77" s="24">
        <v>1</v>
      </c>
      <c r="D77" s="24" t="s">
        <v>233</v>
      </c>
      <c r="E77" s="93"/>
      <c r="F77" s="24" t="s">
        <v>220</v>
      </c>
      <c r="H77" s="90">
        <v>1952</v>
      </c>
      <c r="I77" s="90">
        <v>692</v>
      </c>
      <c r="J77" s="90">
        <v>29.21</v>
      </c>
      <c r="K77" s="91"/>
      <c r="L77" s="92">
        <v>70996.42</v>
      </c>
      <c r="M77" s="92">
        <v>43134.77</v>
      </c>
      <c r="N77" s="92">
        <v>1141.72</v>
      </c>
      <c r="O77" s="92">
        <f t="shared" si="24"/>
        <v>115272.91</v>
      </c>
      <c r="P77" s="59"/>
      <c r="Q77" s="94">
        <v>35.340000000000003</v>
      </c>
      <c r="R77" s="59"/>
      <c r="S77" s="95">
        <f t="shared" si="7"/>
        <v>73507.200000000012</v>
      </c>
      <c r="T77" s="95">
        <f t="shared" si="18"/>
        <v>42064.470758196723</v>
      </c>
      <c r="U77" s="95">
        <f t="shared" si="12"/>
        <v>1032.2814000000001</v>
      </c>
      <c r="V77" s="95">
        <f t="shared" si="25"/>
        <v>116603.95215819674</v>
      </c>
      <c r="W77" s="60"/>
      <c r="X77" s="55">
        <f t="shared" si="16"/>
        <v>1331.0421581967385</v>
      </c>
      <c r="Z77" s="112">
        <f t="shared" si="20"/>
        <v>36.371116803278689</v>
      </c>
      <c r="AA77" s="113">
        <f t="shared" si="21"/>
        <v>54.556675204918037</v>
      </c>
      <c r="AB77" s="114">
        <f t="shared" si="22"/>
        <v>37753.219241803279</v>
      </c>
      <c r="AC77" s="114">
        <f t="shared" si="23"/>
        <v>5381.5507581967177</v>
      </c>
    </row>
    <row r="78" spans="1:29">
      <c r="A78" s="24">
        <f t="shared" si="4"/>
        <v>60</v>
      </c>
      <c r="C78" s="24">
        <v>1</v>
      </c>
      <c r="D78" s="24" t="s">
        <v>234</v>
      </c>
      <c r="E78" s="93"/>
      <c r="F78" s="24" t="s">
        <v>220</v>
      </c>
      <c r="H78" s="90">
        <v>1936</v>
      </c>
      <c r="I78" s="90">
        <v>854</v>
      </c>
      <c r="J78" s="90">
        <v>125.94</v>
      </c>
      <c r="K78" s="91"/>
      <c r="L78" s="92">
        <v>55768.24</v>
      </c>
      <c r="M78" s="92">
        <v>36697.32</v>
      </c>
      <c r="N78" s="92">
        <v>3934.24</v>
      </c>
      <c r="O78" s="92">
        <f t="shared" si="24"/>
        <v>96399.8</v>
      </c>
      <c r="P78" s="59"/>
      <c r="Q78" s="94">
        <v>30.04</v>
      </c>
      <c r="R78" s="59"/>
      <c r="S78" s="95">
        <f t="shared" si="7"/>
        <v>62483.199999999997</v>
      </c>
      <c r="T78" s="95">
        <f t="shared" si="18"/>
        <v>38278.19045454546</v>
      </c>
      <c r="U78" s="95">
        <f t="shared" si="12"/>
        <v>3783.2375999999999</v>
      </c>
      <c r="V78" s="95">
        <f t="shared" si="25"/>
        <v>104544.62805454545</v>
      </c>
      <c r="W78" s="60"/>
      <c r="X78" s="55">
        <f t="shared" si="16"/>
        <v>8144.8280545454472</v>
      </c>
      <c r="Z78" s="112">
        <f t="shared" si="20"/>
        <v>28.80590909090909</v>
      </c>
      <c r="AA78" s="113">
        <f t="shared" si="21"/>
        <v>43.208863636363631</v>
      </c>
      <c r="AB78" s="114">
        <f t="shared" si="22"/>
        <v>36900.369545454538</v>
      </c>
      <c r="AC78" s="114">
        <f t="shared" si="23"/>
        <v>-203.04954545453802</v>
      </c>
    </row>
    <row r="79" spans="1:29">
      <c r="A79" s="24">
        <f t="shared" si="4"/>
        <v>61</v>
      </c>
      <c r="C79" s="24">
        <v>1</v>
      </c>
      <c r="D79" s="24" t="s">
        <v>235</v>
      </c>
      <c r="E79" s="93"/>
      <c r="F79" s="24" t="s">
        <v>220</v>
      </c>
      <c r="H79" s="90">
        <v>2064</v>
      </c>
      <c r="I79" s="90">
        <v>144</v>
      </c>
      <c r="J79" s="90">
        <v>51</v>
      </c>
      <c r="K79" s="91"/>
      <c r="L79" s="92">
        <v>55572.480000000003</v>
      </c>
      <c r="M79" s="92">
        <v>5828.72</v>
      </c>
      <c r="N79" s="92">
        <v>1516.13</v>
      </c>
      <c r="O79" s="92">
        <f t="shared" si="24"/>
        <v>62917.33</v>
      </c>
      <c r="P79" s="59"/>
      <c r="Q79" s="94">
        <v>27.57</v>
      </c>
      <c r="R79" s="59"/>
      <c r="S79" s="95">
        <f t="shared" si="7"/>
        <v>57345.599999999999</v>
      </c>
      <c r="T79" s="95">
        <f t="shared" si="18"/>
        <v>5968.1153488372092</v>
      </c>
      <c r="U79" s="95">
        <f t="shared" si="12"/>
        <v>1406.07</v>
      </c>
      <c r="V79" s="95">
        <f t="shared" si="25"/>
        <v>64719.785348837206</v>
      </c>
      <c r="W79" s="60"/>
      <c r="X79" s="55">
        <f t="shared" si="16"/>
        <v>1802.4553488372039</v>
      </c>
      <c r="Z79" s="112">
        <f t="shared" si="20"/>
        <v>26.924651162790699</v>
      </c>
      <c r="AA79" s="113">
        <f t="shared" si="21"/>
        <v>40.38697674418605</v>
      </c>
      <c r="AB79" s="114">
        <f t="shared" si="22"/>
        <v>5815.7246511627909</v>
      </c>
      <c r="AC79" s="114">
        <f t="shared" si="23"/>
        <v>12.995348837209349</v>
      </c>
    </row>
    <row r="80" spans="1:29">
      <c r="A80" s="24">
        <f t="shared" si="4"/>
        <v>62</v>
      </c>
      <c r="C80" s="24">
        <v>1</v>
      </c>
      <c r="D80" s="24" t="s">
        <v>236</v>
      </c>
      <c r="E80" s="93"/>
      <c r="F80" s="24" t="s">
        <v>220</v>
      </c>
      <c r="H80" s="90">
        <v>2040</v>
      </c>
      <c r="I80" s="90">
        <v>407</v>
      </c>
      <c r="J80" s="90">
        <v>136</v>
      </c>
      <c r="K80" s="91"/>
      <c r="L80" s="92">
        <v>78927.89</v>
      </c>
      <c r="M80" s="92">
        <v>26584.32</v>
      </c>
      <c r="N80" s="92">
        <v>5395.81</v>
      </c>
      <c r="O80" s="92">
        <f t="shared" si="24"/>
        <v>110908.01999999999</v>
      </c>
      <c r="P80" s="59"/>
      <c r="Q80" s="94">
        <v>38.869999999999997</v>
      </c>
      <c r="R80" s="59"/>
      <c r="S80" s="95">
        <f t="shared" si="7"/>
        <v>80849.599999999991</v>
      </c>
      <c r="T80" s="95">
        <f t="shared" si="18"/>
        <v>26694.123213235296</v>
      </c>
      <c r="U80" s="95">
        <f t="shared" si="12"/>
        <v>5286.32</v>
      </c>
      <c r="V80" s="95">
        <f t="shared" si="25"/>
        <v>112830.0432132353</v>
      </c>
      <c r="W80" s="60"/>
      <c r="X80" s="55">
        <f t="shared" si="16"/>
        <v>1922.0232132353121</v>
      </c>
      <c r="Z80" s="112">
        <f t="shared" si="20"/>
        <v>38.690142156862741</v>
      </c>
      <c r="AA80" s="113">
        <f t="shared" si="21"/>
        <v>58.035213235294108</v>
      </c>
      <c r="AB80" s="114">
        <f t="shared" si="22"/>
        <v>23620.331786764702</v>
      </c>
      <c r="AC80" s="114">
        <f t="shared" si="23"/>
        <v>2963.9882132352977</v>
      </c>
    </row>
    <row r="81" spans="1:29">
      <c r="A81" s="24">
        <f t="shared" ref="A81:A109" si="26">A80+1</f>
        <v>63</v>
      </c>
      <c r="C81" s="24">
        <v>1</v>
      </c>
      <c r="D81" s="24" t="s">
        <v>237</v>
      </c>
      <c r="E81" s="93"/>
      <c r="F81" s="24" t="s">
        <v>220</v>
      </c>
      <c r="H81" s="90">
        <v>80</v>
      </c>
      <c r="I81" s="90">
        <v>9</v>
      </c>
      <c r="J81" s="90">
        <v>0</v>
      </c>
      <c r="K81" s="91"/>
      <c r="L81" s="92">
        <v>1413.61</v>
      </c>
      <c r="M81" s="92">
        <v>238.55</v>
      </c>
      <c r="N81" s="92">
        <v>0</v>
      </c>
      <c r="O81" s="92">
        <f t="shared" si="24"/>
        <v>1652.1599999999999</v>
      </c>
      <c r="P81" s="59"/>
      <c r="Q81" s="94">
        <v>17.670000000000002</v>
      </c>
      <c r="R81" s="59"/>
      <c r="S81" s="95">
        <f t="shared" si="7"/>
        <v>36753.600000000006</v>
      </c>
      <c r="T81" s="95">
        <f t="shared" si="18"/>
        <v>238.54831250000007</v>
      </c>
      <c r="U81" s="95">
        <f t="shared" si="12"/>
        <v>0</v>
      </c>
      <c r="V81" s="95">
        <f t="shared" si="25"/>
        <v>36992.148312500009</v>
      </c>
      <c r="W81" s="60"/>
      <c r="X81" s="55">
        <f t="shared" si="16"/>
        <v>35339.988312500005</v>
      </c>
      <c r="Z81" s="112">
        <f t="shared" si="20"/>
        <v>17.670124999999999</v>
      </c>
      <c r="AA81" s="113">
        <f t="shared" si="21"/>
        <v>26.505187499999998</v>
      </c>
      <c r="AB81" s="114">
        <f t="shared" si="22"/>
        <v>238.54668749999999</v>
      </c>
      <c r="AC81" s="114">
        <f t="shared" si="23"/>
        <v>3.3125000000211458E-3</v>
      </c>
    </row>
    <row r="82" spans="1:29">
      <c r="A82" s="24">
        <f t="shared" si="26"/>
        <v>64</v>
      </c>
      <c r="C82" s="24">
        <v>1</v>
      </c>
      <c r="D82" s="24" t="s">
        <v>238</v>
      </c>
      <c r="E82" s="93"/>
      <c r="F82" s="24" t="s">
        <v>223</v>
      </c>
      <c r="H82" s="90">
        <v>1948.04</v>
      </c>
      <c r="I82" s="90">
        <v>901</v>
      </c>
      <c r="J82" s="90">
        <v>0</v>
      </c>
      <c r="K82" s="91"/>
      <c r="L82" s="92">
        <v>70871.45</v>
      </c>
      <c r="M82" s="92">
        <v>58629.08</v>
      </c>
      <c r="N82" s="92">
        <v>1753.31</v>
      </c>
      <c r="O82" s="92">
        <f t="shared" si="24"/>
        <v>131253.84</v>
      </c>
      <c r="P82" s="59"/>
      <c r="Q82" s="94">
        <v>0</v>
      </c>
      <c r="R82" s="59"/>
      <c r="S82" s="95">
        <f t="shared" si="7"/>
        <v>0</v>
      </c>
      <c r="T82" s="95">
        <v>0</v>
      </c>
      <c r="U82" s="95">
        <f t="shared" si="12"/>
        <v>0</v>
      </c>
      <c r="V82" s="95">
        <f t="shared" si="25"/>
        <v>0</v>
      </c>
      <c r="W82" s="60"/>
      <c r="X82" s="55">
        <f t="shared" si="16"/>
        <v>-131253.84</v>
      </c>
      <c r="Z82" s="112">
        <f t="shared" si="20"/>
        <v>36.380900802858257</v>
      </c>
      <c r="AA82" s="113">
        <f t="shared" si="21"/>
        <v>54.571351204287382</v>
      </c>
      <c r="AB82" s="114">
        <f t="shared" si="22"/>
        <v>49168.787435062928</v>
      </c>
      <c r="AC82" s="114">
        <f t="shared" si="23"/>
        <v>9460.2925649370736</v>
      </c>
    </row>
    <row r="83" spans="1:29">
      <c r="A83" s="24">
        <f t="shared" si="26"/>
        <v>65</v>
      </c>
      <c r="C83" s="24">
        <v>1</v>
      </c>
      <c r="D83" s="24" t="s">
        <v>239</v>
      </c>
      <c r="E83" s="93"/>
      <c r="F83" s="24" t="s">
        <v>220</v>
      </c>
      <c r="H83" s="90">
        <v>1984</v>
      </c>
      <c r="I83" s="90">
        <v>507.5</v>
      </c>
      <c r="J83" s="90">
        <v>40</v>
      </c>
      <c r="K83" s="91"/>
      <c r="L83" s="92">
        <v>70972.17</v>
      </c>
      <c r="M83" s="92">
        <v>33557.949999999997</v>
      </c>
      <c r="N83" s="92">
        <v>1632.73</v>
      </c>
      <c r="O83" s="92">
        <f t="shared" si="24"/>
        <v>106162.84999999999</v>
      </c>
      <c r="P83" s="59"/>
      <c r="Q83" s="94">
        <v>35.340000000000003</v>
      </c>
      <c r="R83" s="59"/>
      <c r="S83" s="95">
        <f t="shared" si="7"/>
        <v>73507.200000000012</v>
      </c>
      <c r="T83" s="95">
        <f t="shared" si="18"/>
        <v>33228.889711441538</v>
      </c>
      <c r="U83" s="95">
        <f t="shared" si="12"/>
        <v>1413.6000000000001</v>
      </c>
      <c r="V83" s="95">
        <f t="shared" si="25"/>
        <v>108149.68971144155</v>
      </c>
      <c r="W83" s="60"/>
      <c r="X83" s="55">
        <f t="shared" si="16"/>
        <v>1986.8397114415566</v>
      </c>
      <c r="Z83" s="112">
        <f t="shared" si="20"/>
        <v>35.772263104838707</v>
      </c>
      <c r="AA83" s="113">
        <f t="shared" si="21"/>
        <v>53.658394657258057</v>
      </c>
      <c r="AB83" s="114">
        <f t="shared" si="22"/>
        <v>27231.635288558464</v>
      </c>
      <c r="AC83" s="114">
        <f t="shared" si="23"/>
        <v>6326.3147114415333</v>
      </c>
    </row>
    <row r="84" spans="1:29">
      <c r="A84" s="24">
        <f t="shared" si="26"/>
        <v>66</v>
      </c>
      <c r="C84" s="24">
        <v>1</v>
      </c>
      <c r="D84" s="24" t="s">
        <v>240</v>
      </c>
      <c r="E84" s="93"/>
      <c r="F84" s="24" t="s">
        <v>220</v>
      </c>
      <c r="H84" s="90">
        <v>2008</v>
      </c>
      <c r="I84" s="90">
        <v>410</v>
      </c>
      <c r="J84" s="90">
        <v>40</v>
      </c>
      <c r="K84" s="91"/>
      <c r="L84" s="92">
        <v>72125.77</v>
      </c>
      <c r="M84" s="92">
        <v>28429.9</v>
      </c>
      <c r="N84" s="92">
        <v>1523.05</v>
      </c>
      <c r="O84" s="92">
        <f t="shared" si="24"/>
        <v>102078.72000000002</v>
      </c>
      <c r="P84" s="59"/>
      <c r="Q84" s="94">
        <v>35.340000000000003</v>
      </c>
      <c r="R84" s="59"/>
      <c r="S84" s="95">
        <f t="shared" si="7"/>
        <v>73507.200000000012</v>
      </c>
      <c r="T84" s="95">
        <f t="shared" si="18"/>
        <v>28073.686977091635</v>
      </c>
      <c r="U84" s="95">
        <f t="shared" si="12"/>
        <v>1413.6000000000001</v>
      </c>
      <c r="V84" s="95">
        <f t="shared" si="25"/>
        <v>102994.48697709166</v>
      </c>
      <c r="W84" s="60"/>
      <c r="X84" s="55">
        <f t="shared" si="16"/>
        <v>915.76697709164</v>
      </c>
      <c r="Z84" s="112">
        <f t="shared" si="20"/>
        <v>35.91920816733068</v>
      </c>
      <c r="AA84" s="113">
        <f t="shared" si="21"/>
        <v>53.87881225099602</v>
      </c>
      <c r="AB84" s="114">
        <f t="shared" si="22"/>
        <v>22090.313022908369</v>
      </c>
      <c r="AC84" s="114">
        <f t="shared" si="23"/>
        <v>6339.5869770916324</v>
      </c>
    </row>
    <row r="85" spans="1:29">
      <c r="A85" s="24">
        <f t="shared" si="26"/>
        <v>67</v>
      </c>
      <c r="C85" s="24">
        <v>1</v>
      </c>
      <c r="D85" s="24" t="s">
        <v>241</v>
      </c>
      <c r="E85" s="93"/>
      <c r="F85" s="24" t="s">
        <v>220</v>
      </c>
      <c r="H85" s="90">
        <v>1960</v>
      </c>
      <c r="I85" s="90">
        <v>545.5</v>
      </c>
      <c r="J85" s="90">
        <v>0</v>
      </c>
      <c r="K85" s="91"/>
      <c r="L85" s="92">
        <v>69374.64</v>
      </c>
      <c r="M85" s="92">
        <v>34566.75</v>
      </c>
      <c r="N85" s="92">
        <v>109.51</v>
      </c>
      <c r="O85" s="92">
        <f t="shared" si="24"/>
        <v>104050.9</v>
      </c>
      <c r="P85" s="59"/>
      <c r="Q85" s="94">
        <v>35.340000000000003</v>
      </c>
      <c r="R85" s="59"/>
      <c r="S85" s="95">
        <f t="shared" si="7"/>
        <v>73507.200000000012</v>
      </c>
      <c r="T85" s="95">
        <f t="shared" si="18"/>
        <v>34521.562561224491</v>
      </c>
      <c r="U85" s="95">
        <f t="shared" si="12"/>
        <v>0</v>
      </c>
      <c r="V85" s="95">
        <f t="shared" si="25"/>
        <v>108028.7625612245</v>
      </c>
      <c r="W85" s="60"/>
      <c r="X85" s="55">
        <f t="shared" si="16"/>
        <v>3977.8625612245087</v>
      </c>
      <c r="Z85" s="112">
        <f t="shared" si="20"/>
        <v>35.395224489795915</v>
      </c>
      <c r="AA85" s="113">
        <f t="shared" si="21"/>
        <v>53.092836734693876</v>
      </c>
      <c r="AB85" s="114">
        <f t="shared" si="22"/>
        <v>28962.142438775511</v>
      </c>
      <c r="AC85" s="114">
        <f t="shared" si="23"/>
        <v>5604.6075612244895</v>
      </c>
    </row>
    <row r="86" spans="1:29">
      <c r="A86" s="24">
        <f t="shared" si="26"/>
        <v>68</v>
      </c>
      <c r="C86" s="24">
        <v>1</v>
      </c>
      <c r="D86" s="24" t="s">
        <v>242</v>
      </c>
      <c r="E86" s="93"/>
      <c r="F86" s="24" t="s">
        <v>220</v>
      </c>
      <c r="H86" s="90">
        <v>2000</v>
      </c>
      <c r="I86" s="90">
        <v>435</v>
      </c>
      <c r="J86" s="90">
        <v>0</v>
      </c>
      <c r="K86" s="91"/>
      <c r="L86" s="92">
        <v>54911.360000000001</v>
      </c>
      <c r="M86" s="92">
        <v>18616.080000000002</v>
      </c>
      <c r="N86" s="92">
        <v>109.35</v>
      </c>
      <c r="O86" s="92">
        <f t="shared" si="24"/>
        <v>73636.790000000008</v>
      </c>
      <c r="P86" s="59"/>
      <c r="Q86" s="94">
        <v>30.04</v>
      </c>
      <c r="R86" s="59"/>
      <c r="S86" s="95">
        <f t="shared" si="7"/>
        <v>62483.199999999997</v>
      </c>
      <c r="T86" s="95">
        <f t="shared" si="18"/>
        <v>20302.3488</v>
      </c>
      <c r="U86" s="95">
        <f t="shared" si="12"/>
        <v>0</v>
      </c>
      <c r="V86" s="95">
        <f t="shared" si="25"/>
        <v>82785.54879999999</v>
      </c>
      <c r="W86" s="60"/>
      <c r="X86" s="55">
        <f t="shared" si="16"/>
        <v>9148.7587999999814</v>
      </c>
      <c r="Z86" s="112">
        <f t="shared" si="20"/>
        <v>27.455680000000001</v>
      </c>
      <c r="AA86" s="113">
        <f t="shared" si="21"/>
        <v>41.183520000000001</v>
      </c>
      <c r="AB86" s="114">
        <f t="shared" si="22"/>
        <v>17914.831200000001</v>
      </c>
      <c r="AC86" s="114">
        <f t="shared" si="23"/>
        <v>701.24880000000121</v>
      </c>
    </row>
    <row r="87" spans="1:29">
      <c r="A87" s="24">
        <f t="shared" si="26"/>
        <v>69</v>
      </c>
      <c r="C87" s="24">
        <v>1</v>
      </c>
      <c r="D87" s="24" t="s">
        <v>243</v>
      </c>
      <c r="E87" s="93"/>
      <c r="F87" s="24" t="s">
        <v>220</v>
      </c>
      <c r="H87" s="90">
        <v>2032</v>
      </c>
      <c r="I87" s="90">
        <v>379.5</v>
      </c>
      <c r="J87" s="90">
        <v>5.34</v>
      </c>
      <c r="K87" s="91"/>
      <c r="L87" s="92">
        <v>72318.77</v>
      </c>
      <c r="M87" s="92">
        <v>25436.74</v>
      </c>
      <c r="N87" s="92">
        <v>308.51</v>
      </c>
      <c r="O87" s="92">
        <f t="shared" si="24"/>
        <v>98064.02</v>
      </c>
      <c r="P87" s="59"/>
      <c r="Q87" s="94">
        <v>35.340000000000003</v>
      </c>
      <c r="R87" s="59"/>
      <c r="S87" s="95">
        <f t="shared" si="7"/>
        <v>73507.200000000012</v>
      </c>
      <c r="T87" s="95">
        <f t="shared" si="18"/>
        <v>25294.458315698823</v>
      </c>
      <c r="U87" s="95">
        <f t="shared" si="12"/>
        <v>188.71560000000002</v>
      </c>
      <c r="V87" s="95">
        <f t="shared" si="25"/>
        <v>98990.37391569883</v>
      </c>
      <c r="W87" s="60"/>
      <c r="X87" s="55">
        <f t="shared" si="16"/>
        <v>926.35391569882631</v>
      </c>
      <c r="Z87" s="112">
        <f t="shared" si="20"/>
        <v>35.589945866141733</v>
      </c>
      <c r="AA87" s="113">
        <f t="shared" si="21"/>
        <v>53.384918799212599</v>
      </c>
      <c r="AB87" s="114">
        <f t="shared" si="22"/>
        <v>20259.576684301181</v>
      </c>
      <c r="AC87" s="114">
        <f t="shared" si="23"/>
        <v>5177.163315698821</v>
      </c>
    </row>
    <row r="88" spans="1:29">
      <c r="A88" s="24">
        <f t="shared" si="26"/>
        <v>70</v>
      </c>
      <c r="C88" s="24">
        <v>1</v>
      </c>
      <c r="D88" s="24" t="s">
        <v>244</v>
      </c>
      <c r="E88" s="93"/>
      <c r="F88" s="24" t="s">
        <v>220</v>
      </c>
      <c r="H88" s="90">
        <v>80</v>
      </c>
      <c r="I88" s="90">
        <v>9</v>
      </c>
      <c r="J88" s="90">
        <v>0</v>
      </c>
      <c r="K88" s="91"/>
      <c r="L88" s="92">
        <v>1413.61</v>
      </c>
      <c r="M88" s="92">
        <v>238.55</v>
      </c>
      <c r="N88" s="92">
        <v>0</v>
      </c>
      <c r="O88" s="92">
        <f t="shared" si="24"/>
        <v>1652.1599999999999</v>
      </c>
      <c r="P88" s="59"/>
      <c r="Q88" s="94">
        <v>17.670000000000002</v>
      </c>
      <c r="R88" s="59"/>
      <c r="S88" s="95">
        <f t="shared" si="7"/>
        <v>36753.600000000006</v>
      </c>
      <c r="T88" s="95">
        <f t="shared" si="18"/>
        <v>238.54831250000007</v>
      </c>
      <c r="U88" s="95">
        <f t="shared" si="12"/>
        <v>0</v>
      </c>
      <c r="V88" s="95">
        <f t="shared" si="25"/>
        <v>36992.148312500009</v>
      </c>
      <c r="W88" s="60"/>
      <c r="X88" s="55">
        <f t="shared" si="16"/>
        <v>35339.988312500005</v>
      </c>
      <c r="Z88" s="112">
        <f t="shared" si="20"/>
        <v>17.670124999999999</v>
      </c>
      <c r="AA88" s="113">
        <f t="shared" si="21"/>
        <v>26.505187499999998</v>
      </c>
      <c r="AB88" s="114">
        <f t="shared" si="22"/>
        <v>238.54668749999999</v>
      </c>
      <c r="AC88" s="114">
        <f t="shared" si="23"/>
        <v>3.3125000000211458E-3</v>
      </c>
    </row>
    <row r="89" spans="1:29">
      <c r="A89" s="24">
        <f t="shared" si="26"/>
        <v>71</v>
      </c>
      <c r="C89" s="24">
        <v>1</v>
      </c>
      <c r="D89" s="24" t="s">
        <v>245</v>
      </c>
      <c r="E89" s="93"/>
      <c r="F89" s="24" t="s">
        <v>220</v>
      </c>
      <c r="H89" s="90">
        <v>1808</v>
      </c>
      <c r="I89" s="90">
        <v>1462.5</v>
      </c>
      <c r="J89" s="90">
        <v>72</v>
      </c>
      <c r="K89" s="91"/>
      <c r="L89" s="92">
        <v>53042.239999999998</v>
      </c>
      <c r="M89" s="92">
        <v>64418.77</v>
      </c>
      <c r="N89" s="92">
        <v>2272.4499999999998</v>
      </c>
      <c r="O89" s="92">
        <f t="shared" si="24"/>
        <v>119733.45999999999</v>
      </c>
      <c r="P89" s="59"/>
      <c r="Q89" s="94">
        <v>30.04</v>
      </c>
      <c r="R89" s="59"/>
      <c r="S89" s="95">
        <f t="shared" si="7"/>
        <v>62483.199999999997</v>
      </c>
      <c r="T89" s="95">
        <f t="shared" si="18"/>
        <v>65959.83084070796</v>
      </c>
      <c r="U89" s="95">
        <f t="shared" si="12"/>
        <v>2162.88</v>
      </c>
      <c r="V89" s="95">
        <f t="shared" si="25"/>
        <v>130605.91084070796</v>
      </c>
      <c r="W89" s="60"/>
      <c r="X89" s="55">
        <f t="shared" si="16"/>
        <v>10872.45084070797</v>
      </c>
      <c r="Z89" s="112">
        <f t="shared" si="20"/>
        <v>29.337522123893805</v>
      </c>
      <c r="AA89" s="113">
        <f t="shared" si="21"/>
        <v>44.006283185840708</v>
      </c>
      <c r="AB89" s="114">
        <f t="shared" si="22"/>
        <v>64359.189159292036</v>
      </c>
      <c r="AC89" s="114">
        <f t="shared" si="23"/>
        <v>59.580840707960306</v>
      </c>
    </row>
    <row r="90" spans="1:29">
      <c r="A90" s="24">
        <f t="shared" si="26"/>
        <v>72</v>
      </c>
      <c r="C90" s="24">
        <v>1</v>
      </c>
      <c r="D90" s="24" t="s">
        <v>246</v>
      </c>
      <c r="E90" s="93"/>
      <c r="F90" s="24" t="s">
        <v>220</v>
      </c>
      <c r="H90" s="90">
        <v>80</v>
      </c>
      <c r="I90" s="90">
        <v>9</v>
      </c>
      <c r="J90" s="90">
        <v>0</v>
      </c>
      <c r="K90" s="91"/>
      <c r="L90" s="92">
        <v>1979.2</v>
      </c>
      <c r="M90" s="92">
        <v>334</v>
      </c>
      <c r="N90" s="92">
        <v>0</v>
      </c>
      <c r="O90" s="92">
        <f t="shared" si="24"/>
        <v>2313.1999999999998</v>
      </c>
      <c r="P90" s="59"/>
      <c r="Q90" s="94">
        <v>24.74</v>
      </c>
      <c r="R90" s="59"/>
      <c r="S90" s="95">
        <f t="shared" si="7"/>
        <v>51459.199999999997</v>
      </c>
      <c r="T90" s="95">
        <f t="shared" si="18"/>
        <v>334</v>
      </c>
      <c r="U90" s="95">
        <f t="shared" si="12"/>
        <v>0</v>
      </c>
      <c r="V90" s="95">
        <f t="shared" si="25"/>
        <v>51793.2</v>
      </c>
      <c r="W90" s="60"/>
      <c r="X90" s="55">
        <f t="shared" si="16"/>
        <v>49480</v>
      </c>
      <c r="Z90" s="112">
        <f t="shared" si="20"/>
        <v>24.740000000000002</v>
      </c>
      <c r="AA90" s="113">
        <f t="shared" si="21"/>
        <v>37.11</v>
      </c>
      <c r="AB90" s="114">
        <f t="shared" si="22"/>
        <v>333.99</v>
      </c>
      <c r="AC90" s="114">
        <f t="shared" si="23"/>
        <v>9.9999999999909051E-3</v>
      </c>
    </row>
    <row r="91" spans="1:29">
      <c r="A91" s="24">
        <f t="shared" si="26"/>
        <v>73</v>
      </c>
      <c r="C91" s="24">
        <v>1</v>
      </c>
      <c r="D91" s="24" t="s">
        <v>247</v>
      </c>
      <c r="E91" s="93"/>
      <c r="F91" s="24" t="s">
        <v>220</v>
      </c>
      <c r="H91" s="90">
        <v>2000</v>
      </c>
      <c r="I91" s="90">
        <v>409</v>
      </c>
      <c r="J91" s="90">
        <v>0</v>
      </c>
      <c r="K91" s="91"/>
      <c r="L91" s="92">
        <v>72964.820000000007</v>
      </c>
      <c r="M91" s="92">
        <v>27854.41</v>
      </c>
      <c r="N91" s="92">
        <v>109.6</v>
      </c>
      <c r="O91" s="92">
        <f t="shared" si="24"/>
        <v>100928.83000000002</v>
      </c>
      <c r="P91" s="59"/>
      <c r="Q91" s="94">
        <v>35.340000000000003</v>
      </c>
      <c r="R91" s="59"/>
      <c r="S91" s="95">
        <f t="shared" si="7"/>
        <v>73507.200000000012</v>
      </c>
      <c r="T91" s="95">
        <f t="shared" si="18"/>
        <v>27153.541465000002</v>
      </c>
      <c r="U91" s="95">
        <f t="shared" si="12"/>
        <v>0</v>
      </c>
      <c r="V91" s="95">
        <f t="shared" si="25"/>
        <v>100660.74146500001</v>
      </c>
      <c r="W91" s="60"/>
      <c r="X91" s="55">
        <f t="shared" si="16"/>
        <v>-268.08853500000259</v>
      </c>
      <c r="Z91" s="112">
        <f t="shared" si="20"/>
        <v>36.482410000000002</v>
      </c>
      <c r="AA91" s="113">
        <f t="shared" si="21"/>
        <v>54.723615000000002</v>
      </c>
      <c r="AB91" s="114">
        <f t="shared" si="22"/>
        <v>22381.958535000002</v>
      </c>
      <c r="AC91" s="114">
        <f t="shared" si="23"/>
        <v>5472.4514649999983</v>
      </c>
    </row>
    <row r="92" spans="1:29">
      <c r="A92" s="24">
        <f t="shared" si="26"/>
        <v>74</v>
      </c>
      <c r="C92" s="24">
        <v>1</v>
      </c>
      <c r="D92" s="24" t="s">
        <v>248</v>
      </c>
      <c r="E92" s="93"/>
      <c r="F92" s="24" t="s">
        <v>220</v>
      </c>
      <c r="H92" s="90">
        <v>2032</v>
      </c>
      <c r="I92" s="90">
        <v>278</v>
      </c>
      <c r="J92" s="90">
        <v>0</v>
      </c>
      <c r="K92" s="91"/>
      <c r="L92" s="92">
        <v>78630.23</v>
      </c>
      <c r="M92" s="92">
        <v>20432.849999999999</v>
      </c>
      <c r="N92" s="92">
        <v>109.62</v>
      </c>
      <c r="O92" s="92">
        <f t="shared" si="24"/>
        <v>99172.699999999983</v>
      </c>
      <c r="P92" s="59"/>
      <c r="Q92" s="94">
        <v>38.869999999999997</v>
      </c>
      <c r="R92" s="59"/>
      <c r="S92" s="95">
        <f t="shared" si="7"/>
        <v>80849.599999999991</v>
      </c>
      <c r="T92" s="95">
        <f t="shared" si="18"/>
        <v>20505.416619094485</v>
      </c>
      <c r="U92" s="95">
        <f t="shared" si="12"/>
        <v>0</v>
      </c>
      <c r="V92" s="95">
        <f t="shared" si="25"/>
        <v>101355.01661909447</v>
      </c>
      <c r="W92" s="60"/>
      <c r="X92" s="55">
        <f t="shared" si="16"/>
        <v>2182.3166190944903</v>
      </c>
      <c r="Z92" s="112">
        <f t="shared" si="20"/>
        <v>38.69597933070866</v>
      </c>
      <c r="AA92" s="113">
        <f t="shared" si="21"/>
        <v>58.043968996062986</v>
      </c>
      <c r="AB92" s="114">
        <f t="shared" si="22"/>
        <v>16136.223380905511</v>
      </c>
      <c r="AC92" s="114">
        <f t="shared" si="23"/>
        <v>4296.626619094488</v>
      </c>
    </row>
    <row r="93" spans="1:29">
      <c r="A93" s="24">
        <f t="shared" si="26"/>
        <v>75</v>
      </c>
      <c r="C93" s="24">
        <v>1</v>
      </c>
      <c r="D93" s="24" t="s">
        <v>249</v>
      </c>
      <c r="E93" s="93"/>
      <c r="F93" s="24" t="s">
        <v>220</v>
      </c>
      <c r="H93" s="90">
        <v>2008</v>
      </c>
      <c r="I93" s="90">
        <v>324.5</v>
      </c>
      <c r="J93" s="90">
        <v>1.4</v>
      </c>
      <c r="K93" s="91"/>
      <c r="L93" s="92">
        <v>70783.39</v>
      </c>
      <c r="M93" s="92">
        <v>20707.87</v>
      </c>
      <c r="N93" s="92">
        <v>158.94</v>
      </c>
      <c r="O93" s="92">
        <f t="shared" si="24"/>
        <v>91650.2</v>
      </c>
      <c r="P93" s="59"/>
      <c r="Q93" s="94">
        <v>35.340000000000003</v>
      </c>
      <c r="R93" s="59"/>
      <c r="S93" s="95">
        <f t="shared" si="7"/>
        <v>73507.200000000012</v>
      </c>
      <c r="T93" s="95">
        <f t="shared" si="18"/>
        <v>20751.340556523908</v>
      </c>
      <c r="U93" s="95">
        <f t="shared" si="12"/>
        <v>49.475999999999999</v>
      </c>
      <c r="V93" s="95">
        <f t="shared" si="25"/>
        <v>94308.016556523915</v>
      </c>
      <c r="W93" s="60"/>
      <c r="X93" s="55">
        <f t="shared" si="16"/>
        <v>2657.8165565239178</v>
      </c>
      <c r="Z93" s="112">
        <f t="shared" si="20"/>
        <v>35.250692231075696</v>
      </c>
      <c r="AA93" s="113">
        <f t="shared" si="21"/>
        <v>52.876038346613541</v>
      </c>
      <c r="AB93" s="114">
        <f t="shared" si="22"/>
        <v>17158.274443476093</v>
      </c>
      <c r="AC93" s="114">
        <f t="shared" si="23"/>
        <v>3549.5955565239055</v>
      </c>
    </row>
    <row r="94" spans="1:29">
      <c r="A94" s="24">
        <f t="shared" si="26"/>
        <v>76</v>
      </c>
      <c r="C94" s="24">
        <v>1</v>
      </c>
      <c r="D94" s="24" t="s">
        <v>250</v>
      </c>
      <c r="E94" s="93"/>
      <c r="F94" s="24" t="s">
        <v>220</v>
      </c>
      <c r="H94" s="90">
        <v>2008</v>
      </c>
      <c r="I94" s="90">
        <v>310.5</v>
      </c>
      <c r="J94" s="90">
        <v>24</v>
      </c>
      <c r="K94" s="91"/>
      <c r="L94" s="92">
        <v>56458.400000000001</v>
      </c>
      <c r="M94" s="92">
        <v>13160.65</v>
      </c>
      <c r="N94" s="92">
        <v>109.45</v>
      </c>
      <c r="O94" s="92">
        <f t="shared" si="24"/>
        <v>69728.5</v>
      </c>
      <c r="P94" s="59"/>
      <c r="Q94" s="94">
        <v>30.04</v>
      </c>
      <c r="R94" s="59"/>
      <c r="S94" s="95">
        <f t="shared" si="7"/>
        <v>62483.199999999997</v>
      </c>
      <c r="T94" s="95">
        <f t="shared" si="18"/>
        <v>14056.411573705182</v>
      </c>
      <c r="U94" s="95">
        <f t="shared" si="12"/>
        <v>720.96</v>
      </c>
      <c r="V94" s="95">
        <f t="shared" si="25"/>
        <v>77260.57157370518</v>
      </c>
      <c r="W94" s="60"/>
      <c r="X94" s="55">
        <f t="shared" si="16"/>
        <v>7532.0715737051796</v>
      </c>
      <c r="Z94" s="112">
        <f t="shared" si="20"/>
        <v>28.116733067729083</v>
      </c>
      <c r="AA94" s="113">
        <f t="shared" si="21"/>
        <v>42.175099601593622</v>
      </c>
      <c r="AB94" s="114">
        <f t="shared" si="22"/>
        <v>13095.368426294819</v>
      </c>
      <c r="AC94" s="114">
        <f t="shared" si="23"/>
        <v>65.281573705180563</v>
      </c>
    </row>
    <row r="95" spans="1:29">
      <c r="A95" s="24">
        <f t="shared" si="26"/>
        <v>77</v>
      </c>
      <c r="C95" s="24">
        <v>1</v>
      </c>
      <c r="D95" s="24" t="s">
        <v>251</v>
      </c>
      <c r="E95" s="93"/>
      <c r="F95" s="24" t="s">
        <v>220</v>
      </c>
      <c r="H95" s="90">
        <v>2032</v>
      </c>
      <c r="I95" s="90">
        <v>409.5</v>
      </c>
      <c r="J95" s="90">
        <v>70.17</v>
      </c>
      <c r="K95" s="91"/>
      <c r="L95" s="92">
        <v>79543.149999999994</v>
      </c>
      <c r="M95" s="92">
        <v>28385.02</v>
      </c>
      <c r="N95" s="92">
        <v>3055.75</v>
      </c>
      <c r="O95" s="92">
        <f t="shared" si="24"/>
        <v>110983.92</v>
      </c>
      <c r="P95" s="59"/>
      <c r="Q95" s="94">
        <v>38.869999999999997</v>
      </c>
      <c r="R95" s="59"/>
      <c r="S95" s="95">
        <f t="shared" si="7"/>
        <v>80849.599999999991</v>
      </c>
      <c r="T95" s="95">
        <f t="shared" si="18"/>
        <v>28215.947082923227</v>
      </c>
      <c r="U95" s="95">
        <f t="shared" si="12"/>
        <v>2727.5079000000001</v>
      </c>
      <c r="V95" s="95">
        <f t="shared" si="25"/>
        <v>111793.05498292322</v>
      </c>
      <c r="W95" s="60"/>
      <c r="X95" s="55">
        <f t="shared" si="16"/>
        <v>809.13498292322038</v>
      </c>
      <c r="Z95" s="112">
        <f t="shared" si="20"/>
        <v>39.145250984251966</v>
      </c>
      <c r="AA95" s="113">
        <f t="shared" si="21"/>
        <v>58.717876476377953</v>
      </c>
      <c r="AB95" s="114">
        <f t="shared" si="22"/>
        <v>24044.970417076773</v>
      </c>
      <c r="AC95" s="114">
        <f t="shared" si="23"/>
        <v>4340.0495829232277</v>
      </c>
    </row>
    <row r="96" spans="1:29">
      <c r="A96" s="24">
        <f t="shared" si="26"/>
        <v>78</v>
      </c>
      <c r="C96" s="24">
        <v>1</v>
      </c>
      <c r="D96" s="24" t="s">
        <v>252</v>
      </c>
      <c r="E96" s="93"/>
      <c r="F96" s="24" t="s">
        <v>220</v>
      </c>
      <c r="H96" s="90">
        <v>2008</v>
      </c>
      <c r="I96" s="90">
        <v>372</v>
      </c>
      <c r="J96" s="90">
        <v>36.67</v>
      </c>
      <c r="K96" s="91"/>
      <c r="L96" s="92">
        <v>77961.42</v>
      </c>
      <c r="M96" s="92">
        <v>27108.74</v>
      </c>
      <c r="N96" s="92">
        <v>1808.44</v>
      </c>
      <c r="O96" s="92">
        <f t="shared" si="24"/>
        <v>106878.6</v>
      </c>
      <c r="P96" s="59"/>
      <c r="Q96" s="94">
        <v>38.869999999999997</v>
      </c>
      <c r="R96" s="59"/>
      <c r="S96" s="95">
        <f t="shared" ref="S96:S98" si="27">2080*Q96</f>
        <v>80849.599999999991</v>
      </c>
      <c r="T96" s="95">
        <f t="shared" si="18"/>
        <v>27133.622131474105</v>
      </c>
      <c r="U96" s="95">
        <f t="shared" si="12"/>
        <v>1425.3629000000001</v>
      </c>
      <c r="V96" s="95">
        <f t="shared" si="25"/>
        <v>109408.5850314741</v>
      </c>
      <c r="W96" s="60"/>
      <c r="X96" s="55">
        <f t="shared" si="16"/>
        <v>2529.9850314740906</v>
      </c>
      <c r="Z96" s="112">
        <f t="shared" si="20"/>
        <v>38.825408366533864</v>
      </c>
      <c r="AA96" s="113">
        <f t="shared" si="21"/>
        <v>58.238112549800796</v>
      </c>
      <c r="AB96" s="114">
        <f t="shared" si="22"/>
        <v>21664.577868525896</v>
      </c>
      <c r="AC96" s="114">
        <f t="shared" si="23"/>
        <v>5444.162131474106</v>
      </c>
    </row>
    <row r="97" spans="1:29">
      <c r="A97" s="24">
        <f t="shared" si="26"/>
        <v>79</v>
      </c>
      <c r="C97" s="24">
        <v>1</v>
      </c>
      <c r="D97" s="24" t="s">
        <v>253</v>
      </c>
      <c r="E97" s="93"/>
      <c r="F97" s="24" t="s">
        <v>220</v>
      </c>
      <c r="H97" s="90">
        <v>2086</v>
      </c>
      <c r="I97" s="90">
        <v>277</v>
      </c>
      <c r="J97" s="90">
        <v>60</v>
      </c>
      <c r="K97" s="91"/>
      <c r="L97" s="92">
        <v>51694.91</v>
      </c>
      <c r="M97" s="92">
        <v>9192.94</v>
      </c>
      <c r="N97" s="92">
        <v>1913.07</v>
      </c>
      <c r="O97" s="92">
        <f t="shared" si="24"/>
        <v>62800.920000000006</v>
      </c>
      <c r="P97" s="59"/>
      <c r="Q97" s="94">
        <v>30.04</v>
      </c>
      <c r="R97" s="59"/>
      <c r="S97" s="95">
        <f t="shared" si="27"/>
        <v>62483.199999999997</v>
      </c>
      <c r="T97" s="95">
        <f t="shared" si="18"/>
        <v>11377.707121284753</v>
      </c>
      <c r="U97" s="95">
        <f t="shared" si="12"/>
        <v>1802.3999999999999</v>
      </c>
      <c r="V97" s="95">
        <f t="shared" si="25"/>
        <v>75663.307121284743</v>
      </c>
      <c r="W97" s="60"/>
      <c r="X97" s="55">
        <f t="shared" si="16"/>
        <v>12862.387121284737</v>
      </c>
      <c r="Z97" s="112">
        <f t="shared" si="20"/>
        <v>24.781836049856185</v>
      </c>
      <c r="AA97" s="113">
        <f t="shared" si="21"/>
        <v>37.17275407478428</v>
      </c>
      <c r="AB97" s="114">
        <f t="shared" si="22"/>
        <v>10296.852878715246</v>
      </c>
      <c r="AC97" s="114">
        <f t="shared" si="23"/>
        <v>-1103.9128787152458</v>
      </c>
    </row>
    <row r="98" spans="1:29">
      <c r="A98" s="24">
        <f t="shared" si="26"/>
        <v>80</v>
      </c>
      <c r="C98" s="24">
        <v>1</v>
      </c>
      <c r="D98" s="24" t="s">
        <v>254</v>
      </c>
      <c r="E98" s="93"/>
      <c r="F98" s="24" t="s">
        <v>220</v>
      </c>
      <c r="H98" s="90">
        <v>2000</v>
      </c>
      <c r="I98" s="90">
        <v>481.5</v>
      </c>
      <c r="J98" s="90">
        <v>92.69</v>
      </c>
      <c r="K98" s="91"/>
      <c r="L98" s="92">
        <v>72265.91</v>
      </c>
      <c r="M98" s="92">
        <v>32969.47</v>
      </c>
      <c r="N98" s="92">
        <v>3385.2</v>
      </c>
      <c r="O98" s="92">
        <f t="shared" si="24"/>
        <v>108620.58</v>
      </c>
      <c r="P98" s="59"/>
      <c r="Q98" s="94">
        <v>35.340000000000003</v>
      </c>
      <c r="R98" s="59"/>
      <c r="S98" s="95">
        <f t="shared" si="27"/>
        <v>73507.200000000012</v>
      </c>
      <c r="T98" s="95">
        <f t="shared" si="18"/>
        <v>32396.758251250005</v>
      </c>
      <c r="U98" s="95">
        <f t="shared" si="12"/>
        <v>3275.6646000000001</v>
      </c>
      <c r="V98" s="95">
        <f t="shared" si="25"/>
        <v>109179.62285125002</v>
      </c>
      <c r="W98" s="60"/>
      <c r="X98" s="55">
        <f t="shared" si="16"/>
        <v>559.04285125002207</v>
      </c>
      <c r="Z98" s="112">
        <f t="shared" si="20"/>
        <v>36.132955000000003</v>
      </c>
      <c r="AA98" s="113">
        <f t="shared" si="21"/>
        <v>54.1994325</v>
      </c>
      <c r="AB98" s="114">
        <f t="shared" si="22"/>
        <v>26097.026748749999</v>
      </c>
      <c r="AC98" s="114">
        <f t="shared" si="23"/>
        <v>6872.4432512500025</v>
      </c>
    </row>
    <row r="99" spans="1:29">
      <c r="A99" s="24">
        <f t="shared" si="26"/>
        <v>81</v>
      </c>
      <c r="C99" s="26">
        <f>SUM(C58:C98,C32:C53)</f>
        <v>63</v>
      </c>
      <c r="D99" s="26" t="s">
        <v>93</v>
      </c>
      <c r="E99" s="49" t="s">
        <v>93</v>
      </c>
      <c r="F99" s="26"/>
      <c r="H99" s="212">
        <f>SUM(H32:H53,H58:H98)</f>
        <v>108059.52999999998</v>
      </c>
      <c r="I99" s="212">
        <f>SUM(I32:I53,I58:I98)</f>
        <v>17276</v>
      </c>
      <c r="J99" s="212">
        <f>SUM(J32:J53,J58:J98)</f>
        <v>2867.8100000000009</v>
      </c>
      <c r="K99" s="115"/>
      <c r="L99" s="213">
        <f>SUM(L32:L53,L58:L98)</f>
        <v>3056828.47</v>
      </c>
      <c r="M99" s="213">
        <f>SUM(M32:M53,M58:M98)</f>
        <v>931494.14999999991</v>
      </c>
      <c r="N99" s="213">
        <f>SUM(N32:N53,N58:N98)</f>
        <v>83453.649999999994</v>
      </c>
      <c r="O99" s="213">
        <f>SUM(O32:O53,O58:O98)</f>
        <v>4071776.2700000014</v>
      </c>
      <c r="P99" s="116"/>
      <c r="Q99" s="213"/>
      <c r="R99" s="116"/>
      <c r="S99" s="213">
        <f>SUM(S32:S53,S58:S98)</f>
        <v>3456067.1600000034</v>
      </c>
      <c r="T99" s="213">
        <f>SUM(T32:T53,T58:T98)</f>
        <v>873789.2127198095</v>
      </c>
      <c r="U99" s="213">
        <f>SUM(U32:U53,U58:U98)</f>
        <v>80817.6872</v>
      </c>
      <c r="V99" s="213">
        <f>SUM(V32:V53,V58:V98)</f>
        <v>4410674.0599198099</v>
      </c>
      <c r="W99" s="117"/>
      <c r="X99" s="213">
        <f>SUM(X32:X53,X58:X98)</f>
        <v>338897.78991980967</v>
      </c>
      <c r="AA99" s="96"/>
    </row>
    <row r="100" spans="1:29">
      <c r="C100" s="24" t="s">
        <v>489</v>
      </c>
      <c r="H100" s="222"/>
      <c r="I100" s="222"/>
      <c r="J100" s="222"/>
      <c r="K100" s="115"/>
      <c r="L100" s="223"/>
      <c r="M100" s="223"/>
      <c r="N100" s="223"/>
      <c r="O100" s="223"/>
      <c r="P100" s="116"/>
      <c r="Q100" s="223"/>
      <c r="R100" s="116"/>
      <c r="S100" s="223"/>
      <c r="T100" s="223"/>
      <c r="U100" s="223"/>
      <c r="V100" s="223"/>
      <c r="W100" s="117"/>
      <c r="X100" s="223"/>
      <c r="AA100" s="96"/>
    </row>
    <row r="101" spans="1:29">
      <c r="D101" s="89"/>
      <c r="E101" s="106"/>
      <c r="F101" s="89"/>
      <c r="H101" s="210"/>
      <c r="I101" s="210"/>
      <c r="J101" s="210"/>
      <c r="K101" s="115"/>
      <c r="L101" s="211"/>
      <c r="M101" s="211"/>
      <c r="N101" s="211"/>
      <c r="O101" s="211"/>
      <c r="P101" s="116"/>
      <c r="Q101" s="211"/>
      <c r="R101" s="116"/>
      <c r="S101" s="211"/>
      <c r="T101" s="211"/>
      <c r="U101" s="211"/>
      <c r="V101" s="211"/>
      <c r="W101" s="117"/>
      <c r="X101" s="211"/>
      <c r="AA101" s="96"/>
    </row>
    <row r="102" spans="1:29" ht="20.25" customHeight="1">
      <c r="C102" s="384" t="s">
        <v>142</v>
      </c>
      <c r="D102" s="384"/>
      <c r="E102" s="384"/>
      <c r="F102" s="384"/>
      <c r="H102" s="384" t="s">
        <v>143</v>
      </c>
      <c r="I102" s="384"/>
      <c r="J102" s="384"/>
      <c r="K102" s="91"/>
      <c r="L102" s="384" t="s">
        <v>144</v>
      </c>
      <c r="M102" s="384"/>
      <c r="N102" s="384"/>
      <c r="O102" s="384"/>
      <c r="P102" s="59"/>
      <c r="Q102" s="385" t="s">
        <v>145</v>
      </c>
      <c r="R102" s="59"/>
      <c r="S102" s="384" t="s">
        <v>146</v>
      </c>
      <c r="T102" s="384"/>
      <c r="U102" s="384"/>
      <c r="V102" s="384"/>
      <c r="W102" s="60"/>
      <c r="X102" s="385" t="s">
        <v>147</v>
      </c>
      <c r="AA102" s="96"/>
    </row>
    <row r="103" spans="1:29" ht="31.5" customHeight="1">
      <c r="A103" s="24" t="s">
        <v>7</v>
      </c>
      <c r="C103" s="24" t="s">
        <v>148</v>
      </c>
      <c r="D103" s="24" t="s">
        <v>149</v>
      </c>
      <c r="E103" s="57" t="s">
        <v>150</v>
      </c>
      <c r="F103" s="24" t="s">
        <v>151</v>
      </c>
      <c r="H103" s="13" t="s">
        <v>152</v>
      </c>
      <c r="I103" s="13" t="s">
        <v>153</v>
      </c>
      <c r="J103" s="13" t="s">
        <v>154</v>
      </c>
      <c r="K103" s="58"/>
      <c r="L103" s="13" t="s">
        <v>152</v>
      </c>
      <c r="M103" s="13" t="s">
        <v>153</v>
      </c>
      <c r="N103" s="13" t="s">
        <v>154</v>
      </c>
      <c r="O103" s="13" t="s">
        <v>53</v>
      </c>
      <c r="P103" s="59"/>
      <c r="Q103" s="385"/>
      <c r="R103" s="59"/>
      <c r="S103" s="13" t="s">
        <v>152</v>
      </c>
      <c r="T103" s="13" t="s">
        <v>153</v>
      </c>
      <c r="U103" s="13" t="s">
        <v>154</v>
      </c>
      <c r="V103" s="13" t="s">
        <v>53</v>
      </c>
      <c r="W103" s="60"/>
      <c r="X103" s="385"/>
      <c r="AA103" s="96"/>
    </row>
    <row r="104" spans="1:29">
      <c r="A104" s="15" t="s">
        <v>11</v>
      </c>
      <c r="C104" s="16">
        <v>1</v>
      </c>
      <c r="D104" s="16">
        <f>C104+1</f>
        <v>2</v>
      </c>
      <c r="E104" s="61" t="s">
        <v>155</v>
      </c>
      <c r="F104" s="16">
        <f>D104+1</f>
        <v>3</v>
      </c>
      <c r="H104" s="16">
        <f>F104+1</f>
        <v>4</v>
      </c>
      <c r="I104" s="16">
        <f>H104+1</f>
        <v>5</v>
      </c>
      <c r="J104" s="16">
        <f>I104+1</f>
        <v>6</v>
      </c>
      <c r="K104" s="58"/>
      <c r="L104" s="16">
        <f>J104+1</f>
        <v>7</v>
      </c>
      <c r="M104" s="16">
        <f>L104+1</f>
        <v>8</v>
      </c>
      <c r="N104" s="16">
        <f>M104+1</f>
        <v>9</v>
      </c>
      <c r="O104" s="16">
        <f>N104+1</f>
        <v>10</v>
      </c>
      <c r="P104" s="59"/>
      <c r="Q104" s="16">
        <f>O104+1</f>
        <v>11</v>
      </c>
      <c r="R104" s="59"/>
      <c r="S104" s="16">
        <f>Q104+1</f>
        <v>12</v>
      </c>
      <c r="T104" s="16">
        <f>S104+1</f>
        <v>13</v>
      </c>
      <c r="U104" s="16">
        <f>T104+1</f>
        <v>14</v>
      </c>
      <c r="V104" s="16">
        <f>U104+1</f>
        <v>15</v>
      </c>
      <c r="W104" s="60"/>
      <c r="X104" s="16">
        <f>V104+1</f>
        <v>16</v>
      </c>
      <c r="AA104" s="96"/>
    </row>
    <row r="105" spans="1:29">
      <c r="A105" s="24">
        <f>A99+1</f>
        <v>82</v>
      </c>
      <c r="H105" s="90"/>
      <c r="I105" s="90"/>
      <c r="J105" s="90"/>
      <c r="K105" s="91"/>
      <c r="L105" s="92"/>
      <c r="M105" s="92"/>
      <c r="N105" s="92"/>
      <c r="O105" s="92"/>
      <c r="P105" s="59"/>
      <c r="Q105" s="94"/>
      <c r="R105" s="59"/>
      <c r="S105" s="94"/>
      <c r="T105" s="94"/>
      <c r="U105" s="94"/>
      <c r="V105" s="94"/>
      <c r="W105" s="60"/>
      <c r="AA105" s="96"/>
    </row>
    <row r="106" spans="1:29">
      <c r="A106" s="24">
        <f t="shared" si="26"/>
        <v>83</v>
      </c>
      <c r="H106" s="90"/>
      <c r="I106" s="90"/>
      <c r="J106" s="90"/>
      <c r="K106" s="91"/>
      <c r="L106" s="92"/>
      <c r="M106" s="92"/>
      <c r="N106" s="92"/>
      <c r="O106" s="92"/>
      <c r="P106" s="59"/>
      <c r="R106" s="59"/>
      <c r="W106" s="60"/>
      <c r="AA106" s="96"/>
    </row>
    <row r="107" spans="1:29" s="118" customFormat="1" ht="15.75" customHeight="1">
      <c r="A107" s="24">
        <f t="shared" si="26"/>
        <v>84</v>
      </c>
      <c r="C107" s="44">
        <f>+C29+C99</f>
        <v>76</v>
      </c>
      <c r="D107" s="44" t="s">
        <v>66</v>
      </c>
      <c r="E107" s="118" t="s">
        <v>66</v>
      </c>
      <c r="F107" s="44"/>
      <c r="G107" s="44"/>
      <c r="H107" s="214">
        <f>+H99+H29</f>
        <v>129443.52999999998</v>
      </c>
      <c r="I107" s="214">
        <f>+I99+I29</f>
        <v>17276</v>
      </c>
      <c r="J107" s="214">
        <f>+J99+J29</f>
        <v>3865.8200000000006</v>
      </c>
      <c r="K107" s="119"/>
      <c r="L107" s="215">
        <f>+L99+L29</f>
        <v>3960519.47</v>
      </c>
      <c r="M107" s="215">
        <f>+M99+M29</f>
        <v>931494.14999999991</v>
      </c>
      <c r="N107" s="215">
        <f>+N99+N29</f>
        <v>242172.05</v>
      </c>
      <c r="O107" s="215">
        <f>+O99+O29</f>
        <v>5134185.6700000018</v>
      </c>
      <c r="P107" s="120"/>
      <c r="R107" s="59"/>
      <c r="S107" s="215">
        <f>+S99+S29</f>
        <v>4706266.8400000036</v>
      </c>
      <c r="T107" s="215">
        <f>+T99+T29</f>
        <v>873789.2127198095</v>
      </c>
      <c r="U107" s="215">
        <f>+U99+U29</f>
        <v>149508.96620000002</v>
      </c>
      <c r="V107" s="215">
        <f>+V99+V29</f>
        <v>5729565.0189198097</v>
      </c>
      <c r="W107" s="121"/>
      <c r="X107" s="124">
        <f>V107-O107</f>
        <v>595379.34891980793</v>
      </c>
      <c r="Z107" s="55"/>
      <c r="AA107" s="96"/>
    </row>
    <row r="108" spans="1:29" s="118" customFormat="1">
      <c r="A108" s="24">
        <f t="shared" si="26"/>
        <v>85</v>
      </c>
      <c r="C108" s="44"/>
      <c r="D108" s="44"/>
      <c r="F108" s="44"/>
      <c r="G108" s="44"/>
      <c r="K108" s="119"/>
      <c r="O108" s="122"/>
      <c r="P108" s="120"/>
      <c r="R108" s="59"/>
      <c r="W108" s="121"/>
      <c r="Z108" s="55"/>
      <c r="AA108" s="96"/>
    </row>
    <row r="109" spans="1:29" s="118" customFormat="1" ht="13.5" customHeight="1" thickBot="1">
      <c r="A109" s="24">
        <f t="shared" si="26"/>
        <v>86</v>
      </c>
      <c r="C109" s="123"/>
      <c r="D109" s="216" t="s">
        <v>481</v>
      </c>
      <c r="E109" s="216" t="s">
        <v>10</v>
      </c>
      <c r="F109" s="123"/>
      <c r="G109" s="123"/>
      <c r="H109" s="123"/>
      <c r="I109" s="123"/>
      <c r="J109" s="123"/>
      <c r="K109" s="123"/>
      <c r="L109" s="123"/>
      <c r="M109" s="123"/>
      <c r="N109" s="123"/>
      <c r="O109" s="123"/>
      <c r="P109" s="123"/>
      <c r="Q109" s="123"/>
      <c r="R109" s="123"/>
      <c r="S109" s="123"/>
      <c r="T109" s="123"/>
      <c r="U109" s="123"/>
      <c r="V109" s="123"/>
      <c r="W109" s="123"/>
      <c r="X109" s="217">
        <f>X107</f>
        <v>595379.34891980793</v>
      </c>
      <c r="Z109" s="55"/>
      <c r="AA109" s="96"/>
    </row>
    <row r="110" spans="1:29" ht="13.8" thickTop="1">
      <c r="A110" s="44"/>
    </row>
    <row r="111" spans="1:29" s="141" customFormat="1" ht="34.5" customHeight="1">
      <c r="D111" s="142" t="s">
        <v>255</v>
      </c>
      <c r="E111" s="142" t="s">
        <v>255</v>
      </c>
      <c r="H111" s="383" t="s">
        <v>454</v>
      </c>
      <c r="I111" s="383"/>
      <c r="J111" s="383"/>
      <c r="K111" s="383"/>
      <c r="L111" s="383"/>
      <c r="M111" s="383"/>
      <c r="N111" s="383"/>
      <c r="O111" s="383"/>
      <c r="P111" s="383"/>
      <c r="Q111" s="383"/>
      <c r="R111" s="383"/>
      <c r="S111" s="383"/>
      <c r="T111" s="383"/>
      <c r="U111" s="383"/>
      <c r="V111" s="383"/>
      <c r="Z111" s="143"/>
    </row>
    <row r="112" spans="1:29">
      <c r="A112" s="44"/>
      <c r="Z112" s="124"/>
    </row>
    <row r="113" spans="1:26" ht="15.75" customHeight="1">
      <c r="A113" s="44"/>
      <c r="B113" s="45"/>
      <c r="C113" s="383" t="s">
        <v>432</v>
      </c>
      <c r="D113" s="383"/>
      <c r="E113" s="383"/>
      <c r="F113" s="383"/>
      <c r="G113" s="383"/>
      <c r="H113" s="383"/>
      <c r="I113" s="383"/>
      <c r="J113" s="383"/>
      <c r="K113" s="383"/>
      <c r="L113" s="383"/>
      <c r="M113" s="383"/>
      <c r="N113" s="383"/>
      <c r="O113" s="383"/>
      <c r="P113" s="383"/>
      <c r="Q113" s="383"/>
      <c r="R113" s="383"/>
      <c r="S113" s="383"/>
      <c r="T113" s="383"/>
      <c r="U113" s="383"/>
      <c r="V113" s="383"/>
      <c r="W113" s="45"/>
      <c r="X113" s="45"/>
      <c r="Z113" s="124"/>
    </row>
    <row r="115" spans="1:26">
      <c r="A115" s="44"/>
      <c r="D115" s="125" t="s">
        <v>256</v>
      </c>
      <c r="E115" s="46" t="s">
        <v>256</v>
      </c>
      <c r="L115" s="47" t="s">
        <v>257</v>
      </c>
      <c r="M115" s="47" t="s">
        <v>135</v>
      </c>
      <c r="N115" s="47"/>
      <c r="O115" s="47" t="s">
        <v>10</v>
      </c>
      <c r="P115" s="126"/>
    </row>
    <row r="116" spans="1:26" ht="3.75" customHeight="1">
      <c r="A116" s="44"/>
    </row>
    <row r="117" spans="1:26">
      <c r="A117" s="44">
        <f>A109+1</f>
        <v>87</v>
      </c>
      <c r="C117" s="31"/>
      <c r="D117" s="24" t="s">
        <v>258</v>
      </c>
      <c r="E117" s="24" t="s">
        <v>258</v>
      </c>
      <c r="F117" s="31" t="s">
        <v>136</v>
      </c>
      <c r="H117" s="24"/>
      <c r="L117" s="48">
        <f>+SUM(L140:L152)</f>
        <v>836156.35</v>
      </c>
      <c r="M117" s="51">
        <f>+SUM(M140:M152)</f>
        <v>0.16528357038992794</v>
      </c>
      <c r="O117" s="96">
        <f>$X$109*M117</f>
        <v>98406.424525896538</v>
      </c>
    </row>
    <row r="118" spans="1:26">
      <c r="A118" s="24">
        <f t="shared" ref="A118:A122" si="28">A117+1</f>
        <v>88</v>
      </c>
      <c r="C118" s="31"/>
      <c r="D118" s="24" t="s">
        <v>259</v>
      </c>
      <c r="E118" s="24" t="s">
        <v>259</v>
      </c>
      <c r="F118" s="31" t="s">
        <v>137</v>
      </c>
      <c r="H118" s="24"/>
      <c r="L118" s="48">
        <f>+SUM(L153:L162)</f>
        <v>858279.81999999983</v>
      </c>
      <c r="M118" s="51">
        <f>+SUM(M153:M162)</f>
        <v>0.16965673111640506</v>
      </c>
      <c r="O118" s="96">
        <f>$X$109*M118</f>
        <v>101010.11411194816</v>
      </c>
    </row>
    <row r="119" spans="1:26">
      <c r="A119" s="24">
        <f t="shared" si="28"/>
        <v>89</v>
      </c>
      <c r="C119" s="31"/>
      <c r="D119" s="24" t="s">
        <v>260</v>
      </c>
      <c r="E119" s="24" t="s">
        <v>260</v>
      </c>
      <c r="F119" s="31" t="s">
        <v>138</v>
      </c>
      <c r="H119" s="24"/>
      <c r="L119" s="48">
        <f>+SUM(L163:L172)</f>
        <v>469129.42000000004</v>
      </c>
      <c r="M119" s="51">
        <f>+SUM(M163:M172)</f>
        <v>9.2733118049699761E-2</v>
      </c>
      <c r="O119" s="96">
        <f>$X$109*M119</f>
        <v>55211.383447733933</v>
      </c>
    </row>
    <row r="120" spans="1:26">
      <c r="A120" s="24">
        <f t="shared" si="28"/>
        <v>90</v>
      </c>
      <c r="C120" s="31"/>
      <c r="D120" s="24" t="s">
        <v>261</v>
      </c>
      <c r="E120" s="24" t="s">
        <v>261</v>
      </c>
      <c r="F120" s="31" t="s">
        <v>24</v>
      </c>
      <c r="H120" s="24"/>
      <c r="L120" s="48">
        <f>+SUM(L173)</f>
        <v>41672.94</v>
      </c>
      <c r="M120" s="51">
        <f>+SUM(M173)</f>
        <v>8.237517196210067E-3</v>
      </c>
      <c r="O120" s="96">
        <f>$X$109*M120</f>
        <v>4904.4476249952713</v>
      </c>
    </row>
    <row r="121" spans="1:26">
      <c r="A121" s="24">
        <f>A120+1</f>
        <v>91</v>
      </c>
      <c r="C121" s="31"/>
      <c r="D121" s="24" t="s">
        <v>262</v>
      </c>
      <c r="E121" s="24" t="s">
        <v>262</v>
      </c>
      <c r="F121" s="31" t="s">
        <v>139</v>
      </c>
      <c r="H121" s="24"/>
      <c r="L121" s="48">
        <f>+SUM(L174:L180)</f>
        <v>514869.38999999996</v>
      </c>
      <c r="M121" s="51">
        <f>+SUM(M174:M180)</f>
        <v>0.10177456771533726</v>
      </c>
      <c r="O121" s="96">
        <f>$X$109*M121</f>
        <v>60594.4758629524</v>
      </c>
    </row>
    <row r="122" spans="1:26" ht="15" customHeight="1">
      <c r="A122" s="24">
        <f t="shared" si="28"/>
        <v>92</v>
      </c>
      <c r="C122" s="31"/>
      <c r="D122" s="26"/>
      <c r="E122" s="26"/>
      <c r="F122" s="49"/>
      <c r="G122" s="26"/>
      <c r="H122" s="26"/>
      <c r="I122" s="98" t="s">
        <v>482</v>
      </c>
      <c r="J122" s="49"/>
      <c r="K122" s="386">
        <f>SUM(L117:L121)</f>
        <v>2720107.92</v>
      </c>
      <c r="L122" s="386"/>
      <c r="M122" s="127">
        <f>SUM(M117:M121)</f>
        <v>0.53768550446758012</v>
      </c>
      <c r="O122" s="208">
        <f>SUM(O117:O121)</f>
        <v>320126.84557352634</v>
      </c>
    </row>
    <row r="123" spans="1:26" ht="5.25" customHeight="1">
      <c r="A123" s="44"/>
      <c r="C123" s="31"/>
      <c r="E123" s="24"/>
      <c r="F123" s="31"/>
      <c r="H123" s="24"/>
      <c r="K123" s="50"/>
      <c r="L123" s="50"/>
      <c r="M123" s="51"/>
    </row>
    <row r="124" spans="1:26">
      <c r="A124" s="24">
        <f>A122+1</f>
        <v>93</v>
      </c>
      <c r="C124" s="31"/>
      <c r="E124" s="24"/>
      <c r="F124" s="31" t="s">
        <v>263</v>
      </c>
      <c r="H124" s="24"/>
      <c r="K124" s="96"/>
      <c r="L124" s="48">
        <f>+L139</f>
        <v>2338812.02</v>
      </c>
      <c r="M124" s="51">
        <f>+M139</f>
        <v>0.46231449553241988</v>
      </c>
      <c r="O124" s="96">
        <f>$X$109*M124</f>
        <v>275252.50334628159</v>
      </c>
    </row>
    <row r="125" spans="1:26">
      <c r="A125" s="24">
        <f t="shared" ref="A125:A128" si="29">A124+1</f>
        <v>94</v>
      </c>
      <c r="C125" s="31"/>
      <c r="E125" s="24"/>
      <c r="F125" s="31"/>
      <c r="H125" s="24"/>
      <c r="L125" s="48"/>
      <c r="M125" s="51"/>
      <c r="O125" s="96"/>
    </row>
    <row r="126" spans="1:26">
      <c r="A126" s="24">
        <f t="shared" si="29"/>
        <v>95</v>
      </c>
      <c r="C126" s="31"/>
      <c r="D126" s="26"/>
      <c r="E126" s="26"/>
      <c r="F126" s="49"/>
      <c r="G126" s="26"/>
      <c r="H126" s="26"/>
      <c r="I126" s="49" t="s">
        <v>93</v>
      </c>
      <c r="J126" s="49"/>
      <c r="K126" s="172">
        <f>SUM(L124:L125)</f>
        <v>2338812.02</v>
      </c>
      <c r="L126" s="172"/>
      <c r="M126" s="127">
        <f>SUM(M124:M125)</f>
        <v>0.46231449553241988</v>
      </c>
      <c r="O126" s="128">
        <f>SUM(O124:O125)</f>
        <v>275252.50334628159</v>
      </c>
    </row>
    <row r="127" spans="1:26">
      <c r="A127" s="24">
        <f t="shared" si="29"/>
        <v>96</v>
      </c>
      <c r="C127" s="31"/>
      <c r="E127" s="24"/>
      <c r="F127" s="31"/>
      <c r="H127" s="24"/>
      <c r="K127" s="50"/>
      <c r="L127" s="50"/>
      <c r="M127" s="51"/>
    </row>
    <row r="128" spans="1:26" ht="15" customHeight="1" thickBot="1">
      <c r="A128" s="24">
        <f t="shared" si="29"/>
        <v>97</v>
      </c>
      <c r="C128" s="31"/>
      <c r="D128" s="52"/>
      <c r="E128" s="52"/>
      <c r="F128" s="34" t="s">
        <v>53</v>
      </c>
      <c r="G128" s="52"/>
      <c r="H128" s="52"/>
      <c r="I128" s="34"/>
      <c r="J128" s="34"/>
      <c r="K128" s="395">
        <f>K122+K126</f>
        <v>5058919.9399999995</v>
      </c>
      <c r="L128" s="395"/>
      <c r="M128" s="53">
        <f>M122+M126</f>
        <v>1</v>
      </c>
      <c r="O128" s="129">
        <f>O122+O126</f>
        <v>595379.34891980793</v>
      </c>
    </row>
    <row r="129" spans="1:15" ht="5.25" customHeight="1" thickTop="1">
      <c r="A129" s="44"/>
      <c r="C129" s="31"/>
      <c r="D129" s="31"/>
      <c r="F129" s="31"/>
      <c r="G129" s="31"/>
    </row>
    <row r="130" spans="1:15" ht="15" customHeight="1">
      <c r="C130" s="31"/>
      <c r="D130" s="31"/>
      <c r="F130" s="31"/>
      <c r="G130" s="31"/>
    </row>
    <row r="135" spans="1:15">
      <c r="D135" s="125" t="s">
        <v>264</v>
      </c>
      <c r="E135" s="46" t="s">
        <v>264</v>
      </c>
      <c r="L135" s="96"/>
    </row>
    <row r="136" spans="1:15">
      <c r="J136" s="24"/>
      <c r="K136" s="24"/>
    </row>
    <row r="137" spans="1:15">
      <c r="D137" s="125" t="s">
        <v>265</v>
      </c>
      <c r="E137" s="125" t="s">
        <v>265</v>
      </c>
      <c r="F137" s="125" t="s">
        <v>266</v>
      </c>
      <c r="G137" s="125"/>
      <c r="L137" s="130" t="s">
        <v>267</v>
      </c>
      <c r="M137" s="130" t="s">
        <v>268</v>
      </c>
    </row>
    <row r="138" spans="1:15">
      <c r="E138" s="24"/>
      <c r="F138" s="31"/>
    </row>
    <row r="139" spans="1:15">
      <c r="D139" s="131"/>
      <c r="E139" s="131">
        <v>107.2</v>
      </c>
      <c r="F139" s="31" t="s">
        <v>269</v>
      </c>
      <c r="L139" s="132">
        <v>2338812.02</v>
      </c>
      <c r="M139" s="68">
        <f>L139/K$181</f>
        <v>0.46231449553241988</v>
      </c>
      <c r="O139" s="112"/>
    </row>
    <row r="140" spans="1:15" ht="13.8">
      <c r="D140" s="182" t="s">
        <v>270</v>
      </c>
      <c r="E140" s="131"/>
      <c r="F140" s="182" t="s">
        <v>271</v>
      </c>
      <c r="L140" s="132">
        <v>207372.63</v>
      </c>
      <c r="M140" s="68">
        <f>L140/K$181</f>
        <v>4.0991482857900295E-2</v>
      </c>
      <c r="O140" s="112"/>
    </row>
    <row r="141" spans="1:15" ht="13.8">
      <c r="D141" s="182" t="s">
        <v>272</v>
      </c>
      <c r="E141" s="131"/>
      <c r="F141" s="182" t="s">
        <v>273</v>
      </c>
      <c r="L141" s="132">
        <v>23027.82</v>
      </c>
      <c r="M141" s="68">
        <f>L141/K$181</f>
        <v>4.5519241800849684E-3</v>
      </c>
      <c r="O141" s="112"/>
    </row>
    <row r="142" spans="1:15" ht="13.8">
      <c r="D142" s="182" t="s">
        <v>274</v>
      </c>
      <c r="E142" s="131"/>
      <c r="F142" s="182" t="s">
        <v>275</v>
      </c>
      <c r="L142" s="132">
        <v>19587.36</v>
      </c>
      <c r="M142" s="68">
        <f>L142/K$181</f>
        <v>3.8718462107150877E-3</v>
      </c>
    </row>
    <row r="143" spans="1:15" ht="13.8">
      <c r="D143" s="182" t="s">
        <v>276</v>
      </c>
      <c r="E143" s="131"/>
      <c r="F143" s="182" t="s">
        <v>277</v>
      </c>
      <c r="L143" s="132">
        <v>36088.300000000003</v>
      </c>
      <c r="M143" s="68">
        <f t="shared" ref="M143:M180" si="30">L143/K$181</f>
        <v>7.1335977694875321E-3</v>
      </c>
    </row>
    <row r="144" spans="1:15" ht="13.8">
      <c r="D144" s="182" t="s">
        <v>278</v>
      </c>
      <c r="E144" s="131"/>
      <c r="F144" s="182" t="s">
        <v>279</v>
      </c>
      <c r="L144" s="132">
        <v>41134.78</v>
      </c>
      <c r="M144" s="68">
        <f t="shared" si="30"/>
        <v>8.1311387584441577E-3</v>
      </c>
      <c r="O144" s="112"/>
    </row>
    <row r="145" spans="4:17" ht="13.8">
      <c r="D145" s="182" t="s">
        <v>280</v>
      </c>
      <c r="E145" s="131"/>
      <c r="F145" s="182" t="s">
        <v>281</v>
      </c>
      <c r="L145" s="132">
        <v>1180.27</v>
      </c>
      <c r="M145" s="68">
        <f t="shared" si="30"/>
        <v>2.3330473974648427E-4</v>
      </c>
      <c r="O145" s="112"/>
    </row>
    <row r="146" spans="4:17" ht="13.8">
      <c r="D146" s="182" t="s">
        <v>282</v>
      </c>
      <c r="E146" s="131"/>
      <c r="F146" s="182" t="s">
        <v>283</v>
      </c>
      <c r="L146" s="132">
        <v>18007.27</v>
      </c>
      <c r="M146" s="68">
        <f t="shared" si="30"/>
        <v>3.5595087911195525E-3</v>
      </c>
      <c r="O146" s="112"/>
    </row>
    <row r="147" spans="4:17" ht="13.8">
      <c r="D147" s="182" t="s">
        <v>284</v>
      </c>
      <c r="E147" s="131"/>
      <c r="F147" s="182" t="s">
        <v>285</v>
      </c>
      <c r="L147" s="132">
        <v>63956.74</v>
      </c>
      <c r="M147" s="68">
        <f t="shared" si="30"/>
        <v>1.2642370458228677E-2</v>
      </c>
      <c r="O147" s="112"/>
    </row>
    <row r="148" spans="4:17" ht="13.8">
      <c r="D148" s="182" t="s">
        <v>286</v>
      </c>
      <c r="E148" s="131"/>
      <c r="F148" s="182" t="s">
        <v>287</v>
      </c>
      <c r="L148" s="132">
        <v>131068.21</v>
      </c>
      <c r="M148" s="68">
        <f t="shared" si="30"/>
        <v>2.5908338450598211E-2</v>
      </c>
    </row>
    <row r="149" spans="4:17" ht="13.8">
      <c r="D149" s="182" t="s">
        <v>288</v>
      </c>
      <c r="E149" s="131"/>
      <c r="F149" s="182" t="s">
        <v>289</v>
      </c>
      <c r="L149" s="132">
        <v>224359.67999999999</v>
      </c>
      <c r="M149" s="68">
        <f t="shared" si="30"/>
        <v>4.4349324097032454E-2</v>
      </c>
    </row>
    <row r="150" spans="4:17" ht="13.8">
      <c r="D150" s="182" t="s">
        <v>290</v>
      </c>
      <c r="E150" s="131"/>
      <c r="F150" s="182" t="s">
        <v>291</v>
      </c>
      <c r="L150" s="132">
        <v>63714.1</v>
      </c>
      <c r="M150" s="68">
        <f t="shared" si="30"/>
        <v>1.2594407651369157E-2</v>
      </c>
    </row>
    <row r="151" spans="4:17" ht="13.8">
      <c r="D151" s="182" t="s">
        <v>292</v>
      </c>
      <c r="E151" s="131"/>
      <c r="F151" s="182" t="s">
        <v>293</v>
      </c>
      <c r="L151" s="132">
        <v>5036.74</v>
      </c>
      <c r="M151" s="68">
        <f t="shared" si="30"/>
        <v>9.956156768118373E-4</v>
      </c>
    </row>
    <row r="152" spans="4:17" ht="13.8">
      <c r="D152" s="182" t="s">
        <v>294</v>
      </c>
      <c r="E152" s="131"/>
      <c r="F152" s="182" t="s">
        <v>295</v>
      </c>
      <c r="L152" s="132">
        <v>1622.45</v>
      </c>
      <c r="M152" s="68">
        <f t="shared" si="30"/>
        <v>3.2071074838950703E-4</v>
      </c>
    </row>
    <row r="153" spans="4:17" ht="13.8">
      <c r="D153" s="182" t="s">
        <v>296</v>
      </c>
      <c r="E153" s="131"/>
      <c r="F153" s="182" t="s">
        <v>297</v>
      </c>
      <c r="L153" s="132">
        <v>18823.490000000002</v>
      </c>
      <c r="M153" s="68">
        <f t="shared" si="30"/>
        <v>3.7208515302181279E-3</v>
      </c>
    </row>
    <row r="154" spans="4:17" ht="13.8">
      <c r="D154" s="182" t="s">
        <v>298</v>
      </c>
      <c r="E154" s="131"/>
      <c r="F154" s="182" t="s">
        <v>299</v>
      </c>
      <c r="L154" s="132">
        <v>55943.08</v>
      </c>
      <c r="M154" s="68">
        <f t="shared" si="30"/>
        <v>1.1058305065804224E-2</v>
      </c>
    </row>
    <row r="155" spans="4:17" ht="13.8">
      <c r="D155" s="182" t="s">
        <v>300</v>
      </c>
      <c r="E155" s="131"/>
      <c r="F155" s="182" t="s">
        <v>301</v>
      </c>
      <c r="L155" s="132">
        <v>607052.66</v>
      </c>
      <c r="M155" s="68">
        <f t="shared" si="30"/>
        <v>0.11999649474587257</v>
      </c>
      <c r="O155" s="55">
        <v>5158241.57</v>
      </c>
      <c r="Q155" s="31" t="s">
        <v>315</v>
      </c>
    </row>
    <row r="156" spans="4:17" ht="13.8">
      <c r="D156" s="182" t="s">
        <v>302</v>
      </c>
      <c r="E156" s="131"/>
      <c r="F156" s="182" t="s">
        <v>303</v>
      </c>
      <c r="L156" s="132">
        <v>937.12</v>
      </c>
      <c r="M156" s="68">
        <f t="shared" si="30"/>
        <v>1.8524112085474117E-4</v>
      </c>
      <c r="O156" s="133">
        <v>-15598.68</v>
      </c>
      <c r="Q156" s="31" t="s">
        <v>304</v>
      </c>
    </row>
    <row r="157" spans="4:17" ht="13.8">
      <c r="D157" s="182" t="s">
        <v>305</v>
      </c>
      <c r="E157" s="131"/>
      <c r="F157" s="182" t="s">
        <v>306</v>
      </c>
      <c r="L157" s="132">
        <v>72.22</v>
      </c>
      <c r="M157" s="68">
        <f t="shared" si="30"/>
        <v>1.4275774445246508E-5</v>
      </c>
      <c r="O157" s="134">
        <v>-8457.2199999999993</v>
      </c>
      <c r="Q157" s="31" t="s">
        <v>307</v>
      </c>
    </row>
    <row r="158" spans="4:17" ht="13.8">
      <c r="D158" s="182" t="s">
        <v>308</v>
      </c>
      <c r="E158" s="131"/>
      <c r="F158" s="182" t="s">
        <v>309</v>
      </c>
      <c r="L158" s="132">
        <v>38163.730000000003</v>
      </c>
      <c r="M158" s="68">
        <f t="shared" si="30"/>
        <v>7.5438493695553525E-3</v>
      </c>
      <c r="O158" s="55">
        <f>+O155+O156+O157</f>
        <v>5134185.6700000009</v>
      </c>
      <c r="Q158" s="31" t="s">
        <v>310</v>
      </c>
    </row>
    <row r="159" spans="4:17" ht="13.8">
      <c r="D159" s="182" t="s">
        <v>311</v>
      </c>
      <c r="E159" s="131"/>
      <c r="F159" s="182" t="s">
        <v>312</v>
      </c>
      <c r="L159" s="132">
        <v>7945.96</v>
      </c>
      <c r="M159" s="68">
        <f t="shared" si="30"/>
        <v>1.5706830893236076E-3</v>
      </c>
      <c r="O159" s="133"/>
    </row>
    <row r="160" spans="4:17" ht="13.8">
      <c r="D160" s="182" t="s">
        <v>313</v>
      </c>
      <c r="E160" s="131"/>
      <c r="F160" s="182" t="s">
        <v>314</v>
      </c>
      <c r="L160" s="132">
        <v>65.34</v>
      </c>
      <c r="M160" s="68">
        <f t="shared" si="30"/>
        <v>1.2915800363506049E-5</v>
      </c>
      <c r="O160" s="55">
        <f>+O155</f>
        <v>5158241.57</v>
      </c>
      <c r="Q160" s="31" t="s">
        <v>315</v>
      </c>
    </row>
    <row r="161" spans="4:17" ht="13.8">
      <c r="D161" s="182" t="s">
        <v>316</v>
      </c>
      <c r="E161" s="131"/>
      <c r="F161" s="182" t="s">
        <v>317</v>
      </c>
      <c r="L161" s="132">
        <v>20879</v>
      </c>
      <c r="M161" s="68">
        <f t="shared" si="30"/>
        <v>4.1271655309097453E-3</v>
      </c>
      <c r="O161" s="134">
        <v>-75604.509999999995</v>
      </c>
      <c r="Q161" s="31" t="s">
        <v>318</v>
      </c>
    </row>
    <row r="162" spans="4:17" ht="13.8">
      <c r="D162" s="182" t="s">
        <v>319</v>
      </c>
      <c r="E162" s="131"/>
      <c r="F162" s="182" t="s">
        <v>320</v>
      </c>
      <c r="L162" s="132">
        <v>108397.22</v>
      </c>
      <c r="M162" s="68">
        <f t="shared" si="30"/>
        <v>2.1426949089057928E-2</v>
      </c>
      <c r="O162" s="55">
        <f>+O160+O161</f>
        <v>5082637.0600000005</v>
      </c>
      <c r="Q162" s="31" t="s">
        <v>321</v>
      </c>
    </row>
    <row r="163" spans="4:17" ht="13.8">
      <c r="D163" s="182" t="s">
        <v>322</v>
      </c>
      <c r="E163" s="131"/>
      <c r="F163" s="182" t="s">
        <v>323</v>
      </c>
      <c r="L163" s="132">
        <v>70241.100000000006</v>
      </c>
      <c r="M163" s="68">
        <f t="shared" si="30"/>
        <v>1.3884603993159852E-2</v>
      </c>
      <c r="O163" s="133"/>
    </row>
    <row r="164" spans="4:17" ht="13.8">
      <c r="D164" s="183" t="s">
        <v>324</v>
      </c>
      <c r="E164" s="131"/>
      <c r="F164" s="182" t="s">
        <v>325</v>
      </c>
      <c r="L164" s="132">
        <v>9550.5499999999993</v>
      </c>
      <c r="M164" s="68">
        <f t="shared" si="30"/>
        <v>1.8878634398788289E-3</v>
      </c>
      <c r="O164" s="133"/>
    </row>
    <row r="165" spans="4:17" ht="13.8">
      <c r="D165" s="182" t="s">
        <v>326</v>
      </c>
      <c r="E165" s="131"/>
      <c r="F165" s="182" t="s">
        <v>327</v>
      </c>
      <c r="L165" s="132">
        <v>140785.10999999999</v>
      </c>
      <c r="M165" s="68">
        <f t="shared" si="30"/>
        <v>2.7829084403340049E-2</v>
      </c>
      <c r="O165" s="55">
        <f>+O158</f>
        <v>5134185.6700000009</v>
      </c>
      <c r="Q165" s="31" t="s">
        <v>310</v>
      </c>
    </row>
    <row r="166" spans="4:17" ht="13.8">
      <c r="D166" s="182" t="s">
        <v>328</v>
      </c>
      <c r="E166" s="131"/>
      <c r="F166" s="182" t="s">
        <v>329</v>
      </c>
      <c r="L166" s="132">
        <v>47037.72</v>
      </c>
      <c r="M166" s="68">
        <f t="shared" si="30"/>
        <v>9.2979767535123319E-3</v>
      </c>
      <c r="O166" s="134">
        <v>-75604.509999999995</v>
      </c>
      <c r="Q166" s="31" t="s">
        <v>330</v>
      </c>
    </row>
    <row r="167" spans="4:17" ht="13.8">
      <c r="D167" s="182" t="s">
        <v>331</v>
      </c>
      <c r="E167" s="131"/>
      <c r="F167" s="182" t="s">
        <v>332</v>
      </c>
      <c r="L167" s="132">
        <v>40820.83</v>
      </c>
      <c r="M167" s="68">
        <f t="shared" si="30"/>
        <v>8.0690800574321798E-3</v>
      </c>
      <c r="O167" s="55">
        <f>+O165+O166</f>
        <v>5058581.1600000011</v>
      </c>
    </row>
    <row r="168" spans="4:17" ht="13.8">
      <c r="D168" s="182" t="s">
        <v>333</v>
      </c>
      <c r="E168" s="131"/>
      <c r="F168" s="182" t="s">
        <v>334</v>
      </c>
      <c r="L168" s="132">
        <v>71433.490000000005</v>
      </c>
      <c r="M168" s="68">
        <f t="shared" si="30"/>
        <v>1.4120304501201495E-2</v>
      </c>
      <c r="O168" s="133"/>
    </row>
    <row r="169" spans="4:17" ht="13.8">
      <c r="D169" s="182" t="s">
        <v>335</v>
      </c>
      <c r="E169" s="131"/>
      <c r="F169" s="182" t="s">
        <v>336</v>
      </c>
      <c r="L169" s="132">
        <v>3379.37</v>
      </c>
      <c r="M169" s="68">
        <f t="shared" si="30"/>
        <v>6.6800226927489178E-4</v>
      </c>
      <c r="O169" s="135">
        <f>-K181</f>
        <v>-5058919.9400000004</v>
      </c>
      <c r="Q169" s="31" t="s">
        <v>337</v>
      </c>
    </row>
    <row r="170" spans="4:17" ht="13.8">
      <c r="D170" s="182" t="s">
        <v>338</v>
      </c>
      <c r="E170" s="131"/>
      <c r="F170" s="182" t="s">
        <v>339</v>
      </c>
      <c r="L170" s="132">
        <v>12186.96</v>
      </c>
      <c r="M170" s="68">
        <f t="shared" si="30"/>
        <v>2.4090043219778643E-3</v>
      </c>
      <c r="O170" s="96">
        <f>+O167+O169</f>
        <v>-338.77999999932945</v>
      </c>
      <c r="Q170" s="31" t="s">
        <v>340</v>
      </c>
    </row>
    <row r="171" spans="4:17" ht="13.8">
      <c r="D171" s="182" t="s">
        <v>341</v>
      </c>
      <c r="E171" s="131"/>
      <c r="F171" s="182" t="s">
        <v>342</v>
      </c>
      <c r="L171" s="132">
        <v>73518.91</v>
      </c>
      <c r="M171" s="68">
        <f t="shared" si="30"/>
        <v>1.4532530831076959E-2</v>
      </c>
    </row>
    <row r="172" spans="4:17" ht="13.8">
      <c r="D172" s="182" t="s">
        <v>343</v>
      </c>
      <c r="E172" s="131"/>
      <c r="F172" s="182" t="s">
        <v>344</v>
      </c>
      <c r="L172" s="132">
        <v>175.38</v>
      </c>
      <c r="M172" s="68">
        <f t="shared" si="30"/>
        <v>3.4667478845296766E-5</v>
      </c>
    </row>
    <row r="173" spans="4:17" ht="13.8">
      <c r="D173" s="182" t="s">
        <v>345</v>
      </c>
      <c r="E173" s="131"/>
      <c r="F173" s="182" t="s">
        <v>346</v>
      </c>
      <c r="L173" s="132">
        <v>41672.94</v>
      </c>
      <c r="M173" s="68">
        <f t="shared" si="30"/>
        <v>8.237517196210067E-3</v>
      </c>
    </row>
    <row r="174" spans="4:17" ht="13.8">
      <c r="D174" s="182" t="s">
        <v>347</v>
      </c>
      <c r="E174" s="131"/>
      <c r="F174" s="182" t="s">
        <v>348</v>
      </c>
      <c r="L174" s="132">
        <v>286593.63</v>
      </c>
      <c r="M174" s="68">
        <f t="shared" si="30"/>
        <v>5.6651149533708568E-2</v>
      </c>
    </row>
    <row r="175" spans="4:17" ht="13.8">
      <c r="D175" s="182" t="s">
        <v>349</v>
      </c>
      <c r="E175" s="131"/>
      <c r="F175" s="182" t="s">
        <v>350</v>
      </c>
      <c r="L175" s="132">
        <v>148778.93</v>
      </c>
      <c r="M175" s="68">
        <f t="shared" si="30"/>
        <v>2.9409228010040415E-2</v>
      </c>
    </row>
    <row r="176" spans="4:17" ht="13.8">
      <c r="D176" s="182" t="s">
        <v>351</v>
      </c>
      <c r="E176" s="131"/>
      <c r="F176" s="182" t="s">
        <v>352</v>
      </c>
      <c r="L176" s="132">
        <v>18818.849999999999</v>
      </c>
      <c r="M176" s="68">
        <f t="shared" si="30"/>
        <v>3.7199343383955584E-3</v>
      </c>
    </row>
    <row r="177" spans="4:19" ht="13.8">
      <c r="D177" s="182" t="s">
        <v>353</v>
      </c>
      <c r="E177" s="131"/>
      <c r="F177" s="182" t="s">
        <v>354</v>
      </c>
      <c r="L177" s="132">
        <v>29468.38</v>
      </c>
      <c r="M177" s="68">
        <f t="shared" si="30"/>
        <v>5.8250338707672841E-3</v>
      </c>
    </row>
    <row r="178" spans="4:19" ht="13.8">
      <c r="D178" s="182" t="s">
        <v>355</v>
      </c>
      <c r="E178" s="131"/>
      <c r="F178" s="182" t="s">
        <v>356</v>
      </c>
      <c r="L178" s="132">
        <v>21847.29</v>
      </c>
      <c r="M178" s="68">
        <f t="shared" si="30"/>
        <v>4.3185680459691166E-3</v>
      </c>
    </row>
    <row r="179" spans="4:19" ht="13.8">
      <c r="D179" s="182" t="s">
        <v>357</v>
      </c>
      <c r="E179" s="136"/>
      <c r="F179" s="182" t="s">
        <v>358</v>
      </c>
      <c r="L179" s="132">
        <v>6587.01</v>
      </c>
      <c r="M179" s="68">
        <f t="shared" si="30"/>
        <v>1.3020585575821545E-3</v>
      </c>
    </row>
    <row r="180" spans="4:19" ht="13.8">
      <c r="D180" s="184" t="s">
        <v>359</v>
      </c>
      <c r="E180" s="131"/>
      <c r="F180" s="184" t="s">
        <v>360</v>
      </c>
      <c r="L180" s="132">
        <v>2775.3</v>
      </c>
      <c r="M180" s="68">
        <f t="shared" si="30"/>
        <v>5.4859535887417108E-4</v>
      </c>
      <c r="S180" s="94"/>
    </row>
    <row r="181" spans="4:19" ht="15" customHeight="1">
      <c r="D181" s="26"/>
      <c r="E181" s="49"/>
      <c r="F181" s="49"/>
      <c r="G181" s="26"/>
      <c r="H181" s="49"/>
      <c r="I181" s="49"/>
      <c r="J181" s="49"/>
      <c r="K181" s="386">
        <f>SUM(L139:L180)</f>
        <v>5058919.9400000004</v>
      </c>
      <c r="L181" s="386"/>
      <c r="M181" s="137">
        <f>SUM(M139:M180)</f>
        <v>1</v>
      </c>
    </row>
  </sheetData>
  <mergeCells count="29">
    <mergeCell ref="A3:X3"/>
    <mergeCell ref="A4:X4"/>
    <mergeCell ref="A6:X6"/>
    <mergeCell ref="C8:F8"/>
    <mergeCell ref="H8:J8"/>
    <mergeCell ref="L8:O8"/>
    <mergeCell ref="Q8:Q9"/>
    <mergeCell ref="S8:V8"/>
    <mergeCell ref="X8:X9"/>
    <mergeCell ref="S12:V12"/>
    <mergeCell ref="H13:J13"/>
    <mergeCell ref="S13:T13"/>
    <mergeCell ref="C55:F55"/>
    <mergeCell ref="H55:J55"/>
    <mergeCell ref="L55:O55"/>
    <mergeCell ref="Q55:Q56"/>
    <mergeCell ref="S55:V55"/>
    <mergeCell ref="K181:L181"/>
    <mergeCell ref="X55:X56"/>
    <mergeCell ref="H111:V111"/>
    <mergeCell ref="C113:V113"/>
    <mergeCell ref="K122:L122"/>
    <mergeCell ref="K128:L128"/>
    <mergeCell ref="C102:F102"/>
    <mergeCell ref="H102:J102"/>
    <mergeCell ref="L102:O102"/>
    <mergeCell ref="Q102:Q103"/>
    <mergeCell ref="S102:V102"/>
    <mergeCell ref="X102:X103"/>
  </mergeCells>
  <printOptions horizontalCentered="1"/>
  <pageMargins left="0.25" right="0.25" top="0.75" bottom="0.5" header="0.5" footer="0.5"/>
  <pageSetup scale="71" fitToHeight="3" orientation="landscape" r:id="rId1"/>
  <headerFooter alignWithMargins="0">
    <oddFooter>&amp;RExhibit JW-2
Page &amp;P of &amp;N</oddFooter>
  </headerFooter>
  <rowBreaks count="2" manualBreakCount="2">
    <brk id="54" max="23" man="1"/>
    <brk id="100" max="23" man="1"/>
  </rowBreaks>
  <ignoredErrors>
    <ignoredError sqref="U27 U46" formula="1"/>
    <ignoredError sqref="L117:L121"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view="pageBreakPreview" zoomScale="60" zoomScaleNormal="100" workbookViewId="0">
      <selection activeCell="I8" sqref="I8"/>
    </sheetView>
  </sheetViews>
  <sheetFormatPr defaultColWidth="9.109375" defaultRowHeight="13.2"/>
  <cols>
    <col min="1" max="1" width="3.5546875" style="2" customWidth="1"/>
    <col min="2" max="2" width="9.33203125" style="4" bestFit="1" customWidth="1"/>
    <col min="3" max="3" width="27.109375" style="2" bestFit="1" customWidth="1"/>
    <col min="4" max="5" width="12.109375" style="2" bestFit="1" customWidth="1"/>
    <col min="6" max="6" width="11.109375" style="2" customWidth="1"/>
    <col min="7" max="7" width="11.44140625" style="2" bestFit="1" customWidth="1"/>
    <col min="8" max="8" width="17.33203125" style="2" customWidth="1"/>
    <col min="9" max="9" width="37.44140625" style="2" bestFit="1" customWidth="1"/>
    <col min="10" max="16384" width="9.109375" style="2"/>
  </cols>
  <sheetData>
    <row r="1" spans="1:7">
      <c r="A1" s="375" t="s">
        <v>521</v>
      </c>
      <c r="B1" s="375"/>
      <c r="C1" s="375"/>
      <c r="D1" s="375"/>
      <c r="E1" s="375"/>
      <c r="F1" s="375"/>
      <c r="G1" s="375"/>
    </row>
    <row r="2" spans="1:7">
      <c r="A2" s="375" t="s">
        <v>46</v>
      </c>
      <c r="B2" s="375"/>
      <c r="C2" s="375"/>
      <c r="D2" s="375"/>
      <c r="E2" s="375"/>
      <c r="F2" s="375"/>
      <c r="G2" s="375"/>
    </row>
    <row r="4" spans="1:7" ht="47.25" customHeight="1">
      <c r="B4" s="13" t="s">
        <v>47</v>
      </c>
      <c r="C4" s="14" t="s">
        <v>48</v>
      </c>
      <c r="D4" s="14" t="s">
        <v>49</v>
      </c>
      <c r="E4" s="14" t="s">
        <v>50</v>
      </c>
      <c r="F4" s="14" t="s">
        <v>51</v>
      </c>
      <c r="G4" s="14" t="s">
        <v>52</v>
      </c>
    </row>
    <row r="5" spans="1:7">
      <c r="B5" s="15" t="s">
        <v>11</v>
      </c>
      <c r="C5" s="16">
        <v>1</v>
      </c>
      <c r="D5" s="16">
        <f>C5+1</f>
        <v>2</v>
      </c>
      <c r="E5" s="16">
        <f>D5+1</f>
        <v>3</v>
      </c>
      <c r="F5" s="16">
        <f>E5+1</f>
        <v>4</v>
      </c>
      <c r="G5" s="16">
        <f>F5+1</f>
        <v>5</v>
      </c>
    </row>
    <row r="6" spans="1:7">
      <c r="B6" s="2"/>
      <c r="C6" s="283"/>
      <c r="D6" s="283"/>
      <c r="E6" s="283"/>
      <c r="F6" s="283"/>
      <c r="G6" s="283"/>
    </row>
    <row r="7" spans="1:7">
      <c r="B7" s="362">
        <v>1.01</v>
      </c>
      <c r="C7" s="2" t="s">
        <v>60</v>
      </c>
      <c r="D7" s="8">
        <f>'1.01 FAC'!D31</f>
        <v>-6316641.1600000001</v>
      </c>
      <c r="E7" s="8">
        <f>'1.01 FAC'!F31</f>
        <v>-6311733</v>
      </c>
      <c r="F7" s="8"/>
      <c r="G7" s="7">
        <f>D7-E7+F7</f>
        <v>-4908.160000000149</v>
      </c>
    </row>
    <row r="8" spans="1:7">
      <c r="B8" s="362">
        <v>1.02</v>
      </c>
      <c r="C8" s="2" t="s">
        <v>61</v>
      </c>
      <c r="D8" s="8">
        <f>'1.02 ES'!D31</f>
        <v>-5387555.8200000003</v>
      </c>
      <c r="E8" s="8">
        <f>'1.02 ES'!F31</f>
        <v>-5387556</v>
      </c>
      <c r="F8" s="8"/>
      <c r="G8" s="7">
        <f t="shared" ref="G8:G24" si="0">D8-E8+F8</f>
        <v>0.17999999970197678</v>
      </c>
    </row>
    <row r="9" spans="1:7">
      <c r="B9" s="362">
        <v>1.03</v>
      </c>
      <c r="C9" s="31" t="s">
        <v>541</v>
      </c>
      <c r="D9" s="8"/>
      <c r="E9" s="8">
        <f>'1.03 NonRecur'!E17</f>
        <v>-133158.1275</v>
      </c>
      <c r="F9" s="8"/>
      <c r="G9" s="7">
        <f t="shared" si="0"/>
        <v>133158.1275</v>
      </c>
    </row>
    <row r="10" spans="1:7">
      <c r="B10" s="362">
        <v>1.04</v>
      </c>
      <c r="C10" s="2" t="s">
        <v>429</v>
      </c>
      <c r="D10" s="8"/>
      <c r="E10" s="8">
        <f>'1.04 DonaAdsDues'!N24</f>
        <v>-192048.66</v>
      </c>
      <c r="F10" s="8"/>
      <c r="G10" s="7">
        <f t="shared" si="0"/>
        <v>192048.66</v>
      </c>
    </row>
    <row r="11" spans="1:7">
      <c r="B11" s="362">
        <v>1.05</v>
      </c>
      <c r="C11" s="2" t="s">
        <v>88</v>
      </c>
      <c r="D11" s="8"/>
      <c r="E11" s="8">
        <f>'1.05 401k'!N26</f>
        <v>-17829.309999999998</v>
      </c>
      <c r="F11" s="8"/>
      <c r="G11" s="7">
        <f t="shared" si="0"/>
        <v>17829.309999999998</v>
      </c>
    </row>
    <row r="12" spans="1:7">
      <c r="B12" s="362">
        <v>1.06</v>
      </c>
      <c r="C12" s="2" t="s">
        <v>89</v>
      </c>
      <c r="D12" s="8"/>
      <c r="E12" s="8">
        <f>'1.06 LifeInsur'!I64</f>
        <v>-8097.8555541966489</v>
      </c>
      <c r="F12" s="8"/>
      <c r="G12" s="7">
        <f t="shared" si="0"/>
        <v>8097.8555541966489</v>
      </c>
    </row>
    <row r="13" spans="1:7">
      <c r="B13" s="362">
        <v>1.07</v>
      </c>
      <c r="C13" s="2" t="s">
        <v>90</v>
      </c>
      <c r="D13" s="8"/>
      <c r="E13" s="8">
        <f>'1.07 RC'!D26</f>
        <v>25000</v>
      </c>
      <c r="F13" s="8"/>
      <c r="G13" s="7">
        <f t="shared" si="0"/>
        <v>-25000</v>
      </c>
    </row>
    <row r="14" spans="1:7">
      <c r="B14" s="362">
        <v>1.08</v>
      </c>
      <c r="C14" s="2" t="s">
        <v>85</v>
      </c>
      <c r="D14" s="8"/>
      <c r="E14" s="8">
        <f>'1.08 Interest'!E25</f>
        <v>398879.30999999994</v>
      </c>
      <c r="F14" s="8"/>
      <c r="G14" s="7">
        <f t="shared" si="0"/>
        <v>-398879.30999999994</v>
      </c>
    </row>
    <row r="15" spans="1:7">
      <c r="B15" s="362">
        <v>1.0900000000000001</v>
      </c>
      <c r="C15" s="2" t="s">
        <v>91</v>
      </c>
      <c r="D15" s="8">
        <f>'1.09 YearEndCust'!F49</f>
        <v>248529.13</v>
      </c>
      <c r="E15" s="8">
        <f>'1.09 YearEndCust'!G49</f>
        <v>155949.60999999999</v>
      </c>
      <c r="F15" s="8"/>
      <c r="G15" s="7">
        <f t="shared" si="0"/>
        <v>92579.520000000019</v>
      </c>
    </row>
    <row r="16" spans="1:7">
      <c r="B16" s="362">
        <v>1.1000000000000001</v>
      </c>
      <c r="C16" s="2" t="s">
        <v>54</v>
      </c>
      <c r="D16" s="8"/>
      <c r="E16" s="8">
        <f>'1.10 Wages'!U86</f>
        <v>123165.56299504926</v>
      </c>
      <c r="F16" s="8"/>
      <c r="G16" s="7">
        <f t="shared" si="0"/>
        <v>-123165.56299504926</v>
      </c>
    </row>
    <row r="17" spans="2:9">
      <c r="B17" s="362">
        <v>1.1100000000000001</v>
      </c>
      <c r="C17" s="2" t="s">
        <v>364</v>
      </c>
      <c r="D17" s="8"/>
      <c r="E17" s="8">
        <f>'1.11 Depr'!J44</f>
        <v>144170.85480608902</v>
      </c>
      <c r="F17" s="8"/>
      <c r="G17" s="7">
        <f t="shared" si="0"/>
        <v>-144170.85480608902</v>
      </c>
    </row>
    <row r="18" spans="2:9">
      <c r="B18" s="362">
        <v>1.1200000000000001</v>
      </c>
      <c r="C18" s="31" t="s">
        <v>365</v>
      </c>
      <c r="D18" s="8"/>
      <c r="E18" s="8">
        <f>'1.12 BOD'!H27</f>
        <v>-2702.5599999999977</v>
      </c>
      <c r="F18" s="8"/>
      <c r="G18" s="7">
        <f t="shared" si="0"/>
        <v>2702.5599999999977</v>
      </c>
    </row>
    <row r="19" spans="2:9">
      <c r="B19" s="362">
        <v>1.1299999999999999</v>
      </c>
      <c r="C19" s="2" t="s">
        <v>517</v>
      </c>
      <c r="D19" s="8"/>
      <c r="E19" s="8">
        <f>'1.13 Right of Way'!C14</f>
        <v>440429</v>
      </c>
      <c r="F19" s="8"/>
      <c r="G19" s="7">
        <f t="shared" ref="G19" si="1">D19-E19+F19</f>
        <v>-440429</v>
      </c>
    </row>
    <row r="20" spans="2:9">
      <c r="B20" s="362">
        <v>1.1399999999999999</v>
      </c>
      <c r="C20" s="31" t="s">
        <v>39</v>
      </c>
      <c r="D20" s="8"/>
      <c r="E20" s="8"/>
      <c r="F20" s="8">
        <f>'1.14 G&amp;TCC'!C15</f>
        <v>-1395150</v>
      </c>
      <c r="G20" s="7">
        <f t="shared" si="0"/>
        <v>-1395150</v>
      </c>
    </row>
    <row r="21" spans="2:9" hidden="1">
      <c r="B21" s="284">
        <v>1.2</v>
      </c>
      <c r="C21" s="300" t="s">
        <v>488</v>
      </c>
      <c r="D21" s="8"/>
      <c r="E21" s="8"/>
      <c r="F21" s="8"/>
      <c r="G21" s="7">
        <f t="shared" ref="G21" si="2">D21-E21+F21</f>
        <v>0</v>
      </c>
    </row>
    <row r="22" spans="2:9" hidden="1">
      <c r="B22" s="4">
        <v>1.21</v>
      </c>
      <c r="C22" s="2" t="s">
        <v>488</v>
      </c>
      <c r="D22" s="8"/>
      <c r="E22" s="8"/>
      <c r="F22" s="8"/>
      <c r="G22" s="7">
        <f t="shared" ref="G22" si="3">D22-E22+F22</f>
        <v>0</v>
      </c>
    </row>
    <row r="23" spans="2:9" hidden="1">
      <c r="B23" s="4">
        <v>1.22</v>
      </c>
      <c r="C23" s="2" t="s">
        <v>488</v>
      </c>
      <c r="D23" s="8"/>
      <c r="E23" s="8"/>
      <c r="F23" s="8"/>
      <c r="G23" s="7">
        <f t="shared" si="0"/>
        <v>0</v>
      </c>
    </row>
    <row r="24" spans="2:9" hidden="1">
      <c r="B24" s="4">
        <v>1.23</v>
      </c>
      <c r="C24" s="2" t="s">
        <v>488</v>
      </c>
      <c r="D24" s="8"/>
      <c r="E24" s="8"/>
      <c r="F24" s="8"/>
      <c r="G24" s="7">
        <f t="shared" si="0"/>
        <v>0</v>
      </c>
    </row>
    <row r="25" spans="2:9" s="288" customFormat="1" ht="21.75" customHeight="1" thickBot="1">
      <c r="B25" s="285"/>
      <c r="C25" s="286" t="s">
        <v>53</v>
      </c>
      <c r="D25" s="287">
        <f>SUM(D7:D24)</f>
        <v>-11455667.85</v>
      </c>
      <c r="E25" s="287">
        <f>SUM(E7:E24)</f>
        <v>-10765531.175253058</v>
      </c>
      <c r="F25" s="287">
        <f>SUM(F7:F24)</f>
        <v>-1395150</v>
      </c>
      <c r="G25" s="287">
        <f>SUM(G7:G24)</f>
        <v>-2085286.674746942</v>
      </c>
      <c r="I25" s="289"/>
    </row>
    <row r="26" spans="2:9" ht="13.8" thickTop="1">
      <c r="D26" s="251"/>
      <c r="E26" s="251"/>
      <c r="F26" s="251"/>
      <c r="G26" s="7"/>
    </row>
    <row r="27" spans="2:9">
      <c r="D27" s="7"/>
      <c r="E27" s="7"/>
      <c r="F27" s="7"/>
      <c r="G27" s="7"/>
    </row>
    <row r="28" spans="2:9">
      <c r="D28" s="7"/>
      <c r="E28" s="7"/>
      <c r="F28" s="7"/>
      <c r="G28" s="7"/>
    </row>
    <row r="29" spans="2:9">
      <c r="C29" s="290" t="s">
        <v>447</v>
      </c>
      <c r="E29" s="291"/>
    </row>
    <row r="30" spans="2:9">
      <c r="C30" s="2" t="s">
        <v>448</v>
      </c>
      <c r="D30" s="291">
        <f>D25</f>
        <v>-11455667.85</v>
      </c>
      <c r="E30" s="291">
        <f t="shared" ref="E30:G30" si="4">E25</f>
        <v>-10765531.175253058</v>
      </c>
      <c r="F30" s="291">
        <f t="shared" si="4"/>
        <v>-1395150</v>
      </c>
      <c r="G30" s="291">
        <f t="shared" si="4"/>
        <v>-2085286.674746942</v>
      </c>
    </row>
    <row r="31" spans="2:9">
      <c r="C31" s="2" t="s">
        <v>449</v>
      </c>
      <c r="D31" s="291">
        <f>RevReq!D12</f>
        <v>-11455667.85</v>
      </c>
      <c r="E31" s="291">
        <f>RevReq!D30</f>
        <v>-10765531.175253058</v>
      </c>
      <c r="F31" s="291">
        <f>SUM(RevReq!D34:D38)</f>
        <v>-1395150</v>
      </c>
      <c r="G31" s="291">
        <f>RevReq!D40</f>
        <v>-2085286.6747469418</v>
      </c>
    </row>
    <row r="32" spans="2:9">
      <c r="C32" s="2" t="s">
        <v>450</v>
      </c>
      <c r="D32" s="291">
        <f>'Adj IS'!R11</f>
        <v>-11455667.85</v>
      </c>
      <c r="E32" s="291">
        <f>'Adj IS'!R23+SUM('Adj IS'!R25:R29)</f>
        <v>-10765531.17525306</v>
      </c>
      <c r="F32" s="291">
        <f>'Adj IS'!R38</f>
        <v>-1395150</v>
      </c>
      <c r="G32" s="291">
        <f>'Adj IS'!R40</f>
        <v>-2085286.674746942</v>
      </c>
    </row>
    <row r="34" spans="3:7">
      <c r="C34" s="2" t="s">
        <v>92</v>
      </c>
      <c r="D34" s="292">
        <f>D30-D31</f>
        <v>0</v>
      </c>
      <c r="E34" s="293">
        <f t="shared" ref="E34:G34" si="5">E30-E31</f>
        <v>0</v>
      </c>
      <c r="F34" s="293">
        <f t="shared" si="5"/>
        <v>0</v>
      </c>
      <c r="G34" s="294">
        <f t="shared" si="5"/>
        <v>0</v>
      </c>
    </row>
    <row r="35" spans="3:7">
      <c r="C35" s="2" t="s">
        <v>92</v>
      </c>
      <c r="D35" s="295">
        <f>D30-D32</f>
        <v>0</v>
      </c>
      <c r="E35" s="252">
        <f t="shared" ref="E35:G35" si="6">E30-E32</f>
        <v>0</v>
      </c>
      <c r="F35" s="252">
        <f t="shared" si="6"/>
        <v>0</v>
      </c>
      <c r="G35" s="296">
        <f t="shared" si="6"/>
        <v>0</v>
      </c>
    </row>
    <row r="43" spans="3:7">
      <c r="F43" s="291"/>
    </row>
    <row r="45" spans="3:7">
      <c r="D45" s="291"/>
      <c r="E45" s="291"/>
      <c r="F45" s="291"/>
    </row>
    <row r="46" spans="3:7">
      <c r="D46" s="291"/>
      <c r="E46" s="291"/>
      <c r="F46" s="291"/>
    </row>
  </sheetData>
  <mergeCells count="2">
    <mergeCell ref="A1:G1"/>
    <mergeCell ref="A2:G2"/>
  </mergeCells>
  <printOptions horizontalCentered="1"/>
  <pageMargins left="0.7" right="0.7" top="0.75" bottom="0.75" header="0.3" footer="0.3"/>
  <pageSetup orientation="portrait" r:id="rId1"/>
  <headerFooter>
    <oddFooter>&amp;RExhibit JW-2
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U26"/>
  <sheetViews>
    <sheetView zoomScaleNormal="100" workbookViewId="0">
      <selection activeCell="H23" sqref="H23"/>
    </sheetView>
  </sheetViews>
  <sheetFormatPr defaultColWidth="9.109375" defaultRowHeight="13.2"/>
  <cols>
    <col min="1" max="1" width="4" style="2" customWidth="1"/>
    <col min="2" max="2" width="48" style="2" customWidth="1"/>
    <col min="3" max="3" width="11.33203125" style="2" bestFit="1" customWidth="1"/>
    <col min="4" max="4" width="12.33203125" style="2" bestFit="1" customWidth="1"/>
    <col min="5" max="5" width="13.33203125" style="2" customWidth="1"/>
    <col min="6" max="6" width="9" style="2" bestFit="1" customWidth="1"/>
    <col min="7" max="7" width="12.33203125" style="2" bestFit="1" customWidth="1"/>
    <col min="8" max="8" width="15" style="2" customWidth="1"/>
    <col min="9" max="12" width="18.109375" style="2" customWidth="1"/>
    <col min="13" max="13" width="10.5546875" style="2" bestFit="1" customWidth="1"/>
    <col min="14" max="16384" width="9.109375" style="2"/>
  </cols>
  <sheetData>
    <row r="1" spans="1:15" ht="15" customHeight="1">
      <c r="E1" s="20"/>
      <c r="F1" s="20"/>
      <c r="G1" s="20"/>
      <c r="H1" s="20" t="s">
        <v>518</v>
      </c>
    </row>
    <row r="2" spans="1:15" ht="10.5" customHeight="1">
      <c r="G2" s="20"/>
      <c r="H2" s="20"/>
    </row>
    <row r="3" spans="1:15">
      <c r="G3" s="20"/>
      <c r="H3" s="20"/>
    </row>
    <row r="4" spans="1:15">
      <c r="B4" s="377" t="s">
        <v>0</v>
      </c>
      <c r="C4" s="377"/>
      <c r="D4" s="377"/>
      <c r="E4" s="377"/>
      <c r="F4" s="377"/>
      <c r="G4" s="377"/>
      <c r="H4" s="377"/>
      <c r="I4" s="193"/>
      <c r="J4" s="193"/>
      <c r="K4" s="193"/>
      <c r="L4" s="193"/>
      <c r="M4" s="193"/>
      <c r="N4" s="193"/>
      <c r="O4" s="193"/>
    </row>
    <row r="5" spans="1:15">
      <c r="B5" s="377" t="s">
        <v>2</v>
      </c>
      <c r="C5" s="377"/>
      <c r="D5" s="377"/>
      <c r="E5" s="377"/>
      <c r="F5" s="377"/>
      <c r="G5" s="377"/>
      <c r="H5" s="377"/>
      <c r="I5" s="193"/>
      <c r="J5" s="193"/>
      <c r="K5" s="193"/>
      <c r="L5" s="193"/>
    </row>
    <row r="7" spans="1:15" s="21" customFormat="1" ht="15" customHeight="1">
      <c r="B7" s="378" t="s">
        <v>491</v>
      </c>
      <c r="C7" s="378"/>
      <c r="D7" s="378"/>
      <c r="E7" s="378"/>
      <c r="F7" s="378"/>
      <c r="G7" s="378"/>
      <c r="H7" s="378"/>
      <c r="I7" s="88"/>
      <c r="J7" s="88"/>
      <c r="K7" s="88"/>
      <c r="L7" s="88"/>
    </row>
    <row r="10" spans="1:15">
      <c r="H10" s="198"/>
      <c r="I10" s="198"/>
      <c r="J10" s="198"/>
      <c r="K10" s="198"/>
      <c r="L10" s="198"/>
    </row>
    <row r="11" spans="1:15">
      <c r="C11" s="1" t="s">
        <v>492</v>
      </c>
      <c r="D11" s="1" t="s">
        <v>493</v>
      </c>
      <c r="E11" s="1" t="s">
        <v>494</v>
      </c>
      <c r="F11" s="1" t="s">
        <v>495</v>
      </c>
      <c r="G11" s="1" t="s">
        <v>496</v>
      </c>
      <c r="H11" s="1" t="s">
        <v>497</v>
      </c>
      <c r="I11" s="201"/>
      <c r="J11" s="201"/>
      <c r="K11" s="201"/>
      <c r="L11" s="201"/>
    </row>
    <row r="12" spans="1:15">
      <c r="H12" s="201" t="s">
        <v>510</v>
      </c>
      <c r="I12" s="203"/>
      <c r="J12" s="203"/>
      <c r="K12" s="203"/>
      <c r="L12" s="203"/>
      <c r="M12" s="203"/>
    </row>
    <row r="13" spans="1:15" ht="30" customHeight="1">
      <c r="A13" s="225" t="s">
        <v>11</v>
      </c>
      <c r="B13" s="225" t="s">
        <v>506</v>
      </c>
      <c r="C13" s="225" t="s">
        <v>498</v>
      </c>
      <c r="D13" s="226" t="s">
        <v>499</v>
      </c>
      <c r="E13" s="226" t="s">
        <v>500</v>
      </c>
      <c r="F13" s="226" t="s">
        <v>501</v>
      </c>
      <c r="G13" s="226" t="s">
        <v>502</v>
      </c>
      <c r="H13" s="226" t="s">
        <v>128</v>
      </c>
      <c r="I13" s="203"/>
      <c r="J13" s="203"/>
      <c r="K13" s="203"/>
      <c r="L13" s="203"/>
    </row>
    <row r="14" spans="1:15">
      <c r="A14" s="196">
        <v>1</v>
      </c>
      <c r="B14" s="196" t="s">
        <v>503</v>
      </c>
      <c r="C14" s="25">
        <v>22013</v>
      </c>
      <c r="D14" s="232">
        <v>413531.2</v>
      </c>
      <c r="E14" s="233">
        <f>C14+D14</f>
        <v>435544.2</v>
      </c>
      <c r="F14" s="227">
        <v>0.12</v>
      </c>
      <c r="G14" s="233">
        <f>F14*E14</f>
        <v>52265.303999999996</v>
      </c>
      <c r="H14" s="33">
        <f>C14-G14</f>
        <v>-30252.303999999996</v>
      </c>
      <c r="I14" s="203"/>
      <c r="J14" s="203"/>
      <c r="K14" s="203"/>
      <c r="L14" s="203"/>
    </row>
    <row r="15" spans="1:15">
      <c r="A15" s="196">
        <f>A14+1</f>
        <v>2</v>
      </c>
      <c r="B15" s="196" t="s">
        <v>504</v>
      </c>
      <c r="C15" s="234">
        <v>39971</v>
      </c>
      <c r="D15" s="232">
        <v>362500.8</v>
      </c>
      <c r="E15" s="233">
        <f>C15+D15</f>
        <v>402471.8</v>
      </c>
      <c r="F15" s="227">
        <v>0.12</v>
      </c>
      <c r="G15" s="233">
        <f>F15*E15</f>
        <v>48296.615999999995</v>
      </c>
      <c r="H15" s="33">
        <f>C15-G15</f>
        <v>-8325.6159999999945</v>
      </c>
      <c r="I15" s="203"/>
      <c r="J15" s="203"/>
      <c r="K15" s="203"/>
      <c r="L15" s="203"/>
    </row>
    <row r="16" spans="1:15">
      <c r="A16" s="196">
        <f t="shared" ref="A16:A21" si="0">A15+1</f>
        <v>3</v>
      </c>
      <c r="B16" s="9" t="s">
        <v>93</v>
      </c>
      <c r="C16" s="235">
        <f>SUM(C14:C15)</f>
        <v>61984</v>
      </c>
      <c r="D16" s="235">
        <f t="shared" ref="D16:H16" si="1">SUM(D14:D15)</f>
        <v>776032</v>
      </c>
      <c r="E16" s="235">
        <f t="shared" si="1"/>
        <v>838016</v>
      </c>
      <c r="F16" s="231"/>
      <c r="G16" s="235">
        <f t="shared" si="1"/>
        <v>100561.91999999998</v>
      </c>
      <c r="H16" s="235">
        <f t="shared" si="1"/>
        <v>-38577.919999999991</v>
      </c>
      <c r="I16" s="203"/>
      <c r="J16" s="203"/>
      <c r="K16" s="203"/>
      <c r="L16" s="203"/>
    </row>
    <row r="17" spans="1:21">
      <c r="A17" s="196">
        <f t="shared" si="0"/>
        <v>4</v>
      </c>
      <c r="G17" s="33"/>
      <c r="H17" s="236"/>
      <c r="I17" s="203"/>
      <c r="J17" s="203"/>
      <c r="K17" s="203"/>
      <c r="L17" s="203"/>
    </row>
    <row r="18" spans="1:21">
      <c r="A18" s="196">
        <f t="shared" si="0"/>
        <v>5</v>
      </c>
      <c r="B18" s="2" t="s">
        <v>507</v>
      </c>
      <c r="F18" s="229">
        <f>'1.xx Wages'!M122</f>
        <v>0.53768550446758012</v>
      </c>
      <c r="G18" s="33"/>
      <c r="H18" s="33">
        <f>F18*H16</f>
        <v>-20742.788376509943</v>
      </c>
      <c r="I18" s="203"/>
      <c r="J18" s="203"/>
      <c r="K18" s="203"/>
      <c r="L18" s="203"/>
    </row>
    <row r="19" spans="1:21">
      <c r="A19" s="196">
        <f t="shared" si="0"/>
        <v>6</v>
      </c>
      <c r="B19" s="2" t="s">
        <v>508</v>
      </c>
      <c r="F19" s="229">
        <f>'1.xx Wages'!M124</f>
        <v>0.46231449553241988</v>
      </c>
      <c r="G19" s="33"/>
      <c r="H19" s="33">
        <f>F19*H16</f>
        <v>-17835.131623490048</v>
      </c>
      <c r="I19" s="203"/>
      <c r="J19" s="203"/>
      <c r="K19" s="203"/>
      <c r="L19" s="203"/>
    </row>
    <row r="20" spans="1:21">
      <c r="A20" s="196">
        <f t="shared" si="0"/>
        <v>7</v>
      </c>
      <c r="F20" s="230">
        <f>SUM(F18:F19)</f>
        <v>1</v>
      </c>
      <c r="G20" s="33"/>
      <c r="H20" s="33"/>
      <c r="I20" s="203"/>
      <c r="J20" s="203"/>
      <c r="K20" s="203"/>
      <c r="L20" s="203"/>
    </row>
    <row r="21" spans="1:21">
      <c r="A21" s="196">
        <f t="shared" si="0"/>
        <v>8</v>
      </c>
      <c r="B21" s="2" t="s">
        <v>509</v>
      </c>
      <c r="G21" s="33"/>
      <c r="H21" s="237">
        <f>H18</f>
        <v>-20742.788376509943</v>
      </c>
      <c r="I21" s="203"/>
      <c r="J21" s="203"/>
      <c r="K21" s="203"/>
      <c r="L21" s="203"/>
    </row>
    <row r="22" spans="1:21">
      <c r="H22" s="228"/>
      <c r="I22" s="203"/>
      <c r="J22" s="203"/>
      <c r="K22" s="203"/>
      <c r="L22" s="203"/>
    </row>
    <row r="23" spans="1:21">
      <c r="H23" s="228"/>
      <c r="I23" s="203"/>
      <c r="J23" s="203"/>
      <c r="K23" s="203"/>
      <c r="L23" s="203"/>
    </row>
    <row r="24" spans="1:21" ht="12.75" customHeight="1">
      <c r="B24" s="383" t="s">
        <v>505</v>
      </c>
      <c r="C24" s="383"/>
      <c r="D24" s="383"/>
      <c r="E24" s="383"/>
      <c r="F24" s="383"/>
      <c r="G24" s="383"/>
      <c r="H24" s="383"/>
      <c r="I24" s="45"/>
      <c r="J24" s="45"/>
      <c r="K24" s="45"/>
      <c r="L24" s="45"/>
      <c r="M24" s="45"/>
      <c r="N24" s="45"/>
      <c r="O24" s="45"/>
      <c r="P24" s="45"/>
      <c r="Q24" s="45"/>
      <c r="R24" s="45"/>
      <c r="S24" s="45"/>
      <c r="T24" s="45"/>
      <c r="U24" s="45"/>
    </row>
    <row r="26" spans="1:21" ht="81.75" customHeight="1">
      <c r="B26" s="379" t="s">
        <v>511</v>
      </c>
      <c r="C26" s="379"/>
      <c r="D26" s="379"/>
      <c r="E26" s="379"/>
      <c r="F26" s="379"/>
      <c r="G26" s="379"/>
      <c r="H26" s="379"/>
      <c r="I26" s="224"/>
      <c r="J26" s="224"/>
      <c r="K26" s="224"/>
      <c r="L26" s="224"/>
    </row>
  </sheetData>
  <mergeCells count="5">
    <mergeCell ref="B4:H4"/>
    <mergeCell ref="B5:H5"/>
    <mergeCell ref="B7:H7"/>
    <mergeCell ref="B26:H26"/>
    <mergeCell ref="B24:H24"/>
  </mergeCells>
  <printOptions horizontalCentered="1"/>
  <pageMargins left="0.7" right="0.7" top="0.75" bottom="0.75" header="0.3" footer="0.3"/>
  <pageSetup orientation="landscape" r:id="rId1"/>
  <headerFooter>
    <oddFooter>&amp;RExhibit JW-2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9"/>
  <sheetViews>
    <sheetView view="pageBreakPreview" zoomScale="60" zoomScaleNormal="75" workbookViewId="0">
      <selection activeCell="J16" sqref="J16"/>
    </sheetView>
  </sheetViews>
  <sheetFormatPr defaultColWidth="9.109375" defaultRowHeight="13.8"/>
  <cols>
    <col min="1" max="1" width="9.109375" style="175"/>
    <col min="2" max="2" width="1.5546875" style="175" customWidth="1"/>
    <col min="3" max="3" width="38.44140625" style="173" bestFit="1" customWidth="1"/>
    <col min="4" max="4" width="15.5546875" style="190" bestFit="1" customWidth="1"/>
    <col min="5" max="5" width="17" style="191" customWidth="1"/>
    <col min="6" max="6" width="19.6640625" style="173" customWidth="1"/>
    <col min="7" max="7" width="4.5546875" style="173" customWidth="1"/>
    <col min="8" max="8" width="13.44140625" style="173" bestFit="1" customWidth="1"/>
    <col min="9" max="9" width="5.88671875" style="173" customWidth="1"/>
    <col min="10" max="16384" width="9.109375" style="173"/>
  </cols>
  <sheetData>
    <row r="1" spans="1:7">
      <c r="A1" s="106" t="s">
        <v>521</v>
      </c>
      <c r="B1" s="162"/>
      <c r="C1" s="162"/>
      <c r="D1" s="162"/>
      <c r="E1" s="162"/>
      <c r="F1" s="162"/>
      <c r="G1" s="29"/>
    </row>
    <row r="2" spans="1:7">
      <c r="A2" s="29" t="s">
        <v>367</v>
      </c>
      <c r="B2" s="162"/>
      <c r="C2" s="162"/>
      <c r="D2" s="162"/>
      <c r="E2" s="162"/>
      <c r="F2" s="162"/>
      <c r="G2" s="29"/>
    </row>
    <row r="3" spans="1:7">
      <c r="A3" s="29"/>
      <c r="B3" s="29"/>
      <c r="C3" s="29"/>
      <c r="D3" s="106"/>
      <c r="E3" s="144"/>
      <c r="F3" s="29"/>
      <c r="G3" s="29"/>
    </row>
    <row r="4" spans="1:7">
      <c r="A4" s="4"/>
      <c r="B4" s="4"/>
      <c r="C4" s="2"/>
      <c r="D4" s="89"/>
      <c r="E4" s="145"/>
      <c r="F4" s="1"/>
      <c r="G4" s="3"/>
    </row>
    <row r="5" spans="1:7">
      <c r="A5" s="1" t="s">
        <v>7</v>
      </c>
      <c r="B5" s="1"/>
      <c r="C5" s="1" t="s">
        <v>8</v>
      </c>
      <c r="D5" s="89" t="s">
        <v>9</v>
      </c>
      <c r="E5" s="145" t="s">
        <v>368</v>
      </c>
      <c r="F5" s="1" t="s">
        <v>369</v>
      </c>
      <c r="G5" s="3"/>
    </row>
    <row r="6" spans="1:7" s="178" customFormat="1">
      <c r="A6" s="5" t="s">
        <v>11</v>
      </c>
      <c r="B6" s="5"/>
      <c r="C6" s="6">
        <v>1</v>
      </c>
      <c r="D6" s="6">
        <f>C6+1</f>
        <v>2</v>
      </c>
      <c r="E6" s="6">
        <f>D6+1</f>
        <v>3</v>
      </c>
      <c r="F6" s="6" t="s">
        <v>12</v>
      </c>
    </row>
    <row r="7" spans="1:7">
      <c r="A7" s="4">
        <v>1</v>
      </c>
      <c r="B7" s="146" t="s">
        <v>370</v>
      </c>
      <c r="C7" s="2"/>
      <c r="D7" s="31"/>
      <c r="E7" s="7"/>
      <c r="F7" s="2"/>
    </row>
    <row r="8" spans="1:7">
      <c r="A8" s="4">
        <f>A7+1</f>
        <v>2</v>
      </c>
      <c r="B8" s="4"/>
      <c r="C8" s="2" t="s">
        <v>371</v>
      </c>
      <c r="D8" s="147">
        <v>159055260</v>
      </c>
      <c r="E8" s="147">
        <v>0</v>
      </c>
      <c r="F8" s="147">
        <f>D8+E8</f>
        <v>159055260</v>
      </c>
    </row>
    <row r="9" spans="1:7">
      <c r="A9" s="4">
        <f t="shared" ref="A9:A64" si="0">A8+1</f>
        <v>3</v>
      </c>
      <c r="B9" s="4"/>
      <c r="C9" s="2" t="s">
        <v>372</v>
      </c>
      <c r="D9" s="147">
        <v>1671256</v>
      </c>
      <c r="E9" s="147">
        <v>0</v>
      </c>
      <c r="F9" s="147">
        <f>D9+E9</f>
        <v>1671256</v>
      </c>
    </row>
    <row r="10" spans="1:7">
      <c r="A10" s="4">
        <f t="shared" si="0"/>
        <v>4</v>
      </c>
      <c r="B10" s="4"/>
      <c r="C10" s="2" t="s">
        <v>373</v>
      </c>
      <c r="D10" s="147">
        <f>D8+D9</f>
        <v>160726516</v>
      </c>
      <c r="E10" s="147">
        <v>0</v>
      </c>
      <c r="F10" s="147">
        <f>D10+E10</f>
        <v>160726516</v>
      </c>
    </row>
    <row r="11" spans="1:7">
      <c r="A11" s="4">
        <f t="shared" si="0"/>
        <v>5</v>
      </c>
      <c r="B11" s="4"/>
      <c r="C11" s="2" t="s">
        <v>374</v>
      </c>
      <c r="D11" s="147">
        <v>-66201524</v>
      </c>
      <c r="E11" s="147">
        <v>0</v>
      </c>
      <c r="F11" s="147">
        <f>D11+E11</f>
        <v>-66201524</v>
      </c>
    </row>
    <row r="12" spans="1:7">
      <c r="A12" s="4">
        <f t="shared" si="0"/>
        <v>6</v>
      </c>
      <c r="B12" s="4"/>
      <c r="C12" s="9" t="s">
        <v>375</v>
      </c>
      <c r="D12" s="148">
        <f>SUM(D10:D11)</f>
        <v>94524992</v>
      </c>
      <c r="E12" s="148">
        <f t="shared" ref="E12:F12" si="1">SUM(E10:E11)</f>
        <v>0</v>
      </c>
      <c r="F12" s="148">
        <f t="shared" si="1"/>
        <v>94524992</v>
      </c>
    </row>
    <row r="13" spans="1:7">
      <c r="A13" s="4">
        <f t="shared" si="0"/>
        <v>7</v>
      </c>
      <c r="B13" s="4"/>
      <c r="C13" s="2"/>
      <c r="D13" s="147"/>
      <c r="E13" s="147"/>
      <c r="F13" s="147"/>
    </row>
    <row r="14" spans="1:7">
      <c r="A14" s="4">
        <f t="shared" si="0"/>
        <v>8</v>
      </c>
      <c r="B14" s="4"/>
      <c r="C14" s="2" t="s">
        <v>376</v>
      </c>
      <c r="D14" s="147">
        <v>1685964</v>
      </c>
      <c r="E14" s="147">
        <v>0</v>
      </c>
      <c r="F14" s="147">
        <f>D14+E14</f>
        <v>1685964</v>
      </c>
    </row>
    <row r="15" spans="1:7">
      <c r="A15" s="4">
        <f t="shared" si="0"/>
        <v>9</v>
      </c>
      <c r="B15" s="4"/>
      <c r="C15" s="2" t="s">
        <v>377</v>
      </c>
      <c r="D15" s="147">
        <v>0</v>
      </c>
      <c r="E15" s="147">
        <v>0</v>
      </c>
      <c r="F15" s="147">
        <f>D15+E15</f>
        <v>0</v>
      </c>
    </row>
    <row r="16" spans="1:7">
      <c r="A16" s="4">
        <f t="shared" si="0"/>
        <v>10</v>
      </c>
      <c r="B16" s="4"/>
      <c r="C16" s="2" t="s">
        <v>378</v>
      </c>
      <c r="D16" s="147">
        <v>1752880</v>
      </c>
      <c r="E16" s="147">
        <v>0</v>
      </c>
      <c r="F16" s="147">
        <f>D16+E16</f>
        <v>1752880</v>
      </c>
    </row>
    <row r="17" spans="1:6">
      <c r="A17" s="4">
        <f t="shared" si="0"/>
        <v>11</v>
      </c>
      <c r="B17" s="4"/>
      <c r="C17" s="2" t="s">
        <v>379</v>
      </c>
      <c r="D17" s="147">
        <v>0</v>
      </c>
      <c r="E17" s="147">
        <v>0</v>
      </c>
      <c r="F17" s="147">
        <f>D17+E17</f>
        <v>0</v>
      </c>
    </row>
    <row r="18" spans="1:6">
      <c r="A18" s="4">
        <f t="shared" si="0"/>
        <v>12</v>
      </c>
      <c r="B18" s="4"/>
      <c r="C18" s="9" t="s">
        <v>380</v>
      </c>
      <c r="D18" s="148">
        <f>SUM(D14:D17)</f>
        <v>3438844</v>
      </c>
      <c r="E18" s="148">
        <f t="shared" ref="E18:F18" si="2">SUM(E14:E17)</f>
        <v>0</v>
      </c>
      <c r="F18" s="148">
        <f t="shared" si="2"/>
        <v>3438844</v>
      </c>
    </row>
    <row r="19" spans="1:6">
      <c r="A19" s="4">
        <f t="shared" si="0"/>
        <v>13</v>
      </c>
      <c r="B19" s="4"/>
      <c r="C19" s="2"/>
      <c r="D19" s="147"/>
      <c r="E19" s="147"/>
      <c r="F19" s="147"/>
    </row>
    <row r="20" spans="1:6">
      <c r="A20" s="4">
        <f t="shared" si="0"/>
        <v>14</v>
      </c>
      <c r="B20" s="4"/>
      <c r="C20" s="2" t="s">
        <v>381</v>
      </c>
      <c r="D20" s="147">
        <v>2009182</v>
      </c>
      <c r="E20" s="147">
        <v>0</v>
      </c>
      <c r="F20" s="147">
        <f t="shared" ref="F20:F29" si="3">D20+E20</f>
        <v>2009182</v>
      </c>
    </row>
    <row r="21" spans="1:6">
      <c r="A21" s="4">
        <f t="shared" si="0"/>
        <v>15</v>
      </c>
      <c r="B21" s="4"/>
      <c r="C21" s="2" t="s">
        <v>382</v>
      </c>
      <c r="D21" s="147">
        <v>0</v>
      </c>
      <c r="E21" s="147">
        <v>0</v>
      </c>
      <c r="F21" s="147">
        <f t="shared" si="3"/>
        <v>0</v>
      </c>
    </row>
    <row r="22" spans="1:6">
      <c r="A22" s="4">
        <f t="shared" si="0"/>
        <v>16</v>
      </c>
      <c r="B22" s="4"/>
      <c r="C22" s="2" t="s">
        <v>383</v>
      </c>
      <c r="D22" s="147">
        <v>0</v>
      </c>
      <c r="E22" s="147">
        <v>0</v>
      </c>
      <c r="F22" s="147">
        <f t="shared" si="3"/>
        <v>0</v>
      </c>
    </row>
    <row r="23" spans="1:6">
      <c r="A23" s="4">
        <f t="shared" si="0"/>
        <v>17</v>
      </c>
      <c r="B23" s="4"/>
      <c r="C23" s="2" t="s">
        <v>384</v>
      </c>
      <c r="D23" s="147">
        <v>0</v>
      </c>
      <c r="E23" s="147">
        <v>0</v>
      </c>
      <c r="F23" s="147">
        <f t="shared" si="3"/>
        <v>0</v>
      </c>
    </row>
    <row r="24" spans="1:6">
      <c r="A24" s="4">
        <f t="shared" si="0"/>
        <v>18</v>
      </c>
      <c r="B24" s="4"/>
      <c r="C24" s="2" t="s">
        <v>385</v>
      </c>
      <c r="D24" s="147">
        <v>4649049</v>
      </c>
      <c r="E24" s="147">
        <v>0</v>
      </c>
      <c r="F24" s="147">
        <f t="shared" si="3"/>
        <v>4649049</v>
      </c>
    </row>
    <row r="25" spans="1:6">
      <c r="A25" s="4">
        <f t="shared" si="0"/>
        <v>19</v>
      </c>
      <c r="B25" s="4"/>
      <c r="C25" s="2" t="s">
        <v>386</v>
      </c>
      <c r="D25" s="147">
        <v>484840</v>
      </c>
      <c r="E25" s="147">
        <v>0</v>
      </c>
      <c r="F25" s="147">
        <f t="shared" si="3"/>
        <v>484840</v>
      </c>
    </row>
    <row r="26" spans="1:6">
      <c r="A26" s="4">
        <f t="shared" si="0"/>
        <v>20</v>
      </c>
      <c r="B26" s="4"/>
      <c r="C26" s="2" t="s">
        <v>387</v>
      </c>
      <c r="D26" s="149">
        <v>0</v>
      </c>
      <c r="E26" s="147">
        <v>0</v>
      </c>
      <c r="F26" s="147">
        <f t="shared" si="3"/>
        <v>0</v>
      </c>
    </row>
    <row r="27" spans="1:6">
      <c r="A27" s="4">
        <f t="shared" si="0"/>
        <v>21</v>
      </c>
      <c r="B27" s="4"/>
      <c r="C27" s="2" t="s">
        <v>388</v>
      </c>
      <c r="D27" s="147">
        <v>2179335</v>
      </c>
      <c r="E27" s="147">
        <v>0</v>
      </c>
      <c r="F27" s="147">
        <f t="shared" si="3"/>
        <v>2179335</v>
      </c>
    </row>
    <row r="28" spans="1:6">
      <c r="A28" s="4">
        <f t="shared" si="0"/>
        <v>22</v>
      </c>
      <c r="B28" s="4"/>
      <c r="C28" s="2" t="s">
        <v>389</v>
      </c>
      <c r="D28" s="147">
        <v>218013</v>
      </c>
      <c r="E28" s="147">
        <v>0</v>
      </c>
      <c r="F28" s="147">
        <f t="shared" si="3"/>
        <v>218013</v>
      </c>
    </row>
    <row r="29" spans="1:6">
      <c r="A29" s="4">
        <f t="shared" si="0"/>
        <v>23</v>
      </c>
      <c r="B29" s="4"/>
      <c r="C29" s="2" t="s">
        <v>390</v>
      </c>
      <c r="D29" s="147">
        <v>4215277</v>
      </c>
      <c r="E29" s="147">
        <v>0</v>
      </c>
      <c r="F29" s="147">
        <f t="shared" si="3"/>
        <v>4215277</v>
      </c>
    </row>
    <row r="30" spans="1:6">
      <c r="A30" s="4">
        <f t="shared" si="0"/>
        <v>24</v>
      </c>
      <c r="B30" s="4"/>
      <c r="C30" s="9" t="s">
        <v>391</v>
      </c>
      <c r="D30" s="148">
        <f>SUM(D20:D29)</f>
        <v>13755696</v>
      </c>
      <c r="E30" s="148">
        <f t="shared" ref="E30:F30" si="4">SUM(E20:E29)</f>
        <v>0</v>
      </c>
      <c r="F30" s="148">
        <f t="shared" si="4"/>
        <v>13755696</v>
      </c>
    </row>
    <row r="31" spans="1:6">
      <c r="A31" s="4">
        <f t="shared" si="0"/>
        <v>25</v>
      </c>
      <c r="B31" s="4"/>
      <c r="C31" s="2"/>
      <c r="D31" s="147"/>
      <c r="E31" s="147"/>
      <c r="F31" s="147"/>
    </row>
    <row r="32" spans="1:6">
      <c r="A32" s="4">
        <f t="shared" si="0"/>
        <v>26</v>
      </c>
      <c r="B32" s="4"/>
      <c r="C32" s="2" t="s">
        <v>392</v>
      </c>
      <c r="D32" s="147">
        <v>0</v>
      </c>
      <c r="E32" s="147">
        <v>0</v>
      </c>
      <c r="F32" s="147">
        <f>D32+E32</f>
        <v>0</v>
      </c>
    </row>
    <row r="33" spans="1:6">
      <c r="A33" s="4">
        <f t="shared" si="0"/>
        <v>27</v>
      </c>
      <c r="B33" s="4"/>
      <c r="C33" s="2" t="s">
        <v>393</v>
      </c>
      <c r="D33" s="147">
        <v>9825</v>
      </c>
      <c r="E33" s="147">
        <v>0</v>
      </c>
      <c r="F33" s="147">
        <f>D33+E33</f>
        <v>9825</v>
      </c>
    </row>
    <row r="34" spans="1:6">
      <c r="A34" s="4">
        <f t="shared" si="0"/>
        <v>28</v>
      </c>
      <c r="B34" s="4"/>
      <c r="C34" s="2"/>
      <c r="D34" s="8"/>
      <c r="E34" s="147"/>
      <c r="F34" s="147"/>
    </row>
    <row r="35" spans="1:6" ht="14.4" thickBot="1">
      <c r="A35" s="4">
        <f t="shared" si="0"/>
        <v>29</v>
      </c>
      <c r="B35" s="4"/>
      <c r="C35" s="12" t="s">
        <v>394</v>
      </c>
      <c r="D35" s="150">
        <f>D33+D32+D30+D18+D12</f>
        <v>111729357</v>
      </c>
      <c r="E35" s="150">
        <f t="shared" ref="E35:F35" si="5">E33+E32+E30+E18+E12</f>
        <v>0</v>
      </c>
      <c r="F35" s="150">
        <f t="shared" si="5"/>
        <v>111729357</v>
      </c>
    </row>
    <row r="36" spans="1:6" ht="14.4" thickTop="1">
      <c r="A36" s="4">
        <f t="shared" si="0"/>
        <v>30</v>
      </c>
      <c r="B36" s="4"/>
      <c r="C36" s="2"/>
      <c r="D36" s="151"/>
      <c r="E36" s="147"/>
      <c r="F36" s="147"/>
    </row>
    <row r="37" spans="1:6">
      <c r="A37" s="4">
        <f t="shared" si="0"/>
        <v>31</v>
      </c>
      <c r="B37" s="152" t="s">
        <v>395</v>
      </c>
      <c r="C37" s="2"/>
      <c r="D37" s="147"/>
      <c r="E37" s="147"/>
      <c r="F37" s="147"/>
    </row>
    <row r="38" spans="1:6">
      <c r="A38" s="4">
        <f t="shared" si="0"/>
        <v>32</v>
      </c>
      <c r="B38" s="4"/>
      <c r="C38" s="2" t="s">
        <v>396</v>
      </c>
      <c r="D38" s="147">
        <v>124495</v>
      </c>
      <c r="E38" s="7">
        <v>0</v>
      </c>
      <c r="F38" s="147">
        <f>D38+E38</f>
        <v>124495</v>
      </c>
    </row>
    <row r="39" spans="1:6">
      <c r="A39" s="4">
        <f t="shared" si="0"/>
        <v>33</v>
      </c>
      <c r="B39" s="4"/>
      <c r="C39" s="2" t="s">
        <v>397</v>
      </c>
      <c r="D39" s="147">
        <v>47279439</v>
      </c>
      <c r="E39" s="147">
        <v>0</v>
      </c>
      <c r="F39" s="147">
        <f>D39+E39</f>
        <v>47279439</v>
      </c>
    </row>
    <row r="40" spans="1:6">
      <c r="A40" s="4">
        <f t="shared" si="0"/>
        <v>34</v>
      </c>
      <c r="B40" s="4"/>
      <c r="C40" s="2" t="s">
        <v>398</v>
      </c>
      <c r="D40" s="147">
        <v>220328</v>
      </c>
      <c r="E40" s="147">
        <v>0</v>
      </c>
      <c r="F40" s="147">
        <f>D40+E40</f>
        <v>220328</v>
      </c>
    </row>
    <row r="41" spans="1:6">
      <c r="A41" s="4">
        <f t="shared" si="0"/>
        <v>35</v>
      </c>
      <c r="B41" s="4"/>
      <c r="C41" s="2" t="s">
        <v>399</v>
      </c>
      <c r="D41" s="147">
        <v>695598</v>
      </c>
      <c r="E41" s="147">
        <v>0</v>
      </c>
      <c r="F41" s="147">
        <f>D41+E41</f>
        <v>695598</v>
      </c>
    </row>
    <row r="42" spans="1:6">
      <c r="A42" s="4">
        <f t="shared" si="0"/>
        <v>36</v>
      </c>
      <c r="B42" s="4"/>
      <c r="C42" s="2" t="s">
        <v>400</v>
      </c>
      <c r="D42" s="147">
        <v>-118379</v>
      </c>
      <c r="E42" s="147">
        <v>0</v>
      </c>
      <c r="F42" s="147">
        <f>D42+E42</f>
        <v>-118379</v>
      </c>
    </row>
    <row r="43" spans="1:6">
      <c r="A43" s="4">
        <f t="shared" si="0"/>
        <v>37</v>
      </c>
      <c r="B43" s="4"/>
      <c r="C43" s="9" t="s">
        <v>401</v>
      </c>
      <c r="D43" s="148">
        <f>SUM(D38:D42)</f>
        <v>48201481</v>
      </c>
      <c r="E43" s="148">
        <f t="shared" ref="E43:F43" si="6">SUM(E38:E42)</f>
        <v>0</v>
      </c>
      <c r="F43" s="148">
        <f t="shared" si="6"/>
        <v>48201481</v>
      </c>
    </row>
    <row r="44" spans="1:6">
      <c r="A44" s="4">
        <f t="shared" si="0"/>
        <v>38</v>
      </c>
      <c r="B44" s="4"/>
      <c r="C44" s="2"/>
      <c r="D44" s="147"/>
      <c r="E44" s="147"/>
      <c r="F44" s="147"/>
    </row>
    <row r="45" spans="1:6">
      <c r="A45" s="4">
        <f t="shared" si="0"/>
        <v>39</v>
      </c>
      <c r="B45" s="4"/>
      <c r="C45" s="2" t="s">
        <v>402</v>
      </c>
      <c r="D45" s="151">
        <v>0</v>
      </c>
      <c r="E45" s="147">
        <v>0</v>
      </c>
      <c r="F45" s="147">
        <f t="shared" ref="F45:F50" si="7">D45+E45</f>
        <v>0</v>
      </c>
    </row>
    <row r="46" spans="1:6">
      <c r="A46" s="4">
        <f t="shared" si="0"/>
        <v>40</v>
      </c>
      <c r="B46" s="4"/>
      <c r="C46" s="2" t="s">
        <v>403</v>
      </c>
      <c r="D46" s="151">
        <v>20761550</v>
      </c>
      <c r="E46" s="147">
        <v>0</v>
      </c>
      <c r="F46" s="147">
        <f t="shared" si="7"/>
        <v>20761550</v>
      </c>
    </row>
    <row r="47" spans="1:6">
      <c r="A47" s="4">
        <f t="shared" si="0"/>
        <v>41</v>
      </c>
      <c r="B47" s="4"/>
      <c r="C47" s="2" t="s">
        <v>404</v>
      </c>
      <c r="D47" s="151">
        <v>0</v>
      </c>
      <c r="E47" s="147">
        <v>0</v>
      </c>
      <c r="F47" s="147">
        <f t="shared" si="7"/>
        <v>0</v>
      </c>
    </row>
    <row r="48" spans="1:6">
      <c r="A48" s="4">
        <f t="shared" si="0"/>
        <v>42</v>
      </c>
      <c r="B48" s="4"/>
      <c r="C48" s="2" t="s">
        <v>405</v>
      </c>
      <c r="D48" s="151">
        <v>31568681</v>
      </c>
      <c r="E48" s="147">
        <v>0</v>
      </c>
      <c r="F48" s="147">
        <f t="shared" si="7"/>
        <v>31568681</v>
      </c>
    </row>
    <row r="49" spans="1:6">
      <c r="A49" s="4">
        <f t="shared" si="0"/>
        <v>43</v>
      </c>
      <c r="B49" s="4"/>
      <c r="C49" s="2" t="s">
        <v>406</v>
      </c>
      <c r="D49" s="151">
        <v>0</v>
      </c>
      <c r="E49" s="147">
        <v>0</v>
      </c>
      <c r="F49" s="147">
        <f t="shared" si="7"/>
        <v>0</v>
      </c>
    </row>
    <row r="50" spans="1:6">
      <c r="A50" s="4">
        <f t="shared" si="0"/>
        <v>44</v>
      </c>
      <c r="B50" s="4"/>
      <c r="C50" s="2" t="s">
        <v>439</v>
      </c>
      <c r="D50" s="151">
        <v>-6522595</v>
      </c>
      <c r="E50" s="147">
        <v>0</v>
      </c>
      <c r="F50" s="147">
        <f t="shared" si="7"/>
        <v>-6522595</v>
      </c>
    </row>
    <row r="51" spans="1:6">
      <c r="A51" s="4">
        <f t="shared" si="0"/>
        <v>45</v>
      </c>
      <c r="B51" s="4"/>
      <c r="C51" s="9" t="s">
        <v>407</v>
      </c>
      <c r="D51" s="148">
        <f>SUM(D45:D50)</f>
        <v>45807636</v>
      </c>
      <c r="E51" s="148">
        <f t="shared" ref="E51:F51" si="8">SUM(E45:E50)</f>
        <v>0</v>
      </c>
      <c r="F51" s="148">
        <f t="shared" si="8"/>
        <v>45807636</v>
      </c>
    </row>
    <row r="52" spans="1:6">
      <c r="A52" s="4">
        <f t="shared" si="0"/>
        <v>46</v>
      </c>
      <c r="B52" s="4"/>
      <c r="C52" s="2"/>
      <c r="D52" s="147"/>
      <c r="E52" s="147"/>
      <c r="F52" s="147"/>
    </row>
    <row r="53" spans="1:6">
      <c r="A53" s="4">
        <f t="shared" si="0"/>
        <v>47</v>
      </c>
      <c r="B53" s="4"/>
      <c r="C53" s="2" t="s">
        <v>408</v>
      </c>
      <c r="D53" s="147">
        <v>2547483</v>
      </c>
      <c r="E53" s="147">
        <v>0</v>
      </c>
      <c r="F53" s="147">
        <f>D53+E53</f>
        <v>2547483</v>
      </c>
    </row>
    <row r="54" spans="1:6">
      <c r="A54" s="4">
        <f t="shared" si="0"/>
        <v>48</v>
      </c>
      <c r="B54" s="4"/>
      <c r="C54" s="2"/>
      <c r="D54" s="147"/>
      <c r="E54" s="147"/>
      <c r="F54" s="147"/>
    </row>
    <row r="55" spans="1:6">
      <c r="A55" s="4">
        <f t="shared" si="0"/>
        <v>49</v>
      </c>
      <c r="B55" s="4"/>
      <c r="C55" s="2" t="s">
        <v>409</v>
      </c>
      <c r="D55" s="147">
        <v>1200000</v>
      </c>
      <c r="E55" s="147">
        <v>0</v>
      </c>
      <c r="F55" s="147">
        <f>D55+E55</f>
        <v>1200000</v>
      </c>
    </row>
    <row r="56" spans="1:6">
      <c r="A56" s="4">
        <f t="shared" si="0"/>
        <v>50</v>
      </c>
      <c r="B56" s="4"/>
      <c r="C56" s="2" t="s">
        <v>410</v>
      </c>
      <c r="D56" s="147">
        <v>6272510</v>
      </c>
      <c r="E56" s="147">
        <v>0</v>
      </c>
      <c r="F56" s="147">
        <f>D56+E56</f>
        <v>6272510</v>
      </c>
    </row>
    <row r="57" spans="1:6">
      <c r="A57" s="4">
        <f t="shared" si="0"/>
        <v>51</v>
      </c>
      <c r="B57" s="4"/>
      <c r="C57" s="2" t="s">
        <v>411</v>
      </c>
      <c r="D57" s="147">
        <v>2288656</v>
      </c>
      <c r="E57" s="147">
        <v>0</v>
      </c>
      <c r="F57" s="147">
        <f>D57+E57</f>
        <v>2288656</v>
      </c>
    </row>
    <row r="58" spans="1:6">
      <c r="A58" s="4">
        <f t="shared" si="0"/>
        <v>52</v>
      </c>
      <c r="B58" s="4"/>
      <c r="C58" s="2" t="s">
        <v>440</v>
      </c>
      <c r="D58" s="147">
        <v>2760965</v>
      </c>
      <c r="E58" s="147">
        <v>0</v>
      </c>
      <c r="F58" s="147">
        <f>D58+E58</f>
        <v>2760965</v>
      </c>
    </row>
    <row r="59" spans="1:6">
      <c r="A59" s="4">
        <f t="shared" si="0"/>
        <v>53</v>
      </c>
      <c r="B59" s="4"/>
      <c r="C59" s="2" t="s">
        <v>412</v>
      </c>
      <c r="D59" s="147">
        <v>1756600</v>
      </c>
      <c r="E59" s="147">
        <v>0</v>
      </c>
      <c r="F59" s="147">
        <f>D59+E59</f>
        <v>1756600</v>
      </c>
    </row>
    <row r="60" spans="1:6">
      <c r="A60" s="4">
        <f t="shared" si="0"/>
        <v>54</v>
      </c>
      <c r="B60" s="4"/>
      <c r="C60" s="9" t="s">
        <v>413</v>
      </c>
      <c r="D60" s="148">
        <f>SUM(D55:D59)</f>
        <v>14278731</v>
      </c>
      <c r="E60" s="148">
        <f t="shared" ref="E60:F60" si="9">SUM(E55:E59)</f>
        <v>0</v>
      </c>
      <c r="F60" s="148">
        <f t="shared" si="9"/>
        <v>14278731</v>
      </c>
    </row>
    <row r="61" spans="1:6">
      <c r="A61" s="4">
        <f t="shared" si="0"/>
        <v>55</v>
      </c>
      <c r="B61" s="4"/>
      <c r="C61" s="2"/>
      <c r="D61" s="147"/>
      <c r="E61" s="147"/>
      <c r="F61" s="147"/>
    </row>
    <row r="62" spans="1:6">
      <c r="A62" s="4">
        <f t="shared" si="0"/>
        <v>56</v>
      </c>
      <c r="B62" s="4"/>
      <c r="C62" s="2" t="s">
        <v>414</v>
      </c>
      <c r="D62" s="147">
        <v>894026</v>
      </c>
      <c r="E62" s="147">
        <v>0</v>
      </c>
      <c r="F62" s="147">
        <f>D62+E62</f>
        <v>894026</v>
      </c>
    </row>
    <row r="63" spans="1:6">
      <c r="A63" s="4">
        <f t="shared" si="0"/>
        <v>57</v>
      </c>
      <c r="B63" s="4"/>
      <c r="C63" s="2" t="s">
        <v>415</v>
      </c>
      <c r="D63" s="147">
        <v>0</v>
      </c>
      <c r="E63" s="147">
        <v>0</v>
      </c>
      <c r="F63" s="147">
        <f>D63+E63</f>
        <v>0</v>
      </c>
    </row>
    <row r="64" spans="1:6" ht="14.4" thickBot="1">
      <c r="A64" s="4">
        <f t="shared" si="0"/>
        <v>58</v>
      </c>
      <c r="B64" s="4"/>
      <c r="C64" s="12" t="s">
        <v>416</v>
      </c>
      <c r="D64" s="150">
        <f>D63+D62+D60+D53+D51+D43</f>
        <v>111729357</v>
      </c>
      <c r="E64" s="150">
        <f t="shared" ref="E64:F64" si="10">E63+E62+E60+E53+E51+E43</f>
        <v>0</v>
      </c>
      <c r="F64" s="150">
        <f t="shared" si="10"/>
        <v>111729357</v>
      </c>
    </row>
    <row r="65" spans="1:6" ht="14.4" thickTop="1">
      <c r="A65" s="4"/>
      <c r="B65" s="4"/>
      <c r="C65" s="2"/>
      <c r="D65" s="147"/>
      <c r="E65" s="147"/>
      <c r="F65" s="147"/>
    </row>
    <row r="66" spans="1:6">
      <c r="A66" s="4"/>
      <c r="B66" s="4"/>
      <c r="C66" s="2"/>
      <c r="D66" s="8"/>
      <c r="E66" s="147"/>
      <c r="F66" s="147"/>
    </row>
    <row r="67" spans="1:6">
      <c r="A67" s="4"/>
      <c r="B67" s="4"/>
      <c r="C67" s="2"/>
      <c r="D67" s="8"/>
      <c r="E67" s="147"/>
      <c r="F67" s="147"/>
    </row>
    <row r="68" spans="1:6">
      <c r="A68" s="4"/>
      <c r="B68" s="4"/>
      <c r="C68" s="2"/>
      <c r="D68" s="8"/>
      <c r="E68" s="147"/>
      <c r="F68" s="147"/>
    </row>
    <row r="69" spans="1:6">
      <c r="A69" s="4"/>
      <c r="B69" s="4"/>
      <c r="C69" s="2"/>
      <c r="D69" s="8"/>
      <c r="E69" s="147"/>
      <c r="F69" s="147"/>
    </row>
  </sheetData>
  <printOptions horizontalCentered="1"/>
  <pageMargins left="1" right="0.75" top="0.75" bottom="0.75" header="0.3" footer="0.3"/>
  <pageSetup scale="76" orientation="portrait" r:id="rId1"/>
  <headerFooter>
    <oddFooter>&amp;RExhibit  JW-2
Page &amp;P of &amp;N</oddFooter>
  </headerFooter>
  <ignoredErrors>
    <ignoredError sqref="E12" formulaRange="1"/>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A1:AD49"/>
  <sheetViews>
    <sheetView defaultGridColor="0" view="pageBreakPreview" colorId="22" zoomScale="60" zoomScaleNormal="75" workbookViewId="0">
      <selection activeCell="L4" sqref="L4"/>
    </sheetView>
  </sheetViews>
  <sheetFormatPr defaultColWidth="12.5546875" defaultRowHeight="13.8"/>
  <cols>
    <col min="1" max="1" width="6.109375" style="164" customWidth="1"/>
    <col min="2" max="2" width="33.109375" style="155" customWidth="1"/>
    <col min="3" max="3" width="13.5546875" style="155" customWidth="1"/>
    <col min="4" max="4" width="12.44140625" style="155" customWidth="1"/>
    <col min="5" max="5" width="11.88671875" style="155" customWidth="1"/>
    <col min="6" max="6" width="12.109375" style="155" customWidth="1"/>
    <col min="7" max="7" width="14.5546875" style="155" customWidth="1"/>
    <col min="8" max="8" width="12.44140625" style="155" customWidth="1"/>
    <col min="9" max="9" width="10.33203125" style="155" customWidth="1"/>
    <col min="10" max="10" width="12.44140625" style="155" customWidth="1"/>
    <col min="11" max="11" width="13" style="155" customWidth="1"/>
    <col min="12" max="12" width="13.5546875" style="155" customWidth="1"/>
    <col min="13" max="13" width="14.33203125" style="155" customWidth="1"/>
    <col min="14" max="16" width="12.44140625" style="155" customWidth="1"/>
    <col min="17" max="17" width="12.44140625" style="155" hidden="1" customWidth="1"/>
    <col min="18" max="18" width="12.44140625" style="155" customWidth="1"/>
    <col min="19" max="19" width="3.5546875" style="155" customWidth="1"/>
    <col min="20" max="20" width="15.5546875" style="155" bestFit="1" customWidth="1"/>
    <col min="21" max="21" width="12.6640625" style="155" bestFit="1" customWidth="1"/>
    <col min="22" max="16384" width="12.5546875" style="155"/>
  </cols>
  <sheetData>
    <row r="1" spans="1:30">
      <c r="B1" s="106" t="s">
        <v>521</v>
      </c>
      <c r="C1" s="153"/>
      <c r="D1" s="153"/>
      <c r="E1" s="153"/>
      <c r="F1" s="153"/>
      <c r="G1" s="153"/>
      <c r="H1" s="153"/>
      <c r="I1" s="153"/>
      <c r="J1" s="153"/>
      <c r="K1" s="153"/>
      <c r="L1" s="153"/>
      <c r="M1" s="153"/>
      <c r="N1" s="153"/>
      <c r="O1" s="153"/>
      <c r="P1" s="153"/>
      <c r="Q1" s="153"/>
      <c r="R1" s="153"/>
      <c r="S1" s="154"/>
    </row>
    <row r="2" spans="1:30">
      <c r="B2" s="29" t="s">
        <v>417</v>
      </c>
      <c r="C2" s="153"/>
      <c r="D2" s="153"/>
      <c r="E2" s="153"/>
      <c r="F2" s="153"/>
      <c r="G2" s="153"/>
      <c r="H2" s="153"/>
      <c r="I2" s="153"/>
      <c r="J2" s="153"/>
      <c r="K2" s="153"/>
      <c r="L2" s="153"/>
      <c r="M2" s="153"/>
      <c r="N2" s="153"/>
      <c r="O2" s="153"/>
      <c r="P2" s="153"/>
      <c r="Q2" s="153"/>
      <c r="R2" s="153"/>
      <c r="S2" s="154"/>
    </row>
    <row r="3" spans="1:30" s="164" customFormat="1"/>
    <row r="4" spans="1:30">
      <c r="B4" s="154" t="s">
        <v>437</v>
      </c>
      <c r="C4" s="170">
        <f>'Adj List'!B7</f>
        <v>1.01</v>
      </c>
      <c r="D4" s="170">
        <f>'Adj List'!B8</f>
        <v>1.02</v>
      </c>
      <c r="E4" s="170">
        <f>'Adj List'!B9</f>
        <v>1.03</v>
      </c>
      <c r="F4" s="170">
        <f>'Adj List'!B10</f>
        <v>1.04</v>
      </c>
      <c r="G4" s="170">
        <f>'Adj List'!B11</f>
        <v>1.05</v>
      </c>
      <c r="H4" s="170">
        <f>'Adj List'!B12</f>
        <v>1.06</v>
      </c>
      <c r="I4" s="170">
        <f>'Adj List'!B13</f>
        <v>1.07</v>
      </c>
      <c r="J4" s="171">
        <f>'Adj List'!B14</f>
        <v>1.08</v>
      </c>
      <c r="K4" s="170">
        <f>'Adj List'!B15</f>
        <v>1.0900000000000001</v>
      </c>
      <c r="L4" s="171">
        <f>'Adj List'!B16</f>
        <v>1.1000000000000001</v>
      </c>
      <c r="M4" s="170">
        <f>'Adj List'!B17</f>
        <v>1.1100000000000001</v>
      </c>
      <c r="N4" s="170">
        <f>'Adj List'!B18</f>
        <v>1.1200000000000001</v>
      </c>
      <c r="O4" s="170">
        <f>'Adj List'!B19</f>
        <v>1.1299999999999999</v>
      </c>
      <c r="P4" s="170">
        <f>'Adj List'!B20</f>
        <v>1.1399999999999999</v>
      </c>
      <c r="Q4" s="281">
        <f>'Adj List'!B21</f>
        <v>1.2</v>
      </c>
      <c r="R4" s="170"/>
    </row>
    <row r="5" spans="1:30" s="156" customFormat="1" ht="44.25" customHeight="1">
      <c r="B5" s="154" t="s">
        <v>438</v>
      </c>
      <c r="C5" s="169" t="str">
        <f>'Adj List'!C7</f>
        <v>FAC</v>
      </c>
      <c r="D5" s="169" t="str">
        <f>'Adj List'!C8</f>
        <v>ES</v>
      </c>
      <c r="E5" s="169" t="str">
        <f>'Adj List'!C9</f>
        <v>Non-Recurring Expense</v>
      </c>
      <c r="F5" s="169" t="str">
        <f>'Adj List'!C10</f>
        <v>Donations, Promo Ads &amp; Dues</v>
      </c>
      <c r="G5" s="169" t="str">
        <f>'Adj List'!C11</f>
        <v>401k Contributions</v>
      </c>
      <c r="H5" s="169" t="str">
        <f>'Adj List'!C12</f>
        <v>Life Insurance</v>
      </c>
      <c r="I5" s="169" t="str">
        <f>'Adj List'!C13</f>
        <v>Rate Case Costs</v>
      </c>
      <c r="J5" s="169" t="str">
        <f>'Adj List'!C14</f>
        <v>Interest Expense</v>
      </c>
      <c r="K5" s="169" t="str">
        <f>'Adj List'!C15</f>
        <v>Year End Customers</v>
      </c>
      <c r="L5" s="169" t="str">
        <f>'Adj List'!C16</f>
        <v>Wages &amp; Salaries</v>
      </c>
      <c r="M5" s="169" t="str">
        <f>'Adj List'!C17</f>
        <v>Depreciation Normalization</v>
      </c>
      <c r="N5" s="169" t="str">
        <f>'Adj List'!C18</f>
        <v>Directors Expenses</v>
      </c>
      <c r="O5" s="169" t="str">
        <f>'Adj List'!C19</f>
        <v xml:space="preserve">Right of Way </v>
      </c>
      <c r="P5" s="169" t="str">
        <f>'Adj List'!C20</f>
        <v>G&amp;T Capital Credits</v>
      </c>
      <c r="Q5" s="282" t="str">
        <f>'Adj List'!C21</f>
        <v>reserved</v>
      </c>
      <c r="R5" s="169" t="s">
        <v>66</v>
      </c>
    </row>
    <row r="6" spans="1:30">
      <c r="A6" s="164">
        <v>1</v>
      </c>
      <c r="C6" s="157"/>
      <c r="D6" s="157"/>
      <c r="E6" s="157"/>
      <c r="F6" s="157"/>
      <c r="G6" s="157"/>
      <c r="H6" s="157"/>
      <c r="I6" s="157"/>
      <c r="J6" s="157"/>
      <c r="K6" s="157"/>
      <c r="L6" s="157"/>
      <c r="M6" s="157"/>
      <c r="N6" s="157"/>
      <c r="O6" s="157"/>
      <c r="P6" s="157"/>
      <c r="Q6" s="157"/>
      <c r="R6" s="157"/>
      <c r="V6" s="157"/>
      <c r="W6" s="157"/>
      <c r="X6" s="157"/>
      <c r="Y6" s="157"/>
      <c r="Z6" s="157"/>
      <c r="AA6" s="157"/>
      <c r="AB6" s="157"/>
      <c r="AC6" s="157"/>
      <c r="AD6" s="157"/>
    </row>
    <row r="7" spans="1:30">
      <c r="A7" s="164">
        <f t="shared" ref="A7:A40" si="0">(A6+1)</f>
        <v>2</v>
      </c>
      <c r="B7" s="158" t="s">
        <v>418</v>
      </c>
      <c r="C7" s="157"/>
      <c r="D7" s="157"/>
      <c r="E7" s="157"/>
      <c r="F7" s="157"/>
      <c r="G7" s="157"/>
      <c r="H7" s="157"/>
      <c r="I7" s="157"/>
      <c r="J7" s="157"/>
      <c r="K7" s="157"/>
      <c r="L7" s="157"/>
      <c r="M7" s="157"/>
      <c r="N7" s="157"/>
      <c r="O7" s="157"/>
      <c r="P7" s="157"/>
      <c r="Q7" s="157"/>
      <c r="R7" s="157"/>
      <c r="V7" s="157"/>
      <c r="W7" s="157"/>
      <c r="X7" s="157"/>
      <c r="Y7" s="157"/>
      <c r="Z7" s="157"/>
      <c r="AA7" s="157"/>
      <c r="AB7" s="157"/>
      <c r="AC7" s="157"/>
      <c r="AD7" s="157"/>
    </row>
    <row r="8" spans="1:30">
      <c r="A8" s="164">
        <f t="shared" si="0"/>
        <v>3</v>
      </c>
      <c r="B8" s="155" t="s">
        <v>419</v>
      </c>
      <c r="C8" s="165">
        <v>0</v>
      </c>
      <c r="D8" s="165">
        <v>0</v>
      </c>
      <c r="E8" s="165">
        <v>0</v>
      </c>
      <c r="F8" s="165">
        <v>0</v>
      </c>
      <c r="G8" s="165">
        <v>0</v>
      </c>
      <c r="H8" s="165">
        <v>0</v>
      </c>
      <c r="I8" s="165">
        <v>0</v>
      </c>
      <c r="J8" s="165">
        <v>0</v>
      </c>
      <c r="K8" s="165">
        <f>'Adj List'!D15</f>
        <v>248529.13</v>
      </c>
      <c r="L8" s="165">
        <v>0</v>
      </c>
      <c r="M8" s="165">
        <v>0</v>
      </c>
      <c r="N8" s="165">
        <v>0</v>
      </c>
      <c r="O8" s="165">
        <v>0</v>
      </c>
      <c r="P8" s="165">
        <f>'Adj List'!D20</f>
        <v>0</v>
      </c>
      <c r="Q8" s="165">
        <v>0</v>
      </c>
      <c r="R8" s="165">
        <f t="shared" ref="R8:R40" si="1">SUM(C8:Q8)</f>
        <v>248529.13</v>
      </c>
      <c r="V8" s="157"/>
      <c r="W8" s="157"/>
      <c r="X8" s="157"/>
      <c r="Y8" s="157"/>
      <c r="Z8" s="157"/>
      <c r="AA8" s="157"/>
      <c r="AB8" s="157"/>
      <c r="AC8" s="157"/>
      <c r="AD8" s="157"/>
    </row>
    <row r="9" spans="1:30">
      <c r="A9" s="164">
        <f t="shared" si="0"/>
        <v>4</v>
      </c>
      <c r="B9" s="155" t="s">
        <v>430</v>
      </c>
      <c r="C9" s="165">
        <f>'Adj List'!D7</f>
        <v>-6316641.1600000001</v>
      </c>
      <c r="D9" s="165">
        <f>'Adj List'!D8</f>
        <v>-5387555.8200000003</v>
      </c>
      <c r="E9" s="165">
        <f>'Adj List'!D9</f>
        <v>0</v>
      </c>
      <c r="F9" s="165">
        <v>0</v>
      </c>
      <c r="G9" s="165">
        <v>0</v>
      </c>
      <c r="H9" s="165">
        <v>0</v>
      </c>
      <c r="I9" s="165">
        <v>0</v>
      </c>
      <c r="J9" s="165">
        <v>0</v>
      </c>
      <c r="K9" s="165">
        <v>0</v>
      </c>
      <c r="L9" s="165">
        <v>0</v>
      </c>
      <c r="M9" s="165">
        <v>0</v>
      </c>
      <c r="N9" s="165">
        <v>0</v>
      </c>
      <c r="O9" s="165">
        <v>0</v>
      </c>
      <c r="P9" s="165">
        <v>0</v>
      </c>
      <c r="Q9" s="165">
        <v>0</v>
      </c>
      <c r="R9" s="165">
        <f t="shared" si="1"/>
        <v>-11704196.98</v>
      </c>
      <c r="T9" s="159"/>
      <c r="U9" s="159"/>
      <c r="V9" s="157"/>
      <c r="W9" s="157"/>
      <c r="X9" s="157"/>
      <c r="Y9" s="157"/>
      <c r="Z9" s="157"/>
      <c r="AA9" s="157"/>
      <c r="AB9" s="157"/>
      <c r="AC9" s="157"/>
      <c r="AD9" s="157"/>
    </row>
    <row r="10" spans="1:30">
      <c r="A10" s="164">
        <f t="shared" si="0"/>
        <v>5</v>
      </c>
      <c r="B10" s="155" t="s">
        <v>17</v>
      </c>
      <c r="C10" s="165">
        <v>0</v>
      </c>
      <c r="D10" s="165">
        <v>0</v>
      </c>
      <c r="E10" s="165">
        <v>0</v>
      </c>
      <c r="F10" s="165">
        <v>0</v>
      </c>
      <c r="G10" s="165">
        <v>0</v>
      </c>
      <c r="H10" s="165">
        <v>0</v>
      </c>
      <c r="I10" s="165">
        <v>0</v>
      </c>
      <c r="J10" s="165">
        <v>0</v>
      </c>
      <c r="K10" s="165">
        <v>0</v>
      </c>
      <c r="L10" s="165">
        <v>0</v>
      </c>
      <c r="M10" s="165">
        <v>0</v>
      </c>
      <c r="N10" s="165">
        <v>0</v>
      </c>
      <c r="O10" s="165">
        <v>0</v>
      </c>
      <c r="P10" s="165">
        <v>0</v>
      </c>
      <c r="Q10" s="165">
        <v>0</v>
      </c>
      <c r="R10" s="165">
        <f t="shared" si="1"/>
        <v>0</v>
      </c>
      <c r="V10" s="157"/>
      <c r="W10" s="157"/>
      <c r="X10" s="157"/>
      <c r="Y10" s="157"/>
      <c r="Z10" s="157"/>
      <c r="AA10" s="157"/>
      <c r="AB10" s="157"/>
      <c r="AC10" s="157"/>
      <c r="AD10" s="157"/>
    </row>
    <row r="11" spans="1:30">
      <c r="A11" s="164">
        <f t="shared" si="0"/>
        <v>6</v>
      </c>
      <c r="B11" s="160" t="s">
        <v>420</v>
      </c>
      <c r="C11" s="166">
        <f t="shared" ref="C11:N11" si="2">SUM(C6:C10)</f>
        <v>-6316641.1600000001</v>
      </c>
      <c r="D11" s="166">
        <f t="shared" si="2"/>
        <v>-5387555.8200000003</v>
      </c>
      <c r="E11" s="166">
        <f t="shared" si="2"/>
        <v>0</v>
      </c>
      <c r="F11" s="166">
        <f t="shared" si="2"/>
        <v>0</v>
      </c>
      <c r="G11" s="166">
        <f t="shared" si="2"/>
        <v>0</v>
      </c>
      <c r="H11" s="166">
        <f t="shared" si="2"/>
        <v>0</v>
      </c>
      <c r="I11" s="166">
        <f t="shared" si="2"/>
        <v>0</v>
      </c>
      <c r="J11" s="166">
        <f t="shared" si="2"/>
        <v>0</v>
      </c>
      <c r="K11" s="166">
        <f t="shared" si="2"/>
        <v>248529.13</v>
      </c>
      <c r="L11" s="166">
        <f t="shared" si="2"/>
        <v>0</v>
      </c>
      <c r="M11" s="166">
        <f t="shared" si="2"/>
        <v>0</v>
      </c>
      <c r="N11" s="166">
        <f t="shared" si="2"/>
        <v>0</v>
      </c>
      <c r="O11" s="166">
        <f t="shared" ref="O11" si="3">SUM(O6:O10)</f>
        <v>0</v>
      </c>
      <c r="P11" s="166">
        <f t="shared" ref="P11" si="4">SUM(P6:P10)</f>
        <v>0</v>
      </c>
      <c r="Q11" s="166">
        <f t="shared" ref="Q11" si="5">SUM(Q6:Q10)</f>
        <v>0</v>
      </c>
      <c r="R11" s="166">
        <f t="shared" si="1"/>
        <v>-11455667.85</v>
      </c>
      <c r="V11" s="157"/>
      <c r="W11" s="157"/>
      <c r="X11" s="157"/>
      <c r="Y11" s="157"/>
      <c r="Z11" s="157"/>
      <c r="AA11" s="157"/>
      <c r="AB11" s="157"/>
      <c r="AC11" s="157"/>
      <c r="AD11" s="157"/>
    </row>
    <row r="12" spans="1:30">
      <c r="A12" s="164">
        <f t="shared" si="0"/>
        <v>7</v>
      </c>
      <c r="C12" s="167"/>
      <c r="D12" s="167"/>
      <c r="E12" s="167"/>
      <c r="F12" s="167"/>
      <c r="G12" s="167"/>
      <c r="H12" s="167"/>
      <c r="I12" s="167"/>
      <c r="J12" s="167"/>
      <c r="K12" s="167"/>
      <c r="L12" s="167"/>
      <c r="M12" s="167"/>
      <c r="N12" s="167"/>
      <c r="O12" s="167"/>
      <c r="P12" s="167"/>
      <c r="Q12" s="167"/>
      <c r="R12" s="167">
        <f t="shared" si="1"/>
        <v>0</v>
      </c>
      <c r="V12" s="157"/>
      <c r="W12" s="157"/>
      <c r="X12" s="157"/>
      <c r="Y12" s="157"/>
      <c r="Z12" s="157"/>
      <c r="AA12" s="157"/>
      <c r="AB12" s="157"/>
      <c r="AC12" s="157"/>
      <c r="AD12" s="157"/>
    </row>
    <row r="13" spans="1:30">
      <c r="A13" s="164">
        <f t="shared" si="0"/>
        <v>8</v>
      </c>
      <c r="B13" s="158" t="s">
        <v>19</v>
      </c>
      <c r="C13" s="165"/>
      <c r="D13" s="165"/>
      <c r="E13" s="165"/>
      <c r="F13" s="165"/>
      <c r="G13" s="165"/>
      <c r="H13" s="165"/>
      <c r="I13" s="165"/>
      <c r="J13" s="165"/>
      <c r="K13" s="165"/>
      <c r="L13" s="165"/>
      <c r="M13" s="165"/>
      <c r="N13" s="165"/>
      <c r="O13" s="165"/>
      <c r="P13" s="165"/>
      <c r="Q13" s="165"/>
      <c r="R13" s="165">
        <f t="shared" si="1"/>
        <v>0</v>
      </c>
      <c r="V13" s="157"/>
      <c r="W13" s="157"/>
      <c r="X13" s="157"/>
      <c r="Y13" s="157"/>
      <c r="Z13" s="157"/>
      <c r="AA13" s="157"/>
      <c r="AB13" s="157"/>
      <c r="AC13" s="157"/>
      <c r="AD13" s="157"/>
    </row>
    <row r="14" spans="1:30">
      <c r="A14" s="164">
        <f t="shared" si="0"/>
        <v>9</v>
      </c>
      <c r="B14" s="155" t="s">
        <v>20</v>
      </c>
      <c r="C14" s="165">
        <v>0</v>
      </c>
      <c r="D14" s="165">
        <v>0</v>
      </c>
      <c r="E14" s="165">
        <v>0</v>
      </c>
      <c r="F14" s="165">
        <v>0</v>
      </c>
      <c r="G14" s="165">
        <v>0</v>
      </c>
      <c r="H14" s="165">
        <v>0</v>
      </c>
      <c r="I14" s="165">
        <v>0</v>
      </c>
      <c r="J14" s="165">
        <v>0</v>
      </c>
      <c r="K14" s="165">
        <v>0</v>
      </c>
      <c r="L14" s="165">
        <v>0</v>
      </c>
      <c r="M14" s="165">
        <v>0</v>
      </c>
      <c r="N14" s="165">
        <v>0</v>
      </c>
      <c r="O14" s="165">
        <v>0</v>
      </c>
      <c r="P14" s="165">
        <v>0</v>
      </c>
      <c r="Q14" s="165">
        <v>0</v>
      </c>
      <c r="R14" s="165">
        <f t="shared" si="1"/>
        <v>0</v>
      </c>
      <c r="V14" s="157"/>
      <c r="W14" s="157"/>
      <c r="X14" s="157"/>
      <c r="Y14" s="157"/>
      <c r="Z14" s="157"/>
      <c r="AA14" s="157"/>
      <c r="AB14" s="157"/>
      <c r="AC14" s="157"/>
      <c r="AD14" s="157"/>
    </row>
    <row r="15" spans="1:30">
      <c r="A15" s="164">
        <f t="shared" si="0"/>
        <v>10</v>
      </c>
      <c r="B15" s="155" t="s">
        <v>421</v>
      </c>
      <c r="C15" s="165">
        <v>0</v>
      </c>
      <c r="D15" s="165">
        <v>0</v>
      </c>
      <c r="E15" s="165">
        <v>0</v>
      </c>
      <c r="F15" s="165">
        <v>0</v>
      </c>
      <c r="G15" s="165">
        <v>0</v>
      </c>
      <c r="H15" s="165">
        <v>0</v>
      </c>
      <c r="I15" s="165">
        <v>0</v>
      </c>
      <c r="J15" s="165">
        <v>0</v>
      </c>
      <c r="K15" s="165">
        <f>'Adj List'!E15</f>
        <v>155949.60999999999</v>
      </c>
      <c r="L15" s="165">
        <v>0</v>
      </c>
      <c r="M15" s="165">
        <v>0</v>
      </c>
      <c r="N15" s="165">
        <v>0</v>
      </c>
      <c r="O15" s="165">
        <v>0</v>
      </c>
      <c r="P15" s="165">
        <v>0</v>
      </c>
      <c r="Q15" s="165">
        <v>0</v>
      </c>
      <c r="R15" s="165">
        <f t="shared" si="1"/>
        <v>155949.60999999999</v>
      </c>
      <c r="V15" s="157"/>
      <c r="W15" s="157"/>
      <c r="X15" s="157"/>
      <c r="Y15" s="157"/>
      <c r="Z15" s="157"/>
      <c r="AA15" s="157"/>
      <c r="AB15" s="157"/>
      <c r="AC15" s="157"/>
      <c r="AD15" s="157"/>
    </row>
    <row r="16" spans="1:30">
      <c r="A16" s="164">
        <f t="shared" si="0"/>
        <v>11</v>
      </c>
      <c r="B16" s="155" t="s">
        <v>431</v>
      </c>
      <c r="C16" s="165">
        <f>'Adj List'!E7</f>
        <v>-6311733</v>
      </c>
      <c r="D16" s="165">
        <f>'Adj List'!E8</f>
        <v>-5387556</v>
      </c>
      <c r="E16" s="165">
        <v>0</v>
      </c>
      <c r="F16" s="165">
        <v>0</v>
      </c>
      <c r="G16" s="165">
        <v>0</v>
      </c>
      <c r="H16" s="165">
        <v>0</v>
      </c>
      <c r="I16" s="165">
        <v>0</v>
      </c>
      <c r="J16" s="165">
        <v>0</v>
      </c>
      <c r="K16" s="165">
        <v>0</v>
      </c>
      <c r="L16" s="165">
        <v>0</v>
      </c>
      <c r="M16" s="165">
        <v>0</v>
      </c>
      <c r="N16" s="165">
        <v>0</v>
      </c>
      <c r="O16" s="165">
        <v>0</v>
      </c>
      <c r="P16" s="165">
        <v>0</v>
      </c>
      <c r="Q16" s="165">
        <v>0</v>
      </c>
      <c r="R16" s="165">
        <f t="shared" si="1"/>
        <v>-11699289</v>
      </c>
      <c r="V16" s="157"/>
      <c r="W16" s="157"/>
      <c r="X16" s="157"/>
      <c r="Y16" s="157"/>
      <c r="Z16" s="157"/>
      <c r="AA16" s="157"/>
      <c r="AB16" s="157"/>
      <c r="AC16" s="157"/>
      <c r="AD16" s="157"/>
    </row>
    <row r="17" spans="1:30">
      <c r="A17" s="164">
        <f t="shared" si="0"/>
        <v>12</v>
      </c>
      <c r="B17" s="155" t="s">
        <v>422</v>
      </c>
      <c r="C17" s="165">
        <v>0</v>
      </c>
      <c r="D17" s="165">
        <v>0</v>
      </c>
      <c r="E17" s="165">
        <v>0</v>
      </c>
      <c r="F17" s="165">
        <v>0</v>
      </c>
      <c r="G17" s="165">
        <v>0</v>
      </c>
      <c r="H17" s="165">
        <v>0</v>
      </c>
      <c r="I17" s="165">
        <v>0</v>
      </c>
      <c r="J17" s="165">
        <v>0</v>
      </c>
      <c r="K17" s="165">
        <v>0</v>
      </c>
      <c r="L17" s="165">
        <v>0</v>
      </c>
      <c r="M17" s="165">
        <v>0</v>
      </c>
      <c r="N17" s="165">
        <v>0</v>
      </c>
      <c r="O17" s="165">
        <v>0</v>
      </c>
      <c r="P17" s="165">
        <v>0</v>
      </c>
      <c r="Q17" s="165">
        <v>0</v>
      </c>
      <c r="R17" s="165">
        <f t="shared" si="1"/>
        <v>0</v>
      </c>
      <c r="V17" s="157"/>
      <c r="W17" s="157"/>
      <c r="X17" s="157"/>
      <c r="Y17" s="157"/>
      <c r="Z17" s="157"/>
      <c r="AA17" s="157"/>
      <c r="AB17" s="157"/>
      <c r="AC17" s="157"/>
      <c r="AD17" s="157"/>
    </row>
    <row r="18" spans="1:30">
      <c r="A18" s="164">
        <f t="shared" si="0"/>
        <v>13</v>
      </c>
      <c r="B18" s="155" t="s">
        <v>423</v>
      </c>
      <c r="C18" s="165">
        <v>0</v>
      </c>
      <c r="D18" s="165">
        <v>0</v>
      </c>
      <c r="E18" s="165">
        <v>0</v>
      </c>
      <c r="F18" s="165">
        <v>0</v>
      </c>
      <c r="G18" s="165">
        <v>0</v>
      </c>
      <c r="H18" s="165">
        <v>0</v>
      </c>
      <c r="I18" s="165">
        <v>0</v>
      </c>
      <c r="J18" s="165">
        <v>0</v>
      </c>
      <c r="K18" s="165">
        <v>0</v>
      </c>
      <c r="L18" s="165">
        <v>0</v>
      </c>
      <c r="M18" s="165">
        <v>0</v>
      </c>
      <c r="N18" s="165">
        <v>0</v>
      </c>
      <c r="O18" s="165">
        <f>'Adj List'!E19</f>
        <v>440429</v>
      </c>
      <c r="P18" s="165">
        <v>0</v>
      </c>
      <c r="Q18" s="165">
        <v>0</v>
      </c>
      <c r="R18" s="165">
        <f t="shared" si="1"/>
        <v>440429</v>
      </c>
      <c r="V18" s="157"/>
      <c r="W18" s="157"/>
      <c r="X18" s="157"/>
      <c r="Y18" s="157"/>
      <c r="Z18" s="157"/>
      <c r="AA18" s="157"/>
      <c r="AB18" s="157"/>
      <c r="AC18" s="157"/>
      <c r="AD18" s="157"/>
    </row>
    <row r="19" spans="1:30">
      <c r="A19" s="164">
        <f t="shared" si="0"/>
        <v>14</v>
      </c>
      <c r="B19" s="155" t="s">
        <v>138</v>
      </c>
      <c r="C19" s="165">
        <v>0</v>
      </c>
      <c r="D19" s="165">
        <v>0</v>
      </c>
      <c r="E19" s="165">
        <v>0</v>
      </c>
      <c r="F19" s="165">
        <v>0</v>
      </c>
      <c r="G19" s="165">
        <v>0</v>
      </c>
      <c r="H19" s="165">
        <v>0</v>
      </c>
      <c r="I19" s="165">
        <v>0</v>
      </c>
      <c r="J19" s="165">
        <v>0</v>
      </c>
      <c r="K19" s="165">
        <v>0</v>
      </c>
      <c r="L19" s="165">
        <v>0</v>
      </c>
      <c r="M19" s="165">
        <v>0</v>
      </c>
      <c r="N19" s="165">
        <v>0</v>
      </c>
      <c r="O19" s="165">
        <v>0</v>
      </c>
      <c r="P19" s="165">
        <v>0</v>
      </c>
      <c r="Q19" s="165">
        <v>0</v>
      </c>
      <c r="R19" s="165">
        <f t="shared" si="1"/>
        <v>0</v>
      </c>
      <c r="V19" s="157"/>
      <c r="W19" s="157"/>
      <c r="X19" s="157"/>
      <c r="Y19" s="157"/>
      <c r="Z19" s="157"/>
      <c r="AA19" s="157"/>
      <c r="AB19" s="157"/>
      <c r="AC19" s="157"/>
      <c r="AD19" s="157"/>
    </row>
    <row r="20" spans="1:30">
      <c r="A20" s="164">
        <f t="shared" si="0"/>
        <v>15</v>
      </c>
      <c r="B20" s="155" t="s">
        <v>24</v>
      </c>
      <c r="C20" s="165">
        <v>0</v>
      </c>
      <c r="D20" s="165">
        <v>0</v>
      </c>
      <c r="E20" s="165">
        <v>0</v>
      </c>
      <c r="F20" s="165">
        <v>0</v>
      </c>
      <c r="G20" s="165">
        <v>0</v>
      </c>
      <c r="H20" s="165">
        <v>0</v>
      </c>
      <c r="I20" s="165">
        <v>0</v>
      </c>
      <c r="J20" s="165">
        <v>0</v>
      </c>
      <c r="K20" s="165">
        <v>0</v>
      </c>
      <c r="L20" s="165">
        <v>0</v>
      </c>
      <c r="M20" s="165">
        <v>0</v>
      </c>
      <c r="N20" s="165">
        <v>0</v>
      </c>
      <c r="O20" s="165">
        <v>0</v>
      </c>
      <c r="P20" s="165">
        <v>0</v>
      </c>
      <c r="Q20" s="165">
        <v>0</v>
      </c>
      <c r="R20" s="165">
        <f t="shared" si="1"/>
        <v>0</v>
      </c>
      <c r="V20" s="157"/>
      <c r="W20" s="157"/>
      <c r="X20" s="157"/>
      <c r="Y20" s="157"/>
      <c r="Z20" s="157"/>
      <c r="AA20" s="157"/>
      <c r="AB20" s="157"/>
      <c r="AC20" s="157"/>
      <c r="AD20" s="157"/>
    </row>
    <row r="21" spans="1:30">
      <c r="A21" s="164">
        <f t="shared" si="0"/>
        <v>16</v>
      </c>
      <c r="B21" s="155" t="s">
        <v>424</v>
      </c>
      <c r="C21" s="165">
        <v>0</v>
      </c>
      <c r="D21" s="165">
        <v>0</v>
      </c>
      <c r="E21" s="165">
        <v>0</v>
      </c>
      <c r="F21" s="165">
        <v>0</v>
      </c>
      <c r="G21" s="165">
        <v>0</v>
      </c>
      <c r="H21" s="165">
        <v>0</v>
      </c>
      <c r="I21" s="165">
        <v>0</v>
      </c>
      <c r="J21" s="165">
        <v>0</v>
      </c>
      <c r="K21" s="165">
        <v>0</v>
      </c>
      <c r="L21" s="165">
        <v>0</v>
      </c>
      <c r="M21" s="165">
        <v>0</v>
      </c>
      <c r="N21" s="165">
        <v>0</v>
      </c>
      <c r="O21" s="165">
        <v>0</v>
      </c>
      <c r="P21" s="165">
        <v>0</v>
      </c>
      <c r="Q21" s="165">
        <v>0</v>
      </c>
      <c r="R21" s="165">
        <f t="shared" si="1"/>
        <v>0</v>
      </c>
      <c r="V21" s="157"/>
      <c r="W21" s="157"/>
      <c r="X21" s="157"/>
      <c r="Y21" s="157"/>
      <c r="Z21" s="157"/>
      <c r="AA21" s="157"/>
      <c r="AB21" s="157"/>
      <c r="AC21" s="157"/>
      <c r="AD21" s="157"/>
    </row>
    <row r="22" spans="1:30">
      <c r="A22" s="164">
        <f t="shared" si="0"/>
        <v>17</v>
      </c>
      <c r="B22" s="155" t="s">
        <v>425</v>
      </c>
      <c r="C22" s="165">
        <v>0</v>
      </c>
      <c r="D22" s="165">
        <v>0</v>
      </c>
      <c r="E22" s="165">
        <f>'Adj List'!E9</f>
        <v>-133158.1275</v>
      </c>
      <c r="F22" s="165">
        <f>'Adj List'!E10</f>
        <v>-192048.66</v>
      </c>
      <c r="G22" s="165">
        <f>'Adj List'!E11</f>
        <v>-17829.309999999998</v>
      </c>
      <c r="H22" s="165">
        <f>'Adj List'!E12</f>
        <v>-8097.8555541966489</v>
      </c>
      <c r="I22" s="165">
        <f>'Adj List'!E13</f>
        <v>25000</v>
      </c>
      <c r="J22" s="165">
        <v>0</v>
      </c>
      <c r="K22" s="165">
        <v>0</v>
      </c>
      <c r="L22" s="165">
        <f>'Adj List'!E16</f>
        <v>123165.56299504926</v>
      </c>
      <c r="M22" s="165">
        <v>0</v>
      </c>
      <c r="N22" s="165">
        <f>'Adj List'!E18</f>
        <v>-2702.5599999999977</v>
      </c>
      <c r="O22" s="165">
        <f>'Adj List'!J18</f>
        <v>0</v>
      </c>
      <c r="P22" s="165">
        <f>'Adj List'!E20</f>
        <v>0</v>
      </c>
      <c r="Q22" s="165">
        <f>'Adj List'!E21</f>
        <v>0</v>
      </c>
      <c r="R22" s="165">
        <f t="shared" si="1"/>
        <v>-205670.95005914735</v>
      </c>
      <c r="V22" s="157"/>
      <c r="W22" s="157"/>
      <c r="X22" s="157"/>
      <c r="Y22" s="157"/>
      <c r="Z22" s="157"/>
      <c r="AA22" s="157"/>
      <c r="AB22" s="157"/>
      <c r="AC22" s="157"/>
      <c r="AD22" s="157"/>
    </row>
    <row r="23" spans="1:30">
      <c r="A23" s="164">
        <f t="shared" si="0"/>
        <v>18</v>
      </c>
      <c r="B23" s="160" t="s">
        <v>426</v>
      </c>
      <c r="C23" s="166">
        <f t="shared" ref="C23:N23" si="6">SUM(C14:C22)</f>
        <v>-6311733</v>
      </c>
      <c r="D23" s="166">
        <f t="shared" si="6"/>
        <v>-5387556</v>
      </c>
      <c r="E23" s="166">
        <f t="shared" si="6"/>
        <v>-133158.1275</v>
      </c>
      <c r="F23" s="166">
        <f t="shared" si="6"/>
        <v>-192048.66</v>
      </c>
      <c r="G23" s="166">
        <f t="shared" si="6"/>
        <v>-17829.309999999998</v>
      </c>
      <c r="H23" s="166">
        <f t="shared" si="6"/>
        <v>-8097.8555541966489</v>
      </c>
      <c r="I23" s="166">
        <f t="shared" si="6"/>
        <v>25000</v>
      </c>
      <c r="J23" s="166">
        <f t="shared" si="6"/>
        <v>0</v>
      </c>
      <c r="K23" s="166">
        <f t="shared" si="6"/>
        <v>155949.60999999999</v>
      </c>
      <c r="L23" s="166">
        <f t="shared" si="6"/>
        <v>123165.56299504926</v>
      </c>
      <c r="M23" s="166">
        <f t="shared" si="6"/>
        <v>0</v>
      </c>
      <c r="N23" s="166">
        <f t="shared" si="6"/>
        <v>-2702.5599999999977</v>
      </c>
      <c r="O23" s="166">
        <f t="shared" ref="O23" si="7">SUM(O14:O22)</f>
        <v>440429</v>
      </c>
      <c r="P23" s="166">
        <f t="shared" ref="P23" si="8">SUM(P14:P22)</f>
        <v>0</v>
      </c>
      <c r="Q23" s="166">
        <f t="shared" ref="Q23" si="9">SUM(Q14:Q22)</f>
        <v>0</v>
      </c>
      <c r="R23" s="166">
        <f t="shared" si="1"/>
        <v>-11308581.340059148</v>
      </c>
      <c r="V23" s="157"/>
      <c r="W23" s="157"/>
      <c r="X23" s="157"/>
      <c r="Y23" s="157"/>
      <c r="Z23" s="157"/>
      <c r="AA23" s="157"/>
      <c r="AB23" s="157"/>
      <c r="AC23" s="157"/>
      <c r="AD23" s="157"/>
    </row>
    <row r="24" spans="1:30">
      <c r="A24" s="164">
        <f t="shared" si="0"/>
        <v>19</v>
      </c>
      <c r="C24" s="167"/>
      <c r="D24" s="167"/>
      <c r="E24" s="167"/>
      <c r="F24" s="167"/>
      <c r="G24" s="167"/>
      <c r="H24" s="167"/>
      <c r="I24" s="167"/>
      <c r="J24" s="167"/>
      <c r="K24" s="167"/>
      <c r="L24" s="167"/>
      <c r="M24" s="167"/>
      <c r="N24" s="167"/>
      <c r="O24" s="167"/>
      <c r="P24" s="167"/>
      <c r="Q24" s="167"/>
      <c r="R24" s="167">
        <f t="shared" si="1"/>
        <v>0</v>
      </c>
      <c r="V24" s="157"/>
      <c r="W24" s="157"/>
      <c r="X24" s="157"/>
      <c r="Y24" s="157"/>
      <c r="Z24" s="157"/>
      <c r="AA24" s="157"/>
      <c r="AB24" s="157"/>
      <c r="AC24" s="157"/>
      <c r="AD24" s="157"/>
    </row>
    <row r="25" spans="1:30">
      <c r="A25" s="164">
        <f t="shared" si="0"/>
        <v>20</v>
      </c>
      <c r="B25" s="155" t="s">
        <v>55</v>
      </c>
      <c r="C25" s="165">
        <v>0</v>
      </c>
      <c r="D25" s="165">
        <v>0</v>
      </c>
      <c r="E25" s="165">
        <v>0</v>
      </c>
      <c r="F25" s="165">
        <v>0</v>
      </c>
      <c r="G25" s="165">
        <v>0</v>
      </c>
      <c r="H25" s="165">
        <v>0</v>
      </c>
      <c r="I25" s="165">
        <v>0</v>
      </c>
      <c r="J25" s="165">
        <v>0</v>
      </c>
      <c r="K25" s="165">
        <v>0</v>
      </c>
      <c r="L25" s="165">
        <v>0</v>
      </c>
      <c r="M25" s="165">
        <f>'Adj List'!E17</f>
        <v>144170.85480608902</v>
      </c>
      <c r="N25" s="165">
        <v>0</v>
      </c>
      <c r="O25" s="165">
        <v>0</v>
      </c>
      <c r="P25" s="165">
        <v>0</v>
      </c>
      <c r="Q25" s="165">
        <v>0</v>
      </c>
      <c r="R25" s="165">
        <f t="shared" si="1"/>
        <v>144170.85480608902</v>
      </c>
      <c r="V25" s="157"/>
      <c r="W25" s="157"/>
      <c r="X25" s="157"/>
      <c r="Y25" s="157"/>
      <c r="Z25" s="157"/>
      <c r="AA25" s="157"/>
      <c r="AB25" s="157"/>
      <c r="AC25" s="157"/>
      <c r="AD25" s="157"/>
    </row>
    <row r="26" spans="1:30">
      <c r="A26" s="164">
        <f t="shared" si="0"/>
        <v>21</v>
      </c>
      <c r="B26" s="155" t="s">
        <v>29</v>
      </c>
      <c r="C26" s="165">
        <v>0</v>
      </c>
      <c r="D26" s="165">
        <v>0</v>
      </c>
      <c r="E26" s="165">
        <v>0</v>
      </c>
      <c r="F26" s="165">
        <v>0</v>
      </c>
      <c r="G26" s="165">
        <v>0</v>
      </c>
      <c r="H26" s="165">
        <v>0</v>
      </c>
      <c r="I26" s="165">
        <v>0</v>
      </c>
      <c r="J26" s="165">
        <v>0</v>
      </c>
      <c r="K26" s="165">
        <v>0</v>
      </c>
      <c r="L26" s="165">
        <v>0</v>
      </c>
      <c r="M26" s="165">
        <v>0</v>
      </c>
      <c r="N26" s="165">
        <v>0</v>
      </c>
      <c r="O26" s="165">
        <v>0</v>
      </c>
      <c r="P26" s="165">
        <v>0</v>
      </c>
      <c r="Q26" s="165">
        <v>0</v>
      </c>
      <c r="R26" s="165">
        <f t="shared" si="1"/>
        <v>0</v>
      </c>
      <c r="V26" s="157"/>
      <c r="W26" s="157"/>
      <c r="X26" s="157"/>
      <c r="Y26" s="157"/>
      <c r="Z26" s="157"/>
      <c r="AA26" s="157"/>
      <c r="AB26" s="157"/>
      <c r="AC26" s="157"/>
      <c r="AD26" s="157"/>
    </row>
    <row r="27" spans="1:30">
      <c r="A27" s="164">
        <f t="shared" si="0"/>
        <v>22</v>
      </c>
      <c r="B27" s="155" t="s">
        <v>56</v>
      </c>
      <c r="C27" s="165">
        <v>0</v>
      </c>
      <c r="D27" s="165">
        <v>0</v>
      </c>
      <c r="E27" s="165">
        <v>0</v>
      </c>
      <c r="F27" s="165">
        <v>0</v>
      </c>
      <c r="G27" s="165">
        <v>0</v>
      </c>
      <c r="H27" s="165">
        <v>0</v>
      </c>
      <c r="I27" s="165">
        <v>0</v>
      </c>
      <c r="J27" s="165">
        <f>'Adj List'!E14</f>
        <v>398879.30999999994</v>
      </c>
      <c r="K27" s="165">
        <v>0</v>
      </c>
      <c r="L27" s="165">
        <v>0</v>
      </c>
      <c r="M27" s="165">
        <v>0</v>
      </c>
      <c r="N27" s="165">
        <v>0</v>
      </c>
      <c r="O27" s="165">
        <v>0</v>
      </c>
      <c r="P27" s="165">
        <v>0</v>
      </c>
      <c r="Q27" s="165">
        <v>0</v>
      </c>
      <c r="R27" s="165">
        <f t="shared" si="1"/>
        <v>398879.30999999994</v>
      </c>
      <c r="V27" s="157"/>
      <c r="W27" s="157"/>
      <c r="X27" s="157"/>
      <c r="Y27" s="157"/>
      <c r="Z27" s="157"/>
      <c r="AA27" s="157"/>
      <c r="AB27" s="157"/>
      <c r="AC27" s="157"/>
      <c r="AD27" s="157"/>
    </row>
    <row r="28" spans="1:30">
      <c r="A28" s="164">
        <f>(A27+1)</f>
        <v>23</v>
      </c>
      <c r="B28" s="155" t="s">
        <v>427</v>
      </c>
      <c r="C28" s="165">
        <v>0</v>
      </c>
      <c r="D28" s="165">
        <v>0</v>
      </c>
      <c r="E28" s="165">
        <v>0</v>
      </c>
      <c r="F28" s="165">
        <v>0</v>
      </c>
      <c r="G28" s="165">
        <v>0</v>
      </c>
      <c r="H28" s="165">
        <v>0</v>
      </c>
      <c r="I28" s="165">
        <v>0</v>
      </c>
      <c r="J28" s="165">
        <v>0</v>
      </c>
      <c r="K28" s="165">
        <v>0</v>
      </c>
      <c r="L28" s="165">
        <v>0</v>
      </c>
      <c r="M28" s="165">
        <v>0</v>
      </c>
      <c r="N28" s="165">
        <v>0</v>
      </c>
      <c r="O28" s="165">
        <v>0</v>
      </c>
      <c r="P28" s="165">
        <v>0</v>
      </c>
      <c r="Q28" s="165">
        <v>0</v>
      </c>
      <c r="R28" s="165">
        <f t="shared" si="1"/>
        <v>0</v>
      </c>
      <c r="V28" s="157"/>
      <c r="W28" s="157"/>
      <c r="X28" s="157"/>
      <c r="Y28" s="157"/>
      <c r="Z28" s="157"/>
      <c r="AA28" s="157"/>
      <c r="AB28" s="157"/>
      <c r="AC28" s="157"/>
      <c r="AD28" s="157"/>
    </row>
    <row r="29" spans="1:30">
      <c r="A29" s="164">
        <f>(A28+1)</f>
        <v>24</v>
      </c>
      <c r="B29" s="155" t="s">
        <v>32</v>
      </c>
      <c r="C29" s="165">
        <v>0</v>
      </c>
      <c r="D29" s="165">
        <v>0</v>
      </c>
      <c r="E29" s="165">
        <v>0</v>
      </c>
      <c r="F29" s="165">
        <v>0</v>
      </c>
      <c r="G29" s="165">
        <v>0</v>
      </c>
      <c r="H29" s="165">
        <v>0</v>
      </c>
      <c r="I29" s="165">
        <v>0</v>
      </c>
      <c r="J29" s="165">
        <v>0</v>
      </c>
      <c r="K29" s="165">
        <v>0</v>
      </c>
      <c r="L29" s="165">
        <v>0</v>
      </c>
      <c r="M29" s="165">
        <v>0</v>
      </c>
      <c r="N29" s="165">
        <v>0</v>
      </c>
      <c r="O29" s="165">
        <v>0</v>
      </c>
      <c r="P29" s="165">
        <v>0</v>
      </c>
      <c r="Q29" s="165">
        <v>0</v>
      </c>
      <c r="R29" s="165">
        <f t="shared" si="1"/>
        <v>0</v>
      </c>
      <c r="V29" s="157"/>
      <c r="W29" s="157"/>
      <c r="X29" s="157"/>
      <c r="Y29" s="157"/>
      <c r="Z29" s="157"/>
      <c r="AA29" s="157"/>
      <c r="AB29" s="157"/>
      <c r="AC29" s="157"/>
      <c r="AD29" s="157"/>
    </row>
    <row r="30" spans="1:30">
      <c r="A30" s="164">
        <f t="shared" si="0"/>
        <v>25</v>
      </c>
      <c r="B30" s="160" t="s">
        <v>33</v>
      </c>
      <c r="C30" s="166">
        <f t="shared" ref="C30:N30" si="10">SUM(C23:C29)</f>
        <v>-6311733</v>
      </c>
      <c r="D30" s="166">
        <f t="shared" si="10"/>
        <v>-5387556</v>
      </c>
      <c r="E30" s="166">
        <f t="shared" si="10"/>
        <v>-133158.1275</v>
      </c>
      <c r="F30" s="166">
        <f t="shared" si="10"/>
        <v>-192048.66</v>
      </c>
      <c r="G30" s="166">
        <f t="shared" si="10"/>
        <v>-17829.309999999998</v>
      </c>
      <c r="H30" s="166">
        <f t="shared" si="10"/>
        <v>-8097.8555541966489</v>
      </c>
      <c r="I30" s="166">
        <f t="shared" si="10"/>
        <v>25000</v>
      </c>
      <c r="J30" s="166">
        <f t="shared" si="10"/>
        <v>398879.30999999994</v>
      </c>
      <c r="K30" s="166">
        <f t="shared" si="10"/>
        <v>155949.60999999999</v>
      </c>
      <c r="L30" s="166">
        <f t="shared" si="10"/>
        <v>123165.56299504926</v>
      </c>
      <c r="M30" s="166">
        <f t="shared" si="10"/>
        <v>144170.85480608902</v>
      </c>
      <c r="N30" s="166">
        <f t="shared" si="10"/>
        <v>-2702.5599999999977</v>
      </c>
      <c r="O30" s="166">
        <f t="shared" ref="O30" si="11">SUM(O23:O29)</f>
        <v>440429</v>
      </c>
      <c r="P30" s="166">
        <f t="shared" ref="P30" si="12">SUM(P23:P29)</f>
        <v>0</v>
      </c>
      <c r="Q30" s="166">
        <f t="shared" ref="Q30" si="13">SUM(Q23:Q29)</f>
        <v>0</v>
      </c>
      <c r="R30" s="166">
        <f t="shared" si="1"/>
        <v>-10765531.175253058</v>
      </c>
      <c r="V30" s="157"/>
      <c r="W30" s="157"/>
      <c r="X30" s="157"/>
      <c r="Y30" s="157"/>
      <c r="Z30" s="157"/>
      <c r="AA30" s="157"/>
      <c r="AB30" s="157"/>
      <c r="AC30" s="157"/>
      <c r="AD30" s="157"/>
    </row>
    <row r="31" spans="1:30">
      <c r="A31" s="164">
        <f t="shared" si="0"/>
        <v>26</v>
      </c>
      <c r="C31" s="167"/>
      <c r="D31" s="167"/>
      <c r="E31" s="167"/>
      <c r="F31" s="167"/>
      <c r="G31" s="167"/>
      <c r="H31" s="167"/>
      <c r="I31" s="167"/>
      <c r="J31" s="167"/>
      <c r="K31" s="167"/>
      <c r="L31" s="167"/>
      <c r="M31" s="167"/>
      <c r="N31" s="167"/>
      <c r="O31" s="167"/>
      <c r="P31" s="167"/>
      <c r="Q31" s="167"/>
      <c r="R31" s="167">
        <f t="shared" si="1"/>
        <v>0</v>
      </c>
      <c r="V31" s="157"/>
      <c r="W31" s="157"/>
      <c r="X31" s="157"/>
      <c r="Y31" s="157"/>
      <c r="Z31" s="157"/>
      <c r="AA31" s="157"/>
      <c r="AB31" s="157"/>
      <c r="AC31" s="157"/>
      <c r="AD31" s="157"/>
    </row>
    <row r="32" spans="1:30">
      <c r="A32" s="164">
        <f t="shared" si="0"/>
        <v>27</v>
      </c>
      <c r="B32" s="155" t="s">
        <v>34</v>
      </c>
      <c r="C32" s="165">
        <f t="shared" ref="C32:N32" si="14">(+C11-C30)</f>
        <v>-4908.160000000149</v>
      </c>
      <c r="D32" s="165">
        <f t="shared" si="14"/>
        <v>0.17999999970197678</v>
      </c>
      <c r="E32" s="165">
        <f t="shared" si="14"/>
        <v>133158.1275</v>
      </c>
      <c r="F32" s="165">
        <f t="shared" si="14"/>
        <v>192048.66</v>
      </c>
      <c r="G32" s="165">
        <f t="shared" si="14"/>
        <v>17829.309999999998</v>
      </c>
      <c r="H32" s="165">
        <f t="shared" si="14"/>
        <v>8097.8555541966489</v>
      </c>
      <c r="I32" s="165">
        <f t="shared" si="14"/>
        <v>-25000</v>
      </c>
      <c r="J32" s="165">
        <f t="shared" si="14"/>
        <v>-398879.30999999994</v>
      </c>
      <c r="K32" s="165">
        <f t="shared" si="14"/>
        <v>92579.520000000019</v>
      </c>
      <c r="L32" s="165">
        <f t="shared" si="14"/>
        <v>-123165.56299504926</v>
      </c>
      <c r="M32" s="165">
        <f t="shared" si="14"/>
        <v>-144170.85480608902</v>
      </c>
      <c r="N32" s="165">
        <f t="shared" si="14"/>
        <v>2702.5599999999977</v>
      </c>
      <c r="O32" s="165">
        <f t="shared" ref="O32" si="15">(+O11-O30)</f>
        <v>-440429</v>
      </c>
      <c r="P32" s="165">
        <f t="shared" ref="P32:Q32" si="16">(+P11-P30)</f>
        <v>0</v>
      </c>
      <c r="Q32" s="165">
        <f t="shared" si="16"/>
        <v>0</v>
      </c>
      <c r="R32" s="165">
        <f t="shared" si="1"/>
        <v>-690136.67474694201</v>
      </c>
      <c r="V32" s="157"/>
      <c r="W32" s="157"/>
      <c r="X32" s="157"/>
      <c r="Y32" s="157"/>
      <c r="Z32" s="157"/>
      <c r="AA32" s="157"/>
      <c r="AB32" s="157"/>
      <c r="AC32" s="157"/>
      <c r="AD32" s="157"/>
    </row>
    <row r="33" spans="1:30">
      <c r="A33" s="164">
        <f t="shared" si="0"/>
        <v>28</v>
      </c>
      <c r="C33" s="167"/>
      <c r="D33" s="167"/>
      <c r="E33" s="167"/>
      <c r="F33" s="167"/>
      <c r="G33" s="167"/>
      <c r="H33" s="167"/>
      <c r="I33" s="167"/>
      <c r="J33" s="167"/>
      <c r="K33" s="167"/>
      <c r="L33" s="167"/>
      <c r="M33" s="167"/>
      <c r="N33" s="167"/>
      <c r="O33" s="167"/>
      <c r="P33" s="167"/>
      <c r="Q33" s="167"/>
      <c r="R33" s="167">
        <f t="shared" si="1"/>
        <v>0</v>
      </c>
      <c r="V33" s="157"/>
      <c r="W33" s="157"/>
      <c r="X33" s="157"/>
      <c r="Y33" s="157"/>
      <c r="Z33" s="157"/>
      <c r="AA33" s="157"/>
      <c r="AB33" s="157"/>
      <c r="AC33" s="157"/>
      <c r="AD33" s="157"/>
    </row>
    <row r="34" spans="1:30">
      <c r="A34" s="164">
        <f t="shared" si="0"/>
        <v>29</v>
      </c>
      <c r="B34" s="155" t="s">
        <v>35</v>
      </c>
      <c r="C34" s="165">
        <v>0</v>
      </c>
      <c r="D34" s="165">
        <v>0</v>
      </c>
      <c r="E34" s="165">
        <v>0</v>
      </c>
      <c r="F34" s="165">
        <v>0</v>
      </c>
      <c r="G34" s="165">
        <v>0</v>
      </c>
      <c r="H34" s="165">
        <v>0</v>
      </c>
      <c r="I34" s="165">
        <v>0</v>
      </c>
      <c r="J34" s="165">
        <v>0</v>
      </c>
      <c r="K34" s="165">
        <v>0</v>
      </c>
      <c r="L34" s="165">
        <v>0</v>
      </c>
      <c r="M34" s="165">
        <v>0</v>
      </c>
      <c r="N34" s="165">
        <v>0</v>
      </c>
      <c r="O34" s="165">
        <v>0</v>
      </c>
      <c r="P34" s="165">
        <v>0</v>
      </c>
      <c r="Q34" s="165">
        <v>0</v>
      </c>
      <c r="R34" s="165">
        <f t="shared" si="1"/>
        <v>0</v>
      </c>
      <c r="V34" s="157"/>
      <c r="W34" s="157"/>
      <c r="X34" s="157"/>
      <c r="Y34" s="157"/>
      <c r="Z34" s="157"/>
      <c r="AA34" s="157"/>
      <c r="AB34" s="157"/>
      <c r="AC34" s="157"/>
      <c r="AD34" s="157"/>
    </row>
    <row r="35" spans="1:30">
      <c r="A35" s="164">
        <f t="shared" si="0"/>
        <v>30</v>
      </c>
      <c r="B35" s="155" t="s">
        <v>38</v>
      </c>
      <c r="C35" s="165">
        <v>0</v>
      </c>
      <c r="D35" s="165">
        <v>0</v>
      </c>
      <c r="E35" s="165">
        <v>0</v>
      </c>
      <c r="F35" s="165">
        <v>0</v>
      </c>
      <c r="G35" s="165">
        <v>0</v>
      </c>
      <c r="H35" s="165">
        <v>0</v>
      </c>
      <c r="I35" s="165">
        <v>0</v>
      </c>
      <c r="J35" s="165">
        <v>0</v>
      </c>
      <c r="K35" s="165">
        <v>0</v>
      </c>
      <c r="L35" s="165">
        <v>0</v>
      </c>
      <c r="M35" s="165">
        <v>0</v>
      </c>
      <c r="N35" s="165">
        <v>0</v>
      </c>
      <c r="O35" s="165">
        <v>0</v>
      </c>
      <c r="P35" s="165">
        <v>0</v>
      </c>
      <c r="Q35" s="165">
        <v>0</v>
      </c>
      <c r="R35" s="165">
        <f t="shared" si="1"/>
        <v>0</v>
      </c>
      <c r="V35" s="157"/>
      <c r="W35" s="157"/>
      <c r="X35" s="157"/>
      <c r="Y35" s="157"/>
      <c r="Z35" s="157"/>
      <c r="AA35" s="157"/>
      <c r="AB35" s="157"/>
      <c r="AC35" s="157"/>
      <c r="AD35" s="157"/>
    </row>
    <row r="36" spans="1:30">
      <c r="A36" s="164">
        <f t="shared" si="0"/>
        <v>31</v>
      </c>
      <c r="B36" s="155" t="s">
        <v>39</v>
      </c>
      <c r="C36" s="165">
        <v>0</v>
      </c>
      <c r="D36" s="165">
        <v>0</v>
      </c>
      <c r="E36" s="165">
        <v>0</v>
      </c>
      <c r="F36" s="165">
        <v>0</v>
      </c>
      <c r="G36" s="165">
        <v>0</v>
      </c>
      <c r="H36" s="165">
        <v>0</v>
      </c>
      <c r="I36" s="165">
        <v>0</v>
      </c>
      <c r="J36" s="165">
        <v>0</v>
      </c>
      <c r="K36" s="165">
        <v>0</v>
      </c>
      <c r="L36" s="165">
        <v>0</v>
      </c>
      <c r="M36" s="165">
        <v>0</v>
      </c>
      <c r="N36" s="165">
        <v>0</v>
      </c>
      <c r="O36" s="165">
        <v>0</v>
      </c>
      <c r="P36" s="165">
        <f>'Adj List'!F20</f>
        <v>-1395150</v>
      </c>
      <c r="Q36" s="165">
        <v>0</v>
      </c>
      <c r="R36" s="165">
        <f t="shared" si="1"/>
        <v>-1395150</v>
      </c>
      <c r="V36" s="157"/>
      <c r="W36" s="157"/>
      <c r="X36" s="157"/>
      <c r="Y36" s="157"/>
      <c r="Z36" s="157"/>
      <c r="AA36" s="157"/>
      <c r="AB36" s="157"/>
      <c r="AC36" s="157"/>
      <c r="AD36" s="157"/>
    </row>
    <row r="37" spans="1:30">
      <c r="A37" s="164">
        <f t="shared" si="0"/>
        <v>32</v>
      </c>
      <c r="B37" s="155" t="s">
        <v>40</v>
      </c>
      <c r="C37" s="165">
        <v>0</v>
      </c>
      <c r="D37" s="165">
        <v>0</v>
      </c>
      <c r="E37" s="165">
        <v>0</v>
      </c>
      <c r="F37" s="165">
        <v>0</v>
      </c>
      <c r="G37" s="165">
        <v>0</v>
      </c>
      <c r="H37" s="165">
        <v>0</v>
      </c>
      <c r="I37" s="165">
        <v>0</v>
      </c>
      <c r="J37" s="165">
        <v>0</v>
      </c>
      <c r="K37" s="165">
        <v>0</v>
      </c>
      <c r="L37" s="165">
        <v>0</v>
      </c>
      <c r="M37" s="165">
        <v>0</v>
      </c>
      <c r="N37" s="165">
        <v>0</v>
      </c>
      <c r="O37" s="165">
        <v>0</v>
      </c>
      <c r="P37" s="165">
        <v>0</v>
      </c>
      <c r="Q37" s="165">
        <v>0</v>
      </c>
      <c r="R37" s="165">
        <f t="shared" si="1"/>
        <v>0</v>
      </c>
      <c r="V37" s="157"/>
      <c r="W37" s="157"/>
      <c r="X37" s="157"/>
      <c r="Y37" s="157"/>
      <c r="Z37" s="157"/>
      <c r="AA37" s="157"/>
      <c r="AB37" s="157"/>
      <c r="AC37" s="157"/>
      <c r="AD37" s="157"/>
    </row>
    <row r="38" spans="1:30">
      <c r="A38" s="164">
        <f t="shared" si="0"/>
        <v>33</v>
      </c>
      <c r="B38" s="160" t="s">
        <v>428</v>
      </c>
      <c r="C38" s="166">
        <f t="shared" ref="C38:N38" si="17">SUM(C34:C37)</f>
        <v>0</v>
      </c>
      <c r="D38" s="166">
        <f t="shared" si="17"/>
        <v>0</v>
      </c>
      <c r="E38" s="166">
        <f t="shared" si="17"/>
        <v>0</v>
      </c>
      <c r="F38" s="166">
        <f t="shared" si="17"/>
        <v>0</v>
      </c>
      <c r="G38" s="166">
        <f t="shared" si="17"/>
        <v>0</v>
      </c>
      <c r="H38" s="166">
        <f t="shared" si="17"/>
        <v>0</v>
      </c>
      <c r="I38" s="166">
        <f t="shared" si="17"/>
        <v>0</v>
      </c>
      <c r="J38" s="166">
        <f t="shared" si="17"/>
        <v>0</v>
      </c>
      <c r="K38" s="166">
        <f t="shared" si="17"/>
        <v>0</v>
      </c>
      <c r="L38" s="166">
        <f t="shared" si="17"/>
        <v>0</v>
      </c>
      <c r="M38" s="166">
        <f t="shared" si="17"/>
        <v>0</v>
      </c>
      <c r="N38" s="166">
        <f t="shared" si="17"/>
        <v>0</v>
      </c>
      <c r="O38" s="166">
        <f t="shared" ref="O38" si="18">SUM(O34:O37)</f>
        <v>0</v>
      </c>
      <c r="P38" s="166">
        <f t="shared" ref="P38" si="19">SUM(P34:P37)</f>
        <v>-1395150</v>
      </c>
      <c r="Q38" s="166">
        <f t="shared" ref="Q38" si="20">SUM(Q34:Q37)</f>
        <v>0</v>
      </c>
      <c r="R38" s="166">
        <f t="shared" si="1"/>
        <v>-1395150</v>
      </c>
      <c r="V38" s="157"/>
      <c r="W38" s="157"/>
      <c r="X38" s="157"/>
      <c r="Y38" s="157"/>
      <c r="Z38" s="157"/>
      <c r="AA38" s="157"/>
      <c r="AB38" s="157"/>
      <c r="AC38" s="157"/>
      <c r="AD38" s="157"/>
    </row>
    <row r="39" spans="1:30">
      <c r="A39" s="164">
        <f t="shared" si="0"/>
        <v>34</v>
      </c>
      <c r="C39" s="165"/>
      <c r="D39" s="165"/>
      <c r="E39" s="165"/>
      <c r="F39" s="165"/>
      <c r="G39" s="165"/>
      <c r="H39" s="165"/>
      <c r="I39" s="165"/>
      <c r="J39" s="165"/>
      <c r="K39" s="165"/>
      <c r="L39" s="165"/>
      <c r="M39" s="165"/>
      <c r="N39" s="165"/>
      <c r="O39" s="165"/>
      <c r="P39" s="165"/>
      <c r="Q39" s="165"/>
      <c r="R39" s="165">
        <f t="shared" si="1"/>
        <v>0</v>
      </c>
      <c r="V39" s="157"/>
      <c r="W39" s="157"/>
      <c r="X39" s="157"/>
      <c r="Y39" s="157"/>
      <c r="Z39" s="157"/>
      <c r="AA39" s="157"/>
      <c r="AB39" s="157"/>
      <c r="AC39" s="157"/>
      <c r="AD39" s="157"/>
    </row>
    <row r="40" spans="1:30" ht="14.4" thickBot="1">
      <c r="A40" s="164">
        <f t="shared" si="0"/>
        <v>35</v>
      </c>
      <c r="B40" s="161" t="s">
        <v>41</v>
      </c>
      <c r="C40" s="168">
        <f t="shared" ref="C40:N40" si="21">+C32+C38</f>
        <v>-4908.160000000149</v>
      </c>
      <c r="D40" s="168">
        <f t="shared" si="21"/>
        <v>0.17999999970197678</v>
      </c>
      <c r="E40" s="168">
        <f t="shared" si="21"/>
        <v>133158.1275</v>
      </c>
      <c r="F40" s="168">
        <f t="shared" si="21"/>
        <v>192048.66</v>
      </c>
      <c r="G40" s="168">
        <f t="shared" si="21"/>
        <v>17829.309999999998</v>
      </c>
      <c r="H40" s="168">
        <f t="shared" si="21"/>
        <v>8097.8555541966489</v>
      </c>
      <c r="I40" s="168">
        <f t="shared" si="21"/>
        <v>-25000</v>
      </c>
      <c r="J40" s="168">
        <f t="shared" si="21"/>
        <v>-398879.30999999994</v>
      </c>
      <c r="K40" s="168">
        <f t="shared" si="21"/>
        <v>92579.520000000019</v>
      </c>
      <c r="L40" s="168">
        <f t="shared" si="21"/>
        <v>-123165.56299504926</v>
      </c>
      <c r="M40" s="168">
        <f t="shared" si="21"/>
        <v>-144170.85480608902</v>
      </c>
      <c r="N40" s="168">
        <f t="shared" si="21"/>
        <v>2702.5599999999977</v>
      </c>
      <c r="O40" s="168">
        <f t="shared" ref="O40" si="22">+O32+O38</f>
        <v>-440429</v>
      </c>
      <c r="P40" s="168">
        <f t="shared" ref="P40" si="23">+P32+P38</f>
        <v>-1395150</v>
      </c>
      <c r="Q40" s="168">
        <f t="shared" ref="Q40" si="24">+Q32+Q38</f>
        <v>0</v>
      </c>
      <c r="R40" s="168">
        <f t="shared" si="1"/>
        <v>-2085286.674746942</v>
      </c>
      <c r="V40" s="157"/>
      <c r="W40" s="157"/>
      <c r="X40" s="157"/>
      <c r="Y40" s="157"/>
      <c r="Z40" s="157"/>
      <c r="AA40" s="157"/>
      <c r="AB40" s="157"/>
      <c r="AC40" s="157"/>
      <c r="AD40" s="157"/>
    </row>
    <row r="41" spans="1:30" ht="14.4" thickTop="1">
      <c r="C41" s="157"/>
      <c r="D41" s="157"/>
      <c r="E41" s="157"/>
      <c r="F41" s="157"/>
      <c r="G41" s="157"/>
      <c r="H41" s="157"/>
      <c r="I41" s="157"/>
      <c r="J41" s="157"/>
      <c r="K41" s="157"/>
      <c r="L41" s="157"/>
      <c r="M41" s="157"/>
      <c r="N41" s="157"/>
      <c r="O41" s="157"/>
      <c r="P41" s="157"/>
      <c r="Q41" s="157"/>
      <c r="R41" s="157"/>
      <c r="V41" s="157"/>
      <c r="W41" s="157"/>
      <c r="X41" s="157"/>
      <c r="Y41" s="157"/>
      <c r="Z41" s="157"/>
      <c r="AA41" s="157"/>
      <c r="AB41" s="157"/>
      <c r="AC41" s="157"/>
      <c r="AD41" s="157"/>
    </row>
    <row r="42" spans="1:30">
      <c r="C42" s="157"/>
      <c r="D42" s="157"/>
      <c r="E42" s="157"/>
      <c r="F42" s="157"/>
      <c r="G42" s="157"/>
      <c r="H42" s="157"/>
      <c r="I42" s="157"/>
      <c r="J42" s="157"/>
      <c r="K42" s="157"/>
      <c r="L42" s="157"/>
      <c r="M42" s="157"/>
      <c r="N42" s="157"/>
      <c r="O42" s="157"/>
      <c r="P42" s="157"/>
      <c r="Q42" s="157"/>
      <c r="R42" s="157"/>
      <c r="V42" s="157"/>
      <c r="W42" s="157"/>
      <c r="X42" s="157"/>
      <c r="Y42" s="157"/>
      <c r="Z42" s="157"/>
      <c r="AA42" s="157"/>
      <c r="AB42" s="157"/>
      <c r="AC42" s="157"/>
      <c r="AD42" s="157"/>
    </row>
    <row r="43" spans="1:30" ht="18" customHeight="1">
      <c r="T43" s="376"/>
      <c r="U43" s="376"/>
    </row>
    <row r="44" spans="1:30" ht="18" customHeight="1">
      <c r="C44" s="157"/>
      <c r="D44" s="157"/>
      <c r="E44" s="157"/>
      <c r="F44" s="157"/>
      <c r="G44" s="157"/>
      <c r="H44" s="157"/>
      <c r="I44" s="157"/>
      <c r="J44" s="157"/>
      <c r="K44" s="157"/>
      <c r="L44" s="157"/>
      <c r="M44" s="157"/>
      <c r="N44" s="157"/>
      <c r="O44" s="157"/>
      <c r="P44" s="157"/>
      <c r="Q44" s="157"/>
      <c r="R44" s="157"/>
      <c r="T44" s="157"/>
      <c r="U44" s="157"/>
    </row>
    <row r="45" spans="1:30" ht="18" customHeight="1">
      <c r="C45" s="157"/>
      <c r="D45" s="157"/>
      <c r="E45" s="157"/>
      <c r="F45" s="157"/>
      <c r="G45" s="157"/>
      <c r="H45" s="157"/>
      <c r="I45" s="157"/>
      <c r="J45" s="157"/>
      <c r="K45" s="157"/>
      <c r="L45" s="157"/>
      <c r="M45" s="157"/>
      <c r="N45" s="157"/>
      <c r="O45" s="157"/>
      <c r="P45" s="157"/>
      <c r="Q45" s="157"/>
      <c r="R45" s="157"/>
      <c r="T45" s="157"/>
      <c r="U45" s="157"/>
    </row>
    <row r="46" spans="1:30" ht="18" customHeight="1">
      <c r="C46" s="157"/>
      <c r="D46" s="157"/>
      <c r="E46" s="157"/>
      <c r="F46" s="157"/>
      <c r="G46" s="157"/>
      <c r="H46" s="157"/>
      <c r="I46" s="157"/>
      <c r="J46" s="157"/>
      <c r="K46" s="157"/>
      <c r="L46" s="157"/>
      <c r="M46" s="157"/>
      <c r="N46" s="157"/>
      <c r="O46" s="157"/>
      <c r="P46" s="157"/>
      <c r="Q46" s="157"/>
      <c r="R46" s="157"/>
      <c r="T46" s="157"/>
      <c r="U46" s="157"/>
    </row>
    <row r="47" spans="1:30" ht="18" customHeight="1">
      <c r="C47" s="157"/>
      <c r="D47" s="157"/>
      <c r="E47" s="157"/>
      <c r="F47" s="157"/>
      <c r="G47" s="157"/>
      <c r="H47" s="157"/>
      <c r="I47" s="157"/>
      <c r="J47" s="157"/>
      <c r="K47" s="157"/>
      <c r="L47" s="157"/>
      <c r="M47" s="157"/>
      <c r="N47" s="157"/>
      <c r="O47" s="157"/>
      <c r="P47" s="157"/>
      <c r="Q47" s="157"/>
      <c r="R47" s="157"/>
      <c r="T47" s="157"/>
      <c r="U47" s="157"/>
    </row>
    <row r="48" spans="1:30" ht="18" customHeight="1"/>
    <row r="49" ht="18" customHeight="1"/>
  </sheetData>
  <mergeCells count="1">
    <mergeCell ref="T43:U43"/>
  </mergeCells>
  <printOptions horizontalCentered="1"/>
  <pageMargins left="0.25" right="0.25" top="0.75" bottom="0.75" header="0.3" footer="0.3"/>
  <pageSetup scale="58" orientation="landscape" r:id="rId1"/>
  <headerFooter>
    <oddFooter>&amp;RExhibit  JW-2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4"/>
  <sheetViews>
    <sheetView view="pageBreakPreview" zoomScale="75" zoomScaleNormal="100" zoomScaleSheetLayoutView="75" workbookViewId="0">
      <selection activeCell="S33" sqref="S33"/>
    </sheetView>
  </sheetViews>
  <sheetFormatPr defaultColWidth="9.109375" defaultRowHeight="13.2"/>
  <cols>
    <col min="1" max="1" width="5.88671875" style="2" customWidth="1"/>
    <col min="2" max="2" width="11.6640625" style="2" customWidth="1"/>
    <col min="3" max="3" width="10.88671875" style="2" customWidth="1"/>
    <col min="4" max="4" width="15.33203125" style="2" customWidth="1"/>
    <col min="5" max="5" width="3.33203125" style="2" customWidth="1"/>
    <col min="6" max="6" width="15.6640625" style="2" customWidth="1"/>
    <col min="7" max="16384" width="9.109375" style="2"/>
  </cols>
  <sheetData>
    <row r="1" spans="1:13">
      <c r="E1" s="20"/>
      <c r="F1" s="20" t="s">
        <v>456</v>
      </c>
    </row>
    <row r="2" spans="1:13" ht="20.25" customHeight="1">
      <c r="E2" s="20"/>
      <c r="F2" s="20"/>
    </row>
    <row r="3" spans="1:13">
      <c r="E3" s="20"/>
      <c r="F3" s="20"/>
    </row>
    <row r="4" spans="1:13">
      <c r="A4" s="377" t="s">
        <v>521</v>
      </c>
      <c r="B4" s="377"/>
      <c r="C4" s="377"/>
      <c r="D4" s="377"/>
      <c r="E4" s="377"/>
      <c r="F4" s="377"/>
      <c r="H4" s="193"/>
      <c r="I4" s="193"/>
      <c r="J4" s="193"/>
      <c r="K4" s="193"/>
      <c r="L4" s="193"/>
      <c r="M4" s="193"/>
    </row>
    <row r="5" spans="1:13">
      <c r="A5" s="377" t="s">
        <v>522</v>
      </c>
      <c r="B5" s="377"/>
      <c r="C5" s="377"/>
      <c r="D5" s="377"/>
      <c r="E5" s="377"/>
      <c r="F5" s="377"/>
    </row>
    <row r="7" spans="1:13" s="21" customFormat="1" ht="15" customHeight="1">
      <c r="A7" s="378" t="s">
        <v>520</v>
      </c>
      <c r="B7" s="378"/>
      <c r="C7" s="378"/>
      <c r="D7" s="378"/>
      <c r="E7" s="378"/>
      <c r="F7" s="378"/>
    </row>
    <row r="9" spans="1:13">
      <c r="A9" s="4" t="s">
        <v>7</v>
      </c>
      <c r="B9" s="4" t="s">
        <v>94</v>
      </c>
      <c r="C9" s="4" t="s">
        <v>65</v>
      </c>
      <c r="D9" s="4" t="s">
        <v>49</v>
      </c>
      <c r="E9" s="4"/>
      <c r="F9" s="4" t="s">
        <v>50</v>
      </c>
    </row>
    <row r="10" spans="1:13">
      <c r="A10" s="22" t="s">
        <v>11</v>
      </c>
      <c r="B10" s="23" t="s">
        <v>95</v>
      </c>
      <c r="C10" s="23" t="s">
        <v>96</v>
      </c>
      <c r="D10" s="23" t="s">
        <v>97</v>
      </c>
      <c r="E10" s="23"/>
      <c r="F10" s="23" t="s">
        <v>12</v>
      </c>
    </row>
    <row r="11" spans="1:13">
      <c r="A11" s="4"/>
    </row>
    <row r="12" spans="1:13">
      <c r="A12" s="4"/>
    </row>
    <row r="13" spans="1:13">
      <c r="A13" s="4">
        <v>1</v>
      </c>
      <c r="B13" s="4">
        <v>2022</v>
      </c>
      <c r="C13" s="24" t="s">
        <v>67</v>
      </c>
      <c r="D13" s="25">
        <v>420255.11</v>
      </c>
      <c r="E13" s="25"/>
      <c r="F13" s="25">
        <v>420313</v>
      </c>
      <c r="I13" s="33"/>
    </row>
    <row r="14" spans="1:13">
      <c r="A14" s="4">
        <v>2</v>
      </c>
      <c r="B14" s="4">
        <f>B13</f>
        <v>2022</v>
      </c>
      <c r="C14" s="24" t="s">
        <v>68</v>
      </c>
      <c r="D14" s="25">
        <v>441161.25999999995</v>
      </c>
      <c r="E14" s="25"/>
      <c r="F14" s="25">
        <v>436733</v>
      </c>
      <c r="I14" s="33"/>
    </row>
    <row r="15" spans="1:13">
      <c r="A15" s="4">
        <v>3</v>
      </c>
      <c r="B15" s="4">
        <f t="shared" ref="B15:B24" si="0">B14</f>
        <v>2022</v>
      </c>
      <c r="C15" s="24" t="s">
        <v>69</v>
      </c>
      <c r="D15" s="25">
        <v>399657.96</v>
      </c>
      <c r="E15" s="25"/>
      <c r="F15" s="25">
        <v>399672</v>
      </c>
      <c r="I15" s="33"/>
    </row>
    <row r="16" spans="1:13">
      <c r="A16" s="4">
        <v>4</v>
      </c>
      <c r="B16" s="4">
        <f t="shared" si="0"/>
        <v>2022</v>
      </c>
      <c r="C16" s="24" t="s">
        <v>70</v>
      </c>
      <c r="D16" s="25">
        <v>264505.56</v>
      </c>
      <c r="E16" s="25"/>
      <c r="F16" s="25">
        <v>264101</v>
      </c>
      <c r="I16" s="33"/>
    </row>
    <row r="17" spans="1:9">
      <c r="A17" s="4">
        <v>5</v>
      </c>
      <c r="B17" s="4">
        <f t="shared" si="0"/>
        <v>2022</v>
      </c>
      <c r="C17" s="24" t="s">
        <v>59</v>
      </c>
      <c r="D17" s="25">
        <v>259457.25</v>
      </c>
      <c r="E17" s="25"/>
      <c r="F17" s="25">
        <v>258726</v>
      </c>
      <c r="I17" s="33"/>
    </row>
    <row r="18" spans="1:9">
      <c r="A18" s="4">
        <v>6</v>
      </c>
      <c r="B18" s="4">
        <f t="shared" si="0"/>
        <v>2022</v>
      </c>
      <c r="C18" s="24" t="s">
        <v>71</v>
      </c>
      <c r="D18" s="25">
        <v>381811.23</v>
      </c>
      <c r="E18" s="25"/>
      <c r="F18" s="25">
        <v>381811</v>
      </c>
      <c r="I18" s="33"/>
    </row>
    <row r="19" spans="1:9">
      <c r="A19" s="4">
        <v>7</v>
      </c>
      <c r="B19" s="4">
        <f t="shared" si="0"/>
        <v>2022</v>
      </c>
      <c r="C19" s="24" t="s">
        <v>72</v>
      </c>
      <c r="D19" s="25">
        <v>745600.51</v>
      </c>
      <c r="E19" s="25"/>
      <c r="F19" s="25">
        <v>746723</v>
      </c>
      <c r="I19" s="33"/>
    </row>
    <row r="20" spans="1:9">
      <c r="A20" s="4">
        <v>8</v>
      </c>
      <c r="B20" s="4">
        <f t="shared" si="0"/>
        <v>2022</v>
      </c>
      <c r="C20" s="24" t="s">
        <v>73</v>
      </c>
      <c r="D20" s="25">
        <v>647505.71000000008</v>
      </c>
      <c r="E20" s="25"/>
      <c r="F20" s="25">
        <v>647010</v>
      </c>
      <c r="I20" s="33"/>
    </row>
    <row r="21" spans="1:9">
      <c r="A21" s="4">
        <v>9</v>
      </c>
      <c r="B21" s="4">
        <f t="shared" si="0"/>
        <v>2022</v>
      </c>
      <c r="C21" s="24" t="s">
        <v>74</v>
      </c>
      <c r="D21" s="25">
        <v>705748</v>
      </c>
      <c r="E21" s="25"/>
      <c r="F21" s="25">
        <v>705748</v>
      </c>
      <c r="I21" s="33"/>
    </row>
    <row r="22" spans="1:9">
      <c r="A22" s="4">
        <v>10</v>
      </c>
      <c r="B22" s="4">
        <f t="shared" si="0"/>
        <v>2022</v>
      </c>
      <c r="C22" s="24" t="s">
        <v>75</v>
      </c>
      <c r="D22" s="25">
        <v>717040.2</v>
      </c>
      <c r="E22" s="25"/>
      <c r="F22" s="25">
        <v>717039</v>
      </c>
      <c r="I22" s="33"/>
    </row>
    <row r="23" spans="1:9">
      <c r="A23" s="4">
        <v>11</v>
      </c>
      <c r="B23" s="4">
        <f t="shared" si="0"/>
        <v>2022</v>
      </c>
      <c r="C23" s="24" t="s">
        <v>76</v>
      </c>
      <c r="D23" s="25">
        <v>592270.75999999989</v>
      </c>
      <c r="E23" s="25"/>
      <c r="F23" s="25">
        <v>592243</v>
      </c>
      <c r="I23" s="33"/>
    </row>
    <row r="24" spans="1:9">
      <c r="A24" s="4">
        <v>12</v>
      </c>
      <c r="B24" s="4">
        <f t="shared" si="0"/>
        <v>2022</v>
      </c>
      <c r="C24" s="24" t="s">
        <v>77</v>
      </c>
      <c r="D24" s="25">
        <v>741627.60999999987</v>
      </c>
      <c r="E24" s="25"/>
      <c r="F24" s="25">
        <v>741614</v>
      </c>
      <c r="I24" s="33"/>
    </row>
    <row r="25" spans="1:9">
      <c r="A25" s="4">
        <v>13</v>
      </c>
      <c r="B25" s="9"/>
      <c r="C25" s="26" t="s">
        <v>66</v>
      </c>
      <c r="D25" s="139">
        <f>SUM(D13:D24)</f>
        <v>6316641.1600000001</v>
      </c>
      <c r="E25" s="139"/>
      <c r="F25" s="139">
        <f>SUM(F13:F24)</f>
        <v>6311733</v>
      </c>
    </row>
    <row r="26" spans="1:9">
      <c r="A26" s="4">
        <v>14</v>
      </c>
      <c r="C26" s="31"/>
      <c r="D26" s="27"/>
      <c r="E26" s="27"/>
    </row>
    <row r="27" spans="1:9">
      <c r="A27" s="4">
        <v>15</v>
      </c>
      <c r="B27" s="31" t="s">
        <v>83</v>
      </c>
      <c r="C27" s="31"/>
      <c r="D27" s="32">
        <f>D25</f>
        <v>6316641.1600000001</v>
      </c>
      <c r="E27" s="32"/>
      <c r="F27" s="32">
        <f>F25</f>
        <v>6311733</v>
      </c>
    </row>
    <row r="28" spans="1:9">
      <c r="A28" s="4">
        <v>16</v>
      </c>
      <c r="B28" s="31"/>
      <c r="C28" s="31"/>
      <c r="D28" s="27"/>
      <c r="E28" s="27"/>
    </row>
    <row r="29" spans="1:9">
      <c r="A29" s="4">
        <v>17</v>
      </c>
      <c r="B29" s="31" t="s">
        <v>114</v>
      </c>
      <c r="D29" s="25">
        <v>0</v>
      </c>
      <c r="E29" s="25"/>
      <c r="F29" s="25">
        <v>0</v>
      </c>
    </row>
    <row r="30" spans="1:9">
      <c r="A30" s="4">
        <v>18</v>
      </c>
      <c r="B30" s="31"/>
    </row>
    <row r="31" spans="1:9" ht="13.8" thickBot="1">
      <c r="A31" s="4">
        <v>19</v>
      </c>
      <c r="B31" s="34" t="s">
        <v>10</v>
      </c>
      <c r="C31" s="12"/>
      <c r="D31" s="36">
        <f>ROUND(D29-D27,2)</f>
        <v>-6316641.1600000001</v>
      </c>
      <c r="E31" s="35"/>
      <c r="F31" s="36">
        <f>ROUND(F29-F27,2)</f>
        <v>-6311733</v>
      </c>
    </row>
    <row r="32" spans="1:9" ht="13.8" thickTop="1"/>
    <row r="34" spans="2:6" ht="30" customHeight="1">
      <c r="B34" s="379" t="s">
        <v>455</v>
      </c>
      <c r="C34" s="379"/>
      <c r="D34" s="379"/>
      <c r="E34" s="379"/>
      <c r="F34" s="379"/>
    </row>
  </sheetData>
  <mergeCells count="4">
    <mergeCell ref="A4:F4"/>
    <mergeCell ref="A5:F5"/>
    <mergeCell ref="A7:F7"/>
    <mergeCell ref="B34:F34"/>
  </mergeCells>
  <printOptions horizontalCentered="1"/>
  <pageMargins left="1" right="0.75" top="0.75" bottom="0.5" header="0.5" footer="0.5"/>
  <pageSetup orientation="portrait" r:id="rId1"/>
  <headerFooter alignWithMargins="0">
    <oddFooter>&amp;RExhibit JW-2
Page &amp;P of &amp;N</oddFooter>
  </headerFooter>
  <ignoredErrors>
    <ignoredError sqref="B10:C10 D10:F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4"/>
  <sheetViews>
    <sheetView view="pageBreakPreview" zoomScale="75" zoomScaleNormal="100" zoomScaleSheetLayoutView="75" workbookViewId="0">
      <selection activeCell="D25" sqref="D25"/>
    </sheetView>
  </sheetViews>
  <sheetFormatPr defaultColWidth="9.109375" defaultRowHeight="13.2"/>
  <cols>
    <col min="1" max="1" width="5.88671875" style="2" customWidth="1"/>
    <col min="2" max="2" width="11.6640625" style="2" customWidth="1"/>
    <col min="3" max="3" width="10.88671875" style="2" customWidth="1"/>
    <col min="4" max="4" width="15.33203125" style="2" customWidth="1"/>
    <col min="5" max="5" width="3.33203125" style="2" customWidth="1"/>
    <col min="6" max="6" width="15.6640625" style="2" customWidth="1"/>
    <col min="7" max="8" width="9.109375" style="2"/>
    <col min="9" max="9" width="10" style="2" bestFit="1" customWidth="1"/>
    <col min="10" max="16384" width="9.109375" style="2"/>
  </cols>
  <sheetData>
    <row r="1" spans="1:13">
      <c r="E1" s="20"/>
      <c r="F1" s="20" t="s">
        <v>457</v>
      </c>
    </row>
    <row r="2" spans="1:13" ht="20.25" customHeight="1">
      <c r="E2" s="20"/>
      <c r="F2" s="20"/>
    </row>
    <row r="3" spans="1:13">
      <c r="E3" s="20"/>
      <c r="F3" s="20"/>
    </row>
    <row r="4" spans="1:13">
      <c r="A4" s="377" t="s">
        <v>521</v>
      </c>
      <c r="B4" s="377"/>
      <c r="C4" s="377"/>
      <c r="D4" s="377"/>
      <c r="E4" s="377"/>
      <c r="F4" s="377"/>
      <c r="H4" s="193"/>
      <c r="I4" s="193"/>
      <c r="J4" s="193"/>
      <c r="K4" s="193"/>
      <c r="L4" s="193"/>
      <c r="M4" s="193"/>
    </row>
    <row r="5" spans="1:13">
      <c r="A5" s="377" t="s">
        <v>522</v>
      </c>
      <c r="B5" s="377"/>
      <c r="C5" s="377"/>
      <c r="D5" s="377"/>
      <c r="E5" s="377"/>
      <c r="F5" s="377"/>
    </row>
    <row r="7" spans="1:13" s="21" customFormat="1" ht="15" customHeight="1">
      <c r="A7" s="378" t="s">
        <v>460</v>
      </c>
      <c r="B7" s="378"/>
      <c r="C7" s="378"/>
      <c r="D7" s="378"/>
      <c r="E7" s="378"/>
      <c r="F7" s="378"/>
    </row>
    <row r="9" spans="1:13">
      <c r="A9" s="4" t="s">
        <v>7</v>
      </c>
      <c r="B9" s="4" t="s">
        <v>94</v>
      </c>
      <c r="C9" s="4" t="s">
        <v>65</v>
      </c>
      <c r="D9" s="4" t="s">
        <v>49</v>
      </c>
      <c r="E9" s="4"/>
      <c r="F9" s="4" t="s">
        <v>50</v>
      </c>
    </row>
    <row r="10" spans="1:13">
      <c r="A10" s="22" t="s">
        <v>11</v>
      </c>
      <c r="B10" s="23" t="s">
        <v>95</v>
      </c>
      <c r="C10" s="23" t="s">
        <v>96</v>
      </c>
      <c r="D10" s="23" t="s">
        <v>97</v>
      </c>
      <c r="E10" s="23"/>
      <c r="F10" s="23" t="s">
        <v>12</v>
      </c>
    </row>
    <row r="11" spans="1:13">
      <c r="A11" s="4"/>
    </row>
    <row r="12" spans="1:13">
      <c r="A12" s="4"/>
    </row>
    <row r="13" spans="1:13">
      <c r="A13" s="4">
        <v>1</v>
      </c>
      <c r="B13" s="4">
        <v>2022</v>
      </c>
      <c r="C13" s="24" t="s">
        <v>67</v>
      </c>
      <c r="D13" s="25">
        <v>493184.01058307011</v>
      </c>
      <c r="E13" s="25"/>
      <c r="F13" s="25">
        <v>493184</v>
      </c>
      <c r="I13" s="33"/>
      <c r="J13" s="33"/>
      <c r="K13" s="33"/>
    </row>
    <row r="14" spans="1:13">
      <c r="A14" s="4">
        <v>2</v>
      </c>
      <c r="B14" s="4">
        <f>B13</f>
        <v>2022</v>
      </c>
      <c r="C14" s="24" t="s">
        <v>68</v>
      </c>
      <c r="D14" s="25">
        <v>421438.84871814586</v>
      </c>
      <c r="E14" s="25"/>
      <c r="F14" s="25">
        <v>421439</v>
      </c>
      <c r="I14" s="33"/>
      <c r="J14" s="33"/>
      <c r="K14" s="33"/>
    </row>
    <row r="15" spans="1:13">
      <c r="A15" s="4">
        <v>3</v>
      </c>
      <c r="B15" s="4">
        <f t="shared" ref="B15:B24" si="0">B14</f>
        <v>2022</v>
      </c>
      <c r="C15" s="24" t="s">
        <v>69</v>
      </c>
      <c r="D15" s="25">
        <v>293793.00366374681</v>
      </c>
      <c r="E15" s="25"/>
      <c r="F15" s="25">
        <v>293793</v>
      </c>
      <c r="I15" s="33"/>
      <c r="J15" s="33"/>
      <c r="K15" s="33"/>
    </row>
    <row r="16" spans="1:13">
      <c r="A16" s="4">
        <v>4</v>
      </c>
      <c r="B16" s="4">
        <f t="shared" si="0"/>
        <v>2022</v>
      </c>
      <c r="C16" s="24" t="s">
        <v>70</v>
      </c>
      <c r="D16" s="25">
        <v>365343.00107808097</v>
      </c>
      <c r="E16" s="25"/>
      <c r="F16" s="25">
        <v>365343</v>
      </c>
      <c r="I16" s="33"/>
      <c r="J16" s="33"/>
      <c r="K16" s="33"/>
    </row>
    <row r="17" spans="1:11">
      <c r="A17" s="4">
        <v>5</v>
      </c>
      <c r="B17" s="4">
        <f t="shared" si="0"/>
        <v>2022</v>
      </c>
      <c r="C17" s="24" t="s">
        <v>59</v>
      </c>
      <c r="D17" s="25">
        <v>406430.00740705221</v>
      </c>
      <c r="E17" s="25"/>
      <c r="F17" s="25">
        <v>406430</v>
      </c>
      <c r="I17" s="33"/>
      <c r="J17" s="33"/>
      <c r="K17" s="33"/>
    </row>
    <row r="18" spans="1:11">
      <c r="A18" s="4">
        <v>6</v>
      </c>
      <c r="B18" s="4">
        <f t="shared" si="0"/>
        <v>2022</v>
      </c>
      <c r="C18" s="24" t="s">
        <v>71</v>
      </c>
      <c r="D18" s="25">
        <v>537680.91903441318</v>
      </c>
      <c r="E18" s="25"/>
      <c r="F18" s="25">
        <v>537681</v>
      </c>
      <c r="I18" s="33"/>
      <c r="J18" s="33"/>
      <c r="K18" s="33"/>
    </row>
    <row r="19" spans="1:11">
      <c r="A19" s="4">
        <v>7</v>
      </c>
      <c r="B19" s="4">
        <f t="shared" si="0"/>
        <v>2022</v>
      </c>
      <c r="C19" s="24" t="s">
        <v>72</v>
      </c>
      <c r="D19" s="25">
        <v>612929.00481721386</v>
      </c>
      <c r="E19" s="25"/>
      <c r="F19" s="25">
        <v>612929</v>
      </c>
      <c r="I19" s="33"/>
      <c r="J19" s="33"/>
      <c r="K19" s="33"/>
    </row>
    <row r="20" spans="1:11">
      <c r="A20" s="4">
        <v>8</v>
      </c>
      <c r="B20" s="4">
        <f t="shared" si="0"/>
        <v>2022</v>
      </c>
      <c r="C20" s="24" t="s">
        <v>73</v>
      </c>
      <c r="D20" s="25">
        <v>473477.22038883111</v>
      </c>
      <c r="E20" s="25"/>
      <c r="F20" s="25">
        <v>473477</v>
      </c>
      <c r="I20" s="33"/>
      <c r="J20" s="33"/>
      <c r="K20" s="33"/>
    </row>
    <row r="21" spans="1:11">
      <c r="A21" s="4">
        <v>9</v>
      </c>
      <c r="B21" s="4">
        <f t="shared" si="0"/>
        <v>2022</v>
      </c>
      <c r="C21" s="24" t="s">
        <v>74</v>
      </c>
      <c r="D21" s="25">
        <v>339112.74629450386</v>
      </c>
      <c r="E21" s="25"/>
      <c r="F21" s="25">
        <v>339113</v>
      </c>
      <c r="I21" s="33"/>
      <c r="J21" s="33"/>
      <c r="K21" s="33"/>
    </row>
    <row r="22" spans="1:11">
      <c r="A22" s="4">
        <v>10</v>
      </c>
      <c r="B22" s="4">
        <f t="shared" si="0"/>
        <v>2022</v>
      </c>
      <c r="C22" s="24" t="s">
        <v>75</v>
      </c>
      <c r="D22" s="25">
        <v>373763.27368587482</v>
      </c>
      <c r="E22" s="25"/>
      <c r="F22" s="25">
        <v>373763</v>
      </c>
      <c r="I22" s="33"/>
      <c r="J22" s="33"/>
      <c r="K22" s="33"/>
    </row>
    <row r="23" spans="1:11">
      <c r="A23" s="4">
        <v>11</v>
      </c>
      <c r="B23" s="4">
        <f t="shared" si="0"/>
        <v>2022</v>
      </c>
      <c r="C23" s="24" t="s">
        <v>76</v>
      </c>
      <c r="D23" s="25">
        <v>446640.59757155436</v>
      </c>
      <c r="E23" s="25"/>
      <c r="F23" s="25">
        <v>446641</v>
      </c>
      <c r="I23" s="33"/>
      <c r="J23" s="33"/>
      <c r="K23" s="33"/>
    </row>
    <row r="24" spans="1:11">
      <c r="A24" s="4">
        <v>12</v>
      </c>
      <c r="B24" s="4">
        <f t="shared" si="0"/>
        <v>2022</v>
      </c>
      <c r="C24" s="24" t="s">
        <v>77</v>
      </c>
      <c r="D24" s="25">
        <v>623763.18460481311</v>
      </c>
      <c r="E24" s="25"/>
      <c r="F24" s="25">
        <v>623763</v>
      </c>
      <c r="I24" s="33"/>
      <c r="J24" s="33"/>
      <c r="K24" s="33"/>
    </row>
    <row r="25" spans="1:11">
      <c r="A25" s="4">
        <v>13</v>
      </c>
      <c r="B25" s="9"/>
      <c r="C25" s="26" t="s">
        <v>66</v>
      </c>
      <c r="D25" s="139">
        <f>SUM(D13:D24)</f>
        <v>5387555.8178473013</v>
      </c>
      <c r="E25" s="139"/>
      <c r="F25" s="139">
        <f>SUM(F13:F24)</f>
        <v>5387556</v>
      </c>
    </row>
    <row r="26" spans="1:11">
      <c r="A26" s="4">
        <v>14</v>
      </c>
      <c r="C26" s="31"/>
      <c r="D26" s="27"/>
      <c r="E26" s="27"/>
    </row>
    <row r="27" spans="1:11">
      <c r="A27" s="4">
        <v>15</v>
      </c>
      <c r="B27" s="31" t="s">
        <v>83</v>
      </c>
      <c r="C27" s="31"/>
      <c r="D27" s="32">
        <f>D25</f>
        <v>5387555.8178473013</v>
      </c>
      <c r="E27" s="32"/>
      <c r="F27" s="32">
        <f>F25</f>
        <v>5387556</v>
      </c>
    </row>
    <row r="28" spans="1:11">
      <c r="A28" s="4">
        <v>16</v>
      </c>
      <c r="B28" s="31"/>
      <c r="C28" s="31"/>
      <c r="D28" s="27"/>
      <c r="E28" s="27"/>
    </row>
    <row r="29" spans="1:11">
      <c r="A29" s="4">
        <v>17</v>
      </c>
      <c r="B29" s="31" t="s">
        <v>114</v>
      </c>
      <c r="D29" s="25">
        <v>0</v>
      </c>
      <c r="E29" s="25"/>
      <c r="F29" s="25">
        <v>0</v>
      </c>
    </row>
    <row r="30" spans="1:11">
      <c r="A30" s="4">
        <v>18</v>
      </c>
      <c r="B30" s="31"/>
    </row>
    <row r="31" spans="1:11" ht="13.8" thickBot="1">
      <c r="A31" s="4">
        <v>19</v>
      </c>
      <c r="B31" s="34" t="s">
        <v>10</v>
      </c>
      <c r="C31" s="12"/>
      <c r="D31" s="36">
        <f>ROUND(D29-D27,2)</f>
        <v>-5387555.8200000003</v>
      </c>
      <c r="E31" s="35"/>
      <c r="F31" s="36">
        <f>ROUND(F29-F27,2)</f>
        <v>-5387556</v>
      </c>
    </row>
    <row r="32" spans="1:11" ht="13.8" thickTop="1"/>
    <row r="34" spans="2:6" ht="30" customHeight="1">
      <c r="B34" s="379" t="s">
        <v>461</v>
      </c>
      <c r="C34" s="379"/>
      <c r="D34" s="379"/>
      <c r="E34" s="379"/>
      <c r="F34" s="379"/>
    </row>
  </sheetData>
  <mergeCells count="4">
    <mergeCell ref="A4:F4"/>
    <mergeCell ref="A5:F5"/>
    <mergeCell ref="A7:F7"/>
    <mergeCell ref="B34:F34"/>
  </mergeCells>
  <printOptions horizontalCentered="1"/>
  <pageMargins left="1" right="0.75" top="0.75" bottom="0.5" header="0.5" footer="0.5"/>
  <pageSetup orientation="portrait" r:id="rId1"/>
  <headerFooter alignWithMargins="0">
    <oddFooter>&amp;RExhibit JW-2
Page &amp;P of &amp;N</oddFooter>
  </headerFooter>
  <ignoredErrors>
    <ignoredError sqref="B10:C10 D10:F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0781C-DF43-494F-A3F0-B21EFF043E1F}">
  <sheetPr>
    <pageSetUpPr fitToPage="1"/>
  </sheetPr>
  <dimension ref="A1:M30"/>
  <sheetViews>
    <sheetView view="pageBreakPreview" zoomScaleNormal="100" zoomScaleSheetLayoutView="100" workbookViewId="0">
      <selection activeCell="E16" sqref="E16"/>
    </sheetView>
  </sheetViews>
  <sheetFormatPr defaultColWidth="8.88671875" defaultRowHeight="13.2"/>
  <cols>
    <col min="1" max="1" width="5.44140625" style="2" customWidth="1"/>
    <col min="2" max="2" width="7.88671875" style="2" bestFit="1" customWidth="1"/>
    <col min="3" max="3" width="44.109375" style="2" customWidth="1"/>
    <col min="4" max="4" width="19.5546875" style="2" customWidth="1"/>
    <col min="5" max="12" width="18.109375" style="2" customWidth="1"/>
    <col min="13" max="13" width="10.5546875" style="2" bestFit="1" customWidth="1"/>
    <col min="14" max="16384" width="8.88671875" style="2"/>
  </cols>
  <sheetData>
    <row r="1" spans="1:13">
      <c r="E1" s="20" t="s">
        <v>458</v>
      </c>
    </row>
    <row r="2" spans="1:13">
      <c r="L2" s="20"/>
    </row>
    <row r="3" spans="1:13">
      <c r="L3" s="20"/>
    </row>
    <row r="4" spans="1:13">
      <c r="A4" s="377" t="s">
        <v>566</v>
      </c>
      <c r="B4" s="377"/>
      <c r="C4" s="377"/>
      <c r="D4" s="377"/>
      <c r="E4" s="377"/>
      <c r="F4" s="193"/>
      <c r="G4" s="193"/>
      <c r="H4" s="193"/>
      <c r="I4" s="193"/>
      <c r="J4" s="193"/>
      <c r="K4" s="193"/>
      <c r="L4" s="193"/>
    </row>
    <row r="5" spans="1:13">
      <c r="A5" s="377" t="s">
        <v>522</v>
      </c>
      <c r="B5" s="377"/>
      <c r="C5" s="377"/>
      <c r="D5" s="377"/>
      <c r="E5" s="377"/>
      <c r="F5" s="193"/>
      <c r="G5" s="193"/>
      <c r="H5" s="193"/>
      <c r="I5" s="193"/>
      <c r="J5" s="193"/>
      <c r="K5" s="193"/>
      <c r="L5" s="193"/>
      <c r="M5" s="193"/>
    </row>
    <row r="6" spans="1:13">
      <c r="A6" s="193"/>
      <c r="B6" s="193"/>
      <c r="C6" s="193"/>
      <c r="D6" s="193"/>
      <c r="E6" s="193"/>
      <c r="F6" s="193"/>
      <c r="G6" s="193"/>
      <c r="H6" s="193"/>
      <c r="I6" s="193"/>
      <c r="J6" s="193"/>
      <c r="K6" s="193"/>
      <c r="L6" s="193"/>
      <c r="M6" s="193"/>
    </row>
    <row r="7" spans="1:13">
      <c r="A7" s="378" t="s">
        <v>579</v>
      </c>
      <c r="B7" s="378"/>
      <c r="C7" s="378"/>
      <c r="D7" s="378"/>
      <c r="E7" s="378"/>
      <c r="F7" s="88"/>
      <c r="G7" s="88"/>
      <c r="H7" s="88"/>
      <c r="I7" s="88"/>
      <c r="J7" s="88"/>
      <c r="K7" s="88"/>
      <c r="L7" s="88"/>
    </row>
    <row r="9" spans="1:13">
      <c r="A9" s="279" t="s">
        <v>11</v>
      </c>
      <c r="B9" s="279" t="s">
        <v>79</v>
      </c>
      <c r="C9" s="22" t="s">
        <v>48</v>
      </c>
      <c r="D9" s="23" t="s">
        <v>513</v>
      </c>
      <c r="E9" s="23" t="s">
        <v>512</v>
      </c>
      <c r="F9" s="201"/>
      <c r="G9" s="201"/>
      <c r="H9" s="201"/>
      <c r="I9" s="201"/>
      <c r="J9" s="201"/>
      <c r="K9" s="201"/>
      <c r="L9" s="201"/>
    </row>
    <row r="10" spans="1:13">
      <c r="A10" s="196">
        <v>1</v>
      </c>
      <c r="B10" s="4">
        <v>923</v>
      </c>
      <c r="C10" s="2" t="s">
        <v>580</v>
      </c>
      <c r="D10" s="257">
        <f>4300</f>
        <v>4300</v>
      </c>
      <c r="E10" s="363">
        <f>D10*4/5</f>
        <v>3440</v>
      </c>
      <c r="F10" s="203"/>
      <c r="G10" s="203"/>
      <c r="H10" s="203"/>
      <c r="I10" s="203"/>
      <c r="J10" s="203"/>
      <c r="K10" s="203"/>
      <c r="L10" s="203"/>
      <c r="M10" s="203"/>
    </row>
    <row r="11" spans="1:13">
      <c r="A11" s="196">
        <f>A10+1</f>
        <v>2</v>
      </c>
      <c r="B11" s="4">
        <v>923</v>
      </c>
      <c r="C11" s="2" t="s">
        <v>581</v>
      </c>
      <c r="D11" s="254">
        <v>46850.210000000006</v>
      </c>
      <c r="E11" s="364">
        <f>D11*3/4</f>
        <v>35137.657500000001</v>
      </c>
      <c r="F11" s="203"/>
      <c r="G11" s="203"/>
      <c r="H11" s="203"/>
      <c r="I11" s="203"/>
      <c r="J11" s="203"/>
      <c r="K11" s="203"/>
      <c r="L11" s="203"/>
    </row>
    <row r="12" spans="1:13">
      <c r="A12" s="196">
        <f t="shared" ref="A12:A17" si="0">A11+1</f>
        <v>3</v>
      </c>
      <c r="B12" s="4">
        <v>923</v>
      </c>
      <c r="C12" s="2" t="s">
        <v>582</v>
      </c>
      <c r="D12" s="254">
        <v>89524.45</v>
      </c>
      <c r="E12" s="364">
        <f>D12</f>
        <v>89524.45</v>
      </c>
      <c r="F12" s="203"/>
      <c r="G12" s="203"/>
      <c r="H12" s="203"/>
      <c r="I12" s="203"/>
      <c r="J12" s="203"/>
      <c r="K12" s="203"/>
      <c r="L12" s="203"/>
    </row>
    <row r="13" spans="1:13">
      <c r="A13" s="196">
        <f t="shared" si="0"/>
        <v>4</v>
      </c>
      <c r="B13" s="4">
        <v>923</v>
      </c>
      <c r="C13" s="2" t="s">
        <v>583</v>
      </c>
      <c r="D13" s="254">
        <v>5056.0200000000004</v>
      </c>
      <c r="E13" s="364">
        <f>D13</f>
        <v>5056.0200000000004</v>
      </c>
      <c r="F13" s="203"/>
      <c r="G13" s="203"/>
      <c r="H13" s="203"/>
      <c r="I13" s="203"/>
      <c r="J13" s="203"/>
      <c r="K13" s="203"/>
      <c r="L13" s="203"/>
    </row>
    <row r="14" spans="1:13">
      <c r="A14" s="196">
        <f t="shared" si="0"/>
        <v>5</v>
      </c>
      <c r="B14" s="4"/>
      <c r="C14" s="2" t="s">
        <v>53</v>
      </c>
      <c r="D14" s="365">
        <f>SUM(D10:D13)</f>
        <v>145730.68</v>
      </c>
      <c r="E14" s="366">
        <f>SUM(E10:E13)</f>
        <v>133158.1275</v>
      </c>
      <c r="F14" s="203"/>
      <c r="G14" s="203"/>
      <c r="H14" s="203"/>
      <c r="I14" s="203"/>
      <c r="J14" s="203"/>
      <c r="K14" s="203"/>
      <c r="L14" s="203"/>
    </row>
    <row r="15" spans="1:13">
      <c r="A15" s="196">
        <f t="shared" si="0"/>
        <v>6</v>
      </c>
      <c r="B15" s="4"/>
      <c r="D15" s="203"/>
      <c r="E15" s="206"/>
      <c r="F15" s="203"/>
      <c r="G15" s="203"/>
      <c r="H15" s="203"/>
      <c r="I15" s="203"/>
      <c r="J15" s="203"/>
      <c r="K15" s="203"/>
      <c r="L15" s="203"/>
    </row>
    <row r="16" spans="1:13">
      <c r="A16" s="196">
        <f t="shared" si="0"/>
        <v>7</v>
      </c>
      <c r="B16" s="4"/>
      <c r="D16" s="257"/>
      <c r="E16" s="206"/>
      <c r="F16" s="203"/>
      <c r="G16" s="203"/>
      <c r="H16" s="203"/>
      <c r="I16" s="203"/>
      <c r="J16" s="203"/>
      <c r="K16" s="203"/>
      <c r="L16" s="203"/>
    </row>
    <row r="17" spans="1:13" ht="13.8" thickBot="1">
      <c r="A17" s="196">
        <f t="shared" si="0"/>
        <v>8</v>
      </c>
      <c r="B17" s="4"/>
      <c r="C17" s="2" t="s">
        <v>514</v>
      </c>
      <c r="E17" s="320">
        <f>-E14</f>
        <v>-133158.1275</v>
      </c>
      <c r="F17" s="205"/>
      <c r="G17" s="205"/>
      <c r="H17" s="205"/>
      <c r="I17" s="205"/>
      <c r="J17" s="203"/>
      <c r="K17" s="203"/>
      <c r="L17" s="203"/>
      <c r="M17" s="203"/>
    </row>
    <row r="18" spans="1:13" ht="13.8" thickTop="1">
      <c r="B18" s="4"/>
      <c r="C18" s="205"/>
      <c r="D18" s="205"/>
      <c r="E18" s="206"/>
      <c r="F18" s="205"/>
      <c r="G18" s="205"/>
      <c r="H18" s="205"/>
      <c r="I18" s="205"/>
      <c r="J18" s="203"/>
      <c r="K18" s="203"/>
      <c r="L18" s="203"/>
    </row>
    <row r="19" spans="1:13">
      <c r="C19" s="205"/>
      <c r="D19" s="205"/>
      <c r="E19" s="206"/>
      <c r="F19" s="205"/>
      <c r="G19" s="205"/>
      <c r="H19" s="205"/>
      <c r="I19" s="205"/>
      <c r="J19" s="203"/>
      <c r="K19" s="203"/>
      <c r="L19" s="203"/>
    </row>
    <row r="20" spans="1:13">
      <c r="A20" s="2" t="s">
        <v>584</v>
      </c>
      <c r="C20" s="206"/>
      <c r="D20" s="206"/>
      <c r="E20" s="206"/>
      <c r="F20" s="206"/>
      <c r="G20" s="206"/>
      <c r="H20" s="206"/>
      <c r="I20" s="206"/>
      <c r="J20" s="206"/>
      <c r="K20" s="206"/>
      <c r="L20" s="206"/>
    </row>
    <row r="21" spans="1:13">
      <c r="A21" s="2" t="s">
        <v>585</v>
      </c>
      <c r="C21" s="18"/>
      <c r="D21" s="18"/>
      <c r="E21" s="18"/>
      <c r="F21" s="18"/>
      <c r="G21" s="18"/>
      <c r="H21" s="18"/>
    </row>
    <row r="22" spans="1:13">
      <c r="A22" s="2" t="s">
        <v>586</v>
      </c>
      <c r="C22" s="18"/>
      <c r="D22" s="18"/>
      <c r="E22" s="18"/>
      <c r="F22" s="18"/>
      <c r="G22" s="18"/>
      <c r="H22" s="18"/>
    </row>
    <row r="23" spans="1:13">
      <c r="A23" s="2" t="s">
        <v>587</v>
      </c>
      <c r="B23" s="29"/>
      <c r="C23" s="17"/>
      <c r="D23" s="17"/>
      <c r="E23" s="17"/>
      <c r="F23" s="17"/>
      <c r="G23" s="17"/>
      <c r="H23" s="17"/>
    </row>
    <row r="24" spans="1:13">
      <c r="C24" s="17"/>
      <c r="D24" s="17"/>
      <c r="E24" s="17"/>
      <c r="F24" s="17"/>
      <c r="G24" s="17"/>
      <c r="H24" s="17"/>
    </row>
    <row r="25" spans="1:13">
      <c r="C25" s="17"/>
      <c r="D25" s="17"/>
      <c r="E25" s="17"/>
      <c r="F25" s="17"/>
      <c r="G25" s="17"/>
      <c r="H25" s="17"/>
    </row>
    <row r="26" spans="1:13">
      <c r="C26" s="17"/>
      <c r="D26" s="17"/>
      <c r="E26" s="17"/>
      <c r="F26" s="17"/>
      <c r="G26" s="17"/>
      <c r="H26" s="246"/>
    </row>
    <row r="27" spans="1:13">
      <c r="C27" s="17"/>
      <c r="D27" s="17"/>
      <c r="E27" s="17"/>
      <c r="F27" s="17"/>
      <c r="G27" s="17"/>
      <c r="H27" s="17"/>
    </row>
    <row r="28" spans="1:13">
      <c r="C28" s="17"/>
      <c r="D28" s="17"/>
      <c r="E28" s="17"/>
      <c r="F28" s="17"/>
      <c r="G28" s="17"/>
      <c r="H28" s="17"/>
    </row>
    <row r="29" spans="1:13">
      <c r="C29" s="17"/>
      <c r="D29" s="17"/>
      <c r="E29" s="17"/>
      <c r="F29" s="17"/>
      <c r="G29" s="17"/>
      <c r="H29" s="17"/>
    </row>
    <row r="30" spans="1:13">
      <c r="C30" s="17"/>
      <c r="D30" s="17"/>
      <c r="E30" s="17"/>
      <c r="F30" s="17"/>
      <c r="G30" s="17"/>
      <c r="H30" s="17"/>
    </row>
  </sheetData>
  <mergeCells count="3">
    <mergeCell ref="A7:E7"/>
    <mergeCell ref="A5:E5"/>
    <mergeCell ref="A4:E4"/>
  </mergeCells>
  <printOptions horizontalCentered="1"/>
  <pageMargins left="0.7" right="0.7" top="0.75" bottom="0.75" header="0.3" footer="0.3"/>
  <pageSetup orientation="landscape" r:id="rId1"/>
  <headerFooter>
    <oddFooter>&amp;RExhibit JW-2
Page &amp;P of &amp;N</oddFooter>
  </headerFooter>
  <ignoredErrors>
    <ignoredError sqref="D14:D16 E17 D1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093E-B8DD-4334-8573-4B9DCF958355}">
  <sheetPr>
    <pageSetUpPr fitToPage="1"/>
  </sheetPr>
  <dimension ref="A1:Q41"/>
  <sheetViews>
    <sheetView view="pageBreakPreview" zoomScale="60" zoomScaleNormal="75" workbookViewId="0">
      <selection activeCell="M1" sqref="M1"/>
    </sheetView>
  </sheetViews>
  <sheetFormatPr defaultColWidth="9.109375" defaultRowHeight="13.8"/>
  <cols>
    <col min="1" max="1" width="8" style="173" bestFit="1" customWidth="1"/>
    <col min="2" max="2" width="11.6640625" style="173" bestFit="1" customWidth="1"/>
    <col min="3" max="3" width="11.6640625" style="173" customWidth="1"/>
    <col min="4" max="4" width="10.88671875" style="173" customWidth="1"/>
    <col min="5" max="5" width="14.33203125" style="173" customWidth="1"/>
    <col min="6" max="6" width="15.33203125" style="173" customWidth="1"/>
    <col min="7" max="8" width="13.109375" style="173" customWidth="1"/>
    <col min="9" max="9" width="14.44140625" style="173" customWidth="1"/>
    <col min="10" max="10" width="17.6640625" style="173" customWidth="1"/>
    <col min="11" max="11" width="17.5546875" style="173" customWidth="1"/>
    <col min="12" max="12" width="12.5546875" style="173" customWidth="1"/>
    <col min="13" max="13" width="11.109375" style="173" customWidth="1"/>
    <col min="14" max="14" width="13.33203125" style="173" customWidth="1"/>
    <col min="15" max="16384" width="9.109375" style="173"/>
  </cols>
  <sheetData>
    <row r="1" spans="1:17" s="2" customFormat="1" ht="15" customHeight="1">
      <c r="J1" s="20"/>
      <c r="N1" s="20" t="s">
        <v>459</v>
      </c>
    </row>
    <row r="2" spans="1:17" s="2" customFormat="1" ht="20.25" customHeight="1">
      <c r="J2" s="20"/>
      <c r="K2" s="20"/>
    </row>
    <row r="3" spans="1:17" s="2" customFormat="1" ht="13.2">
      <c r="J3" s="20"/>
      <c r="K3" s="20"/>
    </row>
    <row r="4" spans="1:17" s="2" customFormat="1" ht="13.2">
      <c r="A4" s="377" t="s">
        <v>544</v>
      </c>
      <c r="B4" s="377"/>
      <c r="C4" s="377"/>
      <c r="D4" s="377"/>
      <c r="E4" s="377"/>
      <c r="F4" s="377"/>
      <c r="G4" s="377"/>
      <c r="H4" s="377"/>
      <c r="I4" s="377"/>
      <c r="J4" s="377"/>
      <c r="K4" s="377"/>
      <c r="L4" s="377"/>
      <c r="M4" s="377"/>
      <c r="N4" s="377"/>
      <c r="O4" s="193"/>
      <c r="P4" s="193"/>
      <c r="Q4" s="193"/>
    </row>
    <row r="5" spans="1:17" s="2" customFormat="1" ht="13.2">
      <c r="A5" s="377" t="s">
        <v>522</v>
      </c>
      <c r="B5" s="377"/>
      <c r="C5" s="377"/>
      <c r="D5" s="377"/>
      <c r="E5" s="377"/>
      <c r="F5" s="377"/>
      <c r="G5" s="377"/>
      <c r="H5" s="377"/>
      <c r="I5" s="377"/>
      <c r="J5" s="377"/>
      <c r="K5" s="377"/>
      <c r="L5" s="377"/>
      <c r="M5" s="377"/>
      <c r="N5" s="377"/>
    </row>
    <row r="6" spans="1:17" s="2" customFormat="1" ht="13.2"/>
    <row r="7" spans="1:17" s="21" customFormat="1" ht="15" customHeight="1">
      <c r="A7" s="378" t="s">
        <v>464</v>
      </c>
      <c r="B7" s="378"/>
      <c r="C7" s="378"/>
      <c r="D7" s="378"/>
      <c r="E7" s="378"/>
      <c r="F7" s="378"/>
      <c r="G7" s="378"/>
      <c r="H7" s="378"/>
      <c r="I7" s="378"/>
      <c r="J7" s="378"/>
      <c r="K7" s="378"/>
      <c r="L7" s="378"/>
      <c r="M7" s="378"/>
      <c r="N7" s="378"/>
    </row>
    <row r="8" spans="1:17" s="21" customFormat="1" ht="15" customHeight="1">
      <c r="A8" s="218"/>
      <c r="B8" s="218"/>
      <c r="C8" s="218"/>
      <c r="D8" s="218"/>
      <c r="E8" s="218"/>
      <c r="F8" s="218"/>
      <c r="G8" s="218"/>
      <c r="H8" s="218"/>
      <c r="I8" s="218"/>
      <c r="J8" s="218"/>
      <c r="K8" s="218"/>
      <c r="L8" s="218"/>
      <c r="M8" s="218"/>
      <c r="N8" s="218"/>
    </row>
    <row r="9" spans="1:17" ht="42.75" customHeight="1">
      <c r="A9" s="178"/>
      <c r="B9" s="179" t="s">
        <v>62</v>
      </c>
      <c r="C9" s="179" t="s">
        <v>545</v>
      </c>
      <c r="D9" s="179" t="s">
        <v>546</v>
      </c>
      <c r="E9" s="179" t="s">
        <v>547</v>
      </c>
      <c r="F9" s="179" t="s">
        <v>548</v>
      </c>
      <c r="G9" s="179" t="s">
        <v>549</v>
      </c>
      <c r="H9" s="179" t="s">
        <v>550</v>
      </c>
      <c r="I9" s="179" t="s">
        <v>551</v>
      </c>
      <c r="J9" s="179" t="s">
        <v>552</v>
      </c>
      <c r="K9" s="179" t="s">
        <v>553</v>
      </c>
      <c r="L9" s="179" t="s">
        <v>63</v>
      </c>
      <c r="M9" s="179" t="s">
        <v>64</v>
      </c>
      <c r="N9" s="179" t="s">
        <v>66</v>
      </c>
    </row>
    <row r="10" spans="1:17">
      <c r="A10" s="178" t="s">
        <v>65</v>
      </c>
      <c r="B10" s="185" t="s">
        <v>554</v>
      </c>
      <c r="C10" s="301">
        <v>426.4</v>
      </c>
      <c r="D10" s="185" t="s">
        <v>555</v>
      </c>
      <c r="E10" s="185" t="s">
        <v>556</v>
      </c>
      <c r="F10" s="185" t="s">
        <v>556</v>
      </c>
      <c r="G10" s="185" t="s">
        <v>556</v>
      </c>
      <c r="H10" s="185" t="s">
        <v>556</v>
      </c>
      <c r="I10" s="185" t="s">
        <v>556</v>
      </c>
      <c r="J10" s="301">
        <v>930.2</v>
      </c>
      <c r="K10" s="185" t="s">
        <v>557</v>
      </c>
      <c r="L10" s="185" t="s">
        <v>558</v>
      </c>
      <c r="M10" s="185" t="s">
        <v>558</v>
      </c>
      <c r="N10" s="174" t="s">
        <v>559</v>
      </c>
    </row>
    <row r="11" spans="1:17" s="174" customFormat="1">
      <c r="A11" s="302" t="s">
        <v>80</v>
      </c>
      <c r="B11" s="302" t="s">
        <v>81</v>
      </c>
      <c r="C11" s="302" t="s">
        <v>82</v>
      </c>
      <c r="D11" s="302" t="s">
        <v>58</v>
      </c>
      <c r="E11" s="302" t="s">
        <v>84</v>
      </c>
      <c r="F11" s="302" t="s">
        <v>441</v>
      </c>
      <c r="G11" s="302" t="s">
        <v>442</v>
      </c>
      <c r="H11" s="302" t="s">
        <v>443</v>
      </c>
      <c r="I11" s="302"/>
      <c r="J11" s="302" t="s">
        <v>560</v>
      </c>
      <c r="K11" s="302" t="s">
        <v>561</v>
      </c>
      <c r="L11" s="302" t="s">
        <v>562</v>
      </c>
      <c r="M11" s="302" t="s">
        <v>563</v>
      </c>
      <c r="N11" s="302" t="s">
        <v>564</v>
      </c>
    </row>
    <row r="12" spans="1:17">
      <c r="A12" s="173" t="s">
        <v>67</v>
      </c>
      <c r="B12" s="303">
        <v>-549.17999999999995</v>
      </c>
      <c r="C12" s="303">
        <v>0</v>
      </c>
      <c r="D12" s="303">
        <v>0</v>
      </c>
      <c r="E12" s="192">
        <v>0</v>
      </c>
      <c r="F12" s="303">
        <v>0</v>
      </c>
      <c r="G12" s="303">
        <v>0</v>
      </c>
      <c r="H12" s="303">
        <v>0</v>
      </c>
      <c r="I12" s="303">
        <v>0</v>
      </c>
      <c r="J12" s="303">
        <v>-785</v>
      </c>
      <c r="K12" s="303">
        <v>-7087.91</v>
      </c>
      <c r="L12" s="303">
        <v>-2010.83</v>
      </c>
      <c r="M12" s="303">
        <v>-3495.26</v>
      </c>
      <c r="N12" s="195">
        <f t="shared" ref="N12:N23" si="0">SUM(B12:M12)</f>
        <v>-13928.18</v>
      </c>
    </row>
    <row r="13" spans="1:17">
      <c r="A13" s="173" t="s">
        <v>68</v>
      </c>
      <c r="B13" s="304">
        <v>-450</v>
      </c>
      <c r="C13" s="304">
        <v>-218.8</v>
      </c>
      <c r="D13" s="304">
        <v>0</v>
      </c>
      <c r="E13" s="305">
        <v>0</v>
      </c>
      <c r="F13" s="304">
        <v>-56</v>
      </c>
      <c r="G13" s="304">
        <v>0</v>
      </c>
      <c r="H13" s="304">
        <v>0</v>
      </c>
      <c r="I13" s="304">
        <v>0</v>
      </c>
      <c r="J13" s="304">
        <v>-425</v>
      </c>
      <c r="K13" s="304">
        <v>-7087.91</v>
      </c>
      <c r="L13" s="303">
        <v>-2010.83</v>
      </c>
      <c r="M13" s="303">
        <v>-3495.26</v>
      </c>
      <c r="N13" s="306">
        <f t="shared" si="0"/>
        <v>-13743.8</v>
      </c>
    </row>
    <row r="14" spans="1:17">
      <c r="A14" s="173" t="s">
        <v>69</v>
      </c>
      <c r="B14" s="304">
        <v>-100</v>
      </c>
      <c r="C14" s="304">
        <v>-275.38</v>
      </c>
      <c r="D14" s="304">
        <v>-298</v>
      </c>
      <c r="E14" s="305">
        <v>0</v>
      </c>
      <c r="F14" s="304">
        <v>0</v>
      </c>
      <c r="G14" s="304">
        <v>-305.27999999999997</v>
      </c>
      <c r="H14" s="304">
        <v>0</v>
      </c>
      <c r="I14" s="304">
        <v>-3891.86</v>
      </c>
      <c r="J14" s="304">
        <v>0</v>
      </c>
      <c r="K14" s="304">
        <v>-7137.02</v>
      </c>
      <c r="L14" s="303">
        <v>-2010.83</v>
      </c>
      <c r="M14" s="303">
        <v>-3495.26</v>
      </c>
      <c r="N14" s="306">
        <f t="shared" si="0"/>
        <v>-17513.63</v>
      </c>
    </row>
    <row r="15" spans="1:17">
      <c r="A15" s="173" t="s">
        <v>70</v>
      </c>
      <c r="B15" s="304">
        <v>-840</v>
      </c>
      <c r="C15" s="304">
        <v>-15.97</v>
      </c>
      <c r="D15" s="304">
        <v>0</v>
      </c>
      <c r="E15" s="305">
        <v>0</v>
      </c>
      <c r="F15" s="304">
        <v>0</v>
      </c>
      <c r="G15" s="304">
        <v>0</v>
      </c>
      <c r="H15" s="304">
        <v>0</v>
      </c>
      <c r="I15" s="304">
        <v>0</v>
      </c>
      <c r="J15" s="304">
        <v>0</v>
      </c>
      <c r="K15" s="304">
        <v>-7113.26</v>
      </c>
      <c r="L15" s="303">
        <v>-2010.83</v>
      </c>
      <c r="M15" s="303">
        <v>-3495.26</v>
      </c>
      <c r="N15" s="306">
        <f t="shared" si="0"/>
        <v>-13475.320000000002</v>
      </c>
    </row>
    <row r="16" spans="1:17">
      <c r="A16" s="173" t="s">
        <v>59</v>
      </c>
      <c r="B16" s="304">
        <v>-275</v>
      </c>
      <c r="C16" s="304">
        <v>0</v>
      </c>
      <c r="D16" s="304">
        <v>0</v>
      </c>
      <c r="E16" s="305">
        <v>-29.67</v>
      </c>
      <c r="F16" s="304">
        <v>-70</v>
      </c>
      <c r="G16" s="304" t="s">
        <v>565</v>
      </c>
      <c r="H16" s="304">
        <f>-132.5-155.5</f>
        <v>-288</v>
      </c>
      <c r="I16" s="304">
        <v>0</v>
      </c>
      <c r="J16" s="304">
        <v>0</v>
      </c>
      <c r="K16" s="304">
        <v>-7119.1</v>
      </c>
      <c r="L16" s="303">
        <v>-2010.83</v>
      </c>
      <c r="M16" s="303">
        <v>-3495.26</v>
      </c>
      <c r="N16" s="306">
        <f t="shared" si="0"/>
        <v>-13287.86</v>
      </c>
    </row>
    <row r="17" spans="1:14">
      <c r="A17" s="173" t="s">
        <v>71</v>
      </c>
      <c r="B17" s="304">
        <v>-550</v>
      </c>
      <c r="C17" s="304">
        <v>0</v>
      </c>
      <c r="D17" s="304">
        <v>0</v>
      </c>
      <c r="E17" s="305">
        <v>-1570</v>
      </c>
      <c r="F17" s="304">
        <v>-1986.26</v>
      </c>
      <c r="G17" s="304">
        <v>0</v>
      </c>
      <c r="H17" s="304">
        <f>-84.68-1675.26</f>
        <v>-1759.94</v>
      </c>
      <c r="I17" s="304">
        <v>0</v>
      </c>
      <c r="J17" s="304">
        <v>0</v>
      </c>
      <c r="K17" s="304">
        <v>-9111.89</v>
      </c>
      <c r="L17" s="303">
        <v>-2010.83</v>
      </c>
      <c r="M17" s="303">
        <v>-3495.26</v>
      </c>
      <c r="N17" s="306">
        <f t="shared" si="0"/>
        <v>-20484.18</v>
      </c>
    </row>
    <row r="18" spans="1:14">
      <c r="A18" s="173" t="s">
        <v>72</v>
      </c>
      <c r="B18" s="304">
        <v>-1350</v>
      </c>
      <c r="C18" s="304">
        <f>-5104.47</f>
        <v>-5104.47</v>
      </c>
      <c r="D18" s="304">
        <v>-399</v>
      </c>
      <c r="E18" s="305">
        <v>-10</v>
      </c>
      <c r="F18" s="304">
        <v>0</v>
      </c>
      <c r="G18" s="304">
        <v>-53</v>
      </c>
      <c r="H18" s="304">
        <f>-750.64</f>
        <v>-750.64</v>
      </c>
      <c r="I18" s="304">
        <v>0</v>
      </c>
      <c r="J18" s="304">
        <v>0</v>
      </c>
      <c r="K18" s="304">
        <v>-7287.61</v>
      </c>
      <c r="L18" s="303">
        <v>-2010.83</v>
      </c>
      <c r="M18" s="303">
        <v>-3495.26</v>
      </c>
      <c r="N18" s="306">
        <f t="shared" si="0"/>
        <v>-20460.810000000005</v>
      </c>
    </row>
    <row r="19" spans="1:14">
      <c r="A19" s="173" t="s">
        <v>73</v>
      </c>
      <c r="B19" s="304">
        <v>0</v>
      </c>
      <c r="C19" s="304">
        <v>-26.92</v>
      </c>
      <c r="D19" s="304">
        <v>0</v>
      </c>
      <c r="E19" s="305">
        <v>0</v>
      </c>
      <c r="F19" s="304">
        <v>0</v>
      </c>
      <c r="G19" s="304">
        <v>0</v>
      </c>
      <c r="H19" s="304">
        <v>0</v>
      </c>
      <c r="I19" s="304">
        <v>0</v>
      </c>
      <c r="J19" s="304">
        <v>0</v>
      </c>
      <c r="K19" s="304">
        <f>-7287.61-21.46</f>
        <v>-7309.07</v>
      </c>
      <c r="L19" s="303">
        <v>-2010.83</v>
      </c>
      <c r="M19" s="303">
        <v>-3495.26</v>
      </c>
      <c r="N19" s="306">
        <f t="shared" si="0"/>
        <v>-12842.08</v>
      </c>
    </row>
    <row r="20" spans="1:14">
      <c r="A20" s="173" t="s">
        <v>74</v>
      </c>
      <c r="B20" s="304">
        <v>-350</v>
      </c>
      <c r="C20" s="304">
        <f>-1500-281.01</f>
        <v>-1781.01</v>
      </c>
      <c r="D20" s="304">
        <v>0</v>
      </c>
      <c r="E20" s="305">
        <v>0</v>
      </c>
      <c r="F20" s="304">
        <v>0</v>
      </c>
      <c r="G20" s="304">
        <v>0</v>
      </c>
      <c r="H20" s="304">
        <v>0</v>
      </c>
      <c r="I20" s="304">
        <v>0</v>
      </c>
      <c r="J20" s="304">
        <v>0</v>
      </c>
      <c r="K20" s="304">
        <v>-7306.37</v>
      </c>
      <c r="L20" s="303">
        <v>-2010.83</v>
      </c>
      <c r="M20" s="303">
        <v>-3495.26</v>
      </c>
      <c r="N20" s="306">
        <f t="shared" si="0"/>
        <v>-14943.470000000001</v>
      </c>
    </row>
    <row r="21" spans="1:14">
      <c r="A21" s="173" t="s">
        <v>75</v>
      </c>
      <c r="B21" s="307">
        <v>-300</v>
      </c>
      <c r="C21" s="307">
        <v>-2350</v>
      </c>
      <c r="D21" s="307">
        <v>0</v>
      </c>
      <c r="E21" s="305">
        <v>0</v>
      </c>
      <c r="F21" s="307">
        <v>-7115.49</v>
      </c>
      <c r="G21" s="307">
        <v>0</v>
      </c>
      <c r="H21" s="307">
        <v>0</v>
      </c>
      <c r="I21" s="307">
        <v>-1113</v>
      </c>
      <c r="J21" s="307">
        <v>0</v>
      </c>
      <c r="K21" s="307">
        <v>-7357.35</v>
      </c>
      <c r="L21" s="303">
        <v>-2010.83</v>
      </c>
      <c r="M21" s="303">
        <f>-3495.26+6197</f>
        <v>2701.74</v>
      </c>
      <c r="N21" s="306">
        <f t="shared" si="0"/>
        <v>-17544.93</v>
      </c>
    </row>
    <row r="22" spans="1:14">
      <c r="A22" s="173" t="s">
        <v>76</v>
      </c>
      <c r="B22" s="307">
        <v>-250</v>
      </c>
      <c r="C22" s="307">
        <v>0</v>
      </c>
      <c r="D22" s="307" t="s">
        <v>565</v>
      </c>
      <c r="E22" s="305">
        <v>0</v>
      </c>
      <c r="F22" s="307">
        <v>0</v>
      </c>
      <c r="G22" s="307">
        <v>0</v>
      </c>
      <c r="H22" s="307">
        <v>0</v>
      </c>
      <c r="I22" s="307">
        <f>-1233.36-1039.13</f>
        <v>-2272.4899999999998</v>
      </c>
      <c r="J22" s="307">
        <v>-150.68</v>
      </c>
      <c r="K22" s="307">
        <v>-7368.6</v>
      </c>
      <c r="L22" s="304">
        <v>-2072.12</v>
      </c>
      <c r="M22" s="303">
        <v>-3495.26</v>
      </c>
      <c r="N22" s="306">
        <f t="shared" si="0"/>
        <v>-15609.15</v>
      </c>
    </row>
    <row r="23" spans="1:14">
      <c r="A23" s="173" t="s">
        <v>77</v>
      </c>
      <c r="B23" s="308">
        <v>0</v>
      </c>
      <c r="C23" s="308">
        <v>-1000</v>
      </c>
      <c r="D23" s="308">
        <v>-730</v>
      </c>
      <c r="E23" s="309">
        <v>0</v>
      </c>
      <c r="F23" s="308">
        <v>0</v>
      </c>
      <c r="G23" s="308">
        <v>0</v>
      </c>
      <c r="H23" s="308">
        <v>0</v>
      </c>
      <c r="I23" s="308">
        <f>-930.79-4.95-1261.39</f>
        <v>-2197.13</v>
      </c>
      <c r="J23" s="308">
        <v>-1400.4</v>
      </c>
      <c r="K23" s="308">
        <v>-7320.29</v>
      </c>
      <c r="L23" s="310">
        <v>-2072.12</v>
      </c>
      <c r="M23" s="310">
        <v>-3495.31</v>
      </c>
      <c r="N23" s="306">
        <f t="shared" si="0"/>
        <v>-18215.25</v>
      </c>
    </row>
    <row r="24" spans="1:14">
      <c r="A24" s="173" t="s">
        <v>53</v>
      </c>
      <c r="B24" s="192">
        <f>SUM(B12:B23)</f>
        <v>-5014.18</v>
      </c>
      <c r="C24" s="192">
        <f>SUM(C12:C23)</f>
        <v>-10772.55</v>
      </c>
      <c r="D24" s="192">
        <f t="shared" ref="D24:M24" si="1">SUM(D12:D23)</f>
        <v>-1427</v>
      </c>
      <c r="E24" s="192">
        <f t="shared" si="1"/>
        <v>-1609.67</v>
      </c>
      <c r="F24" s="192">
        <f>SUM(F12:F23)</f>
        <v>-9227.75</v>
      </c>
      <c r="G24" s="192">
        <f t="shared" si="1"/>
        <v>-358.28</v>
      </c>
      <c r="H24" s="192">
        <f t="shared" si="1"/>
        <v>-2798.58</v>
      </c>
      <c r="I24" s="192">
        <f t="shared" si="1"/>
        <v>-9474.48</v>
      </c>
      <c r="J24" s="192">
        <f t="shared" si="1"/>
        <v>-2761.08</v>
      </c>
      <c r="K24" s="192">
        <f t="shared" si="1"/>
        <v>-88606.38</v>
      </c>
      <c r="L24" s="192">
        <f t="shared" si="1"/>
        <v>-24252.54</v>
      </c>
      <c r="M24" s="192">
        <f t="shared" si="1"/>
        <v>-35746.170000000013</v>
      </c>
      <c r="N24" s="311">
        <f>SUM(N12:N23)</f>
        <v>-192048.66</v>
      </c>
    </row>
    <row r="25" spans="1:14">
      <c r="B25" s="181"/>
      <c r="C25" s="181"/>
      <c r="D25" s="181"/>
      <c r="E25" s="181"/>
      <c r="F25" s="181"/>
      <c r="G25" s="181"/>
      <c r="H25" s="181"/>
      <c r="I25" s="181"/>
      <c r="J25" s="181"/>
    </row>
    <row r="26" spans="1:14">
      <c r="B26" s="181"/>
      <c r="C26" s="181"/>
      <c r="D26" s="181"/>
      <c r="E26" s="181"/>
      <c r="F26" s="181"/>
      <c r="G26" s="181"/>
      <c r="H26" s="181"/>
      <c r="I26" s="181"/>
      <c r="J26" s="181"/>
    </row>
    <row r="27" spans="1:14" ht="14.25" customHeight="1">
      <c r="A27" s="380" t="s">
        <v>465</v>
      </c>
      <c r="B27" s="380"/>
      <c r="C27" s="380"/>
      <c r="D27" s="380"/>
      <c r="E27" s="380"/>
      <c r="F27" s="380"/>
      <c r="G27" s="380"/>
      <c r="H27" s="380"/>
      <c r="I27" s="380"/>
      <c r="J27" s="380"/>
      <c r="K27" s="380"/>
      <c r="L27" s="380"/>
      <c r="M27" s="380"/>
      <c r="N27" s="380"/>
    </row>
    <row r="28" spans="1:14">
      <c r="B28" s="181"/>
      <c r="C28" s="181"/>
      <c r="D28" s="181"/>
      <c r="E28" s="181"/>
      <c r="F28" s="181"/>
      <c r="G28" s="181"/>
      <c r="H28" s="181"/>
      <c r="I28" s="181"/>
      <c r="J28" s="181"/>
      <c r="K28" s="181"/>
      <c r="L28" s="181"/>
      <c r="M28" s="181"/>
    </row>
    <row r="29" spans="1:14">
      <c r="B29" s="181"/>
      <c r="C29" s="181"/>
      <c r="D29" s="181"/>
      <c r="E29" s="181"/>
      <c r="F29" s="181"/>
      <c r="G29" s="181"/>
      <c r="H29" s="181"/>
      <c r="I29" s="181"/>
      <c r="J29" s="181"/>
      <c r="K29" s="181"/>
      <c r="L29" s="181"/>
      <c r="M29" s="181"/>
    </row>
    <row r="30" spans="1:14">
      <c r="B30" s="181"/>
      <c r="C30" s="181"/>
      <c r="D30" s="181"/>
      <c r="E30" s="181"/>
      <c r="F30" s="181"/>
      <c r="G30" s="181"/>
      <c r="H30" s="181"/>
      <c r="I30" s="181"/>
      <c r="J30" s="181"/>
      <c r="K30" s="181"/>
      <c r="L30" s="181"/>
      <c r="M30" s="181"/>
    </row>
    <row r="31" spans="1:14">
      <c r="B31" s="181"/>
      <c r="C31" s="181"/>
      <c r="D31" s="181"/>
      <c r="E31" s="181"/>
      <c r="F31" s="181"/>
      <c r="G31" s="181"/>
      <c r="H31" s="181"/>
      <c r="I31" s="181"/>
      <c r="J31" s="181"/>
      <c r="K31" s="181"/>
      <c r="L31" s="181"/>
      <c r="M31" s="181"/>
    </row>
    <row r="32" spans="1:14">
      <c r="B32" s="181"/>
      <c r="C32" s="181"/>
      <c r="D32" s="181"/>
      <c r="E32" s="181"/>
      <c r="F32" s="181"/>
      <c r="G32" s="181"/>
      <c r="H32" s="181"/>
      <c r="I32" s="181"/>
      <c r="J32" s="181"/>
      <c r="K32" s="181"/>
      <c r="L32" s="181"/>
      <c r="M32" s="181"/>
    </row>
    <row r="33" spans="2:13">
      <c r="B33" s="181"/>
      <c r="C33" s="181"/>
      <c r="D33" s="181"/>
      <c r="E33" s="181"/>
      <c r="F33" s="181"/>
      <c r="G33" s="181"/>
      <c r="H33" s="181"/>
      <c r="I33" s="181"/>
      <c r="J33" s="181"/>
      <c r="K33" s="181"/>
      <c r="L33" s="181"/>
      <c r="M33" s="181"/>
    </row>
    <row r="34" spans="2:13">
      <c r="B34" s="181"/>
      <c r="C34" s="181"/>
      <c r="D34" s="181"/>
      <c r="E34" s="181"/>
      <c r="F34" s="181"/>
      <c r="G34" s="181"/>
      <c r="H34" s="181"/>
      <c r="I34" s="181"/>
      <c r="J34" s="181"/>
      <c r="K34" s="181"/>
      <c r="L34" s="181"/>
      <c r="M34" s="181"/>
    </row>
    <row r="35" spans="2:13">
      <c r="B35" s="181"/>
      <c r="C35" s="181"/>
      <c r="D35" s="181"/>
      <c r="E35" s="181"/>
      <c r="F35" s="181"/>
      <c r="G35" s="181"/>
      <c r="H35" s="181"/>
      <c r="I35" s="181"/>
      <c r="J35" s="181"/>
      <c r="K35" s="181"/>
      <c r="L35" s="181"/>
      <c r="M35" s="181"/>
    </row>
    <row r="36" spans="2:13">
      <c r="B36" s="181"/>
      <c r="C36" s="181"/>
      <c r="D36" s="181"/>
      <c r="E36" s="181"/>
      <c r="F36" s="181"/>
      <c r="G36" s="181"/>
      <c r="H36" s="181"/>
      <c r="I36" s="181"/>
      <c r="J36" s="181"/>
      <c r="K36" s="181"/>
      <c r="L36" s="181"/>
      <c r="M36" s="181"/>
    </row>
    <row r="37" spans="2:13">
      <c r="B37" s="181"/>
      <c r="C37" s="181"/>
      <c r="D37" s="181"/>
      <c r="E37" s="181"/>
      <c r="F37" s="181"/>
      <c r="G37" s="181"/>
      <c r="H37" s="181"/>
      <c r="I37" s="181"/>
      <c r="J37" s="181"/>
      <c r="K37" s="181"/>
      <c r="L37" s="181"/>
      <c r="M37" s="181"/>
    </row>
    <row r="38" spans="2:13">
      <c r="B38" s="181"/>
      <c r="C38" s="181"/>
      <c r="D38" s="181"/>
      <c r="E38" s="181"/>
      <c r="F38" s="181"/>
      <c r="G38" s="181"/>
      <c r="H38" s="181"/>
      <c r="I38" s="181"/>
      <c r="J38" s="181"/>
      <c r="K38" s="181"/>
      <c r="L38" s="181"/>
      <c r="M38" s="181"/>
    </row>
    <row r="39" spans="2:13">
      <c r="B39" s="181"/>
      <c r="C39" s="181"/>
      <c r="D39" s="181"/>
      <c r="E39" s="181"/>
      <c r="F39" s="181"/>
      <c r="G39" s="181"/>
      <c r="H39" s="181"/>
      <c r="I39" s="181"/>
      <c r="J39" s="181"/>
      <c r="K39" s="181"/>
      <c r="L39" s="181"/>
      <c r="M39" s="181"/>
    </row>
    <row r="40" spans="2:13">
      <c r="B40" s="181"/>
      <c r="C40" s="181"/>
    </row>
    <row r="41" spans="2:13">
      <c r="B41" s="181"/>
      <c r="C41" s="181"/>
    </row>
  </sheetData>
  <mergeCells count="4">
    <mergeCell ref="A4:N4"/>
    <mergeCell ref="A5:N5"/>
    <mergeCell ref="A7:N7"/>
    <mergeCell ref="A27:N27"/>
  </mergeCells>
  <printOptions horizontalCentered="1"/>
  <pageMargins left="0.7" right="0.7" top="0.75" bottom="0.75" header="0.3" footer="0.3"/>
  <pageSetup scale="66" orientation="landscape" r:id="rId1"/>
  <headerFooter>
    <oddFooter>&amp;RExhibit JW-2
Page &amp;P of &amp;N</oddFooter>
  </headerFooter>
  <ignoredErrors>
    <ignoredError sqref="N12:N24 M21 K19 C18:C20 H16:H18" unlockedFormula="1"/>
    <ignoredError sqref="K10 D10:I10 B10 L10:M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73B9B-2685-4CA9-B9E2-E7F581979900}">
  <sheetPr>
    <pageSetUpPr fitToPage="1"/>
  </sheetPr>
  <dimension ref="A1:P44"/>
  <sheetViews>
    <sheetView view="pageBreakPreview" topLeftCell="A15" zoomScale="75" zoomScaleNormal="75" zoomScaleSheetLayoutView="75" workbookViewId="0">
      <selection activeCell="R28" sqref="R28"/>
    </sheetView>
  </sheetViews>
  <sheetFormatPr defaultColWidth="9.109375" defaultRowHeight="13.8"/>
  <cols>
    <col min="1" max="1" width="13.44140625" style="173" customWidth="1"/>
    <col min="2" max="2" width="9.109375" style="173" bestFit="1" customWidth="1"/>
    <col min="3" max="12" width="8.6640625" style="173" customWidth="1"/>
    <col min="13" max="13" width="9.6640625" style="173" customWidth="1"/>
    <col min="14" max="14" width="26.5546875" style="173" customWidth="1"/>
    <col min="15" max="15" width="2.33203125" style="173" customWidth="1"/>
    <col min="16" max="16384" width="9.109375" style="173"/>
  </cols>
  <sheetData>
    <row r="1" spans="1:16" s="2" customFormat="1" ht="15" customHeight="1">
      <c r="G1" s="20"/>
      <c r="N1" s="20" t="s">
        <v>462</v>
      </c>
    </row>
    <row r="2" spans="1:16" s="2" customFormat="1" ht="20.25" customHeight="1">
      <c r="G2" s="20"/>
      <c r="H2" s="20"/>
    </row>
    <row r="3" spans="1:16" s="2" customFormat="1" ht="13.2">
      <c r="G3" s="20"/>
      <c r="H3" s="20"/>
    </row>
    <row r="4" spans="1:16" s="2" customFormat="1" ht="13.2">
      <c r="A4" s="377" t="s">
        <v>566</v>
      </c>
      <c r="B4" s="377"/>
      <c r="C4" s="377"/>
      <c r="D4" s="377"/>
      <c r="E4" s="377"/>
      <c r="F4" s="377"/>
      <c r="G4" s="377"/>
      <c r="H4" s="377"/>
      <c r="I4" s="377"/>
      <c r="J4" s="377"/>
      <c r="K4" s="377"/>
      <c r="L4" s="377"/>
      <c r="M4" s="377"/>
      <c r="N4" s="377"/>
      <c r="O4" s="193"/>
    </row>
    <row r="5" spans="1:16" s="2" customFormat="1" ht="13.2">
      <c r="A5" s="377" t="s">
        <v>522</v>
      </c>
      <c r="B5" s="377"/>
      <c r="C5" s="377"/>
      <c r="D5" s="377"/>
      <c r="E5" s="377"/>
      <c r="F5" s="377"/>
      <c r="G5" s="377"/>
      <c r="H5" s="377"/>
      <c r="I5" s="377"/>
      <c r="J5" s="377"/>
      <c r="K5" s="377"/>
      <c r="L5" s="377"/>
      <c r="M5" s="377"/>
      <c r="N5" s="377"/>
    </row>
    <row r="6" spans="1:16" s="2" customFormat="1" ht="13.2"/>
    <row r="7" spans="1:16" s="21" customFormat="1" ht="15" customHeight="1">
      <c r="A7" s="378" t="s">
        <v>467</v>
      </c>
      <c r="B7" s="378"/>
      <c r="C7" s="378"/>
      <c r="D7" s="378"/>
      <c r="E7" s="378"/>
      <c r="F7" s="378"/>
      <c r="G7" s="378"/>
      <c r="H7" s="378"/>
      <c r="I7" s="378"/>
      <c r="J7" s="378"/>
      <c r="K7" s="378"/>
      <c r="L7" s="378"/>
      <c r="M7" s="378"/>
      <c r="N7" s="378"/>
    </row>
    <row r="8" spans="1:16" s="2" customFormat="1" ht="13.2"/>
    <row r="10" spans="1:16">
      <c r="A10" s="302" t="s">
        <v>469</v>
      </c>
      <c r="B10" s="302" t="s">
        <v>67</v>
      </c>
      <c r="C10" s="302" t="s">
        <v>68</v>
      </c>
      <c r="D10" s="302" t="s">
        <v>69</v>
      </c>
      <c r="E10" s="302" t="s">
        <v>70</v>
      </c>
      <c r="F10" s="302" t="s">
        <v>59</v>
      </c>
      <c r="G10" s="302" t="s">
        <v>71</v>
      </c>
      <c r="H10" s="302" t="s">
        <v>72</v>
      </c>
      <c r="I10" s="302" t="s">
        <v>73</v>
      </c>
      <c r="J10" s="302" t="s">
        <v>74</v>
      </c>
      <c r="K10" s="302" t="s">
        <v>75</v>
      </c>
      <c r="L10" s="302" t="s">
        <v>76</v>
      </c>
      <c r="M10" s="302" t="s">
        <v>77</v>
      </c>
      <c r="N10" s="302" t="s">
        <v>53</v>
      </c>
      <c r="O10" s="302"/>
      <c r="P10" s="174"/>
    </row>
    <row r="11" spans="1:16">
      <c r="A11" s="175">
        <v>1</v>
      </c>
      <c r="B11" s="192">
        <v>164.02</v>
      </c>
      <c r="C11" s="192">
        <v>258.26</v>
      </c>
      <c r="D11" s="192">
        <v>147.03</v>
      </c>
      <c r="E11" s="192">
        <v>275.35000000000002</v>
      </c>
      <c r="F11" s="192">
        <v>169.92</v>
      </c>
      <c r="G11" s="192">
        <v>180.34</v>
      </c>
      <c r="H11" s="192">
        <v>170.54</v>
      </c>
      <c r="I11" s="192">
        <v>150.87</v>
      </c>
      <c r="J11" s="192">
        <v>256.87</v>
      </c>
      <c r="K11" s="192">
        <v>169.14</v>
      </c>
      <c r="L11" s="192">
        <v>190.06</v>
      </c>
      <c r="M11" s="192">
        <v>160.16</v>
      </c>
      <c r="N11" s="192">
        <f t="shared" ref="N11:N20" si="0">SUM(B11:M11)</f>
        <v>2292.5599999999995</v>
      </c>
      <c r="O11" s="330">
        <v>583</v>
      </c>
    </row>
    <row r="12" spans="1:16">
      <c r="A12" s="175">
        <v>2</v>
      </c>
      <c r="B12" s="191">
        <v>99.62</v>
      </c>
      <c r="C12" s="191">
        <v>99.62</v>
      </c>
      <c r="D12" s="191">
        <v>99.62</v>
      </c>
      <c r="E12" s="191">
        <v>156.33000000000001</v>
      </c>
      <c r="F12" s="191">
        <v>99.62</v>
      </c>
      <c r="G12" s="191">
        <v>100.77</v>
      </c>
      <c r="H12" s="191">
        <v>100.63</v>
      </c>
      <c r="I12" s="191">
        <v>99.62</v>
      </c>
      <c r="J12" s="191">
        <v>149.43</v>
      </c>
      <c r="K12" s="191">
        <v>99.62</v>
      </c>
      <c r="L12" s="191">
        <v>102.2</v>
      </c>
      <c r="M12" s="191">
        <v>103.3</v>
      </c>
      <c r="N12" s="191">
        <f t="shared" si="0"/>
        <v>1310.3800000000001</v>
      </c>
      <c r="O12" s="191">
        <v>588</v>
      </c>
    </row>
    <row r="13" spans="1:16">
      <c r="A13" s="175">
        <v>3</v>
      </c>
      <c r="B13" s="191">
        <v>91.26</v>
      </c>
      <c r="C13" s="191">
        <v>91.26</v>
      </c>
      <c r="D13" s="191">
        <v>91.26</v>
      </c>
      <c r="E13" s="191">
        <v>136.88999999999999</v>
      </c>
      <c r="F13" s="191">
        <v>91.26</v>
      </c>
      <c r="G13" s="191">
        <v>91.26</v>
      </c>
      <c r="H13" s="191">
        <v>91.26</v>
      </c>
      <c r="I13" s="191">
        <v>91.26</v>
      </c>
      <c r="J13" s="191">
        <v>136.88999999999999</v>
      </c>
      <c r="K13" s="191">
        <v>91.26</v>
      </c>
      <c r="L13" s="191">
        <v>94.45</v>
      </c>
      <c r="M13" s="191">
        <v>95.82</v>
      </c>
      <c r="N13" s="191">
        <f t="shared" si="0"/>
        <v>1194.1299999999999</v>
      </c>
      <c r="O13" s="191">
        <v>920</v>
      </c>
    </row>
    <row r="14" spans="1:16">
      <c r="A14" s="175">
        <v>4</v>
      </c>
      <c r="B14" s="191">
        <v>156.24</v>
      </c>
      <c r="C14" s="191">
        <v>159.94999999999999</v>
      </c>
      <c r="D14" s="191">
        <v>160.41999999999999</v>
      </c>
      <c r="E14" s="191">
        <v>245.03</v>
      </c>
      <c r="F14" s="191">
        <v>160.88</v>
      </c>
      <c r="G14" s="191">
        <v>156.24</v>
      </c>
      <c r="H14" s="191">
        <v>162.74</v>
      </c>
      <c r="I14" s="191">
        <v>156.24</v>
      </c>
      <c r="J14" s="191">
        <v>234.36</v>
      </c>
      <c r="K14" s="191">
        <v>156.24</v>
      </c>
      <c r="L14" s="191">
        <v>161.43</v>
      </c>
      <c r="M14" s="191">
        <v>163.66</v>
      </c>
      <c r="N14" s="181">
        <f t="shared" si="0"/>
        <v>2073.4299999999998</v>
      </c>
      <c r="O14" s="330">
        <v>588</v>
      </c>
    </row>
    <row r="15" spans="1:16">
      <c r="A15" s="175">
        <v>5</v>
      </c>
      <c r="B15" s="191">
        <v>183.49</v>
      </c>
      <c r="C15" s="191">
        <v>306.81</v>
      </c>
      <c r="D15" s="191">
        <v>192.62</v>
      </c>
      <c r="E15" s="191">
        <v>291.16000000000003</v>
      </c>
      <c r="F15" s="191">
        <v>213.4</v>
      </c>
      <c r="G15" s="191">
        <v>190.54</v>
      </c>
      <c r="H15" s="191">
        <v>190.54</v>
      </c>
      <c r="I15" s="191">
        <v>192.85</v>
      </c>
      <c r="J15" s="191">
        <v>292.74</v>
      </c>
      <c r="K15" s="191">
        <v>195.16</v>
      </c>
      <c r="L15" s="191">
        <v>200.41</v>
      </c>
      <c r="M15" s="191">
        <v>207.53</v>
      </c>
      <c r="N15" s="191">
        <f t="shared" si="0"/>
        <v>2657.25</v>
      </c>
      <c r="O15" s="330">
        <v>593.29999999999995</v>
      </c>
    </row>
    <row r="16" spans="1:16">
      <c r="A16" s="175">
        <v>6</v>
      </c>
      <c r="B16" s="191">
        <f>65.62+65.62</f>
        <v>131.24</v>
      </c>
      <c r="C16" s="191">
        <f>65.62+65.62</f>
        <v>131.24</v>
      </c>
      <c r="D16" s="191">
        <f>65.62+65.62</f>
        <v>131.24</v>
      </c>
      <c r="E16" s="191">
        <f>65.62+65.62</f>
        <v>131.24</v>
      </c>
      <c r="F16" s="191">
        <v>0</v>
      </c>
      <c r="G16" s="191">
        <v>0</v>
      </c>
      <c r="H16" s="191">
        <v>0</v>
      </c>
      <c r="I16" s="191">
        <v>0</v>
      </c>
      <c r="J16" s="191">
        <v>0</v>
      </c>
      <c r="K16" s="191">
        <v>0</v>
      </c>
      <c r="L16" s="191">
        <v>0</v>
      </c>
      <c r="M16" s="191">
        <v>0</v>
      </c>
      <c r="N16" s="191">
        <f t="shared" si="0"/>
        <v>524.96</v>
      </c>
      <c r="O16" s="330">
        <v>593.29999999999995</v>
      </c>
    </row>
    <row r="17" spans="1:15">
      <c r="A17" s="175">
        <v>7</v>
      </c>
      <c r="B17" s="191">
        <v>140.62</v>
      </c>
      <c r="C17" s="191">
        <v>144.77000000000001</v>
      </c>
      <c r="D17" s="191">
        <v>140.62</v>
      </c>
      <c r="E17" s="191">
        <v>210.93</v>
      </c>
      <c r="F17" s="191">
        <v>140.62</v>
      </c>
      <c r="G17" s="191">
        <v>140.62</v>
      </c>
      <c r="H17" s="191">
        <v>147.27000000000001</v>
      </c>
      <c r="I17" s="191">
        <v>140.62</v>
      </c>
      <c r="J17" s="191">
        <v>210.93</v>
      </c>
      <c r="K17" s="191">
        <v>140.62</v>
      </c>
      <c r="L17" s="191">
        <v>145.27000000000001</v>
      </c>
      <c r="M17" s="191">
        <v>147.26</v>
      </c>
      <c r="N17" s="191">
        <f t="shared" si="0"/>
        <v>1850.1500000000003</v>
      </c>
      <c r="O17" s="330">
        <v>901</v>
      </c>
    </row>
    <row r="18" spans="1:15">
      <c r="A18" s="175">
        <v>8</v>
      </c>
      <c r="B18" s="191">
        <v>181.19</v>
      </c>
      <c r="C18" s="191">
        <v>182.77</v>
      </c>
      <c r="D18" s="191">
        <v>185.23</v>
      </c>
      <c r="E18" s="191">
        <v>323.7</v>
      </c>
      <c r="F18" s="191">
        <v>202.23</v>
      </c>
      <c r="G18" s="191">
        <v>209.16</v>
      </c>
      <c r="H18" s="191">
        <v>168.67</v>
      </c>
      <c r="I18" s="191">
        <v>174.48</v>
      </c>
      <c r="J18" s="191">
        <v>228.18</v>
      </c>
      <c r="K18" s="191">
        <v>173.82</v>
      </c>
      <c r="L18" s="191">
        <v>80.8</v>
      </c>
      <c r="M18" s="191">
        <v>28.45</v>
      </c>
      <c r="N18" s="191">
        <f t="shared" si="0"/>
        <v>2138.6800000000003</v>
      </c>
      <c r="O18" s="330">
        <v>583</v>
      </c>
    </row>
    <row r="19" spans="1:15">
      <c r="A19" s="175">
        <v>9</v>
      </c>
      <c r="B19" s="191">
        <v>152.9</v>
      </c>
      <c r="C19" s="191">
        <v>166.65</v>
      </c>
      <c r="D19" s="191">
        <v>159.27000000000001</v>
      </c>
      <c r="E19" s="191">
        <v>291.02999999999997</v>
      </c>
      <c r="F19" s="191">
        <v>181.87</v>
      </c>
      <c r="G19" s="191">
        <v>165.32</v>
      </c>
      <c r="H19" s="191">
        <v>162.85</v>
      </c>
      <c r="I19" s="191">
        <v>144.51</v>
      </c>
      <c r="J19" s="191">
        <v>256.58</v>
      </c>
      <c r="K19" s="191">
        <v>150.55000000000001</v>
      </c>
      <c r="L19" s="191">
        <v>145.74</v>
      </c>
      <c r="M19" s="191">
        <v>154.41999999999999</v>
      </c>
      <c r="N19" s="191">
        <f t="shared" si="0"/>
        <v>2131.6899999999996</v>
      </c>
      <c r="O19" s="330">
        <v>583</v>
      </c>
    </row>
    <row r="20" spans="1:15">
      <c r="A20" s="175">
        <v>10</v>
      </c>
      <c r="B20" s="331">
        <v>126.54</v>
      </c>
      <c r="C20" s="331">
        <v>129.51</v>
      </c>
      <c r="D20" s="331">
        <v>126.54</v>
      </c>
      <c r="E20" s="331">
        <v>189.81</v>
      </c>
      <c r="F20" s="331">
        <v>126.54</v>
      </c>
      <c r="G20" s="331">
        <v>126.54</v>
      </c>
      <c r="H20" s="331">
        <v>126.54</v>
      </c>
      <c r="I20" s="331">
        <v>126.54</v>
      </c>
      <c r="J20" s="331">
        <v>189.81</v>
      </c>
      <c r="K20" s="331">
        <v>126.54</v>
      </c>
      <c r="L20" s="331">
        <v>129.87</v>
      </c>
      <c r="M20" s="331">
        <v>131.30000000000001</v>
      </c>
      <c r="N20" s="332">
        <f t="shared" si="0"/>
        <v>1656.0799999999997</v>
      </c>
      <c r="O20" s="333">
        <v>588</v>
      </c>
    </row>
    <row r="21" spans="1:15">
      <c r="A21" s="334" t="s">
        <v>53</v>
      </c>
      <c r="B21" s="209">
        <f t="shared" ref="B21:N21" si="1">SUM(B11:B20)</f>
        <v>1427.1200000000001</v>
      </c>
      <c r="C21" s="209">
        <f t="shared" si="1"/>
        <v>1670.84</v>
      </c>
      <c r="D21" s="209">
        <f t="shared" si="1"/>
        <v>1433.85</v>
      </c>
      <c r="E21" s="209">
        <f t="shared" si="1"/>
        <v>2251.4699999999998</v>
      </c>
      <c r="F21" s="209">
        <f t="shared" si="1"/>
        <v>1386.3399999999997</v>
      </c>
      <c r="G21" s="209">
        <f t="shared" si="1"/>
        <v>1360.79</v>
      </c>
      <c r="H21" s="209">
        <f t="shared" si="1"/>
        <v>1321.0399999999997</v>
      </c>
      <c r="I21" s="209">
        <f t="shared" si="1"/>
        <v>1276.99</v>
      </c>
      <c r="J21" s="209">
        <f t="shared" si="1"/>
        <v>1955.79</v>
      </c>
      <c r="K21" s="209">
        <f t="shared" si="1"/>
        <v>1302.9499999999998</v>
      </c>
      <c r="L21" s="209">
        <f t="shared" si="1"/>
        <v>1250.23</v>
      </c>
      <c r="M21" s="209">
        <f t="shared" si="1"/>
        <v>1191.8999999999999</v>
      </c>
      <c r="N21" s="209">
        <f t="shared" si="1"/>
        <v>17829.309999999998</v>
      </c>
    </row>
    <row r="22" spans="1:15">
      <c r="B22" s="335"/>
      <c r="C22" s="335"/>
      <c r="D22" s="335"/>
      <c r="E22" s="335"/>
      <c r="F22" s="335"/>
      <c r="G22" s="335"/>
      <c r="H22" s="335"/>
      <c r="I22" s="335"/>
      <c r="J22" s="335"/>
      <c r="K22" s="335"/>
      <c r="L22" s="335"/>
      <c r="M22" s="335"/>
      <c r="N22" s="335"/>
    </row>
    <row r="23" spans="1:15">
      <c r="B23" s="335"/>
      <c r="C23" s="335"/>
      <c r="D23" s="335"/>
      <c r="E23" s="335"/>
      <c r="F23" s="335"/>
      <c r="G23" s="335"/>
      <c r="H23" s="335"/>
      <c r="I23" s="335"/>
      <c r="J23" s="335"/>
      <c r="K23" s="335"/>
      <c r="L23" s="335"/>
      <c r="M23" s="335"/>
      <c r="N23" s="335"/>
    </row>
    <row r="24" spans="1:15">
      <c r="B24" s="335"/>
      <c r="C24" s="335"/>
      <c r="D24" s="335"/>
      <c r="E24" s="335"/>
      <c r="F24" s="335"/>
      <c r="G24" s="335"/>
      <c r="H24" s="335"/>
      <c r="I24" s="335"/>
      <c r="J24" s="335" t="s">
        <v>656</v>
      </c>
      <c r="L24" s="335"/>
      <c r="M24" s="335"/>
      <c r="N24" s="335">
        <f>N21</f>
        <v>17829.309999999998</v>
      </c>
    </row>
    <row r="25" spans="1:15">
      <c r="B25" s="335"/>
      <c r="C25" s="335"/>
      <c r="D25" s="335"/>
      <c r="E25" s="335"/>
      <c r="F25" s="335"/>
      <c r="G25" s="335"/>
      <c r="H25" s="335"/>
      <c r="I25" s="335"/>
      <c r="J25" s="335" t="s">
        <v>657</v>
      </c>
      <c r="L25" s="335"/>
      <c r="M25" s="335"/>
      <c r="N25" s="209">
        <v>0</v>
      </c>
    </row>
    <row r="26" spans="1:15">
      <c r="B26" s="335"/>
      <c r="C26" s="335"/>
      <c r="D26" s="335"/>
      <c r="E26" s="335"/>
      <c r="F26" s="335"/>
      <c r="G26" s="335"/>
      <c r="H26" s="335"/>
      <c r="I26" s="335"/>
      <c r="J26" s="336" t="s">
        <v>10</v>
      </c>
      <c r="K26" s="337"/>
      <c r="L26" s="336"/>
      <c r="M26" s="336"/>
      <c r="N26" s="336">
        <f>N25-N24</f>
        <v>-17829.309999999998</v>
      </c>
    </row>
    <row r="28" spans="1:15" ht="14.25" customHeight="1">
      <c r="A28" s="379" t="s">
        <v>468</v>
      </c>
      <c r="B28" s="379"/>
      <c r="C28" s="379"/>
      <c r="D28" s="379"/>
      <c r="E28" s="379"/>
      <c r="F28" s="379"/>
      <c r="G28" s="379"/>
      <c r="H28" s="379"/>
      <c r="I28" s="379"/>
      <c r="J28" s="379"/>
      <c r="K28" s="379"/>
      <c r="L28" s="379"/>
      <c r="M28" s="379"/>
      <c r="N28" s="379"/>
    </row>
    <row r="29" spans="1:15">
      <c r="A29" s="379" t="s">
        <v>767</v>
      </c>
      <c r="B29" s="379"/>
      <c r="C29" s="379"/>
      <c r="D29" s="379"/>
      <c r="E29" s="379"/>
      <c r="F29" s="379"/>
      <c r="G29" s="379"/>
      <c r="H29" s="379"/>
      <c r="I29" s="379"/>
      <c r="J29" s="379"/>
      <c r="K29" s="379"/>
      <c r="L29" s="379"/>
      <c r="M29" s="379"/>
      <c r="N29" s="379"/>
    </row>
    <row r="30" spans="1:15">
      <c r="A30" s="140"/>
      <c r="B30" s="140"/>
      <c r="C30" s="140"/>
      <c r="D30" s="140"/>
      <c r="E30" s="140"/>
      <c r="F30" s="140"/>
      <c r="G30" s="140"/>
      <c r="H30" s="140"/>
      <c r="I30" s="140"/>
      <c r="J30" s="140"/>
      <c r="K30" s="140"/>
      <c r="L30" s="140"/>
      <c r="M30" s="140"/>
      <c r="N30" s="140"/>
    </row>
    <row r="31" spans="1:15">
      <c r="A31" s="140"/>
      <c r="B31" s="140"/>
      <c r="C31" s="140"/>
      <c r="D31" s="140"/>
      <c r="E31" s="140"/>
      <c r="F31" s="140"/>
      <c r="G31" s="140"/>
      <c r="H31" s="140"/>
      <c r="I31" s="140"/>
      <c r="J31" s="140"/>
      <c r="K31" s="140"/>
      <c r="L31" s="140"/>
      <c r="M31" s="140"/>
      <c r="N31" s="140"/>
    </row>
    <row r="32" spans="1:15">
      <c r="A32" s="238" t="s">
        <v>78</v>
      </c>
    </row>
    <row r="33" spans="1:14">
      <c r="A33" s="302" t="s">
        <v>79</v>
      </c>
      <c r="B33" s="302" t="s">
        <v>67</v>
      </c>
      <c r="C33" s="302" t="s">
        <v>68</v>
      </c>
      <c r="D33" s="302" t="s">
        <v>69</v>
      </c>
      <c r="E33" s="302" t="s">
        <v>70</v>
      </c>
      <c r="F33" s="302" t="s">
        <v>59</v>
      </c>
      <c r="G33" s="302" t="s">
        <v>71</v>
      </c>
      <c r="H33" s="302" t="s">
        <v>72</v>
      </c>
      <c r="I33" s="302" t="s">
        <v>73</v>
      </c>
      <c r="J33" s="302" t="s">
        <v>74</v>
      </c>
      <c r="K33" s="302" t="s">
        <v>75</v>
      </c>
      <c r="L33" s="302" t="s">
        <v>76</v>
      </c>
      <c r="M33" s="302" t="s">
        <v>77</v>
      </c>
      <c r="N33" s="302" t="s">
        <v>53</v>
      </c>
    </row>
    <row r="34" spans="1:14">
      <c r="A34" s="175">
        <v>580</v>
      </c>
      <c r="B34" s="209">
        <f t="shared" ref="B34:N41" si="2">SUMIF($O$11:$O$20,$A34,B$11:B$20)</f>
        <v>0</v>
      </c>
      <c r="C34" s="209">
        <f t="shared" si="2"/>
        <v>0</v>
      </c>
      <c r="D34" s="209">
        <f t="shared" si="2"/>
        <v>0</v>
      </c>
      <c r="E34" s="209">
        <f t="shared" si="2"/>
        <v>0</v>
      </c>
      <c r="F34" s="209">
        <f t="shared" si="2"/>
        <v>0</v>
      </c>
      <c r="G34" s="209">
        <f t="shared" si="2"/>
        <v>0</v>
      </c>
      <c r="H34" s="209">
        <f t="shared" si="2"/>
        <v>0</v>
      </c>
      <c r="I34" s="209">
        <f t="shared" si="2"/>
        <v>0</v>
      </c>
      <c r="J34" s="209">
        <f t="shared" si="2"/>
        <v>0</v>
      </c>
      <c r="K34" s="209">
        <f t="shared" si="2"/>
        <v>0</v>
      </c>
      <c r="L34" s="209">
        <f t="shared" si="2"/>
        <v>0</v>
      </c>
      <c r="M34" s="209">
        <f t="shared" si="2"/>
        <v>0</v>
      </c>
      <c r="N34" s="188">
        <f t="shared" si="2"/>
        <v>0</v>
      </c>
    </row>
    <row r="35" spans="1:14">
      <c r="A35" s="175">
        <v>583</v>
      </c>
      <c r="B35" s="338">
        <f t="shared" si="2"/>
        <v>498.11</v>
      </c>
      <c r="C35" s="338">
        <f t="shared" si="2"/>
        <v>607.67999999999995</v>
      </c>
      <c r="D35" s="338">
        <f t="shared" si="2"/>
        <v>491.53</v>
      </c>
      <c r="E35" s="338">
        <f t="shared" si="2"/>
        <v>890.07999999999993</v>
      </c>
      <c r="F35" s="338">
        <f t="shared" si="2"/>
        <v>554.02</v>
      </c>
      <c r="G35" s="338">
        <f t="shared" si="2"/>
        <v>554.81999999999994</v>
      </c>
      <c r="H35" s="338">
        <f t="shared" si="2"/>
        <v>502.05999999999995</v>
      </c>
      <c r="I35" s="338">
        <f t="shared" si="2"/>
        <v>469.86</v>
      </c>
      <c r="J35" s="338">
        <f t="shared" si="2"/>
        <v>741.63</v>
      </c>
      <c r="K35" s="338">
        <f t="shared" si="2"/>
        <v>493.51</v>
      </c>
      <c r="L35" s="338">
        <f t="shared" si="2"/>
        <v>416.6</v>
      </c>
      <c r="M35" s="338">
        <f t="shared" si="2"/>
        <v>343.03</v>
      </c>
      <c r="N35" s="188">
        <f t="shared" si="2"/>
        <v>6562.9299999999994</v>
      </c>
    </row>
    <row r="36" spans="1:14">
      <c r="A36" s="175">
        <v>588</v>
      </c>
      <c r="B36" s="338">
        <f t="shared" si="2"/>
        <v>382.40000000000003</v>
      </c>
      <c r="C36" s="338">
        <f t="shared" si="2"/>
        <v>389.08</v>
      </c>
      <c r="D36" s="338">
        <f t="shared" si="2"/>
        <v>386.58</v>
      </c>
      <c r="E36" s="338">
        <f t="shared" si="2"/>
        <v>591.17000000000007</v>
      </c>
      <c r="F36" s="338">
        <f t="shared" si="2"/>
        <v>387.04</v>
      </c>
      <c r="G36" s="338">
        <f t="shared" si="2"/>
        <v>383.55</v>
      </c>
      <c r="H36" s="338">
        <f t="shared" si="2"/>
        <v>389.91</v>
      </c>
      <c r="I36" s="338">
        <f t="shared" si="2"/>
        <v>382.40000000000003</v>
      </c>
      <c r="J36" s="338">
        <f t="shared" si="2"/>
        <v>573.6</v>
      </c>
      <c r="K36" s="338">
        <f t="shared" si="2"/>
        <v>382.40000000000003</v>
      </c>
      <c r="L36" s="338">
        <f t="shared" si="2"/>
        <v>393.5</v>
      </c>
      <c r="M36" s="338">
        <f t="shared" si="2"/>
        <v>398.26</v>
      </c>
      <c r="N36" s="188">
        <f t="shared" si="2"/>
        <v>5039.8899999999994</v>
      </c>
    </row>
    <row r="37" spans="1:14">
      <c r="A37" s="175">
        <v>593.29999999999995</v>
      </c>
      <c r="B37" s="338">
        <f>SUMIF($O$11:$O$20,$A37,B$11:B$20)</f>
        <v>314.73</v>
      </c>
      <c r="C37" s="338">
        <f t="shared" si="2"/>
        <v>438.05</v>
      </c>
      <c r="D37" s="338">
        <f t="shared" si="2"/>
        <v>323.86</v>
      </c>
      <c r="E37" s="338">
        <f t="shared" si="2"/>
        <v>422.40000000000003</v>
      </c>
      <c r="F37" s="338">
        <f t="shared" si="2"/>
        <v>213.4</v>
      </c>
      <c r="G37" s="338">
        <f t="shared" si="2"/>
        <v>190.54</v>
      </c>
      <c r="H37" s="338">
        <f t="shared" si="2"/>
        <v>190.54</v>
      </c>
      <c r="I37" s="338">
        <f t="shared" si="2"/>
        <v>192.85</v>
      </c>
      <c r="J37" s="338">
        <f t="shared" si="2"/>
        <v>292.74</v>
      </c>
      <c r="K37" s="338">
        <f t="shared" si="2"/>
        <v>195.16</v>
      </c>
      <c r="L37" s="338">
        <f t="shared" si="2"/>
        <v>200.41</v>
      </c>
      <c r="M37" s="338">
        <f t="shared" si="2"/>
        <v>207.53</v>
      </c>
      <c r="N37" s="188">
        <f>SUMIF($O$11:$O$20,$A37,N$11:N$20)</f>
        <v>3182.21</v>
      </c>
    </row>
    <row r="38" spans="1:14">
      <c r="A38" s="175">
        <v>901</v>
      </c>
      <c r="B38" s="338">
        <f>SUMIF($O$11:$O$20,$A38,B$11:B$20)</f>
        <v>140.62</v>
      </c>
      <c r="C38" s="338">
        <f t="shared" si="2"/>
        <v>144.77000000000001</v>
      </c>
      <c r="D38" s="338">
        <f t="shared" si="2"/>
        <v>140.62</v>
      </c>
      <c r="E38" s="338">
        <f t="shared" si="2"/>
        <v>210.93</v>
      </c>
      <c r="F38" s="338">
        <f t="shared" si="2"/>
        <v>140.62</v>
      </c>
      <c r="G38" s="338">
        <f t="shared" si="2"/>
        <v>140.62</v>
      </c>
      <c r="H38" s="338">
        <f t="shared" si="2"/>
        <v>147.27000000000001</v>
      </c>
      <c r="I38" s="338">
        <f t="shared" si="2"/>
        <v>140.62</v>
      </c>
      <c r="J38" s="338">
        <f t="shared" si="2"/>
        <v>210.93</v>
      </c>
      <c r="K38" s="338">
        <f t="shared" si="2"/>
        <v>140.62</v>
      </c>
      <c r="L38" s="338">
        <f t="shared" si="2"/>
        <v>145.27000000000001</v>
      </c>
      <c r="M38" s="338">
        <f t="shared" si="2"/>
        <v>147.26</v>
      </c>
      <c r="N38" s="188">
        <f>SUMIF($O$11:$O$20,$A38,N$11:N$20)</f>
        <v>1850.1500000000003</v>
      </c>
    </row>
    <row r="39" spans="1:14">
      <c r="A39" s="175">
        <v>903</v>
      </c>
      <c r="B39" s="338">
        <f>SUMIF($O$11:$O$20,$A39,B$11:B$20)</f>
        <v>0</v>
      </c>
      <c r="C39" s="338">
        <f t="shared" si="2"/>
        <v>0</v>
      </c>
      <c r="D39" s="338">
        <f t="shared" si="2"/>
        <v>0</v>
      </c>
      <c r="E39" s="338">
        <f t="shared" si="2"/>
        <v>0</v>
      </c>
      <c r="F39" s="338">
        <f t="shared" si="2"/>
        <v>0</v>
      </c>
      <c r="G39" s="338">
        <f t="shared" si="2"/>
        <v>0</v>
      </c>
      <c r="H39" s="338">
        <f t="shared" si="2"/>
        <v>0</v>
      </c>
      <c r="I39" s="338">
        <f t="shared" si="2"/>
        <v>0</v>
      </c>
      <c r="J39" s="338">
        <f t="shared" si="2"/>
        <v>0</v>
      </c>
      <c r="K39" s="338">
        <f t="shared" si="2"/>
        <v>0</v>
      </c>
      <c r="L39" s="338">
        <f t="shared" si="2"/>
        <v>0</v>
      </c>
      <c r="M39" s="338">
        <f t="shared" si="2"/>
        <v>0</v>
      </c>
      <c r="N39" s="188">
        <f>SUMIF($O$11:$O$20,$A39,N$11:N$20)</f>
        <v>0</v>
      </c>
    </row>
    <row r="40" spans="1:14">
      <c r="A40" s="175">
        <v>920</v>
      </c>
      <c r="B40" s="338">
        <f>SUMIF($O$11:$O$20,$A40,B$11:B$20)</f>
        <v>91.26</v>
      </c>
      <c r="C40" s="338">
        <f t="shared" si="2"/>
        <v>91.26</v>
      </c>
      <c r="D40" s="338">
        <f t="shared" si="2"/>
        <v>91.26</v>
      </c>
      <c r="E40" s="338">
        <f t="shared" si="2"/>
        <v>136.88999999999999</v>
      </c>
      <c r="F40" s="338">
        <f t="shared" si="2"/>
        <v>91.26</v>
      </c>
      <c r="G40" s="338">
        <f t="shared" si="2"/>
        <v>91.26</v>
      </c>
      <c r="H40" s="338">
        <f t="shared" si="2"/>
        <v>91.26</v>
      </c>
      <c r="I40" s="338">
        <f t="shared" si="2"/>
        <v>91.26</v>
      </c>
      <c r="J40" s="338">
        <f t="shared" si="2"/>
        <v>136.88999999999999</v>
      </c>
      <c r="K40" s="338">
        <f t="shared" si="2"/>
        <v>91.26</v>
      </c>
      <c r="L40" s="338">
        <f t="shared" si="2"/>
        <v>94.45</v>
      </c>
      <c r="M40" s="338">
        <f t="shared" si="2"/>
        <v>95.82</v>
      </c>
      <c r="N40" s="188">
        <f>SUMIF($O$11:$O$20,$A40,N$11:N$20)</f>
        <v>1194.1299999999999</v>
      </c>
    </row>
    <row r="41" spans="1:14">
      <c r="A41" s="175">
        <v>925</v>
      </c>
      <c r="B41" s="338">
        <f>SUMIF($O$11:$O$20,$A41,B$11:B$20)</f>
        <v>0</v>
      </c>
      <c r="C41" s="338">
        <f t="shared" si="2"/>
        <v>0</v>
      </c>
      <c r="D41" s="338">
        <f t="shared" si="2"/>
        <v>0</v>
      </c>
      <c r="E41" s="338">
        <f t="shared" si="2"/>
        <v>0</v>
      </c>
      <c r="F41" s="338">
        <f t="shared" si="2"/>
        <v>0</v>
      </c>
      <c r="G41" s="338">
        <f t="shared" si="2"/>
        <v>0</v>
      </c>
      <c r="H41" s="338">
        <f t="shared" si="2"/>
        <v>0</v>
      </c>
      <c r="I41" s="338">
        <f t="shared" si="2"/>
        <v>0</v>
      </c>
      <c r="J41" s="338">
        <f t="shared" si="2"/>
        <v>0</v>
      </c>
      <c r="K41" s="338">
        <f t="shared" si="2"/>
        <v>0</v>
      </c>
      <c r="L41" s="338">
        <f t="shared" si="2"/>
        <v>0</v>
      </c>
      <c r="M41" s="338">
        <f t="shared" si="2"/>
        <v>0</v>
      </c>
      <c r="N41" s="188">
        <f>SUMIF($O$11:$O$20,$A41,N$11:N$20)</f>
        <v>0</v>
      </c>
    </row>
    <row r="42" spans="1:14">
      <c r="A42" s="334" t="s">
        <v>66</v>
      </c>
      <c r="B42" s="336">
        <f>SUM(B34:B41)</f>
        <v>1427.1200000000001</v>
      </c>
      <c r="C42" s="336">
        <f t="shared" ref="C42:N42" si="3">SUM(C34:C41)</f>
        <v>1670.84</v>
      </c>
      <c r="D42" s="336">
        <f t="shared" si="3"/>
        <v>1433.8499999999997</v>
      </c>
      <c r="E42" s="336">
        <f t="shared" si="3"/>
        <v>2251.4699999999998</v>
      </c>
      <c r="F42" s="336">
        <f t="shared" si="3"/>
        <v>1386.34</v>
      </c>
      <c r="G42" s="336">
        <f t="shared" si="3"/>
        <v>1360.7899999999997</v>
      </c>
      <c r="H42" s="336">
        <f t="shared" si="3"/>
        <v>1321.04</v>
      </c>
      <c r="I42" s="336">
        <f t="shared" si="3"/>
        <v>1276.99</v>
      </c>
      <c r="J42" s="336">
        <f t="shared" si="3"/>
        <v>1955.79</v>
      </c>
      <c r="K42" s="336">
        <f t="shared" si="3"/>
        <v>1302.95</v>
      </c>
      <c r="L42" s="336">
        <f t="shared" si="3"/>
        <v>1250.23</v>
      </c>
      <c r="M42" s="336">
        <f t="shared" si="3"/>
        <v>1191.8999999999999</v>
      </c>
      <c r="N42" s="339">
        <f t="shared" si="3"/>
        <v>17829.310000000001</v>
      </c>
    </row>
    <row r="44" spans="1:14">
      <c r="A44" s="173" t="s">
        <v>92</v>
      </c>
      <c r="B44" s="177">
        <f t="shared" ref="B44:N44" si="4">B42-B21</f>
        <v>0</v>
      </c>
      <c r="C44" s="177">
        <f t="shared" si="4"/>
        <v>0</v>
      </c>
      <c r="D44" s="177">
        <f t="shared" si="4"/>
        <v>0</v>
      </c>
      <c r="E44" s="177">
        <f t="shared" si="4"/>
        <v>0</v>
      </c>
      <c r="F44" s="177">
        <f t="shared" si="4"/>
        <v>0</v>
      </c>
      <c r="G44" s="177">
        <f t="shared" si="4"/>
        <v>0</v>
      </c>
      <c r="H44" s="177">
        <f t="shared" si="4"/>
        <v>0</v>
      </c>
      <c r="I44" s="177">
        <f t="shared" si="4"/>
        <v>0</v>
      </c>
      <c r="J44" s="177">
        <f t="shared" si="4"/>
        <v>0</v>
      </c>
      <c r="K44" s="177">
        <f t="shared" si="4"/>
        <v>0</v>
      </c>
      <c r="L44" s="177">
        <f t="shared" si="4"/>
        <v>0</v>
      </c>
      <c r="M44" s="177">
        <f t="shared" si="4"/>
        <v>0</v>
      </c>
      <c r="N44" s="177">
        <f t="shared" si="4"/>
        <v>0</v>
      </c>
    </row>
  </sheetData>
  <mergeCells count="5">
    <mergeCell ref="A4:N4"/>
    <mergeCell ref="A5:N5"/>
    <mergeCell ref="A7:N7"/>
    <mergeCell ref="A28:N28"/>
    <mergeCell ref="A29:N29"/>
  </mergeCells>
  <printOptions horizontalCentered="1"/>
  <pageMargins left="0.7" right="0.7" top="0.75" bottom="0.75" header="0.3" footer="0.3"/>
  <pageSetup scale="84" orientation="landscape" r:id="rId1"/>
  <headerFooter>
    <oddFooter>&amp;RExhibit JW-2
Page &amp;P of &amp;N</oddFooter>
  </headerFooter>
  <rowBreaks count="1" manualBreakCount="1">
    <brk id="31" max="13" man="1"/>
  </rowBreaks>
  <ignoredErrors>
    <ignoredError sqref="N11:N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RevReq</vt:lpstr>
      <vt:lpstr>Adj List</vt:lpstr>
      <vt:lpstr>Adj BS</vt:lpstr>
      <vt:lpstr>Adj IS</vt:lpstr>
      <vt:lpstr>1.01 FAC</vt:lpstr>
      <vt:lpstr>1.02 ES</vt:lpstr>
      <vt:lpstr>1.03 NonRecur</vt:lpstr>
      <vt:lpstr>1.04 DonaAdsDues</vt:lpstr>
      <vt:lpstr>1.05 401k</vt:lpstr>
      <vt:lpstr>1.06 LifeInsur</vt:lpstr>
      <vt:lpstr>1.07 RC</vt:lpstr>
      <vt:lpstr>1.08 Interest</vt:lpstr>
      <vt:lpstr>1.09 YearEndCust</vt:lpstr>
      <vt:lpstr>1.10 Wages</vt:lpstr>
      <vt:lpstr>1.11 Depr</vt:lpstr>
      <vt:lpstr>1.12 BOD</vt:lpstr>
      <vt:lpstr>1.13 Right of Way</vt:lpstr>
      <vt:lpstr>1.14 G&amp;TCC</vt:lpstr>
      <vt:lpstr>1.xx Wages</vt:lpstr>
      <vt:lpstr>1.xx Health</vt:lpstr>
      <vt:lpstr>'1.01 FAC'!Print_Area</vt:lpstr>
      <vt:lpstr>'1.02 ES'!Print_Area</vt:lpstr>
      <vt:lpstr>'1.03 NonRecur'!Print_Area</vt:lpstr>
      <vt:lpstr>'1.04 DonaAdsDues'!Print_Area</vt:lpstr>
      <vt:lpstr>'1.05 401k'!Print_Area</vt:lpstr>
      <vt:lpstr>'1.06 LifeInsur'!Print_Area</vt:lpstr>
      <vt:lpstr>'1.07 RC'!Print_Area</vt:lpstr>
      <vt:lpstr>'1.08 Interest'!Print_Area</vt:lpstr>
      <vt:lpstr>'1.09 YearEndCust'!Print_Area</vt:lpstr>
      <vt:lpstr>'1.10 Wages'!Print_Area</vt:lpstr>
      <vt:lpstr>'1.11 Depr'!Print_Area</vt:lpstr>
      <vt:lpstr>'1.12 BOD'!Print_Area</vt:lpstr>
      <vt:lpstr>'1.13 Right of Way'!Print_Area</vt:lpstr>
      <vt:lpstr>'1.14 G&amp;TCC'!Print_Area</vt:lpstr>
      <vt:lpstr>'1.xx Health'!Print_Area</vt:lpstr>
      <vt:lpstr>'1.xx Wages'!Print_Area</vt:lpstr>
      <vt:lpstr>'Adj BS'!Print_Area</vt:lpstr>
      <vt:lpstr>'Adj IS'!Print_Area</vt:lpstr>
      <vt:lpstr>'Adj List'!Print_Area</vt:lpstr>
      <vt:lpstr>RevReq!Print_Area</vt:lpstr>
      <vt:lpstr>'1.09 YearEndCust'!Print_Titles</vt:lpstr>
      <vt:lpstr>'1.10 Wages'!Print_Titles</vt:lpstr>
      <vt:lpstr>'1.xx Wages'!Print_Titles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Wolfram</dc:creator>
  <cp:lastModifiedBy>John Wolfram</cp:lastModifiedBy>
  <cp:lastPrinted>2023-07-25T02:15:54Z</cp:lastPrinted>
  <dcterms:created xsi:type="dcterms:W3CDTF">2019-01-18T23:17:06Z</dcterms:created>
  <dcterms:modified xsi:type="dcterms:W3CDTF">2023-07-25T02:30:27Z</dcterms:modified>
</cp:coreProperties>
</file>