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c385686f0d07d2/Documents/CATALYST Consulting/Clients/Shelby Enegy/2022 Rate Filing 2023-00213/COS ^0 Rates/"/>
    </mc:Choice>
  </mc:AlternateContent>
  <xr:revisionPtr revIDLastSave="51" documentId="8_{B23DD06C-D480-4132-B447-3A89CB97391C}" xr6:coauthVersionLast="47" xr6:coauthVersionMax="47" xr10:uidLastSave="{8A373CF3-E138-4A57-BFBE-B4DA597F37AA}"/>
  <bookViews>
    <workbookView xWindow="-108" yWindow="-108" windowWidth="23256" windowHeight="12456" xr2:uid="{5A56C961-47FC-4CB4-AEDD-3C6FC9A16749}"/>
  </bookViews>
  <sheets>
    <sheet name="Summary" sheetId="2" r:id="rId1"/>
    <sheet name="Billing Detail" sheetId="1" r:id="rId2"/>
    <sheet name="Notice Table" sheetId="3" r:id="rId3"/>
    <sheet name="Sheet1" sheetId="4" state="hidden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Detail'!$A$1:$N$157</definedName>
    <definedName name="_xlnm.Print_Area" localSheetId="2">'Notice Table'!$A$1:$G$69</definedName>
    <definedName name="_xlnm.Print_Area" localSheetId="0">Summary!$A$1:$I$19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8" i="1" l="1"/>
  <c r="O73" i="1" s="1"/>
  <c r="H46" i="1"/>
  <c r="O22" i="1"/>
  <c r="H58" i="1" l="1"/>
  <c r="H73" i="1"/>
  <c r="O87" i="1"/>
  <c r="O98" i="1" s="1"/>
  <c r="H98" i="1" s="1"/>
  <c r="H87" i="1" l="1"/>
  <c r="O99" i="1"/>
  <c r="O100" i="1" s="1"/>
  <c r="H99" i="1"/>
  <c r="H100" i="1" l="1"/>
  <c r="O101" i="1"/>
  <c r="O102" i="1" l="1"/>
  <c r="H101" i="1"/>
  <c r="O103" i="1" l="1"/>
  <c r="H102" i="1"/>
  <c r="O104" i="1" l="1"/>
  <c r="H103" i="1"/>
  <c r="O105" i="1" l="1"/>
  <c r="H104" i="1"/>
  <c r="O106" i="1" l="1"/>
  <c r="H106" i="1" s="1"/>
  <c r="H105" i="1"/>
  <c r="F12" i="3" l="1"/>
  <c r="J121" i="1"/>
  <c r="E163" i="1" l="1"/>
  <c r="E164" i="1" s="1"/>
  <c r="E165" i="1" s="1"/>
  <c r="H9" i="1" l="1"/>
  <c r="H33" i="1" s="1"/>
  <c r="H21" i="1"/>
  <c r="H32" i="1"/>
  <c r="G12" i="3" s="1"/>
  <c r="H44" i="1"/>
  <c r="H45" i="1"/>
  <c r="H57" i="1"/>
  <c r="H59" i="1"/>
  <c r="H70" i="1"/>
  <c r="H84" i="1"/>
  <c r="H132" i="1"/>
  <c r="H133" i="1"/>
  <c r="H134" i="1"/>
  <c r="H135" i="1"/>
  <c r="H136" i="1"/>
  <c r="H138" i="1"/>
  <c r="H140" i="1"/>
  <c r="H141" i="1"/>
  <c r="H142" i="1"/>
  <c r="H156" i="1" s="1"/>
  <c r="H143" i="1"/>
  <c r="H144" i="1"/>
  <c r="H146" i="1"/>
  <c r="H147" i="1"/>
  <c r="H148" i="1"/>
  <c r="H150" i="1"/>
  <c r="H151" i="1"/>
  <c r="H154" i="1"/>
  <c r="H155" i="1"/>
  <c r="H157" i="1"/>
  <c r="H152" i="1" l="1"/>
  <c r="G20" i="1" l="1"/>
  <c r="K20" i="1" s="1"/>
  <c r="I20" i="1"/>
  <c r="E29" i="1"/>
  <c r="J20" i="1" l="1"/>
  <c r="G9" i="3" l="1"/>
  <c r="F9" i="3"/>
  <c r="E9" i="3"/>
  <c r="E32" i="1"/>
  <c r="D83" i="3"/>
  <c r="H9" i="3" l="1"/>
  <c r="R7" i="1" l="1"/>
  <c r="S12" i="1" s="1"/>
  <c r="R9" i="1"/>
  <c r="R10" i="1" s="1"/>
  <c r="S10" i="1" s="1"/>
  <c r="S14" i="1" l="1"/>
  <c r="S13" i="1"/>
  <c r="Q14" i="1"/>
  <c r="S16" i="1"/>
  <c r="R15" i="1"/>
  <c r="S15" i="1" s="1"/>
  <c r="Q16" i="1"/>
  <c r="R11" i="1"/>
  <c r="S11" i="1" s="1"/>
  <c r="Q12" i="1"/>
  <c r="Q13" i="1"/>
  <c r="A10" i="2" l="1"/>
  <c r="A11" i="2"/>
  <c r="A12" i="2"/>
  <c r="A13" i="2"/>
  <c r="A14" i="2" s="1"/>
  <c r="A15" i="2" s="1"/>
  <c r="A16" i="2" s="1"/>
  <c r="A17" i="2" s="1"/>
  <c r="A18" i="2" s="1"/>
  <c r="A19" i="2" s="1"/>
  <c r="E89" i="3"/>
  <c r="C10" i="2"/>
  <c r="D10" i="2"/>
  <c r="B10" i="2"/>
  <c r="G119" i="1"/>
  <c r="G120" i="1"/>
  <c r="G121" i="1"/>
  <c r="G118" i="1"/>
  <c r="E41" i="1"/>
  <c r="E90" i="3" s="1"/>
  <c r="G39" i="1"/>
  <c r="I38" i="1"/>
  <c r="I37" i="1"/>
  <c r="J37" i="1" s="1"/>
  <c r="I36" i="1"/>
  <c r="I35" i="1"/>
  <c r="J35" i="1" s="1"/>
  <c r="I33" i="1"/>
  <c r="G33" i="1"/>
  <c r="P32" i="1"/>
  <c r="G32" i="1"/>
  <c r="C77" i="3" l="1"/>
  <c r="C90" i="3"/>
  <c r="D77" i="3"/>
  <c r="D90" i="3"/>
  <c r="P33" i="1"/>
  <c r="I39" i="1"/>
  <c r="J39" i="1" s="1"/>
  <c r="K39" i="1" s="1"/>
  <c r="J33" i="1"/>
  <c r="K33" i="1" s="1"/>
  <c r="J36" i="1"/>
  <c r="G34" i="1"/>
  <c r="I32" i="1"/>
  <c r="G40" i="1" l="1"/>
  <c r="I34" i="1"/>
  <c r="L32" i="1" s="1"/>
  <c r="J32" i="1"/>
  <c r="I15" i="2"/>
  <c r="F95" i="3" s="1"/>
  <c r="F17" i="2"/>
  <c r="G41" i="1" l="1"/>
  <c r="E10" i="2"/>
  <c r="J34" i="1"/>
  <c r="K34" i="1" s="1"/>
  <c r="K32" i="1"/>
  <c r="M32" i="1"/>
  <c r="N34" i="1"/>
  <c r="O34" i="1"/>
  <c r="I40" i="1"/>
  <c r="F10" i="2" s="1"/>
  <c r="L33" i="1"/>
  <c r="M33" i="1" s="1"/>
  <c r="G10" i="2" l="1"/>
  <c r="F77" i="3" s="1"/>
  <c r="L34" i="1"/>
  <c r="M34" i="1" s="1"/>
  <c r="J40" i="1"/>
  <c r="K40" i="1" s="1"/>
  <c r="I41" i="1"/>
  <c r="J41" i="1" l="1"/>
  <c r="H10" i="2"/>
  <c r="E30" i="3"/>
  <c r="F30" i="3"/>
  <c r="E31" i="3"/>
  <c r="F31" i="3"/>
  <c r="E32" i="3"/>
  <c r="F32" i="3"/>
  <c r="E25" i="3"/>
  <c r="F25" i="3"/>
  <c r="E26" i="3"/>
  <c r="F26" i="3"/>
  <c r="E27" i="3"/>
  <c r="F27" i="3"/>
  <c r="E24" i="3"/>
  <c r="F24" i="3"/>
  <c r="E17" i="3"/>
  <c r="F17" i="3"/>
  <c r="E18" i="3"/>
  <c r="F18" i="3"/>
  <c r="E67" i="3"/>
  <c r="F67" i="3"/>
  <c r="E68" i="3"/>
  <c r="F68" i="3"/>
  <c r="E69" i="3"/>
  <c r="F69" i="3"/>
  <c r="F66" i="3"/>
  <c r="E66" i="3"/>
  <c r="D65" i="3"/>
  <c r="C65" i="3"/>
  <c r="E63" i="3"/>
  <c r="F63" i="3"/>
  <c r="E64" i="3"/>
  <c r="F64" i="3"/>
  <c r="F62" i="3"/>
  <c r="E62" i="3"/>
  <c r="D61" i="3"/>
  <c r="C61" i="3"/>
  <c r="E59" i="3"/>
  <c r="F59" i="3"/>
  <c r="E60" i="3"/>
  <c r="F60" i="3"/>
  <c r="F58" i="3"/>
  <c r="E58" i="3"/>
  <c r="D57" i="3"/>
  <c r="C57" i="3"/>
  <c r="E53" i="3"/>
  <c r="F53" i="3"/>
  <c r="E54" i="3"/>
  <c r="F54" i="3"/>
  <c r="E55" i="3"/>
  <c r="F55" i="3"/>
  <c r="E56" i="3"/>
  <c r="F56" i="3"/>
  <c r="F52" i="3"/>
  <c r="E52" i="3"/>
  <c r="D51" i="3"/>
  <c r="C51" i="3"/>
  <c r="F50" i="3"/>
  <c r="E50" i="3"/>
  <c r="D49" i="3"/>
  <c r="C49" i="3"/>
  <c r="E45" i="3"/>
  <c r="F45" i="3"/>
  <c r="E46" i="3"/>
  <c r="F46" i="3"/>
  <c r="E47" i="3"/>
  <c r="F47" i="3"/>
  <c r="E48" i="3"/>
  <c r="F48" i="3"/>
  <c r="F44" i="3"/>
  <c r="E44" i="3"/>
  <c r="D43" i="3"/>
  <c r="C43" i="3"/>
  <c r="G14" i="3"/>
  <c r="H14" i="3" s="1"/>
  <c r="K41" i="1" l="1"/>
  <c r="I10" i="2"/>
  <c r="F90" i="3" s="1"/>
  <c r="G77" i="3"/>
  <c r="G90" i="3"/>
  <c r="G71" i="1"/>
  <c r="G85" i="1"/>
  <c r="G86" i="1"/>
  <c r="G72" i="1"/>
  <c r="G45" i="1"/>
  <c r="E95" i="1" l="1"/>
  <c r="E94" i="3" s="1"/>
  <c r="E81" i="1"/>
  <c r="E93" i="3" s="1"/>
  <c r="E54" i="1"/>
  <c r="E91" i="3" s="1"/>
  <c r="E67" i="1"/>
  <c r="E92" i="3" s="1"/>
  <c r="E17" i="1" l="1"/>
  <c r="E88" i="3" s="1"/>
  <c r="E35" i="3" l="1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F34" i="3"/>
  <c r="E34" i="3"/>
  <c r="C33" i="3"/>
  <c r="D33" i="3"/>
  <c r="F29" i="3"/>
  <c r="E29" i="3"/>
  <c r="C28" i="3"/>
  <c r="D28" i="3"/>
  <c r="C23" i="3"/>
  <c r="D23" i="3"/>
  <c r="E16" i="3"/>
  <c r="C15" i="3"/>
  <c r="D15" i="3"/>
  <c r="E21" i="3"/>
  <c r="F21" i="3"/>
  <c r="E22" i="3"/>
  <c r="F22" i="3"/>
  <c r="F20" i="3"/>
  <c r="E20" i="3"/>
  <c r="C19" i="3"/>
  <c r="D19" i="3"/>
  <c r="E10" i="3"/>
  <c r="C8" i="3"/>
  <c r="D8" i="3"/>
  <c r="E7" i="3"/>
  <c r="F7" i="3"/>
  <c r="F13" i="3" s="1"/>
  <c r="F6" i="3"/>
  <c r="E6" i="3"/>
  <c r="C5" i="3"/>
  <c r="D5" i="3"/>
  <c r="F16" i="3" l="1"/>
  <c r="F10" i="3"/>
  <c r="A1" i="3" l="1"/>
  <c r="C14" i="2" l="1"/>
  <c r="B14" i="2"/>
  <c r="C11" i="2"/>
  <c r="G87" i="1"/>
  <c r="D94" i="3" l="1"/>
  <c r="D81" i="3"/>
  <c r="C91" i="3"/>
  <c r="C78" i="3"/>
  <c r="C94" i="3"/>
  <c r="C81" i="3"/>
  <c r="G73" i="1"/>
  <c r="G21" i="1"/>
  <c r="G22" i="1" s="1"/>
  <c r="I92" i="1" l="1"/>
  <c r="I91" i="1"/>
  <c r="J91" i="1" s="1"/>
  <c r="I90" i="1"/>
  <c r="J90" i="1" s="1"/>
  <c r="I89" i="1"/>
  <c r="G84" i="1"/>
  <c r="G46" i="1"/>
  <c r="G58" i="1"/>
  <c r="G88" i="1" l="1"/>
  <c r="J89" i="1"/>
  <c r="I93" i="1"/>
  <c r="G93" i="1"/>
  <c r="D14" i="2" l="1"/>
  <c r="G94" i="1"/>
  <c r="J93" i="1"/>
  <c r="K93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G95" i="1" l="1"/>
  <c r="E14" i="2"/>
  <c r="A22" i="1"/>
  <c r="A23" i="1" s="1"/>
  <c r="A24" i="1" s="1"/>
  <c r="A25" i="1" s="1"/>
  <c r="A26" i="1" s="1"/>
  <c r="A27" i="1" s="1"/>
  <c r="A28" i="1" s="1"/>
  <c r="A29" i="1" s="1"/>
  <c r="A30" i="1" s="1"/>
  <c r="I78" i="1"/>
  <c r="I77" i="1"/>
  <c r="I76" i="1"/>
  <c r="I51" i="1"/>
  <c r="I50" i="1"/>
  <c r="I49" i="1"/>
  <c r="I64" i="1"/>
  <c r="I26" i="1"/>
  <c r="I25" i="1"/>
  <c r="I24" i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I13" i="1"/>
  <c r="I12" i="1"/>
  <c r="I14" i="1"/>
  <c r="I121" i="1" s="1"/>
  <c r="G27" i="1"/>
  <c r="G52" i="1"/>
  <c r="I62" i="1"/>
  <c r="I63" i="1"/>
  <c r="G15" i="1" l="1"/>
  <c r="G79" i="1"/>
  <c r="G65" i="1"/>
  <c r="G106" i="1"/>
  <c r="G105" i="1"/>
  <c r="G104" i="1"/>
  <c r="G103" i="1"/>
  <c r="G102" i="1"/>
  <c r="G101" i="1"/>
  <c r="G100" i="1"/>
  <c r="G99" i="1"/>
  <c r="C12" i="2" l="1"/>
  <c r="C13" i="2"/>
  <c r="C15" i="2"/>
  <c r="B15" i="2"/>
  <c r="B13" i="2"/>
  <c r="B11" i="2"/>
  <c r="B12" i="2"/>
  <c r="C9" i="2"/>
  <c r="C8" i="2"/>
  <c r="B9" i="2"/>
  <c r="B8" i="2"/>
  <c r="J50" i="1"/>
  <c r="J49" i="1"/>
  <c r="I48" i="1"/>
  <c r="G44" i="1"/>
  <c r="J25" i="1"/>
  <c r="J24" i="1"/>
  <c r="I23" i="1"/>
  <c r="J62" i="1"/>
  <c r="I61" i="1"/>
  <c r="G59" i="1"/>
  <c r="G57" i="1"/>
  <c r="J77" i="1"/>
  <c r="J76" i="1"/>
  <c r="I75" i="1"/>
  <c r="G70" i="1"/>
  <c r="D91" i="3" l="1"/>
  <c r="D78" i="3"/>
  <c r="D79" i="3"/>
  <c r="D92" i="3"/>
  <c r="D80" i="3"/>
  <c r="D93" i="3"/>
  <c r="D82" i="3"/>
  <c r="D95" i="3"/>
  <c r="C95" i="3"/>
  <c r="C82" i="3"/>
  <c r="D76" i="3"/>
  <c r="D89" i="3"/>
  <c r="C93" i="3"/>
  <c r="C80" i="3"/>
  <c r="C76" i="3"/>
  <c r="C89" i="3"/>
  <c r="C92" i="3"/>
  <c r="C79" i="3"/>
  <c r="C88" i="3"/>
  <c r="C75" i="3"/>
  <c r="D88" i="3"/>
  <c r="D75" i="3"/>
  <c r="J23" i="1"/>
  <c r="I27" i="1"/>
  <c r="J75" i="1"/>
  <c r="I79" i="1"/>
  <c r="J48" i="1"/>
  <c r="I52" i="1"/>
  <c r="J61" i="1"/>
  <c r="I65" i="1"/>
  <c r="D11" i="2"/>
  <c r="D9" i="2"/>
  <c r="G47" i="1"/>
  <c r="J63" i="1"/>
  <c r="G60" i="1"/>
  <c r="G74" i="1"/>
  <c r="G98" i="1"/>
  <c r="I110" i="1"/>
  <c r="I120" i="1" s="1"/>
  <c r="I109" i="1"/>
  <c r="I119" i="1" s="1"/>
  <c r="I108" i="1"/>
  <c r="I11" i="1"/>
  <c r="G9" i="1"/>
  <c r="G8" i="1"/>
  <c r="A2" i="1"/>
  <c r="A1" i="1"/>
  <c r="A8" i="2"/>
  <c r="A9" i="2" s="1"/>
  <c r="I118" i="1" l="1"/>
  <c r="J65" i="1"/>
  <c r="K65" i="1" s="1"/>
  <c r="I15" i="1"/>
  <c r="J108" i="1"/>
  <c r="J109" i="1"/>
  <c r="J110" i="1"/>
  <c r="J12" i="1"/>
  <c r="J119" i="1" s="1"/>
  <c r="J13" i="1"/>
  <c r="J120" i="1" s="1"/>
  <c r="D12" i="2"/>
  <c r="G53" i="1"/>
  <c r="D13" i="2"/>
  <c r="G80" i="1"/>
  <c r="G66" i="1"/>
  <c r="G28" i="1"/>
  <c r="G29" i="1" s="1"/>
  <c r="J52" i="1"/>
  <c r="K52" i="1" s="1"/>
  <c r="J27" i="1"/>
  <c r="K27" i="1" s="1"/>
  <c r="J79" i="1"/>
  <c r="K79" i="1" s="1"/>
  <c r="G10" i="1"/>
  <c r="G112" i="1"/>
  <c r="G122" i="1" s="1"/>
  <c r="G107" i="1"/>
  <c r="J11" i="1"/>
  <c r="J118" i="1" s="1"/>
  <c r="I122" i="1" l="1"/>
  <c r="G117" i="1"/>
  <c r="G123" i="1" s="1"/>
  <c r="G163" i="1" s="1"/>
  <c r="G164" i="1" s="1"/>
  <c r="G165" i="1" s="1"/>
  <c r="E9" i="2"/>
  <c r="G54" i="1"/>
  <c r="E11" i="2"/>
  <c r="G67" i="1"/>
  <c r="E12" i="2"/>
  <c r="G81" i="1"/>
  <c r="E13" i="2"/>
  <c r="D15" i="2"/>
  <c r="D8" i="2"/>
  <c r="G113" i="1"/>
  <c r="E15" i="2" s="1"/>
  <c r="I112" i="1"/>
  <c r="G16" i="1"/>
  <c r="J15" i="1"/>
  <c r="K15" i="1" l="1"/>
  <c r="G17" i="1"/>
  <c r="E8" i="2"/>
  <c r="J112" i="1"/>
  <c r="K112" i="1" s="1"/>
  <c r="J122" i="1" l="1"/>
  <c r="K122" i="1" s="1"/>
  <c r="E16" i="2"/>
  <c r="G7" i="3" l="1"/>
  <c r="H7" i="3" s="1"/>
  <c r="G31" i="3"/>
  <c r="H31" i="3" s="1"/>
  <c r="G30" i="3"/>
  <c r="H30" i="3" s="1"/>
  <c r="G20" i="3"/>
  <c r="H20" i="3" s="1"/>
  <c r="G22" i="3"/>
  <c r="H22" i="3" s="1"/>
  <c r="G21" i="3"/>
  <c r="H21" i="3" s="1"/>
  <c r="G29" i="3"/>
  <c r="H29" i="3" s="1"/>
  <c r="G32" i="3"/>
  <c r="H32" i="3" s="1"/>
  <c r="G39" i="3"/>
  <c r="H39" i="3" s="1"/>
  <c r="G42" i="3"/>
  <c r="H42" i="3" s="1"/>
  <c r="G6" i="3"/>
  <c r="H6" i="3" s="1"/>
  <c r="G38" i="3"/>
  <c r="H38" i="3" s="1"/>
  <c r="G40" i="3"/>
  <c r="H40" i="3" s="1"/>
  <c r="G37" i="3"/>
  <c r="H37" i="3" s="1"/>
  <c r="G41" i="3"/>
  <c r="H41" i="3" s="1"/>
  <c r="G34" i="3"/>
  <c r="H34" i="3" s="1"/>
  <c r="G35" i="3"/>
  <c r="H35" i="3" s="1"/>
  <c r="G36" i="3"/>
  <c r="H36" i="3" s="1"/>
  <c r="G10" i="3"/>
  <c r="H10" i="3" s="1"/>
  <c r="I9" i="1" l="1"/>
  <c r="J9" i="1" s="1"/>
  <c r="K9" i="1" s="1"/>
  <c r="P9" i="1"/>
  <c r="G26" i="3"/>
  <c r="H26" i="3" s="1"/>
  <c r="G27" i="3"/>
  <c r="H27" i="3" s="1"/>
  <c r="I45" i="1"/>
  <c r="J45" i="1" s="1"/>
  <c r="K45" i="1" s="1"/>
  <c r="G17" i="3"/>
  <c r="H17" i="3" s="1"/>
  <c r="G18" i="3"/>
  <c r="H18" i="3" s="1"/>
  <c r="I70" i="1"/>
  <c r="J70" i="1" s="1"/>
  <c r="K70" i="1" s="1"/>
  <c r="G24" i="3"/>
  <c r="H24" i="3" s="1"/>
  <c r="G25" i="3"/>
  <c r="H25" i="3" s="1"/>
  <c r="G13" i="3"/>
  <c r="H13" i="3" s="1"/>
  <c r="I72" i="1"/>
  <c r="J72" i="1" s="1"/>
  <c r="K72" i="1" s="1"/>
  <c r="P72" i="1"/>
  <c r="I85" i="1"/>
  <c r="J85" i="1" s="1"/>
  <c r="K85" i="1" s="1"/>
  <c r="P85" i="1"/>
  <c r="I86" i="1"/>
  <c r="J86" i="1" s="1"/>
  <c r="K86" i="1" s="1"/>
  <c r="P86" i="1"/>
  <c r="P71" i="1"/>
  <c r="I71" i="1"/>
  <c r="J71" i="1" s="1"/>
  <c r="K71" i="1" s="1"/>
  <c r="I84" i="1"/>
  <c r="J84" i="1" s="1"/>
  <c r="K84" i="1" s="1"/>
  <c r="P84" i="1"/>
  <c r="P57" i="1"/>
  <c r="P73" i="1"/>
  <c r="I57" i="1"/>
  <c r="J57" i="1" s="1"/>
  <c r="K57" i="1" s="1"/>
  <c r="I73" i="1"/>
  <c r="J73" i="1" s="1"/>
  <c r="K73" i="1" s="1"/>
  <c r="I103" i="1"/>
  <c r="J103" i="1" s="1"/>
  <c r="K103" i="1" s="1"/>
  <c r="P103" i="1"/>
  <c r="I106" i="1"/>
  <c r="J106" i="1" s="1"/>
  <c r="K106" i="1" s="1"/>
  <c r="P106" i="1"/>
  <c r="P104" i="1"/>
  <c r="P100" i="1"/>
  <c r="I8" i="1"/>
  <c r="J8" i="1" s="1"/>
  <c r="K8" i="1" s="1"/>
  <c r="P58" i="1"/>
  <c r="I44" i="1"/>
  <c r="J44" i="1" s="1"/>
  <c r="I87" i="1"/>
  <c r="J87" i="1" s="1"/>
  <c r="K87" i="1" s="1"/>
  <c r="I100" i="1"/>
  <c r="J100" i="1" s="1"/>
  <c r="K100" i="1" s="1"/>
  <c r="I102" i="1"/>
  <c r="J102" i="1" s="1"/>
  <c r="K102" i="1" s="1"/>
  <c r="I59" i="1"/>
  <c r="J59" i="1" s="1"/>
  <c r="K59" i="1" s="1"/>
  <c r="I105" i="1"/>
  <c r="J105" i="1" s="1"/>
  <c r="K105" i="1" s="1"/>
  <c r="I58" i="1"/>
  <c r="J58" i="1" s="1"/>
  <c r="K58" i="1" s="1"/>
  <c r="P59" i="1"/>
  <c r="P105" i="1"/>
  <c r="P102" i="1"/>
  <c r="I104" i="1"/>
  <c r="J104" i="1" s="1"/>
  <c r="K104" i="1" s="1"/>
  <c r="P87" i="1"/>
  <c r="P8" i="1"/>
  <c r="P101" i="1"/>
  <c r="I101" i="1"/>
  <c r="J101" i="1" s="1"/>
  <c r="K101" i="1" s="1"/>
  <c r="I98" i="1"/>
  <c r="J98" i="1" s="1"/>
  <c r="K98" i="1" s="1"/>
  <c r="P98" i="1"/>
  <c r="I99" i="1"/>
  <c r="J99" i="1" s="1"/>
  <c r="K99" i="1" s="1"/>
  <c r="P99" i="1"/>
  <c r="P46" i="1"/>
  <c r="I46" i="1"/>
  <c r="I74" i="1" l="1"/>
  <c r="J74" i="1"/>
  <c r="J10" i="1"/>
  <c r="I10" i="1"/>
  <c r="I88" i="1"/>
  <c r="J88" i="1"/>
  <c r="J60" i="1"/>
  <c r="K60" i="1" s="1"/>
  <c r="I60" i="1"/>
  <c r="G16" i="3"/>
  <c r="H16" i="3" s="1"/>
  <c r="I107" i="1"/>
  <c r="O107" i="1" s="1"/>
  <c r="J107" i="1"/>
  <c r="K107" i="1" s="1"/>
  <c r="I47" i="1"/>
  <c r="O47" i="1" s="1"/>
  <c r="K44" i="1"/>
  <c r="J46" i="1"/>
  <c r="K46" i="1" s="1"/>
  <c r="O10" i="1" l="1"/>
  <c r="L85" i="1"/>
  <c r="M85" i="1" s="1"/>
  <c r="O88" i="1"/>
  <c r="L71" i="1"/>
  <c r="M71" i="1" s="1"/>
  <c r="O74" i="1"/>
  <c r="N60" i="1"/>
  <c r="O60" i="1"/>
  <c r="L8" i="1"/>
  <c r="M8" i="1" s="1"/>
  <c r="K10" i="1"/>
  <c r="I80" i="1"/>
  <c r="L70" i="1"/>
  <c r="M70" i="1" s="1"/>
  <c r="L72" i="1"/>
  <c r="M72" i="1" s="1"/>
  <c r="N74" i="1"/>
  <c r="L73" i="1"/>
  <c r="M73" i="1" s="1"/>
  <c r="I94" i="1"/>
  <c r="L86" i="1"/>
  <c r="M86" i="1" s="1"/>
  <c r="L44" i="1"/>
  <c r="M44" i="1" s="1"/>
  <c r="L45" i="1"/>
  <c r="M45" i="1" s="1"/>
  <c r="L84" i="1"/>
  <c r="M84" i="1" s="1"/>
  <c r="L87" i="1"/>
  <c r="M87" i="1" s="1"/>
  <c r="N88" i="1"/>
  <c r="L9" i="1"/>
  <c r="M9" i="1" s="1"/>
  <c r="N10" i="1"/>
  <c r="I16" i="1"/>
  <c r="L58" i="1"/>
  <c r="M58" i="1" s="1"/>
  <c r="L104" i="1"/>
  <c r="M104" i="1" s="1"/>
  <c r="L57" i="1"/>
  <c r="M57" i="1" s="1"/>
  <c r="I66" i="1"/>
  <c r="L100" i="1"/>
  <c r="M100" i="1" s="1"/>
  <c r="L59" i="1"/>
  <c r="M59" i="1" s="1"/>
  <c r="L106" i="1"/>
  <c r="M106" i="1" s="1"/>
  <c r="L102" i="1"/>
  <c r="M102" i="1" s="1"/>
  <c r="L98" i="1"/>
  <c r="M98" i="1" s="1"/>
  <c r="I113" i="1"/>
  <c r="L103" i="1"/>
  <c r="M103" i="1" s="1"/>
  <c r="L101" i="1"/>
  <c r="M101" i="1" s="1"/>
  <c r="L99" i="1"/>
  <c r="M99" i="1" s="1"/>
  <c r="N107" i="1"/>
  <c r="L105" i="1"/>
  <c r="M105" i="1" s="1"/>
  <c r="I53" i="1"/>
  <c r="L46" i="1"/>
  <c r="M46" i="1" s="1"/>
  <c r="N47" i="1"/>
  <c r="J47" i="1"/>
  <c r="K47" i="1" s="1"/>
  <c r="K74" i="1"/>
  <c r="K88" i="1"/>
  <c r="H12" i="3" l="1"/>
  <c r="J113" i="1"/>
  <c r="K113" i="1" s="1"/>
  <c r="F15" i="2"/>
  <c r="G15" i="2" s="1"/>
  <c r="I54" i="1"/>
  <c r="J54" i="1" s="1"/>
  <c r="I11" i="2" s="1"/>
  <c r="F91" i="3" s="1"/>
  <c r="F11" i="2"/>
  <c r="I67" i="1"/>
  <c r="J67" i="1" s="1"/>
  <c r="K67" i="1" s="1"/>
  <c r="F12" i="2"/>
  <c r="G12" i="2" s="1"/>
  <c r="I95" i="1"/>
  <c r="J95" i="1" s="1"/>
  <c r="I14" i="2" s="1"/>
  <c r="F94" i="3" s="1"/>
  <c r="F14" i="2"/>
  <c r="G14" i="2" s="1"/>
  <c r="I81" i="1"/>
  <c r="J81" i="1" s="1"/>
  <c r="I13" i="2" s="1"/>
  <c r="F93" i="3" s="1"/>
  <c r="F13" i="2"/>
  <c r="G13" i="2" s="1"/>
  <c r="F80" i="3" s="1"/>
  <c r="I17" i="1"/>
  <c r="J17" i="1" s="1"/>
  <c r="K17" i="1" s="1"/>
  <c r="F8" i="2"/>
  <c r="L74" i="1"/>
  <c r="M74" i="1" s="1"/>
  <c r="J80" i="1"/>
  <c r="K80" i="1" s="1"/>
  <c r="J94" i="1"/>
  <c r="K94" i="1" s="1"/>
  <c r="L88" i="1"/>
  <c r="M88" i="1" s="1"/>
  <c r="L10" i="1"/>
  <c r="M10" i="1" s="1"/>
  <c r="J16" i="1"/>
  <c r="L47" i="1"/>
  <c r="M47" i="1" s="1"/>
  <c r="J66" i="1"/>
  <c r="K66" i="1" s="1"/>
  <c r="L60" i="1"/>
  <c r="M60" i="1" s="1"/>
  <c r="L107" i="1"/>
  <c r="M107" i="1" s="1"/>
  <c r="J53" i="1"/>
  <c r="K53" i="1" s="1"/>
  <c r="K16" i="1" l="1"/>
  <c r="P16" i="1"/>
  <c r="K81" i="1"/>
  <c r="I12" i="2"/>
  <c r="F92" i="3" s="1"/>
  <c r="H12" i="2"/>
  <c r="G92" i="3" s="1"/>
  <c r="F79" i="3"/>
  <c r="H15" i="2"/>
  <c r="F82" i="3"/>
  <c r="H14" i="2"/>
  <c r="G94" i="3" s="1"/>
  <c r="F81" i="3"/>
  <c r="I8" i="2"/>
  <c r="F88" i="3" s="1"/>
  <c r="G11" i="2"/>
  <c r="K95" i="1"/>
  <c r="K54" i="1"/>
  <c r="H13" i="2"/>
  <c r="G93" i="3" s="1"/>
  <c r="G8" i="2"/>
  <c r="F75" i="3" s="1"/>
  <c r="I21" i="1"/>
  <c r="I22" i="1" s="1"/>
  <c r="L20" i="1" l="1"/>
  <c r="M20" i="1" s="1"/>
  <c r="I117" i="1"/>
  <c r="I123" i="1" s="1"/>
  <c r="G95" i="3"/>
  <c r="G81" i="3"/>
  <c r="G82" i="3"/>
  <c r="G79" i="3"/>
  <c r="G80" i="3"/>
  <c r="H11" i="2"/>
  <c r="G91" i="3" s="1"/>
  <c r="F78" i="3"/>
  <c r="H8" i="2"/>
  <c r="P21" i="1"/>
  <c r="J21" i="1"/>
  <c r="G88" i="3" l="1"/>
  <c r="G75" i="3"/>
  <c r="G78" i="3"/>
  <c r="K21" i="1"/>
  <c r="J22" i="1"/>
  <c r="J117" i="1" s="1"/>
  <c r="J123" i="1" s="1"/>
  <c r="J126" i="1" l="1"/>
  <c r="F18" i="2" s="1"/>
  <c r="F19" i="2" s="1"/>
  <c r="I28" i="1"/>
  <c r="N22" i="1"/>
  <c r="L21" i="1"/>
  <c r="M21" i="1" s="1"/>
  <c r="I29" i="1" l="1"/>
  <c r="J29" i="1" s="1"/>
  <c r="K29" i="1" s="1"/>
  <c r="F9" i="2"/>
  <c r="F16" i="2" s="1"/>
  <c r="L22" i="1"/>
  <c r="M22" i="1" s="1"/>
  <c r="K22" i="1"/>
  <c r="J28" i="1"/>
  <c r="K117" i="1"/>
  <c r="G16" i="2" l="1"/>
  <c r="G9" i="2"/>
  <c r="I9" i="2"/>
  <c r="F89" i="3" s="1"/>
  <c r="K28" i="1"/>
  <c r="K123" i="1"/>
  <c r="F76" i="3" l="1"/>
  <c r="H9" i="2"/>
  <c r="G89" i="3" s="1"/>
  <c r="P140" i="1"/>
  <c r="G52" i="3"/>
  <c r="H52" i="3" s="1"/>
  <c r="P150" i="1"/>
  <c r="G62" i="3"/>
  <c r="H62" i="3" s="1"/>
  <c r="P133" i="1"/>
  <c r="G45" i="3"/>
  <c r="H45" i="3" s="1"/>
  <c r="P138" i="1"/>
  <c r="G50" i="3"/>
  <c r="H50" i="3" s="1"/>
  <c r="P154" i="1"/>
  <c r="G66" i="3"/>
  <c r="H66" i="3" s="1"/>
  <c r="P146" i="1"/>
  <c r="G58" i="3"/>
  <c r="H58" i="3" s="1"/>
  <c r="G76" i="3" l="1"/>
  <c r="H16" i="2"/>
  <c r="F83" i="3"/>
  <c r="P152" i="1"/>
  <c r="G64" i="3"/>
  <c r="H64" i="3" s="1"/>
  <c r="P134" i="1"/>
  <c r="G46" i="3"/>
  <c r="H46" i="3" s="1"/>
  <c r="P132" i="1"/>
  <c r="G44" i="3"/>
  <c r="H44" i="3" s="1"/>
  <c r="P155" i="1"/>
  <c r="G67" i="3"/>
  <c r="H67" i="3" s="1"/>
  <c r="P141" i="1"/>
  <c r="G53" i="3"/>
  <c r="H53" i="3" s="1"/>
  <c r="P147" i="1"/>
  <c r="G59" i="3"/>
  <c r="H59" i="3" s="1"/>
  <c r="P151" i="1"/>
  <c r="G63" i="3"/>
  <c r="H63" i="3" s="1"/>
  <c r="G83" i="3" l="1"/>
  <c r="G96" i="3"/>
  <c r="P135" i="1"/>
  <c r="P148" i="1"/>
  <c r="G60" i="3"/>
  <c r="H60" i="3" s="1"/>
  <c r="P136" i="1"/>
  <c r="G48" i="3"/>
  <c r="H48" i="3" s="1"/>
  <c r="P156" i="1"/>
  <c r="G68" i="3"/>
  <c r="H68" i="3" s="1"/>
  <c r="P142" i="1"/>
  <c r="G54" i="3"/>
  <c r="H54" i="3" s="1"/>
  <c r="G47" i="3" l="1"/>
  <c r="P143" i="1"/>
  <c r="G55" i="3"/>
  <c r="H55" i="3" s="1"/>
  <c r="P157" i="1"/>
  <c r="G69" i="3"/>
  <c r="H69" i="3" s="1"/>
  <c r="H47" i="3" l="1"/>
  <c r="P144" i="1"/>
  <c r="G56" i="3"/>
  <c r="H56" i="3" s="1"/>
</calcChain>
</file>

<file path=xl/sharedStrings.xml><?xml version="1.0" encoding="utf-8"?>
<sst xmlns="http://schemas.openxmlformats.org/spreadsheetml/2006/main" count="251" uniqueCount="113">
  <si>
    <t>#</t>
  </si>
  <si>
    <t>Item</t>
  </si>
  <si>
    <t>Present Revenue</t>
  </si>
  <si>
    <t>Proposed Revenue</t>
  </si>
  <si>
    <t>Total Base Rates</t>
  </si>
  <si>
    <t>Total Riders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</si>
  <si>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</si>
  <si>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</si>
  <si>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</si>
  <si>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</si>
  <si>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</si>
  <si>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</si>
  <si>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</si>
  <si>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</si>
  <si>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</si>
  <si>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</si>
  <si>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Revenue</t>
  </si>
  <si>
    <t>Proposed Rate</t>
  </si>
  <si>
    <t>Proposed Share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</si>
  <si>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</si>
  <si>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</si>
  <si>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</si>
  <si>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</si>
  <si>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</si>
  <si>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</si>
  <si>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</si>
  <si>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Per Unit Rate Change</t>
  </si>
  <si>
    <t>Rate Rounding Variance</t>
  </si>
  <si>
    <t>Rate Variance</t>
  </si>
  <si>
    <t xml:space="preserve">    Other</t>
  </si>
  <si>
    <t xml:space="preserve">    Prepay Daily Charges</t>
  </si>
  <si>
    <t>Present</t>
  </si>
  <si>
    <t>Proposed</t>
  </si>
  <si>
    <t>Energy Charge per kWh</t>
  </si>
  <si>
    <t>Demand Charge per kW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</si>
  <si>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</si>
  <si>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</si>
  <si>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</si>
  <si>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</si>
  <si>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</si>
  <si>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</si>
  <si>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</si>
  <si>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</si>
  <si>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</si>
  <si>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Rate</t>
  </si>
  <si>
    <t>SHELBY ENERGY COOPERATIVE</t>
  </si>
  <si>
    <t>Customer Charge Single Phase</t>
  </si>
  <si>
    <t>Customer Charge Three Phase</t>
  </si>
  <si>
    <t>100 Watt Outdoor Light</t>
  </si>
  <si>
    <t>250 Watt Directional Flood</t>
  </si>
  <si>
    <t>100 Watt Decorative Colonial</t>
  </si>
  <si>
    <t>400 Watt Directional Flood</t>
  </si>
  <si>
    <t>150 Watt Decorative Acorn</t>
  </si>
  <si>
    <t>Standard</t>
  </si>
  <si>
    <t>Decorative Colonial</t>
  </si>
  <si>
    <t>Cobra Head</t>
  </si>
  <si>
    <t>Directional Flood Light</t>
  </si>
  <si>
    <t>Demand Charge - Contract per kW</t>
  </si>
  <si>
    <t>Demand Charge - Excess per kW</t>
  </si>
  <si>
    <t>RATES WITH NO CURRENT MEMBERS</t>
  </si>
  <si>
    <t>Off Peak Retail Marketing (ETS)</t>
  </si>
  <si>
    <t>Residential Service</t>
  </si>
  <si>
    <t>Prepay Service</t>
  </si>
  <si>
    <t>Consumer Facility Charge per day</t>
  </si>
  <si>
    <t>Prepay Service Fee per day</t>
  </si>
  <si>
    <t xml:space="preserve">Optional TOD Demand </t>
  </si>
  <si>
    <t>Energy Charge per kWh - First 100</t>
  </si>
  <si>
    <t>Energy Charge per kWh - Next 100</t>
  </si>
  <si>
    <t>Energy Charge per kWh - All Over 200</t>
  </si>
  <si>
    <t>Special Outdoor Lighting</t>
  </si>
  <si>
    <t>Energy Rate</t>
  </si>
  <si>
    <t>Large Industrial Rate</t>
  </si>
  <si>
    <t>B3</t>
  </si>
  <si>
    <t>B2</t>
  </si>
  <si>
    <t>B1</t>
  </si>
  <si>
    <t>Customer Charge Transformer 10,000 - 14,999 kVA</t>
  </si>
  <si>
    <t>Customer Charge Transformer 15,000+ kVA</t>
  </si>
  <si>
    <t>C1</t>
  </si>
  <si>
    <t>C2</t>
  </si>
  <si>
    <t>C3</t>
  </si>
  <si>
    <t>Present &amp; Proposed Rates</t>
  </si>
  <si>
    <t>02</t>
  </si>
  <si>
    <t>09</t>
  </si>
  <si>
    <t>11</t>
  </si>
  <si>
    <t>12</t>
  </si>
  <si>
    <t>13</t>
  </si>
  <si>
    <t>15</t>
  </si>
  <si>
    <t>Lights</t>
  </si>
  <si>
    <t>Large Power Service</t>
  </si>
  <si>
    <t>Outdoor and Street Lighting</t>
  </si>
  <si>
    <t>General Service</t>
  </si>
  <si>
    <t>Optional TOD Demand</t>
  </si>
  <si>
    <t>Renewable Energy Program</t>
  </si>
  <si>
    <t>Special Outdoor Lighting Service</t>
  </si>
  <si>
    <t>LED Outdoor Lighting Facilities</t>
  </si>
  <si>
    <t>3L</t>
  </si>
  <si>
    <t>Present and Proposed Rates</t>
  </si>
  <si>
    <t xml:space="preserve">General Service </t>
  </si>
  <si>
    <t xml:space="preserve">Large Industrial Rate </t>
  </si>
  <si>
    <t>Incr(Decr)</t>
  </si>
  <si>
    <t>Avg Bill Incr per Mon</t>
  </si>
  <si>
    <t>Target</t>
  </si>
  <si>
    <t>Variance</t>
  </si>
  <si>
    <t>CUSTOMER CHARGE</t>
  </si>
  <si>
    <t>Current:</t>
  </si>
  <si>
    <t>COS:</t>
  </si>
  <si>
    <t>Incr</t>
  </si>
  <si>
    <t>Customer Charge per Day</t>
  </si>
  <si>
    <t>Customer Charge per Month</t>
  </si>
  <si>
    <t>Form 7</t>
  </si>
  <si>
    <t>Here</t>
  </si>
  <si>
    <t>KWH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</si>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</sst>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_);_(* \(#,##0.000000\);_(* &quot;-&quot;??_);_(@_)"/>
    <numFmt numFmtId="168" formatCode="0.00000%"/>
    <numFmt numFmtId="169" formatCode="_(* #,##0.0000_);_(* \(#,##0.0000\);_(* &quot;-&quot;??_);_(@_)"/>
    <numFmt numFmtId="170" formatCode="_(&quot;$&quot;* #,##0.00000_);_(&quot;$&quot;* \(#,##0.00000\);_(&quot;$&quot;* &quot;-&quot;??_);_(@_)"/>
    <numFmt numFmtId="171" formatCode="0.00000"/>
    <numFmt numFmtId="172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0" fontId="3" fillId="0" borderId="0" xfId="3" applyNumberFormat="1" applyFont="1"/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165" fontId="6" fillId="0" borderId="4" xfId="2" applyNumberFormat="1" applyFont="1" applyFill="1" applyBorder="1" applyAlignment="1">
      <alignment vertic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right"/>
    </xf>
    <xf numFmtId="0" fontId="5" fillId="0" borderId="0" xfId="0" applyFont="1"/>
    <xf numFmtId="164" fontId="3" fillId="0" borderId="0" xfId="1" applyNumberFormat="1" applyFont="1" applyAlignment="1"/>
    <xf numFmtId="10" fontId="3" fillId="0" borderId="0" xfId="3" applyNumberFormat="1" applyFont="1" applyAlignment="1"/>
    <xf numFmtId="165" fontId="3" fillId="0" borderId="0" xfId="2" applyNumberFormat="1" applyFont="1" applyAlignment="1"/>
    <xf numFmtId="165" fontId="3" fillId="0" borderId="0" xfId="0" applyNumberFormat="1" applyFont="1"/>
    <xf numFmtId="0" fontId="3" fillId="0" borderId="1" xfId="0" applyFont="1" applyBorder="1"/>
    <xf numFmtId="165" fontId="3" fillId="0" borderId="1" xfId="2" applyNumberFormat="1" applyFont="1" applyBorder="1" applyAlignment="1"/>
    <xf numFmtId="10" fontId="3" fillId="0" borderId="1" xfId="3" applyNumberFormat="1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4" fontId="3" fillId="0" borderId="0" xfId="2" applyFont="1"/>
    <xf numFmtId="170" fontId="3" fillId="0" borderId="0" xfId="2" applyNumberFormat="1" applyFont="1"/>
    <xf numFmtId="0" fontId="2" fillId="0" borderId="3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3" xfId="0" applyFont="1" applyBorder="1"/>
    <xf numFmtId="0" fontId="3" fillId="0" borderId="3" xfId="0" applyFont="1" applyBorder="1"/>
    <xf numFmtId="0" fontId="2" fillId="0" borderId="4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3" applyNumberFormat="1" applyFont="1" applyBorder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0" fontId="9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/>
    <xf numFmtId="43" fontId="6" fillId="0" borderId="0" xfId="1" applyFont="1" applyFill="1"/>
    <xf numFmtId="167" fontId="6" fillId="0" borderId="0" xfId="1" applyNumberFormat="1" applyFont="1" applyFill="1"/>
    <xf numFmtId="166" fontId="6" fillId="0" borderId="0" xfId="1" applyNumberFormat="1" applyFont="1" applyFill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 wrapText="1"/>
    </xf>
    <xf numFmtId="0" fontId="8" fillId="0" borderId="3" xfId="0" applyFont="1" applyBorder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6" fillId="0" borderId="5" xfId="0" applyFont="1" applyBorder="1"/>
    <xf numFmtId="164" fontId="6" fillId="0" borderId="0" xfId="1" applyNumberFormat="1" applyFont="1" applyFill="1"/>
    <xf numFmtId="165" fontId="6" fillId="0" borderId="0" xfId="2" applyNumberFormat="1" applyFont="1" applyFill="1"/>
    <xf numFmtId="10" fontId="6" fillId="0" borderId="0" xfId="3" applyNumberFormat="1" applyFont="1" applyFill="1"/>
    <xf numFmtId="10" fontId="6" fillId="0" borderId="0" xfId="0" applyNumberFormat="1" applyFont="1"/>
    <xf numFmtId="171" fontId="6" fillId="0" borderId="0" xfId="0" applyNumberFormat="1" applyFont="1"/>
    <xf numFmtId="0" fontId="6" fillId="0" borderId="4" xfId="0" applyFont="1" applyBorder="1" applyAlignment="1">
      <alignment vertical="center"/>
    </xf>
    <xf numFmtId="10" fontId="6" fillId="0" borderId="4" xfId="3" applyNumberFormat="1" applyFont="1" applyFill="1" applyBorder="1" applyAlignment="1">
      <alignment vertical="center"/>
    </xf>
    <xf numFmtId="10" fontId="6" fillId="0" borderId="4" xfId="0" applyNumberFormat="1" applyFont="1" applyBorder="1" applyAlignment="1">
      <alignment vertical="center"/>
    </xf>
    <xf numFmtId="44" fontId="6" fillId="0" borderId="4" xfId="2" applyFont="1" applyFill="1" applyBorder="1" applyAlignment="1">
      <alignment vertical="center"/>
    </xf>
    <xf numFmtId="168" fontId="6" fillId="0" borderId="0" xfId="3" applyNumberFormat="1" applyFont="1" applyFill="1"/>
    <xf numFmtId="0" fontId="6" fillId="0" borderId="4" xfId="0" applyFont="1" applyBorder="1"/>
    <xf numFmtId="165" fontId="6" fillId="0" borderId="4" xfId="2" applyNumberFormat="1" applyFont="1" applyFill="1" applyBorder="1"/>
    <xf numFmtId="43" fontId="6" fillId="0" borderId="4" xfId="1" applyFont="1" applyFill="1" applyBorder="1"/>
    <xf numFmtId="0" fontId="6" fillId="0" borderId="2" xfId="0" applyFont="1" applyBorder="1" applyAlignment="1">
      <alignment vertical="center"/>
    </xf>
    <xf numFmtId="165" fontId="6" fillId="0" borderId="2" xfId="2" applyNumberFormat="1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10" fontId="6" fillId="0" borderId="2" xfId="3" applyNumberFormat="1" applyFont="1" applyFill="1" applyBorder="1" applyAlignment="1">
      <alignment vertical="center"/>
    </xf>
    <xf numFmtId="44" fontId="6" fillId="0" borderId="0" xfId="0" applyNumberFormat="1" applyFont="1"/>
    <xf numFmtId="164" fontId="6" fillId="0" borderId="0" xfId="0" applyNumberFormat="1" applyFont="1"/>
    <xf numFmtId="165" fontId="6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4" xfId="0" applyNumberFormat="1" applyFont="1" applyBorder="1"/>
    <xf numFmtId="0" fontId="6" fillId="2" borderId="0" xfId="0" applyFont="1" applyFill="1"/>
    <xf numFmtId="0" fontId="0" fillId="0" borderId="0" xfId="0" applyAlignment="1">
      <alignment horizontal="center"/>
    </xf>
    <xf numFmtId="165" fontId="4" fillId="0" borderId="0" xfId="2" applyNumberFormat="1" applyFont="1" applyBorder="1" applyAlignment="1"/>
    <xf numFmtId="44" fontId="3" fillId="0" borderId="0" xfId="3" applyNumberFormat="1" applyFont="1" applyAlignment="1"/>
    <xf numFmtId="43" fontId="3" fillId="0" borderId="0" xfId="0" applyNumberFormat="1" applyFont="1"/>
    <xf numFmtId="0" fontId="3" fillId="0" borderId="1" xfId="0" applyFont="1" applyBorder="1" applyAlignment="1">
      <alignment horizontal="left"/>
    </xf>
    <xf numFmtId="165" fontId="3" fillId="0" borderId="1" xfId="2" applyNumberFormat="1" applyFont="1" applyBorder="1" applyAlignment="1">
      <alignment horizontal="right"/>
    </xf>
    <xf numFmtId="10" fontId="3" fillId="0" borderId="1" xfId="0" applyNumberFormat="1" applyFont="1" applyBorder="1" applyAlignment="1">
      <alignment horizontal="right"/>
    </xf>
    <xf numFmtId="164" fontId="6" fillId="0" borderId="0" xfId="1" applyNumberFormat="1" applyFont="1" applyFill="1" applyAlignment="1"/>
    <xf numFmtId="165" fontId="6" fillId="0" borderId="0" xfId="2" applyNumberFormat="1" applyFont="1" applyFill="1" applyAlignment="1"/>
    <xf numFmtId="164" fontId="6" fillId="0" borderId="0" xfId="1" quotePrefix="1" applyNumberFormat="1" applyFont="1" applyFill="1" applyAlignment="1">
      <alignment horizontal="left"/>
    </xf>
    <xf numFmtId="164" fontId="6" fillId="0" borderId="0" xfId="1" applyNumberFormat="1" applyFont="1" applyFill="1" applyAlignment="1">
      <alignment horizontal="left"/>
    </xf>
    <xf numFmtId="165" fontId="6" fillId="0" borderId="0" xfId="3" applyNumberFormat="1" applyFont="1" applyFill="1" applyAlignment="1"/>
    <xf numFmtId="164" fontId="6" fillId="0" borderId="0" xfId="3" applyNumberFormat="1" applyFont="1" applyFill="1" applyAlignment="1"/>
    <xf numFmtId="10" fontId="6" fillId="0" borderId="0" xfId="3" applyNumberFormat="1" applyFont="1"/>
    <xf numFmtId="0" fontId="10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1" applyNumberFormat="1" applyFont="1" applyBorder="1"/>
    <xf numFmtId="44" fontId="3" fillId="0" borderId="1" xfId="2" applyFont="1" applyBorder="1"/>
    <xf numFmtId="10" fontId="3" fillId="0" borderId="1" xfId="3" applyNumberFormat="1" applyFont="1" applyBorder="1"/>
    <xf numFmtId="10" fontId="3" fillId="0" borderId="0" xfId="0" applyNumberFormat="1" applyFont="1"/>
    <xf numFmtId="0" fontId="8" fillId="0" borderId="0" xfId="0" applyFont="1" applyAlignment="1">
      <alignment vertical="center"/>
    </xf>
    <xf numFmtId="169" fontId="6" fillId="0" borderId="0" xfId="1" applyNumberFormat="1" applyFont="1"/>
    <xf numFmtId="169" fontId="6" fillId="0" borderId="0" xfId="1" applyNumberFormat="1" applyFont="1" applyFill="1"/>
    <xf numFmtId="0" fontId="8" fillId="0" borderId="3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6" fillId="3" borderId="3" xfId="0" applyFont="1" applyFill="1" applyBorder="1"/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3" borderId="0" xfId="0" applyFont="1" applyFill="1"/>
    <xf numFmtId="43" fontId="6" fillId="3" borderId="0" xfId="1" applyFont="1" applyFill="1"/>
    <xf numFmtId="43" fontId="6" fillId="4" borderId="0" xfId="1" applyFont="1" applyFill="1"/>
    <xf numFmtId="167" fontId="6" fillId="0" borderId="0" xfId="1" applyNumberFormat="1" applyFont="1"/>
    <xf numFmtId="169" fontId="6" fillId="4" borderId="0" xfId="1" applyNumberFormat="1" applyFont="1" applyFill="1"/>
    <xf numFmtId="0" fontId="6" fillId="0" borderId="0" xfId="0" applyFont="1" applyAlignment="1">
      <alignment horizontal="center" vertical="center"/>
    </xf>
    <xf numFmtId="169" fontId="6" fillId="0" borderId="0" xfId="1" applyNumberFormat="1" applyFont="1" applyAlignment="1">
      <alignment vertical="center"/>
    </xf>
    <xf numFmtId="9" fontId="6" fillId="3" borderId="0" xfId="0" applyNumberFormat="1" applyFont="1" applyFill="1" applyAlignment="1">
      <alignment vertical="center"/>
    </xf>
    <xf numFmtId="43" fontId="6" fillId="3" borderId="0" xfId="1" applyFont="1" applyFill="1" applyAlignment="1">
      <alignment vertical="center"/>
    </xf>
    <xf numFmtId="43" fontId="6" fillId="3" borderId="0" xfId="0" applyNumberFormat="1" applyFont="1" applyFill="1" applyAlignment="1">
      <alignment horizontal="center" vertical="center"/>
    </xf>
    <xf numFmtId="9" fontId="6" fillId="3" borderId="0" xfId="0" applyNumberFormat="1" applyFont="1" applyFill="1"/>
    <xf numFmtId="9" fontId="6" fillId="3" borderId="0" xfId="3" applyFont="1" applyFill="1"/>
    <xf numFmtId="9" fontId="6" fillId="3" borderId="0" xfId="3" applyFont="1" applyFill="1" applyAlignment="1">
      <alignment vertical="center"/>
    </xf>
    <xf numFmtId="9" fontId="6" fillId="5" borderId="0" xfId="3" applyFont="1" applyFill="1" applyAlignment="1">
      <alignment vertical="center"/>
    </xf>
    <xf numFmtId="43" fontId="6" fillId="5" borderId="0" xfId="0" applyNumberFormat="1" applyFont="1" applyFill="1" applyAlignment="1">
      <alignment vertical="center"/>
    </xf>
    <xf numFmtId="43" fontId="6" fillId="5" borderId="0" xfId="0" applyNumberFormat="1" applyFont="1" applyFill="1" applyAlignment="1">
      <alignment horizontal="center" vertical="center"/>
    </xf>
    <xf numFmtId="43" fontId="6" fillId="0" borderId="0" xfId="0" applyNumberFormat="1" applyFont="1" applyAlignment="1">
      <alignment horizontal="center"/>
    </xf>
    <xf numFmtId="43" fontId="6" fillId="0" borderId="0" xfId="0" applyNumberFormat="1" applyFont="1" applyAlignment="1">
      <alignment horizontal="center" vertical="center"/>
    </xf>
    <xf numFmtId="43" fontId="6" fillId="0" borderId="0" xfId="0" applyNumberFormat="1" applyFont="1"/>
    <xf numFmtId="0" fontId="6" fillId="2" borderId="0" xfId="0" applyFont="1" applyFill="1" applyAlignment="1">
      <alignment horizontal="center"/>
    </xf>
    <xf numFmtId="0" fontId="8" fillId="0" borderId="0" xfId="0" applyFont="1"/>
    <xf numFmtId="172" fontId="6" fillId="0" borderId="0" xfId="0" applyNumberFormat="1" applyFont="1"/>
    <xf numFmtId="164" fontId="6" fillId="0" borderId="0" xfId="1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9" fontId="6" fillId="0" borderId="6" xfId="1" applyNumberFormat="1" applyFont="1" applyFill="1" applyBorder="1"/>
    <xf numFmtId="0" fontId="8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FFFF"/>
      <color rgb="FF0000FF"/>
      <color rgb="FFFFFFCC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R23"/>
  <sheetViews>
    <sheetView tabSelected="1" view="pageBreakPreview" zoomScale="60" zoomScaleNormal="75" workbookViewId="0">
      <selection activeCell="B7" sqref="B7"/>
    </sheetView>
  </sheetViews>
  <sheetFormatPr defaultColWidth="8.88671875" defaultRowHeight="13.2" x14ac:dyDescent="0.25"/>
  <cols>
    <col min="1" max="1" width="6" style="2" customWidth="1"/>
    <col min="2" max="2" width="29" style="2" bestFit="1" customWidth="1"/>
    <col min="3" max="3" width="7.88671875" style="9" customWidth="1"/>
    <col min="4" max="4" width="17.21875" style="2" hidden="1" customWidth="1"/>
    <col min="5" max="6" width="13.44140625" style="2" bestFit="1" customWidth="1"/>
    <col min="7" max="7" width="14.33203125" style="2" customWidth="1"/>
    <col min="8" max="8" width="12.77734375" style="2" customWidth="1"/>
    <col min="9" max="9" width="13.109375" style="2" customWidth="1"/>
    <col min="10" max="10" width="13.88671875" style="2" customWidth="1"/>
    <col min="11" max="11" width="24.77734375" style="2" customWidth="1"/>
    <col min="12" max="12" width="15.5546875" style="2" bestFit="1" customWidth="1"/>
    <col min="13" max="13" width="14.5546875" style="2" customWidth="1"/>
    <col min="14" max="14" width="9" style="2" customWidth="1"/>
    <col min="15" max="15" width="14.6640625" style="2" customWidth="1"/>
    <col min="16" max="16" width="10" style="2" customWidth="1"/>
    <col min="17" max="16384" width="8.88671875" style="2"/>
  </cols>
  <sheetData>
    <row r="1" spans="1:18" x14ac:dyDescent="0.25">
      <c r="A1" s="1" t="s">
        <v>45</v>
      </c>
    </row>
    <row r="2" spans="1:18" x14ac:dyDescent="0.25">
      <c r="A2" s="1" t="s">
        <v>96</v>
      </c>
    </row>
    <row r="3" spans="1:18" x14ac:dyDescent="0.25">
      <c r="A3" s="1"/>
    </row>
    <row r="4" spans="1:18" x14ac:dyDescent="0.25">
      <c r="A4" s="1"/>
    </row>
    <row r="5" spans="1:18" x14ac:dyDescent="0.25">
      <c r="H5" s="4"/>
      <c r="I5" s="4"/>
    </row>
    <row r="6" spans="1:18" s="7" customFormat="1" ht="31.95" customHeight="1" x14ac:dyDescent="0.25">
      <c r="A6" s="5" t="s">
        <v>0</v>
      </c>
      <c r="B6" s="5" t="s">
        <v>1</v>
      </c>
      <c r="C6" s="6" t="s">
        <v>7</v>
      </c>
      <c r="D6" s="8" t="s">
        <v>16</v>
      </c>
      <c r="E6" s="8" t="s">
        <v>2</v>
      </c>
      <c r="F6" s="8" t="s">
        <v>3</v>
      </c>
      <c r="G6" s="8" t="s">
        <v>99</v>
      </c>
      <c r="H6" s="6" t="s">
        <v>99</v>
      </c>
      <c r="I6" s="6" t="s">
        <v>100</v>
      </c>
      <c r="J6" s="2"/>
      <c r="K6" s="2"/>
      <c r="L6" s="2"/>
      <c r="M6" s="2"/>
      <c r="N6" s="2"/>
      <c r="O6" s="2"/>
      <c r="P6" s="2"/>
    </row>
    <row r="7" spans="1:18" x14ac:dyDescent="0.25">
      <c r="A7" s="3">
        <v>1</v>
      </c>
      <c r="B7" s="13"/>
      <c r="C7" s="28"/>
      <c r="D7" s="13"/>
      <c r="E7" s="14"/>
      <c r="F7" s="14"/>
      <c r="G7" s="14"/>
      <c r="H7" s="15"/>
      <c r="I7" s="15"/>
      <c r="Q7" s="7"/>
      <c r="R7" s="7"/>
    </row>
    <row r="8" spans="1:18" x14ac:dyDescent="0.25">
      <c r="A8" s="3">
        <f>A7+1</f>
        <v>2</v>
      </c>
      <c r="B8" s="2" t="str">
        <f>'Billing Detail'!B7</f>
        <v>Residential Service</v>
      </c>
      <c r="C8" s="9">
        <f>'Billing Detail'!C7</f>
        <v>12</v>
      </c>
      <c r="D8" s="16" t="e">
        <f>'Billing Detail'!#REF!</f>
        <v>#REF!</v>
      </c>
      <c r="E8" s="16">
        <f>'Billing Detail'!G16</f>
        <v>27251173.396451823</v>
      </c>
      <c r="F8" s="16">
        <f>'Billing Detail'!I16</f>
        <v>28391413.264521822</v>
      </c>
      <c r="G8" s="16">
        <f>F8-E8</f>
        <v>1140239.8680699989</v>
      </c>
      <c r="H8" s="15">
        <f t="shared" ref="H8:H16" si="0">IF(E8=0,0,G8/E8)</f>
        <v>4.1841863155091197E-2</v>
      </c>
      <c r="I8" s="81">
        <f>'Billing Detail'!J17</f>
        <v>7.3277842490279852</v>
      </c>
      <c r="J8" s="98"/>
      <c r="K8" s="98"/>
      <c r="Q8" s="7"/>
      <c r="R8" s="7"/>
    </row>
    <row r="9" spans="1:18" x14ac:dyDescent="0.25">
      <c r="A9" s="3">
        <f t="shared" ref="A9:A19" si="1">A8+1</f>
        <v>3</v>
      </c>
      <c r="B9" s="2" t="str">
        <f>'Billing Detail'!B19</f>
        <v>Off Peak Retail Marketing (ETS)</v>
      </c>
      <c r="C9" s="9">
        <f>'Billing Detail'!C19</f>
        <v>9</v>
      </c>
      <c r="D9" s="16" t="e">
        <f>'Billing Detail'!#REF!</f>
        <v>#REF!</v>
      </c>
      <c r="E9" s="16">
        <f>'Billing Detail'!G28</f>
        <v>15100.8374343746</v>
      </c>
      <c r="F9" s="16">
        <f>'Billing Detail'!I28</f>
        <v>15100.8374343746</v>
      </c>
      <c r="G9" s="16">
        <f t="shared" ref="G9:G16" si="2">F9-E9</f>
        <v>0</v>
      </c>
      <c r="H9" s="15">
        <f t="shared" si="0"/>
        <v>0</v>
      </c>
      <c r="I9" s="81">
        <f>'Billing Detail'!J29</f>
        <v>0</v>
      </c>
      <c r="J9" s="98"/>
      <c r="K9" s="98"/>
      <c r="Q9" s="7"/>
      <c r="R9" s="7"/>
    </row>
    <row r="10" spans="1:18" x14ac:dyDescent="0.25">
      <c r="A10" s="3">
        <f t="shared" si="1"/>
        <v>4</v>
      </c>
      <c r="B10" s="2" t="str">
        <f>'Billing Detail'!B31</f>
        <v>Prepay Service</v>
      </c>
      <c r="C10" s="9">
        <f>'Billing Detail'!C31</f>
        <v>15</v>
      </c>
      <c r="D10" s="2">
        <f>'Billing Detail'!D31</f>
        <v>0</v>
      </c>
      <c r="E10" s="16">
        <f>'Billing Detail'!G40</f>
        <v>1944658.9918469931</v>
      </c>
      <c r="F10" s="16">
        <f>'Billing Detail'!I40</f>
        <v>2016981.8180503265</v>
      </c>
      <c r="G10" s="16">
        <f t="shared" ref="G10" si="3">F10-E10</f>
        <v>72322.826203333447</v>
      </c>
      <c r="H10" s="15">
        <f t="shared" ref="H10" si="4">IF(E10=0,0,G10/E10)</f>
        <v>3.7190492783849401E-2</v>
      </c>
      <c r="I10" s="81">
        <f>'Billing Detail'!J41</f>
        <v>0.24389545100937671</v>
      </c>
      <c r="J10" s="98"/>
      <c r="K10" s="98"/>
      <c r="Q10" s="7"/>
      <c r="R10" s="7"/>
    </row>
    <row r="11" spans="1:18" x14ac:dyDescent="0.25">
      <c r="A11" s="3">
        <f t="shared" si="1"/>
        <v>5</v>
      </c>
      <c r="B11" s="2" t="str">
        <f>'Billing Detail'!B43</f>
        <v xml:space="preserve">General Service </v>
      </c>
      <c r="C11" s="9">
        <f>'Billing Detail'!C43</f>
        <v>11</v>
      </c>
      <c r="D11" s="16" t="e">
        <f>'Billing Detail'!#REF!</f>
        <v>#REF!</v>
      </c>
      <c r="E11" s="16">
        <f>'Billing Detail'!G53</f>
        <v>5361545.3676251601</v>
      </c>
      <c r="F11" s="16">
        <f>'Billing Detail'!I53</f>
        <v>5727359.6032240139</v>
      </c>
      <c r="G11" s="16">
        <f>F11-E11</f>
        <v>365814.23559885379</v>
      </c>
      <c r="H11" s="15">
        <f>IF(E11=0,0,G11/E11)</f>
        <v>6.8229253044796545E-2</v>
      </c>
      <c r="I11" s="81">
        <f>'Billing Detail'!J54</f>
        <v>8.6891742422530456</v>
      </c>
      <c r="J11" s="98"/>
      <c r="K11" s="98"/>
      <c r="Q11" s="7"/>
      <c r="R11" s="7"/>
    </row>
    <row r="12" spans="1:18" x14ac:dyDescent="0.25">
      <c r="A12" s="3">
        <f t="shared" si="1"/>
        <v>6</v>
      </c>
      <c r="B12" s="2" t="str">
        <f>'Billing Detail'!B56</f>
        <v>Large Power Service</v>
      </c>
      <c r="C12" s="9">
        <f>'Billing Detail'!C56</f>
        <v>2</v>
      </c>
      <c r="D12" s="16" t="e">
        <f>'Billing Detail'!#REF!</f>
        <v>#REF!</v>
      </c>
      <c r="E12" s="16">
        <f>'Billing Detail'!G66</f>
        <v>6353476.4770081658</v>
      </c>
      <c r="F12" s="16">
        <f>'Billing Detail'!I66</f>
        <v>6546311.2131349007</v>
      </c>
      <c r="G12" s="16">
        <f t="shared" si="2"/>
        <v>192834.73612673488</v>
      </c>
      <c r="H12" s="15">
        <f t="shared" si="0"/>
        <v>3.0351058483424214E-2</v>
      </c>
      <c r="I12" s="81">
        <f>'Billing Detail'!J67</f>
        <v>262.36018520644211</v>
      </c>
      <c r="J12" s="98"/>
      <c r="K12" s="98"/>
      <c r="Q12" s="7"/>
      <c r="R12" s="7"/>
    </row>
    <row r="13" spans="1:18" x14ac:dyDescent="0.25">
      <c r="A13" s="3">
        <f t="shared" si="1"/>
        <v>7</v>
      </c>
      <c r="B13" s="2" t="str">
        <f>'Billing Detail'!B69</f>
        <v xml:space="preserve">Large Industrial Rate </v>
      </c>
      <c r="C13" s="9" t="str">
        <f>'Billing Detail'!C69</f>
        <v>B1</v>
      </c>
      <c r="D13" s="16" t="e">
        <f>'Billing Detail'!#REF!</f>
        <v>#REF!</v>
      </c>
      <c r="E13" s="16">
        <f>'Billing Detail'!G80</f>
        <v>10191973.09766</v>
      </c>
      <c r="F13" s="16">
        <f>'Billing Detail'!I80</f>
        <v>10492514.728375725</v>
      </c>
      <c r="G13" s="16">
        <f t="shared" si="2"/>
        <v>300541.63071572594</v>
      </c>
      <c r="H13" s="15">
        <f t="shared" si="0"/>
        <v>2.948807142993029E-2</v>
      </c>
      <c r="I13" s="81">
        <f>'Billing Detail'!J81</f>
        <v>1788.9382780697997</v>
      </c>
      <c r="J13" s="98"/>
      <c r="K13" s="98"/>
      <c r="Q13" s="7"/>
      <c r="R13" s="7"/>
    </row>
    <row r="14" spans="1:18" x14ac:dyDescent="0.25">
      <c r="A14" s="3">
        <f t="shared" si="1"/>
        <v>8</v>
      </c>
      <c r="B14" s="2" t="str">
        <f>'Billing Detail'!B83</f>
        <v xml:space="preserve">Large Industrial Rate </v>
      </c>
      <c r="C14" s="9" t="str">
        <f>'Billing Detail'!C83</f>
        <v>B2</v>
      </c>
      <c r="D14" s="16" t="e">
        <f>'Billing Detail'!#REF!</f>
        <v>#REF!</v>
      </c>
      <c r="E14" s="16">
        <f>'Billing Detail'!G94</f>
        <v>2740144.4624000001</v>
      </c>
      <c r="F14" s="16">
        <f>'Billing Detail'!I94</f>
        <v>2819775.4506719988</v>
      </c>
      <c r="G14" s="16">
        <f t="shared" si="2"/>
        <v>79630.988271998707</v>
      </c>
      <c r="H14" s="15">
        <f t="shared" si="0"/>
        <v>2.9060872287825515E-2</v>
      </c>
      <c r="I14" s="81">
        <f>'Billing Detail'!J95</f>
        <v>6635.9156893332256</v>
      </c>
      <c r="J14" s="98"/>
      <c r="K14" s="98"/>
      <c r="Q14" s="7"/>
      <c r="R14" s="7"/>
    </row>
    <row r="15" spans="1:18" x14ac:dyDescent="0.25">
      <c r="A15" s="3">
        <f t="shared" si="1"/>
        <v>9</v>
      </c>
      <c r="B15" s="2" t="str">
        <f>'Billing Detail'!B97</f>
        <v>Outdoor and Street Lighting</v>
      </c>
      <c r="C15" s="9">
        <f>'Billing Detail'!C97</f>
        <v>3</v>
      </c>
      <c r="D15" s="16" t="e">
        <f>'Billing Detail'!#REF!</f>
        <v>#REF!</v>
      </c>
      <c r="E15" s="16">
        <f>'Billing Detail'!G113</f>
        <v>678665.54</v>
      </c>
      <c r="F15" s="16">
        <f>'Billing Detail'!I113</f>
        <v>708919.53501334961</v>
      </c>
      <c r="G15" s="16">
        <f t="shared" si="2"/>
        <v>30253.995013349573</v>
      </c>
      <c r="H15" s="15">
        <f t="shared" si="0"/>
        <v>4.4578652119790216E-2</v>
      </c>
      <c r="I15" s="81">
        <f>'Billing Detail'!J114</f>
        <v>0</v>
      </c>
      <c r="J15" s="98"/>
      <c r="K15" s="98"/>
      <c r="Q15" s="7"/>
      <c r="R15" s="7"/>
    </row>
    <row r="16" spans="1:18" ht="16.2" customHeight="1" x14ac:dyDescent="0.25">
      <c r="A16" s="3">
        <f t="shared" si="1"/>
        <v>10</v>
      </c>
      <c r="B16" s="18" t="s">
        <v>40</v>
      </c>
      <c r="C16" s="29"/>
      <c r="D16" s="19"/>
      <c r="E16" s="19">
        <f>SUM(E8:E15)</f>
        <v>54536738.17042651</v>
      </c>
      <c r="F16" s="19">
        <f>SUM(F8:F15)</f>
        <v>56718376.450426511</v>
      </c>
      <c r="G16" s="19">
        <f t="shared" si="2"/>
        <v>2181638.2800000012</v>
      </c>
      <c r="H16" s="20">
        <f t="shared" si="0"/>
        <v>4.0003094302824151E-2</v>
      </c>
      <c r="I16" s="20"/>
      <c r="J16" s="98"/>
      <c r="K16" s="98"/>
      <c r="Q16" s="7"/>
      <c r="R16" s="7"/>
    </row>
    <row r="17" spans="1:8" ht="27" customHeight="1" x14ac:dyDescent="0.25">
      <c r="A17" s="3">
        <f t="shared" si="1"/>
        <v>11</v>
      </c>
      <c r="B17" s="2" t="s">
        <v>6</v>
      </c>
      <c r="D17" s="80"/>
      <c r="F17" s="16">
        <f>'Billing Detail'!J125</f>
        <v>2181638.2800000003</v>
      </c>
      <c r="G17" s="21"/>
    </row>
    <row r="18" spans="1:8" ht="15" customHeight="1" x14ac:dyDescent="0.25">
      <c r="A18" s="3">
        <f t="shared" si="1"/>
        <v>12</v>
      </c>
      <c r="B18" s="2" t="s">
        <v>27</v>
      </c>
      <c r="D18" s="21"/>
      <c r="F18" s="16">
        <f>'Billing Detail'!J126</f>
        <v>-4.1909515857696533E-9</v>
      </c>
      <c r="G18" s="21"/>
    </row>
    <row r="19" spans="1:8" ht="15" customHeight="1" x14ac:dyDescent="0.25">
      <c r="A19" s="3">
        <f t="shared" si="1"/>
        <v>13</v>
      </c>
      <c r="B19" s="2" t="s">
        <v>27</v>
      </c>
      <c r="D19" s="22"/>
      <c r="F19" s="35">
        <f>F18/F17</f>
        <v>-1.9210112071235077E-15</v>
      </c>
      <c r="G19" s="22"/>
    </row>
    <row r="20" spans="1:8" x14ac:dyDescent="0.25">
      <c r="A20" s="3"/>
    </row>
    <row r="22" spans="1:8" x14ac:dyDescent="0.25">
      <c r="H22" s="98"/>
    </row>
    <row r="23" spans="1:8" x14ac:dyDescent="0.25">
      <c r="E23" s="17"/>
      <c r="F23" s="17"/>
      <c r="G23" s="17"/>
      <c r="H23" s="17"/>
    </row>
  </sheetData>
  <printOptions horizontalCentered="1"/>
  <pageMargins left="0.7" right="0.7" top="0.75" bottom="0.75" header="0.3" footer="0.3"/>
  <pageSetup orientation="landscape" r:id="rId1"/>
  <headerFooter>
    <oddHeader>&amp;R&amp;"Arial,Bold"&amp;10Exhibit JW-9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S165"/>
  <sheetViews>
    <sheetView view="pageBreakPreview" zoomScale="75" zoomScaleNormal="75" zoomScaleSheetLayoutView="75" workbookViewId="0">
      <pane xSplit="4" ySplit="5" topLeftCell="E28" activePane="bottomRight" state="frozen"/>
      <selection activeCell="M20" sqref="M20"/>
      <selection pane="topRight" activeCell="M20" sqref="M20"/>
      <selection pane="bottomLeft" activeCell="M20" sqref="M20"/>
      <selection pane="bottomRight" activeCell="H59" sqref="H59"/>
    </sheetView>
  </sheetViews>
  <sheetFormatPr defaultColWidth="8.88671875" defaultRowHeight="13.2" x14ac:dyDescent="0.25"/>
  <cols>
    <col min="1" max="1" width="7.44140625" style="76" customWidth="1"/>
    <col min="2" max="2" width="36.44140625" style="46" customWidth="1"/>
    <col min="3" max="3" width="6.6640625" style="38" customWidth="1"/>
    <col min="4" max="4" width="30.44140625" style="46" customWidth="1"/>
    <col min="5" max="5" width="17.44140625" style="46" customWidth="1"/>
    <col min="6" max="6" width="12.21875" style="46" bestFit="1" customWidth="1"/>
    <col min="7" max="7" width="15.33203125" style="46" bestFit="1" customWidth="1"/>
    <col min="8" max="8" width="11.77734375" style="46" customWidth="1"/>
    <col min="9" max="9" width="12.6640625" style="46" bestFit="1" customWidth="1"/>
    <col min="10" max="10" width="13.33203125" style="46" customWidth="1"/>
    <col min="11" max="11" width="12.6640625" style="46" customWidth="1"/>
    <col min="12" max="12" width="9.88671875" style="46" hidden="1" customWidth="1"/>
    <col min="13" max="13" width="9.44140625" style="46" hidden="1" customWidth="1"/>
    <col min="14" max="14" width="15.5546875" style="46" hidden="1" customWidth="1"/>
    <col min="15" max="15" width="15" style="100" customWidth="1"/>
    <col min="16" max="16" width="14.109375" style="46" customWidth="1"/>
    <col min="17" max="17" width="8.88671875" style="46" customWidth="1"/>
    <col min="18" max="18" width="10" style="46" customWidth="1"/>
    <col min="19" max="19" width="8.88671875" style="38"/>
    <col min="20" max="16384" width="8.88671875" style="46"/>
  </cols>
  <sheetData>
    <row r="1" spans="1:19" x14ac:dyDescent="0.25">
      <c r="A1" s="99" t="str">
        <f>Summary!A1</f>
        <v>SHELBY ENERGY COOPERATIVE</v>
      </c>
    </row>
    <row r="2" spans="1:19" ht="14.4" customHeight="1" x14ac:dyDescent="0.25">
      <c r="A2" s="99" t="str">
        <f>Summary!A2</f>
        <v>Present and Proposed Rates</v>
      </c>
      <c r="F2" s="43"/>
      <c r="L2" s="50"/>
      <c r="O2" s="101"/>
    </row>
    <row r="3" spans="1:19" x14ac:dyDescent="0.25">
      <c r="O3" s="101"/>
    </row>
    <row r="4" spans="1:19" x14ac:dyDescent="0.25">
      <c r="O4" s="101"/>
    </row>
    <row r="5" spans="1:19" ht="38.4" customHeight="1" x14ac:dyDescent="0.25">
      <c r="A5" s="102" t="s">
        <v>0</v>
      </c>
      <c r="B5" s="102" t="s">
        <v>8</v>
      </c>
      <c r="C5" s="52" t="s">
        <v>7</v>
      </c>
      <c r="D5" s="102" t="s">
        <v>9</v>
      </c>
      <c r="E5" s="51" t="s">
        <v>10</v>
      </c>
      <c r="F5" s="51" t="s">
        <v>19</v>
      </c>
      <c r="G5" s="51" t="s">
        <v>20</v>
      </c>
      <c r="H5" s="51" t="s">
        <v>17</v>
      </c>
      <c r="I5" s="51" t="s">
        <v>3</v>
      </c>
      <c r="J5" s="51" t="s">
        <v>11</v>
      </c>
      <c r="K5" s="52" t="s">
        <v>12</v>
      </c>
      <c r="L5" s="51" t="s">
        <v>18</v>
      </c>
      <c r="M5" s="51" t="s">
        <v>21</v>
      </c>
      <c r="N5" s="51" t="s">
        <v>28</v>
      </c>
      <c r="P5" s="51" t="s">
        <v>26</v>
      </c>
    </row>
    <row r="6" spans="1:19" ht="30.6" customHeight="1" thickBot="1" x14ac:dyDescent="0.3">
      <c r="A6" s="103"/>
      <c r="B6" s="104"/>
      <c r="C6" s="54"/>
      <c r="D6" s="104"/>
      <c r="E6" s="53"/>
      <c r="F6" s="53"/>
      <c r="G6" s="53"/>
      <c r="H6" s="53"/>
      <c r="I6" s="53"/>
      <c r="J6" s="53"/>
      <c r="K6" s="54"/>
      <c r="L6" s="53"/>
      <c r="M6" s="53"/>
      <c r="N6" s="53"/>
      <c r="Q6" s="105" t="s">
        <v>103</v>
      </c>
      <c r="R6" s="105"/>
    </row>
    <row r="7" spans="1:19" x14ac:dyDescent="0.25">
      <c r="A7" s="106">
        <v>1</v>
      </c>
      <c r="B7" s="55" t="s">
        <v>61</v>
      </c>
      <c r="C7" s="107">
        <v>12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Q7" s="108" t="s">
        <v>104</v>
      </c>
      <c r="R7" s="109">
        <f>F8</f>
        <v>15.48</v>
      </c>
    </row>
    <row r="8" spans="1:19" x14ac:dyDescent="0.25">
      <c r="A8" s="106">
        <f>A7+1</f>
        <v>2</v>
      </c>
      <c r="C8" s="46"/>
      <c r="D8" s="46" t="s">
        <v>108</v>
      </c>
      <c r="E8" s="56">
        <v>155605</v>
      </c>
      <c r="F8" s="47">
        <v>15.48</v>
      </c>
      <c r="G8" s="57">
        <f>F8*E8</f>
        <v>2408765.4</v>
      </c>
      <c r="H8" s="47">
        <v>19.75</v>
      </c>
      <c r="I8" s="57">
        <f>H8*E8</f>
        <v>3073198.75</v>
      </c>
      <c r="J8" s="57">
        <f>I8-G8</f>
        <v>664433.35000000009</v>
      </c>
      <c r="K8" s="58">
        <f>IF(G8=0,0,J8/G8)</f>
        <v>0.27583979328165381</v>
      </c>
      <c r="L8" s="58">
        <f>I8/I10</f>
        <v>0.13455558443953186</v>
      </c>
      <c r="M8" s="59" t="e">
        <f>L8-#REF!</f>
        <v>#REF!</v>
      </c>
      <c r="N8" s="59"/>
      <c r="P8" s="92">
        <f>H8/F8-1</f>
        <v>0.27583979328165364</v>
      </c>
      <c r="Q8" s="108" t="s">
        <v>105</v>
      </c>
      <c r="R8" s="110">
        <v>28.34</v>
      </c>
    </row>
    <row r="9" spans="1:19" x14ac:dyDescent="0.25">
      <c r="A9" s="106">
        <f t="shared" ref="A9:A88" si="0">A8+1</f>
        <v>3</v>
      </c>
      <c r="B9" s="111"/>
      <c r="D9" s="46" t="s">
        <v>33</v>
      </c>
      <c r="E9" s="56">
        <v>215297067</v>
      </c>
      <c r="F9" s="49">
        <v>8.9599999999999999E-2</v>
      </c>
      <c r="G9" s="57">
        <f>F9*E9</f>
        <v>19290617.203200001</v>
      </c>
      <c r="H9" s="129">
        <f>ROUND(F9*O9,5)</f>
        <v>9.1810000000000003E-2</v>
      </c>
      <c r="I9" s="57">
        <f>H9*E9</f>
        <v>19766423.721270002</v>
      </c>
      <c r="J9" s="57">
        <f>I9-G9</f>
        <v>475806.51807000116</v>
      </c>
      <c r="K9" s="58">
        <f>IF(G9=0,0,J9/G9)</f>
        <v>2.466517857142863E-2</v>
      </c>
      <c r="L9" s="58">
        <f>I9/I10</f>
        <v>0.86544441556046814</v>
      </c>
      <c r="M9" s="59" t="e">
        <f>L9-#REF!</f>
        <v>#REF!</v>
      </c>
      <c r="N9" s="59"/>
      <c r="O9" s="112">
        <v>1.0246193380007007</v>
      </c>
      <c r="P9" s="92">
        <f>H9/F9-1</f>
        <v>2.4665178571428692E-2</v>
      </c>
      <c r="Q9" s="108" t="s">
        <v>102</v>
      </c>
      <c r="R9" s="109">
        <f>R8-R7</f>
        <v>12.86</v>
      </c>
      <c r="S9" s="93" t="s">
        <v>106</v>
      </c>
    </row>
    <row r="10" spans="1:19" s="76" customFormat="1" ht="20.399999999999999" customHeight="1" x14ac:dyDescent="0.3">
      <c r="A10" s="106">
        <f t="shared" si="0"/>
        <v>4</v>
      </c>
      <c r="C10" s="113"/>
      <c r="D10" s="61" t="s">
        <v>4</v>
      </c>
      <c r="E10" s="61"/>
      <c r="F10" s="61"/>
      <c r="G10" s="10">
        <f>SUM(G8:G9)</f>
        <v>21699382.6032</v>
      </c>
      <c r="H10" s="61"/>
      <c r="I10" s="10">
        <f>SUM(I8:I9)</f>
        <v>22839622.471270002</v>
      </c>
      <c r="J10" s="10">
        <f>SUM(J8:J9)</f>
        <v>1140239.8680700012</v>
      </c>
      <c r="K10" s="62">
        <f>J10/G10</f>
        <v>5.254711108240704E-2</v>
      </c>
      <c r="L10" s="62">
        <f>SUM(L8:L9)</f>
        <v>1</v>
      </c>
      <c r="M10" s="63" t="e">
        <f>L10-#REF!</f>
        <v>#REF!</v>
      </c>
      <c r="N10" s="64" t="e">
        <f>I10-#REF!</f>
        <v>#REF!</v>
      </c>
      <c r="O10" s="114">
        <f>I10/G10</f>
        <v>1.0525471110824072</v>
      </c>
      <c r="Q10" s="115">
        <v>0.25</v>
      </c>
      <c r="R10" s="116">
        <f>R7+Q10*R9</f>
        <v>18.695</v>
      </c>
      <c r="S10" s="117">
        <f>R10-R$7</f>
        <v>3.2149999999999999</v>
      </c>
    </row>
    <row r="11" spans="1:19" x14ac:dyDescent="0.25">
      <c r="A11" s="106">
        <f t="shared" si="0"/>
        <v>5</v>
      </c>
      <c r="D11" s="46" t="s">
        <v>22</v>
      </c>
      <c r="G11" s="11">
        <v>2911815.4369011614</v>
      </c>
      <c r="I11" s="57">
        <f>G11</f>
        <v>2911815.4369011614</v>
      </c>
      <c r="J11" s="57">
        <f>I11-G11</f>
        <v>0</v>
      </c>
      <c r="K11" s="47">
        <v>0</v>
      </c>
      <c r="N11" s="65"/>
      <c r="Q11" s="118">
        <v>0.33</v>
      </c>
      <c r="R11" s="109">
        <f>R7+Q11*R9</f>
        <v>19.723800000000001</v>
      </c>
      <c r="S11" s="117">
        <f t="shared" ref="S11:S16" si="1">R11-R$7</f>
        <v>4.2438000000000002</v>
      </c>
    </row>
    <row r="12" spans="1:19" x14ac:dyDescent="0.25">
      <c r="A12" s="106">
        <f t="shared" si="0"/>
        <v>6</v>
      </c>
      <c r="D12" s="46" t="s">
        <v>23</v>
      </c>
      <c r="G12" s="11">
        <v>2639975.3563506603</v>
      </c>
      <c r="I12" s="57">
        <f>G12</f>
        <v>2639975.3563506603</v>
      </c>
      <c r="J12" s="57">
        <f>I12-G12</f>
        <v>0</v>
      </c>
      <c r="K12" s="47">
        <v>0</v>
      </c>
      <c r="Q12" s="119">
        <f>(R12-R7)/R9</f>
        <v>0.19595645412130636</v>
      </c>
      <c r="R12" s="109">
        <v>18</v>
      </c>
      <c r="S12" s="117">
        <f t="shared" si="1"/>
        <v>2.5199999999999996</v>
      </c>
    </row>
    <row r="13" spans="1:19" x14ac:dyDescent="0.25">
      <c r="A13" s="106">
        <f t="shared" si="0"/>
        <v>7</v>
      </c>
      <c r="D13" s="46" t="s">
        <v>25</v>
      </c>
      <c r="G13" s="11">
        <v>0</v>
      </c>
      <c r="I13" s="57">
        <f>G13</f>
        <v>0</v>
      </c>
      <c r="J13" s="57">
        <f>I13-G13</f>
        <v>0</v>
      </c>
      <c r="K13" s="47">
        <v>0</v>
      </c>
      <c r="Q13" s="119">
        <f>(R13-R7)/R9</f>
        <v>0.23483670295489889</v>
      </c>
      <c r="R13" s="109">
        <v>18.5</v>
      </c>
      <c r="S13" s="117">
        <f t="shared" si="1"/>
        <v>3.0199999999999996</v>
      </c>
    </row>
    <row r="14" spans="1:19" x14ac:dyDescent="0.25">
      <c r="A14" s="106">
        <f t="shared" si="0"/>
        <v>8</v>
      </c>
      <c r="D14" s="46" t="s">
        <v>29</v>
      </c>
      <c r="G14" s="11">
        <v>0</v>
      </c>
      <c r="I14" s="57">
        <f>G14</f>
        <v>0</v>
      </c>
      <c r="J14" s="57"/>
      <c r="K14" s="47">
        <v>0</v>
      </c>
      <c r="Q14" s="120">
        <f>(R14-R7)/R9</f>
        <v>0.27371695178849142</v>
      </c>
      <c r="R14" s="116">
        <v>19</v>
      </c>
      <c r="S14" s="117">
        <f t="shared" si="1"/>
        <v>3.5199999999999996</v>
      </c>
    </row>
    <row r="15" spans="1:19" x14ac:dyDescent="0.25">
      <c r="A15" s="106">
        <f t="shared" si="0"/>
        <v>9</v>
      </c>
      <c r="D15" s="66" t="s">
        <v>5</v>
      </c>
      <c r="E15" s="66"/>
      <c r="F15" s="66"/>
      <c r="G15" s="67">
        <f>SUM(G11:G14)</f>
        <v>5551790.7932518218</v>
      </c>
      <c r="H15" s="66"/>
      <c r="I15" s="67">
        <f>SUM(I11:I14)</f>
        <v>5551790.7932518218</v>
      </c>
      <c r="J15" s="67">
        <f>I15-G15</f>
        <v>0</v>
      </c>
      <c r="K15" s="68">
        <f>J15/G15</f>
        <v>0</v>
      </c>
      <c r="Q15" s="118">
        <v>0.5</v>
      </c>
      <c r="R15" s="109">
        <f>R7+Q15*R9</f>
        <v>21.91</v>
      </c>
      <c r="S15" s="117">
        <f t="shared" si="1"/>
        <v>6.43</v>
      </c>
    </row>
    <row r="16" spans="1:19" s="76" customFormat="1" ht="26.4" customHeight="1" thickBot="1" x14ac:dyDescent="0.3">
      <c r="A16" s="106">
        <f t="shared" si="0"/>
        <v>10</v>
      </c>
      <c r="C16" s="113"/>
      <c r="D16" s="69" t="s">
        <v>15</v>
      </c>
      <c r="E16" s="69"/>
      <c r="F16" s="69"/>
      <c r="G16" s="71">
        <f>G15+G10</f>
        <v>27251173.396451823</v>
      </c>
      <c r="H16" s="69"/>
      <c r="I16" s="70">
        <f>I15+I10</f>
        <v>28391413.264521822</v>
      </c>
      <c r="J16" s="70">
        <f>I16-G16</f>
        <v>1140239.8680699989</v>
      </c>
      <c r="K16" s="72">
        <f>J16/G16</f>
        <v>4.1841863155091197E-2</v>
      </c>
      <c r="L16" s="46"/>
      <c r="M16" s="46"/>
      <c r="N16" s="46"/>
      <c r="O16" s="130">
        <v>1138504.9107937682</v>
      </c>
      <c r="P16" s="131">
        <f>J16-O16</f>
        <v>1734.957276230678</v>
      </c>
      <c r="Q16" s="121">
        <f>(R16-R7)/R9</f>
        <v>0.33203732503888023</v>
      </c>
      <c r="R16" s="122">
        <v>19.75</v>
      </c>
      <c r="S16" s="123">
        <f t="shared" si="1"/>
        <v>4.2699999999999996</v>
      </c>
    </row>
    <row r="17" spans="1:19" ht="13.8" thickTop="1" x14ac:dyDescent="0.25">
      <c r="A17" s="106">
        <f t="shared" si="0"/>
        <v>11</v>
      </c>
      <c r="D17" s="46" t="s">
        <v>14</v>
      </c>
      <c r="E17" s="47">
        <f>E9/E8</f>
        <v>1383.6127823656052</v>
      </c>
      <c r="G17" s="73">
        <f>G16/E8</f>
        <v>175.1304482275751</v>
      </c>
      <c r="I17" s="73">
        <f>I16/E8</f>
        <v>182.45823247660309</v>
      </c>
      <c r="J17" s="73">
        <f>I17-G17</f>
        <v>7.3277842490279852</v>
      </c>
      <c r="K17" s="58">
        <f>J17/G17</f>
        <v>4.1841863155091218E-2</v>
      </c>
    </row>
    <row r="18" spans="1:19" ht="13.8" thickBot="1" x14ac:dyDescent="0.3">
      <c r="A18" s="106">
        <f t="shared" si="0"/>
        <v>12</v>
      </c>
    </row>
    <row r="19" spans="1:19" x14ac:dyDescent="0.25">
      <c r="A19" s="106">
        <f t="shared" si="0"/>
        <v>13</v>
      </c>
      <c r="B19" s="55" t="s">
        <v>60</v>
      </c>
      <c r="C19" s="107">
        <v>9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9" x14ac:dyDescent="0.25">
      <c r="A20" s="106">
        <f t="shared" si="0"/>
        <v>14</v>
      </c>
      <c r="C20" s="46"/>
      <c r="D20" s="46" t="s">
        <v>108</v>
      </c>
      <c r="E20" s="56">
        <v>210</v>
      </c>
      <c r="F20" s="47">
        <v>0</v>
      </c>
      <c r="G20" s="57">
        <f>F20*E20</f>
        <v>0</v>
      </c>
      <c r="H20" s="47"/>
      <c r="I20" s="57">
        <f>H20*E20</f>
        <v>0</v>
      </c>
      <c r="J20" s="57">
        <f>I20-G20</f>
        <v>0</v>
      </c>
      <c r="K20" s="58">
        <f>IF(G20=0,0,J20/G20)</f>
        <v>0</v>
      </c>
      <c r="L20" s="58">
        <f>I20/I22</f>
        <v>0</v>
      </c>
      <c r="M20" s="59" t="e">
        <f>L20-#REF!</f>
        <v>#REF!</v>
      </c>
      <c r="N20" s="59"/>
      <c r="P20" s="92"/>
    </row>
    <row r="21" spans="1:19" x14ac:dyDescent="0.25">
      <c r="A21" s="106">
        <f t="shared" si="0"/>
        <v>15</v>
      </c>
      <c r="D21" s="46" t="s">
        <v>33</v>
      </c>
      <c r="E21" s="56">
        <v>188379</v>
      </c>
      <c r="F21" s="49">
        <v>6.0639999999999999E-2</v>
      </c>
      <c r="G21" s="57">
        <f>F21*E21</f>
        <v>11423.30256</v>
      </c>
      <c r="H21" s="60">
        <f>F21</f>
        <v>6.0639999999999999E-2</v>
      </c>
      <c r="I21" s="57">
        <f>H21*E21</f>
        <v>11423.30256</v>
      </c>
      <c r="J21" s="57">
        <f>I21-G21</f>
        <v>0</v>
      </c>
      <c r="K21" s="58">
        <f>IF(G21=0,0,J21/G21)</f>
        <v>0</v>
      </c>
      <c r="L21" s="58">
        <f>I21/I$22</f>
        <v>1</v>
      </c>
      <c r="M21" s="59" t="e">
        <f>L21-#REF!</f>
        <v>#REF!</v>
      </c>
      <c r="N21" s="59"/>
      <c r="P21" s="92">
        <f>H21/F21-1</f>
        <v>0</v>
      </c>
    </row>
    <row r="22" spans="1:19" s="76" customFormat="1" ht="20.399999999999999" customHeight="1" x14ac:dyDescent="0.3">
      <c r="A22" s="106">
        <f t="shared" si="0"/>
        <v>16</v>
      </c>
      <c r="C22" s="113"/>
      <c r="D22" s="61" t="s">
        <v>4</v>
      </c>
      <c r="E22" s="61"/>
      <c r="F22" s="61"/>
      <c r="G22" s="10">
        <f>SUM(G20:G21)</f>
        <v>11423.30256</v>
      </c>
      <c r="H22" s="61"/>
      <c r="I22" s="10">
        <f>SUM(I20:I21)</f>
        <v>11423.30256</v>
      </c>
      <c r="J22" s="10">
        <f>SUM(J20:J21)</f>
        <v>0</v>
      </c>
      <c r="K22" s="62">
        <f>J22/G22</f>
        <v>0</v>
      </c>
      <c r="L22" s="62">
        <f>SUM(L20:L21)</f>
        <v>1</v>
      </c>
      <c r="M22" s="63" t="e">
        <f>L22-#REF!</f>
        <v>#REF!</v>
      </c>
      <c r="N22" s="64" t="e">
        <f>I22-#REF!</f>
        <v>#REF!</v>
      </c>
      <c r="O22" s="114">
        <f>I22/G22</f>
        <v>1</v>
      </c>
      <c r="S22" s="113"/>
    </row>
    <row r="23" spans="1:19" x14ac:dyDescent="0.25">
      <c r="A23" s="106">
        <f t="shared" si="0"/>
        <v>17</v>
      </c>
      <c r="D23" s="46" t="s">
        <v>22</v>
      </c>
      <c r="G23" s="11">
        <v>2266.4986457294208</v>
      </c>
      <c r="I23" s="57">
        <f>G23</f>
        <v>2266.4986457294208</v>
      </c>
      <c r="J23" s="57">
        <f>I23-G23</f>
        <v>0</v>
      </c>
      <c r="K23" s="47">
        <v>0</v>
      </c>
    </row>
    <row r="24" spans="1:19" x14ac:dyDescent="0.25">
      <c r="A24" s="106">
        <f t="shared" si="0"/>
        <v>18</v>
      </c>
      <c r="D24" s="46" t="s">
        <v>23</v>
      </c>
      <c r="G24" s="11">
        <v>1411.0362286451796</v>
      </c>
      <c r="I24" s="57">
        <f>G24</f>
        <v>1411.0362286451796</v>
      </c>
      <c r="J24" s="57">
        <f>I24-G24</f>
        <v>0</v>
      </c>
      <c r="K24" s="47">
        <v>0</v>
      </c>
    </row>
    <row r="25" spans="1:19" x14ac:dyDescent="0.25">
      <c r="A25" s="106">
        <f t="shared" si="0"/>
        <v>19</v>
      </c>
      <c r="D25" s="46" t="s">
        <v>25</v>
      </c>
      <c r="G25" s="11">
        <v>0</v>
      </c>
      <c r="I25" s="57">
        <f>G25</f>
        <v>0</v>
      </c>
      <c r="J25" s="57">
        <f>I25-G25</f>
        <v>0</v>
      </c>
      <c r="K25" s="47">
        <v>0</v>
      </c>
    </row>
    <row r="26" spans="1:19" x14ac:dyDescent="0.25">
      <c r="A26" s="106">
        <f t="shared" si="0"/>
        <v>20</v>
      </c>
      <c r="D26" s="46" t="s">
        <v>29</v>
      </c>
      <c r="G26" s="11">
        <v>0</v>
      </c>
      <c r="I26" s="57">
        <f>G26</f>
        <v>0</v>
      </c>
      <c r="J26" s="57"/>
      <c r="K26" s="47"/>
    </row>
    <row r="27" spans="1:19" x14ac:dyDescent="0.25">
      <c r="A27" s="106">
        <f t="shared" si="0"/>
        <v>21</v>
      </c>
      <c r="D27" s="66" t="s">
        <v>5</v>
      </c>
      <c r="E27" s="66"/>
      <c r="F27" s="66"/>
      <c r="G27" s="67">
        <f>SUM(G23:G26)</f>
        <v>3677.5348743746003</v>
      </c>
      <c r="H27" s="66"/>
      <c r="I27" s="67">
        <f>SUM(I23:I26)</f>
        <v>3677.5348743746003</v>
      </c>
      <c r="J27" s="67">
        <f>I27-G27</f>
        <v>0</v>
      </c>
      <c r="K27" s="68">
        <f>J27/G27</f>
        <v>0</v>
      </c>
    </row>
    <row r="28" spans="1:19" s="76" customFormat="1" ht="26.4" customHeight="1" thickBot="1" x14ac:dyDescent="0.3">
      <c r="A28" s="106">
        <f t="shared" si="0"/>
        <v>22</v>
      </c>
      <c r="C28" s="113"/>
      <c r="D28" s="69" t="s">
        <v>15</v>
      </c>
      <c r="E28" s="69"/>
      <c r="F28" s="69"/>
      <c r="G28" s="71">
        <f>G27+G22</f>
        <v>15100.8374343746</v>
      </c>
      <c r="H28" s="69"/>
      <c r="I28" s="70">
        <f>I27+I22</f>
        <v>15100.8374343746</v>
      </c>
      <c r="J28" s="70">
        <f>I28-G28</f>
        <v>0</v>
      </c>
      <c r="K28" s="72">
        <f>J28/G28</f>
        <v>0</v>
      </c>
      <c r="L28" s="46"/>
      <c r="M28" s="46"/>
      <c r="N28" s="46"/>
      <c r="O28" s="114"/>
      <c r="S28" s="113"/>
    </row>
    <row r="29" spans="1:19" ht="13.8" thickTop="1" x14ac:dyDescent="0.25">
      <c r="A29" s="106">
        <f t="shared" si="0"/>
        <v>23</v>
      </c>
      <c r="D29" s="46" t="s">
        <v>14</v>
      </c>
      <c r="E29" s="47">
        <f>E21/E20</f>
        <v>897.04285714285709</v>
      </c>
      <c r="G29" s="73">
        <f>G28/E20</f>
        <v>71.908749687498101</v>
      </c>
      <c r="I29" s="73">
        <f>I28/E20</f>
        <v>71.908749687498101</v>
      </c>
      <c r="J29" s="73">
        <f>I29-G29</f>
        <v>0</v>
      </c>
      <c r="K29" s="58">
        <f>J29/G29</f>
        <v>0</v>
      </c>
    </row>
    <row r="30" spans="1:19" ht="13.8" thickBot="1" x14ac:dyDescent="0.3">
      <c r="A30" s="106">
        <f t="shared" si="0"/>
        <v>24</v>
      </c>
    </row>
    <row r="31" spans="1:19" x14ac:dyDescent="0.25">
      <c r="A31" s="106">
        <f t="shared" si="0"/>
        <v>25</v>
      </c>
      <c r="B31" s="55" t="s">
        <v>62</v>
      </c>
      <c r="C31" s="107">
        <v>15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9" x14ac:dyDescent="0.25">
      <c r="A32" s="106">
        <f t="shared" si="0"/>
        <v>26</v>
      </c>
      <c r="C32" s="46"/>
      <c r="D32" s="46" t="s">
        <v>107</v>
      </c>
      <c r="E32" s="56">
        <f>9749/12*365</f>
        <v>296532.08333333331</v>
      </c>
      <c r="F32" s="47">
        <v>0.52</v>
      </c>
      <c r="G32" s="57">
        <f>F32*E32</f>
        <v>154196.68333333332</v>
      </c>
      <c r="H32" s="47">
        <f>ROUND(H8*12/365,2)</f>
        <v>0.65</v>
      </c>
      <c r="I32" s="57">
        <f>H32*E32</f>
        <v>192745.85416666666</v>
      </c>
      <c r="J32" s="57">
        <f>I32-G32</f>
        <v>38549.170833333337</v>
      </c>
      <c r="K32" s="58">
        <f>IF(G32=0,0,J32/G32)</f>
        <v>0.25000000000000006</v>
      </c>
      <c r="L32" s="58">
        <f>I32/I34</f>
        <v>0.12078288473763157</v>
      </c>
      <c r="M32" s="59" t="e">
        <f>L32-#REF!</f>
        <v>#REF!</v>
      </c>
      <c r="N32" s="59"/>
      <c r="P32" s="92">
        <f>H32/F32-1</f>
        <v>0.25</v>
      </c>
      <c r="S32" s="124"/>
    </row>
    <row r="33" spans="1:19" x14ac:dyDescent="0.25">
      <c r="A33" s="106">
        <f t="shared" si="0"/>
        <v>27</v>
      </c>
      <c r="B33" s="111"/>
      <c r="D33" s="46" t="s">
        <v>33</v>
      </c>
      <c r="E33" s="56">
        <v>15282197</v>
      </c>
      <c r="F33" s="49">
        <v>8.9599999999999999E-2</v>
      </c>
      <c r="G33" s="57">
        <f>F33*E33</f>
        <v>1369284.8511999999</v>
      </c>
      <c r="H33" s="60">
        <f>H9</f>
        <v>9.1810000000000003E-2</v>
      </c>
      <c r="I33" s="57">
        <f>H33*E33</f>
        <v>1403058.50657</v>
      </c>
      <c r="J33" s="57">
        <f>I33-G33</f>
        <v>33773.655370000051</v>
      </c>
      <c r="K33" s="58">
        <f>IF(G33=0,0,J33/G33)</f>
        <v>2.4665178571428609E-2</v>
      </c>
      <c r="L33" s="58">
        <f>I33/I34</f>
        <v>0.87921711526236834</v>
      </c>
      <c r="M33" s="59" t="e">
        <f>L33-#REF!</f>
        <v>#REF!</v>
      </c>
      <c r="N33" s="59"/>
      <c r="P33" s="92">
        <f>H33/F33-1</f>
        <v>2.4665178571428692E-2</v>
      </c>
      <c r="S33" s="124"/>
    </row>
    <row r="34" spans="1:19" s="76" customFormat="1" ht="20.399999999999999" customHeight="1" x14ac:dyDescent="0.3">
      <c r="A34" s="106">
        <f t="shared" si="0"/>
        <v>28</v>
      </c>
      <c r="C34" s="113"/>
      <c r="D34" s="61" t="s">
        <v>4</v>
      </c>
      <c r="E34" s="61"/>
      <c r="F34" s="61"/>
      <c r="G34" s="10">
        <f>SUM(G32:G33)</f>
        <v>1523481.5345333333</v>
      </c>
      <c r="H34" s="61"/>
      <c r="I34" s="10">
        <f>SUM(I32:I33)</f>
        <v>1595804.3607366667</v>
      </c>
      <c r="J34" s="10">
        <f>SUM(J32:J33)</f>
        <v>72322.826203333389</v>
      </c>
      <c r="K34" s="62">
        <f>J34/G34</f>
        <v>4.7472072725506992E-2</v>
      </c>
      <c r="L34" s="62">
        <f>SUM(L32:L33)</f>
        <v>0.99999999999999989</v>
      </c>
      <c r="M34" s="63" t="e">
        <f>L34-#REF!</f>
        <v>#REF!</v>
      </c>
      <c r="N34" s="64" t="e">
        <f>I34-#REF!</f>
        <v>#REF!</v>
      </c>
      <c r="O34" s="114">
        <f>I34/G34</f>
        <v>1.0474720727255071</v>
      </c>
      <c r="S34" s="125"/>
    </row>
    <row r="35" spans="1:19" x14ac:dyDescent="0.25">
      <c r="A35" s="106">
        <f t="shared" si="0"/>
        <v>29</v>
      </c>
      <c r="D35" s="46" t="s">
        <v>22</v>
      </c>
      <c r="G35" s="11">
        <v>205493.62075211233</v>
      </c>
      <c r="I35" s="57">
        <f>G35</f>
        <v>205493.62075211233</v>
      </c>
      <c r="J35" s="57">
        <f>I35-G35</f>
        <v>0</v>
      </c>
      <c r="K35" s="47">
        <v>0</v>
      </c>
      <c r="N35" s="65"/>
    </row>
    <row r="36" spans="1:19" x14ac:dyDescent="0.25">
      <c r="A36" s="106">
        <f t="shared" si="0"/>
        <v>30</v>
      </c>
      <c r="D36" s="46" t="s">
        <v>23</v>
      </c>
      <c r="G36" s="11">
        <v>186454.83656154753</v>
      </c>
      <c r="I36" s="57">
        <f>G36</f>
        <v>186454.83656154753</v>
      </c>
      <c r="J36" s="57">
        <f>I36-G36</f>
        <v>0</v>
      </c>
      <c r="K36" s="47">
        <v>0</v>
      </c>
    </row>
    <row r="37" spans="1:19" x14ac:dyDescent="0.25">
      <c r="A37" s="106">
        <f t="shared" si="0"/>
        <v>31</v>
      </c>
      <c r="D37" s="46" t="s">
        <v>30</v>
      </c>
      <c r="G37" s="11">
        <v>29229</v>
      </c>
      <c r="I37" s="57">
        <f>G37</f>
        <v>29229</v>
      </c>
      <c r="J37" s="57">
        <f>I37-G37</f>
        <v>0</v>
      </c>
      <c r="K37" s="47">
        <v>0</v>
      </c>
    </row>
    <row r="38" spans="1:19" x14ac:dyDescent="0.25">
      <c r="A38" s="106">
        <f t="shared" si="0"/>
        <v>32</v>
      </c>
      <c r="D38" s="46" t="s">
        <v>29</v>
      </c>
      <c r="G38" s="11">
        <v>0</v>
      </c>
      <c r="I38" s="57">
        <f>G38</f>
        <v>0</v>
      </c>
      <c r="J38" s="57"/>
      <c r="K38" s="47">
        <v>0</v>
      </c>
    </row>
    <row r="39" spans="1:19" x14ac:dyDescent="0.25">
      <c r="A39" s="106">
        <f t="shared" si="0"/>
        <v>33</v>
      </c>
      <c r="D39" s="66" t="s">
        <v>5</v>
      </c>
      <c r="E39" s="66"/>
      <c r="F39" s="66"/>
      <c r="G39" s="67">
        <f>SUM(G35:G38)</f>
        <v>421177.45731365983</v>
      </c>
      <c r="H39" s="66"/>
      <c r="I39" s="67">
        <f>SUM(I35:I38)</f>
        <v>421177.45731365983</v>
      </c>
      <c r="J39" s="67">
        <f>I39-G39</f>
        <v>0</v>
      </c>
      <c r="K39" s="68">
        <f>J39/G39</f>
        <v>0</v>
      </c>
    </row>
    <row r="40" spans="1:19" s="76" customFormat="1" ht="26.4" customHeight="1" thickBot="1" x14ac:dyDescent="0.3">
      <c r="A40" s="106">
        <f t="shared" si="0"/>
        <v>34</v>
      </c>
      <c r="C40" s="113"/>
      <c r="D40" s="69" t="s">
        <v>15</v>
      </c>
      <c r="E40" s="69"/>
      <c r="F40" s="69"/>
      <c r="G40" s="71">
        <f>G39+G34</f>
        <v>1944658.9918469931</v>
      </c>
      <c r="H40" s="69"/>
      <c r="I40" s="70">
        <f>I39+I34</f>
        <v>2016981.8180503265</v>
      </c>
      <c r="J40" s="70">
        <f>I40-G40</f>
        <v>72322.826203333447</v>
      </c>
      <c r="K40" s="72">
        <f>J40/G40</f>
        <v>3.7190492783849401E-2</v>
      </c>
      <c r="L40" s="46"/>
      <c r="M40" s="46"/>
      <c r="N40" s="46"/>
      <c r="O40" s="114"/>
      <c r="S40" s="113"/>
    </row>
    <row r="41" spans="1:19" ht="13.8" thickTop="1" x14ac:dyDescent="0.25">
      <c r="A41" s="106">
        <f t="shared" si="0"/>
        <v>35</v>
      </c>
      <c r="D41" s="46" t="s">
        <v>14</v>
      </c>
      <c r="E41" s="47">
        <f>E33/E32</f>
        <v>51.536403171663551</v>
      </c>
      <c r="G41" s="73">
        <f>G40/E32</f>
        <v>6.5580053597808892</v>
      </c>
      <c r="I41" s="73">
        <f>I40/E32</f>
        <v>6.8019008107902659</v>
      </c>
      <c r="J41" s="73">
        <f>I41-G41</f>
        <v>0.24389545100937671</v>
      </c>
      <c r="K41" s="58">
        <f>J41/G41</f>
        <v>3.719049278384938E-2</v>
      </c>
    </row>
    <row r="42" spans="1:19" ht="13.8" thickBot="1" x14ac:dyDescent="0.3">
      <c r="A42" s="106">
        <f t="shared" si="0"/>
        <v>36</v>
      </c>
    </row>
    <row r="43" spans="1:19" x14ac:dyDescent="0.25">
      <c r="A43" s="106">
        <f t="shared" si="0"/>
        <v>37</v>
      </c>
      <c r="B43" s="55" t="s">
        <v>97</v>
      </c>
      <c r="C43" s="107">
        <v>11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  <row r="44" spans="1:19" x14ac:dyDescent="0.25">
      <c r="A44" s="106">
        <f t="shared" si="0"/>
        <v>38</v>
      </c>
      <c r="C44" s="46"/>
      <c r="D44" s="46" t="s">
        <v>46</v>
      </c>
      <c r="E44" s="56">
        <v>42100</v>
      </c>
      <c r="F44" s="47">
        <v>18.57</v>
      </c>
      <c r="G44" s="57">
        <f>F44*E44</f>
        <v>781797</v>
      </c>
      <c r="H44" s="47">
        <f>F44+(H8-F8)</f>
        <v>22.84</v>
      </c>
      <c r="I44" s="57">
        <f>H44*E44</f>
        <v>961564</v>
      </c>
      <c r="J44" s="57">
        <f>I44-G44</f>
        <v>179767</v>
      </c>
      <c r="K44" s="58">
        <f>IF(G44=0,0,J44/G44)</f>
        <v>0.22994076467420571</v>
      </c>
      <c r="L44" s="58">
        <f>I44/I$47</f>
        <v>0.20432352605240475</v>
      </c>
      <c r="M44" s="59" t="e">
        <f>L44-#REF!</f>
        <v>#REF!</v>
      </c>
      <c r="N44" s="59"/>
    </row>
    <row r="45" spans="1:19" x14ac:dyDescent="0.25">
      <c r="A45" s="106">
        <f t="shared" si="0"/>
        <v>39</v>
      </c>
      <c r="C45" s="38">
        <v>13</v>
      </c>
      <c r="D45" s="46" t="s">
        <v>47</v>
      </c>
      <c r="E45" s="56">
        <v>2970</v>
      </c>
      <c r="F45" s="47">
        <v>41.27</v>
      </c>
      <c r="G45" s="57">
        <f>F45*E45</f>
        <v>122571.90000000001</v>
      </c>
      <c r="H45" s="47">
        <f>F45+(H8-F8)</f>
        <v>45.540000000000006</v>
      </c>
      <c r="I45" s="57">
        <f>H45*E45</f>
        <v>135253.80000000002</v>
      </c>
      <c r="J45" s="57">
        <f>I45-G45</f>
        <v>12681.900000000009</v>
      </c>
      <c r="K45" s="58">
        <f>IF(G45=0,0,J45/G45)</f>
        <v>0.10346498667312824</v>
      </c>
      <c r="L45" s="58">
        <f>I45/I$47</f>
        <v>2.8740191321624711E-2</v>
      </c>
      <c r="M45" s="59" t="e">
        <f>L45-#REF!</f>
        <v>#REF!</v>
      </c>
      <c r="N45" s="59"/>
    </row>
    <row r="46" spans="1:19" x14ac:dyDescent="0.25">
      <c r="A46" s="106">
        <f t="shared" si="0"/>
        <v>40</v>
      </c>
      <c r="D46" s="46" t="s">
        <v>33</v>
      </c>
      <c r="E46" s="56">
        <v>37399613</v>
      </c>
      <c r="F46" s="49">
        <v>9.1869999999999993E-2</v>
      </c>
      <c r="G46" s="57">
        <f>F46*E46</f>
        <v>3435902.4463099996</v>
      </c>
      <c r="H46" s="60">
        <f>F46*O46</f>
        <v>9.6505484746830225E-2</v>
      </c>
      <c r="I46" s="57">
        <f>H46*E46</f>
        <v>3609267.7819088534</v>
      </c>
      <c r="J46" s="57">
        <f>I46-G46</f>
        <v>173365.33559885388</v>
      </c>
      <c r="K46" s="58">
        <f>IF(G46=0,0,J46/G46)</f>
        <v>5.0457001707088701E-2</v>
      </c>
      <c r="L46" s="58">
        <f>I46/I$47</f>
        <v>0.76693628262597047</v>
      </c>
      <c r="M46" s="59" t="e">
        <f>L46-#REF!</f>
        <v>#REF!</v>
      </c>
      <c r="N46" s="59"/>
      <c r="O46" s="132">
        <v>1.0504570017070887</v>
      </c>
      <c r="P46" s="92">
        <f>H46/F46-1</f>
        <v>5.0457001707088667E-2</v>
      </c>
    </row>
    <row r="47" spans="1:19" s="76" customFormat="1" ht="20.399999999999999" customHeight="1" x14ac:dyDescent="0.3">
      <c r="A47" s="106">
        <f t="shared" si="0"/>
        <v>41</v>
      </c>
      <c r="C47" s="113"/>
      <c r="D47" s="61" t="s">
        <v>4</v>
      </c>
      <c r="E47" s="61"/>
      <c r="F47" s="61"/>
      <c r="G47" s="10">
        <f>SUM(G44:G46)</f>
        <v>4340271.3463099999</v>
      </c>
      <c r="H47" s="61"/>
      <c r="I47" s="10">
        <f>SUM(I44:I46)</f>
        <v>4706085.5819088537</v>
      </c>
      <c r="J47" s="10">
        <f>SUM(J44:J46)</f>
        <v>365814.23559885391</v>
      </c>
      <c r="K47" s="62">
        <f>J47/G47</f>
        <v>8.4283724774456989E-2</v>
      </c>
      <c r="L47" s="62">
        <f>SUM(L44:L46)</f>
        <v>1</v>
      </c>
      <c r="M47" s="63" t="e">
        <f>L47-#REF!</f>
        <v>#REF!</v>
      </c>
      <c r="N47" s="64" t="e">
        <f>I47-#REF!</f>
        <v>#REF!</v>
      </c>
      <c r="O47" s="114">
        <f>I47/G47</f>
        <v>1.084283724774457</v>
      </c>
      <c r="S47" s="113"/>
    </row>
    <row r="48" spans="1:19" x14ac:dyDescent="0.25">
      <c r="A48" s="106">
        <f t="shared" si="0"/>
        <v>42</v>
      </c>
      <c r="D48" s="46" t="s">
        <v>22</v>
      </c>
      <c r="G48" s="11">
        <v>502183</v>
      </c>
      <c r="I48" s="57">
        <f>G48</f>
        <v>502183</v>
      </c>
      <c r="J48" s="57">
        <f>I48-G48</f>
        <v>0</v>
      </c>
      <c r="K48" s="47">
        <v>0</v>
      </c>
    </row>
    <row r="49" spans="1:19" x14ac:dyDescent="0.25">
      <c r="A49" s="106">
        <f t="shared" si="0"/>
        <v>43</v>
      </c>
      <c r="D49" s="46" t="s">
        <v>23</v>
      </c>
      <c r="G49" s="11">
        <v>519091.02131515992</v>
      </c>
      <c r="I49" s="57">
        <f>G49</f>
        <v>519091.02131515992</v>
      </c>
      <c r="J49" s="57">
        <f>I49-G49</f>
        <v>0</v>
      </c>
      <c r="K49" s="47">
        <v>0</v>
      </c>
    </row>
    <row r="50" spans="1:19" x14ac:dyDescent="0.25">
      <c r="A50" s="106">
        <f t="shared" si="0"/>
        <v>44</v>
      </c>
      <c r="D50" s="46" t="s">
        <v>25</v>
      </c>
      <c r="G50" s="11">
        <v>0</v>
      </c>
      <c r="I50" s="57">
        <f>G50</f>
        <v>0</v>
      </c>
      <c r="J50" s="57">
        <f>I50-G50</f>
        <v>0</v>
      </c>
      <c r="K50" s="47">
        <v>0</v>
      </c>
    </row>
    <row r="51" spans="1:19" x14ac:dyDescent="0.25">
      <c r="A51" s="106">
        <f t="shared" si="0"/>
        <v>45</v>
      </c>
      <c r="D51" s="46" t="s">
        <v>29</v>
      </c>
      <c r="G51" s="11">
        <v>0</v>
      </c>
      <c r="I51" s="57">
        <f>G51</f>
        <v>0</v>
      </c>
      <c r="J51" s="57"/>
      <c r="K51" s="47"/>
    </row>
    <row r="52" spans="1:19" x14ac:dyDescent="0.25">
      <c r="A52" s="106">
        <f t="shared" si="0"/>
        <v>46</v>
      </c>
      <c r="D52" s="66" t="s">
        <v>5</v>
      </c>
      <c r="E52" s="66"/>
      <c r="F52" s="66"/>
      <c r="G52" s="67">
        <f>SUM(G48:G51)</f>
        <v>1021274.02131516</v>
      </c>
      <c r="H52" s="66"/>
      <c r="I52" s="67">
        <f>SUM(I48:I51)</f>
        <v>1021274.02131516</v>
      </c>
      <c r="J52" s="67">
        <f>I52-G52</f>
        <v>0</v>
      </c>
      <c r="K52" s="68">
        <f>J52/G52</f>
        <v>0</v>
      </c>
    </row>
    <row r="53" spans="1:19" s="76" customFormat="1" ht="26.4" customHeight="1" thickBot="1" x14ac:dyDescent="0.3">
      <c r="A53" s="106">
        <f t="shared" si="0"/>
        <v>47</v>
      </c>
      <c r="B53" s="46"/>
      <c r="C53" s="113"/>
      <c r="D53" s="69" t="s">
        <v>15</v>
      </c>
      <c r="E53" s="69"/>
      <c r="F53" s="69"/>
      <c r="G53" s="71">
        <f>G52+G47</f>
        <v>5361545.3676251601</v>
      </c>
      <c r="H53" s="69"/>
      <c r="I53" s="70">
        <f>I52+I47</f>
        <v>5727359.6032240139</v>
      </c>
      <c r="J53" s="70">
        <f>I53-G53</f>
        <v>365814.23559885379</v>
      </c>
      <c r="K53" s="72">
        <f>J53/G53</f>
        <v>6.8229253044796545E-2</v>
      </c>
      <c r="L53" s="46"/>
      <c r="M53" s="46"/>
      <c r="N53" s="46"/>
      <c r="O53" s="114"/>
      <c r="S53" s="113"/>
    </row>
    <row r="54" spans="1:19" ht="13.8" thickTop="1" x14ac:dyDescent="0.25">
      <c r="A54" s="106">
        <f t="shared" si="0"/>
        <v>48</v>
      </c>
      <c r="D54" s="46" t="s">
        <v>14</v>
      </c>
      <c r="E54" s="47">
        <f>E46/E44</f>
        <v>888.35185273159141</v>
      </c>
      <c r="G54" s="73">
        <f>G53/E44</f>
        <v>127.35262155879241</v>
      </c>
      <c r="I54" s="73">
        <f>I53/E44</f>
        <v>136.04179580104545</v>
      </c>
      <c r="J54" s="73">
        <f>I54-G54</f>
        <v>8.6891742422530456</v>
      </c>
      <c r="K54" s="58">
        <f>J54/G54</f>
        <v>6.8229253044796434E-2</v>
      </c>
    </row>
    <row r="55" spans="1:19" ht="13.8" thickBot="1" x14ac:dyDescent="0.3">
      <c r="A55" s="106">
        <f t="shared" si="0"/>
        <v>49</v>
      </c>
    </row>
    <row r="56" spans="1:19" x14ac:dyDescent="0.25">
      <c r="A56" s="106">
        <f t="shared" si="0"/>
        <v>50</v>
      </c>
      <c r="B56" s="55" t="s">
        <v>88</v>
      </c>
      <c r="C56" s="107">
        <v>2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</row>
    <row r="57" spans="1:19" x14ac:dyDescent="0.25">
      <c r="A57" s="106">
        <f t="shared" si="0"/>
        <v>51</v>
      </c>
      <c r="C57" s="126"/>
      <c r="D57" s="46" t="s">
        <v>13</v>
      </c>
      <c r="E57" s="56">
        <v>735</v>
      </c>
      <c r="F57" s="47">
        <v>53.84</v>
      </c>
      <c r="G57" s="57">
        <f>F57*E57</f>
        <v>39572.400000000001</v>
      </c>
      <c r="H57" s="47">
        <f>F57</f>
        <v>53.84</v>
      </c>
      <c r="I57" s="57">
        <f>H57*E57</f>
        <v>39572.400000000001</v>
      </c>
      <c r="J57" s="57">
        <f>I57-G57</f>
        <v>0</v>
      </c>
      <c r="K57" s="58">
        <f>IF(G57=0,0,J57/G57)</f>
        <v>0</v>
      </c>
      <c r="L57" s="58">
        <f>I57/I$60</f>
        <v>7.7084578308950049E-3</v>
      </c>
      <c r="M57" s="59" t="e">
        <f>L57-#REF!</f>
        <v>#REF!</v>
      </c>
      <c r="N57" s="59"/>
      <c r="P57" s="92">
        <f>H57/F57-1</f>
        <v>0</v>
      </c>
    </row>
    <row r="58" spans="1:19" x14ac:dyDescent="0.25">
      <c r="A58" s="106">
        <f t="shared" si="0"/>
        <v>52</v>
      </c>
      <c r="D58" s="46" t="s">
        <v>33</v>
      </c>
      <c r="E58" s="56">
        <v>61631409</v>
      </c>
      <c r="F58" s="49">
        <v>6.2010000000000003E-2</v>
      </c>
      <c r="G58" s="57">
        <f>F58*E58</f>
        <v>3821763.67209</v>
      </c>
      <c r="H58" s="60">
        <f>F58*O58</f>
        <v>6.513883867585657E-2</v>
      </c>
      <c r="I58" s="57">
        <f>H58*E58</f>
        <v>4014598.4082167349</v>
      </c>
      <c r="J58" s="57">
        <f>I58-G58</f>
        <v>192834.73612673488</v>
      </c>
      <c r="K58" s="58">
        <f>IF(G58=0,0,J58/G58)</f>
        <v>5.0457001707088743E-2</v>
      </c>
      <c r="L58" s="58">
        <f t="shared" ref="L58:L59" si="2">I58/I$60</f>
        <v>0.78201884489484874</v>
      </c>
      <c r="M58" s="59" t="e">
        <f>L58-#REF!</f>
        <v>#REF!</v>
      </c>
      <c r="N58" s="59"/>
      <c r="O58" s="100">
        <f>O46</f>
        <v>1.0504570017070887</v>
      </c>
      <c r="P58" s="92">
        <f>H58/F58-1</f>
        <v>5.0457001707088667E-2</v>
      </c>
    </row>
    <row r="59" spans="1:19" x14ac:dyDescent="0.25">
      <c r="A59" s="106">
        <f t="shared" si="0"/>
        <v>53</v>
      </c>
      <c r="D59" s="46" t="s">
        <v>34</v>
      </c>
      <c r="E59" s="56">
        <v>172990.87100000001</v>
      </c>
      <c r="F59" s="47">
        <v>6.24</v>
      </c>
      <c r="G59" s="57">
        <f>F59*E59</f>
        <v>1079463.0350400002</v>
      </c>
      <c r="H59" s="47">
        <f>F59</f>
        <v>6.24</v>
      </c>
      <c r="I59" s="57">
        <f>H59*E59</f>
        <v>1079463.0350400002</v>
      </c>
      <c r="J59" s="57">
        <f>I59-G59</f>
        <v>0</v>
      </c>
      <c r="K59" s="58">
        <f>IF(G59=0,0,J59/G59)</f>
        <v>0</v>
      </c>
      <c r="L59" s="58">
        <f t="shared" si="2"/>
        <v>0.21027269727425626</v>
      </c>
      <c r="M59" s="59" t="e">
        <f>L59-#REF!</f>
        <v>#REF!</v>
      </c>
      <c r="N59" s="59"/>
      <c r="P59" s="92">
        <f>H59/F59-1</f>
        <v>0</v>
      </c>
    </row>
    <row r="60" spans="1:19" s="76" customFormat="1" ht="20.399999999999999" customHeight="1" x14ac:dyDescent="0.3">
      <c r="A60" s="106">
        <f t="shared" si="0"/>
        <v>54</v>
      </c>
      <c r="C60" s="113"/>
      <c r="D60" s="61" t="s">
        <v>4</v>
      </c>
      <c r="E60" s="61"/>
      <c r="F60" s="61"/>
      <c r="G60" s="10">
        <f>SUM(G57:G59)</f>
        <v>4940799.1071300004</v>
      </c>
      <c r="H60" s="61"/>
      <c r="I60" s="10">
        <f>SUM(I57:I59)</f>
        <v>5133633.8432567352</v>
      </c>
      <c r="J60" s="10">
        <f>SUM(J57:J59)</f>
        <v>192834.73612673488</v>
      </c>
      <c r="K60" s="62">
        <f>J60/G60</f>
        <v>3.902905824453734E-2</v>
      </c>
      <c r="L60" s="62">
        <f>SUM(L57:L59)</f>
        <v>1</v>
      </c>
      <c r="M60" s="63" t="e">
        <f>L60-#REF!</f>
        <v>#REF!</v>
      </c>
      <c r="N60" s="64" t="e">
        <f>I60-#REF!</f>
        <v>#REF!</v>
      </c>
      <c r="O60" s="114">
        <f>I60/G60</f>
        <v>1.0390290582445374</v>
      </c>
      <c r="S60" s="113"/>
    </row>
    <row r="61" spans="1:19" x14ac:dyDescent="0.25">
      <c r="A61" s="106">
        <f t="shared" si="0"/>
        <v>55</v>
      </c>
      <c r="D61" s="46" t="s">
        <v>22</v>
      </c>
      <c r="G61" s="11">
        <v>803855</v>
      </c>
      <c r="I61" s="57">
        <f>G61</f>
        <v>803855</v>
      </c>
      <c r="J61" s="57">
        <f>I61-G61</f>
        <v>0</v>
      </c>
      <c r="K61" s="47">
        <v>0</v>
      </c>
    </row>
    <row r="62" spans="1:19" x14ac:dyDescent="0.25">
      <c r="A62" s="106">
        <f t="shared" si="0"/>
        <v>56</v>
      </c>
      <c r="D62" s="46" t="s">
        <v>23</v>
      </c>
      <c r="G62" s="11">
        <v>608822.36987816566</v>
      </c>
      <c r="I62" s="57">
        <f>G62</f>
        <v>608822.36987816566</v>
      </c>
      <c r="J62" s="57">
        <f>I62-G62</f>
        <v>0</v>
      </c>
      <c r="K62" s="47">
        <v>0</v>
      </c>
    </row>
    <row r="63" spans="1:19" x14ac:dyDescent="0.25">
      <c r="A63" s="106">
        <f t="shared" si="0"/>
        <v>57</v>
      </c>
      <c r="D63" s="46" t="s">
        <v>25</v>
      </c>
      <c r="G63" s="11">
        <v>0</v>
      </c>
      <c r="I63" s="57">
        <f>G63</f>
        <v>0</v>
      </c>
      <c r="J63" s="57">
        <f>I63-G63</f>
        <v>0</v>
      </c>
      <c r="K63" s="47">
        <v>0</v>
      </c>
    </row>
    <row r="64" spans="1:19" x14ac:dyDescent="0.25">
      <c r="A64" s="106">
        <f t="shared" si="0"/>
        <v>58</v>
      </c>
      <c r="D64" s="46" t="s">
        <v>29</v>
      </c>
      <c r="G64" s="11">
        <v>0</v>
      </c>
      <c r="I64" s="57">
        <f>G64</f>
        <v>0</v>
      </c>
      <c r="J64" s="57"/>
      <c r="K64" s="47"/>
    </row>
    <row r="65" spans="1:19" x14ac:dyDescent="0.25">
      <c r="A65" s="106">
        <f t="shared" si="0"/>
        <v>59</v>
      </c>
      <c r="D65" s="66" t="s">
        <v>5</v>
      </c>
      <c r="E65" s="66"/>
      <c r="F65" s="66"/>
      <c r="G65" s="67">
        <f>SUM(G61:G64)</f>
        <v>1412677.3698781657</v>
      </c>
      <c r="H65" s="66"/>
      <c r="I65" s="67">
        <f>SUM(I61:I64)</f>
        <v>1412677.3698781657</v>
      </c>
      <c r="J65" s="67">
        <f>I65-G65</f>
        <v>0</v>
      </c>
      <c r="K65" s="68">
        <f>J65/G65</f>
        <v>0</v>
      </c>
    </row>
    <row r="66" spans="1:19" s="76" customFormat="1" ht="26.4" customHeight="1" thickBot="1" x14ac:dyDescent="0.3">
      <c r="A66" s="106">
        <f t="shared" si="0"/>
        <v>60</v>
      </c>
      <c r="C66" s="113"/>
      <c r="D66" s="69" t="s">
        <v>15</v>
      </c>
      <c r="E66" s="69"/>
      <c r="F66" s="69"/>
      <c r="G66" s="71">
        <f>G65+G60</f>
        <v>6353476.4770081658</v>
      </c>
      <c r="H66" s="69"/>
      <c r="I66" s="70">
        <f>I65+I60</f>
        <v>6546311.2131349007</v>
      </c>
      <c r="J66" s="70">
        <f>I66-G66</f>
        <v>192834.73612673488</v>
      </c>
      <c r="K66" s="72">
        <f>J66/G66</f>
        <v>3.0351058483424214E-2</v>
      </c>
      <c r="L66" s="46"/>
      <c r="M66" s="46"/>
      <c r="N66" s="46"/>
      <c r="O66" s="114"/>
      <c r="S66" s="113"/>
    </row>
    <row r="67" spans="1:19" ht="13.8" thickTop="1" x14ac:dyDescent="0.25">
      <c r="A67" s="106">
        <f t="shared" si="0"/>
        <v>61</v>
      </c>
      <c r="D67" s="46" t="s">
        <v>14</v>
      </c>
      <c r="E67" s="47">
        <f>(E58+E59)/E57</f>
        <v>84087.61887210884</v>
      </c>
      <c r="G67" s="73">
        <f>G66/E57</f>
        <v>8644.1856830043071</v>
      </c>
      <c r="I67" s="73">
        <f>I66/E57</f>
        <v>8906.5458682107492</v>
      </c>
      <c r="J67" s="73">
        <f>I67-G67</f>
        <v>262.36018520644211</v>
      </c>
      <c r="K67" s="58">
        <f>J67/G67</f>
        <v>3.0351058483424224E-2</v>
      </c>
    </row>
    <row r="68" spans="1:19" ht="13.8" thickBot="1" x14ac:dyDescent="0.3">
      <c r="A68" s="106">
        <f t="shared" si="0"/>
        <v>62</v>
      </c>
    </row>
    <row r="69" spans="1:19" x14ac:dyDescent="0.25">
      <c r="A69" s="106">
        <f t="shared" si="0"/>
        <v>63</v>
      </c>
      <c r="B69" s="55" t="s">
        <v>98</v>
      </c>
      <c r="C69" s="107" t="s">
        <v>74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</row>
    <row r="70" spans="1:19" x14ac:dyDescent="0.25">
      <c r="A70" s="106">
        <f t="shared" si="0"/>
        <v>64</v>
      </c>
      <c r="C70" s="46"/>
      <c r="D70" s="46" t="s">
        <v>13</v>
      </c>
      <c r="E70" s="56">
        <v>168</v>
      </c>
      <c r="F70" s="47">
        <v>633.6</v>
      </c>
      <c r="G70" s="57">
        <f>F70*E70</f>
        <v>106444.8</v>
      </c>
      <c r="H70" s="47">
        <f>F70</f>
        <v>633.6</v>
      </c>
      <c r="I70" s="57">
        <f>H70*E70</f>
        <v>106444.8</v>
      </c>
      <c r="J70" s="57">
        <f>I70-G70</f>
        <v>0</v>
      </c>
      <c r="K70" s="58">
        <f>IF(G70=0,0,J70/G70)</f>
        <v>0</v>
      </c>
      <c r="L70" s="58">
        <f>I70/I$74</f>
        <v>1.3294514654163307E-2</v>
      </c>
      <c r="M70" s="59" t="e">
        <f>L70-#REF!</f>
        <v>#REF!</v>
      </c>
      <c r="N70" s="59"/>
      <c r="P70" s="92"/>
    </row>
    <row r="71" spans="1:19" x14ac:dyDescent="0.25">
      <c r="A71" s="106">
        <f t="shared" si="0"/>
        <v>65</v>
      </c>
      <c r="D71" s="46" t="s">
        <v>57</v>
      </c>
      <c r="E71" s="56">
        <v>226500</v>
      </c>
      <c r="F71" s="47">
        <v>7.4</v>
      </c>
      <c r="G71" s="57">
        <f>F71*E71</f>
        <v>1676100</v>
      </c>
      <c r="H71" s="47">
        <v>7.49</v>
      </c>
      <c r="I71" s="57">
        <f>H71*E71</f>
        <v>1696485</v>
      </c>
      <c r="J71" s="57">
        <f>I71-G71</f>
        <v>20385</v>
      </c>
      <c r="K71" s="58">
        <f>IF(G71=0,0,J71/G71)</f>
        <v>1.2162162162162163E-2</v>
      </c>
      <c r="L71" s="58">
        <f>I71/I$74</f>
        <v>0.21188395011375133</v>
      </c>
      <c r="M71" s="59" t="e">
        <f>L71-#REF!</f>
        <v>#REF!</v>
      </c>
      <c r="N71" s="59"/>
      <c r="P71" s="92">
        <f>H71/F71-1</f>
        <v>1.2162162162162149E-2</v>
      </c>
    </row>
    <row r="72" spans="1:19" x14ac:dyDescent="0.25">
      <c r="A72" s="106">
        <f t="shared" si="0"/>
        <v>66</v>
      </c>
      <c r="D72" s="46" t="s">
        <v>58</v>
      </c>
      <c r="E72" s="56">
        <v>22305</v>
      </c>
      <c r="F72" s="47">
        <v>10.3</v>
      </c>
      <c r="G72" s="57">
        <f>F72*E72</f>
        <v>229741.50000000003</v>
      </c>
      <c r="H72" s="47">
        <v>9.98</v>
      </c>
      <c r="I72" s="57">
        <f>H72*E72</f>
        <v>222603.90000000002</v>
      </c>
      <c r="J72" s="57">
        <f>I72-G72</f>
        <v>-7137.6000000000058</v>
      </c>
      <c r="K72" s="58">
        <f>IF(G72=0,0,J72/G72)</f>
        <v>-3.1067961165048567E-2</v>
      </c>
      <c r="L72" s="58">
        <f>I72/I$74</f>
        <v>2.7802305144299239E-2</v>
      </c>
      <c r="M72" s="59" t="e">
        <f>L72-#REF!</f>
        <v>#REF!</v>
      </c>
      <c r="N72" s="59"/>
      <c r="P72" s="92">
        <f>H72/F72-1</f>
        <v>-3.1067961165048619E-2</v>
      </c>
    </row>
    <row r="73" spans="1:19" x14ac:dyDescent="0.25">
      <c r="A73" s="106">
        <f t="shared" si="0"/>
        <v>67</v>
      </c>
      <c r="D73" s="46" t="s">
        <v>33</v>
      </c>
      <c r="E73" s="56">
        <v>114357154</v>
      </c>
      <c r="F73" s="49">
        <v>4.9790000000000001E-2</v>
      </c>
      <c r="G73" s="57">
        <f>F73*E73</f>
        <v>5693842.6976600001</v>
      </c>
      <c r="H73" s="60">
        <f>F73*O73</f>
        <v>5.2302254114995943E-2</v>
      </c>
      <c r="I73" s="57">
        <f>H73*E73</f>
        <v>5981136.9283757247</v>
      </c>
      <c r="J73" s="57">
        <f>I73-G73</f>
        <v>287294.23071572464</v>
      </c>
      <c r="K73" s="58">
        <f>IF(G73=0,0,J73/G73)</f>
        <v>5.0457001707088611E-2</v>
      </c>
      <c r="L73" s="58">
        <f>I73/I$74</f>
        <v>0.74701923008778615</v>
      </c>
      <c r="M73" s="59" t="e">
        <f>L73-#REF!</f>
        <v>#REF!</v>
      </c>
      <c r="N73" s="59"/>
      <c r="O73" s="100">
        <f>O58</f>
        <v>1.0504570017070887</v>
      </c>
      <c r="P73" s="92">
        <f>H73/F73-1</f>
        <v>5.0457001707088667E-2</v>
      </c>
    </row>
    <row r="74" spans="1:19" s="76" customFormat="1" ht="20.399999999999999" customHeight="1" x14ac:dyDescent="0.3">
      <c r="A74" s="106">
        <f t="shared" si="0"/>
        <v>68</v>
      </c>
      <c r="C74" s="113"/>
      <c r="D74" s="61" t="s">
        <v>4</v>
      </c>
      <c r="E74" s="61"/>
      <c r="F74" s="61"/>
      <c r="G74" s="10">
        <f>SUM(G70:G73)</f>
        <v>7706128.9976599999</v>
      </c>
      <c r="H74" s="61"/>
      <c r="I74" s="10">
        <f>SUM(I70:I73)</f>
        <v>8006670.6283757249</v>
      </c>
      <c r="J74" s="10">
        <f>SUM(J70:J73)</f>
        <v>300541.63071572466</v>
      </c>
      <c r="K74" s="62">
        <f>J74/G74</f>
        <v>3.9000337368734088E-2</v>
      </c>
      <c r="L74" s="62">
        <f>SUM(L70:L73)</f>
        <v>1</v>
      </c>
      <c r="M74" s="63" t="e">
        <f>L74-#REF!</f>
        <v>#REF!</v>
      </c>
      <c r="N74" s="64" t="e">
        <f>I74-#REF!</f>
        <v>#REF!</v>
      </c>
      <c r="O74" s="114">
        <f>I74/G74</f>
        <v>1.0390003373687342</v>
      </c>
      <c r="S74" s="113"/>
    </row>
    <row r="75" spans="1:19" x14ac:dyDescent="0.25">
      <c r="A75" s="106">
        <f t="shared" si="0"/>
        <v>69</v>
      </c>
      <c r="D75" s="46" t="s">
        <v>22</v>
      </c>
      <c r="G75" s="11">
        <v>1418711</v>
      </c>
      <c r="I75" s="57">
        <f>G75</f>
        <v>1418711</v>
      </c>
      <c r="J75" s="57">
        <f>I75-G75</f>
        <v>0</v>
      </c>
      <c r="K75" s="47">
        <v>0</v>
      </c>
    </row>
    <row r="76" spans="1:19" x14ac:dyDescent="0.25">
      <c r="A76" s="106">
        <f t="shared" si="0"/>
        <v>70</v>
      </c>
      <c r="D76" s="46" t="s">
        <v>23</v>
      </c>
      <c r="G76" s="11">
        <v>1067133.1000000001</v>
      </c>
      <c r="I76" s="57">
        <f>G76</f>
        <v>1067133.1000000001</v>
      </c>
      <c r="J76" s="57">
        <f>I76-G76</f>
        <v>0</v>
      </c>
      <c r="K76" s="47">
        <v>0</v>
      </c>
    </row>
    <row r="77" spans="1:19" x14ac:dyDescent="0.25">
      <c r="A77" s="106">
        <f t="shared" si="0"/>
        <v>71</v>
      </c>
      <c r="D77" s="46" t="s">
        <v>25</v>
      </c>
      <c r="G77" s="11">
        <v>0</v>
      </c>
      <c r="I77" s="57">
        <f>G77</f>
        <v>0</v>
      </c>
      <c r="J77" s="57">
        <f>I77-G77</f>
        <v>0</v>
      </c>
      <c r="K77" s="47">
        <v>0</v>
      </c>
    </row>
    <row r="78" spans="1:19" x14ac:dyDescent="0.25">
      <c r="A78" s="106">
        <f t="shared" si="0"/>
        <v>72</v>
      </c>
      <c r="D78" s="46" t="s">
        <v>29</v>
      </c>
      <c r="G78" s="11">
        <v>0</v>
      </c>
      <c r="I78" s="57">
        <f>G78</f>
        <v>0</v>
      </c>
      <c r="J78" s="57"/>
      <c r="K78" s="47"/>
    </row>
    <row r="79" spans="1:19" x14ac:dyDescent="0.25">
      <c r="A79" s="106">
        <f t="shared" si="0"/>
        <v>73</v>
      </c>
      <c r="D79" s="66" t="s">
        <v>5</v>
      </c>
      <c r="E79" s="66"/>
      <c r="F79" s="66"/>
      <c r="G79" s="67">
        <f>SUM(G75:G78)</f>
        <v>2485844.1</v>
      </c>
      <c r="H79" s="66"/>
      <c r="I79" s="67">
        <f>SUM(I75:I78)</f>
        <v>2485844.1</v>
      </c>
      <c r="J79" s="67">
        <f>I79-G79</f>
        <v>0</v>
      </c>
      <c r="K79" s="68">
        <f>J79/G79</f>
        <v>0</v>
      </c>
    </row>
    <row r="80" spans="1:19" s="76" customFormat="1" ht="26.4" customHeight="1" thickBot="1" x14ac:dyDescent="0.3">
      <c r="A80" s="106">
        <f t="shared" si="0"/>
        <v>74</v>
      </c>
      <c r="C80" s="113"/>
      <c r="D80" s="69" t="s">
        <v>15</v>
      </c>
      <c r="E80" s="69"/>
      <c r="F80" s="69"/>
      <c r="G80" s="71">
        <f>G79+G74</f>
        <v>10191973.09766</v>
      </c>
      <c r="H80" s="69"/>
      <c r="I80" s="70">
        <f>I79+I74</f>
        <v>10492514.728375725</v>
      </c>
      <c r="J80" s="70">
        <f>I80-G80</f>
        <v>300541.63071572594</v>
      </c>
      <c r="K80" s="72">
        <f>J80/G80</f>
        <v>2.948807142993029E-2</v>
      </c>
      <c r="L80" s="46"/>
      <c r="M80" s="46"/>
      <c r="N80" s="46"/>
      <c r="O80" s="114"/>
      <c r="S80" s="113"/>
    </row>
    <row r="81" spans="1:19" ht="13.8" thickTop="1" x14ac:dyDescent="0.25">
      <c r="A81" s="106">
        <f t="shared" si="0"/>
        <v>75</v>
      </c>
      <c r="D81" s="46" t="s">
        <v>14</v>
      </c>
      <c r="E81" s="47">
        <f>E73/E70</f>
        <v>680697.34523809527</v>
      </c>
      <c r="G81" s="73">
        <f>G80/E70</f>
        <v>60666.506533690474</v>
      </c>
      <c r="I81" s="73">
        <f>I80/E70</f>
        <v>62455.444811760273</v>
      </c>
      <c r="J81" s="73">
        <f>I81-G81</f>
        <v>1788.9382780697997</v>
      </c>
      <c r="K81" s="58">
        <f>J81/G81</f>
        <v>2.9488071429930329E-2</v>
      </c>
    </row>
    <row r="82" spans="1:19" ht="13.8" thickBot="1" x14ac:dyDescent="0.3">
      <c r="A82" s="106">
        <f t="shared" si="0"/>
        <v>76</v>
      </c>
    </row>
    <row r="83" spans="1:19" x14ac:dyDescent="0.25">
      <c r="A83" s="106">
        <f t="shared" si="0"/>
        <v>77</v>
      </c>
      <c r="B83" s="55" t="s">
        <v>98</v>
      </c>
      <c r="C83" s="107" t="s">
        <v>73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</row>
    <row r="84" spans="1:19" x14ac:dyDescent="0.25">
      <c r="A84" s="106">
        <f t="shared" si="0"/>
        <v>78</v>
      </c>
      <c r="C84" s="46"/>
      <c r="D84" s="46" t="s">
        <v>13</v>
      </c>
      <c r="E84" s="56">
        <v>12</v>
      </c>
      <c r="F84" s="47">
        <v>1266.4100000000001</v>
      </c>
      <c r="G84" s="57">
        <f>F84*E84</f>
        <v>15196.920000000002</v>
      </c>
      <c r="H84" s="47">
        <f>F84</f>
        <v>1266.4100000000001</v>
      </c>
      <c r="I84" s="57">
        <f>H84*E84</f>
        <v>15196.920000000002</v>
      </c>
      <c r="J84" s="57">
        <f>I84-G84</f>
        <v>0</v>
      </c>
      <c r="K84" s="58">
        <f>IF(G84=0,0,J84/G84)</f>
        <v>0</v>
      </c>
      <c r="L84" s="58">
        <f>I84/I$88</f>
        <v>7.3705034097048963E-3</v>
      </c>
      <c r="M84" s="59" t="e">
        <f>L84-#REF!</f>
        <v>#REF!</v>
      </c>
      <c r="N84" s="59"/>
      <c r="P84" s="92">
        <f>H84/F84-1</f>
        <v>0</v>
      </c>
    </row>
    <row r="85" spans="1:19" x14ac:dyDescent="0.25">
      <c r="A85" s="106">
        <f t="shared" si="0"/>
        <v>79</v>
      </c>
      <c r="D85" s="46" t="s">
        <v>57</v>
      </c>
      <c r="E85" s="56">
        <v>63200</v>
      </c>
      <c r="F85" s="47">
        <v>7.4</v>
      </c>
      <c r="G85" s="57">
        <f>F85*E85</f>
        <v>467680</v>
      </c>
      <c r="H85" s="47">
        <v>7.49</v>
      </c>
      <c r="I85" s="57">
        <f>H85*E85</f>
        <v>473368</v>
      </c>
      <c r="J85" s="57">
        <f>I85-G85</f>
        <v>5688</v>
      </c>
      <c r="K85" s="58">
        <f>IF(G85=0,0,J85/G85)</f>
        <v>1.2162162162162163E-2</v>
      </c>
      <c r="L85" s="58">
        <f>I85/I$88</f>
        <v>0.22958339308525588</v>
      </c>
      <c r="M85" s="59" t="e">
        <f>L85-#REF!</f>
        <v>#REF!</v>
      </c>
      <c r="N85" s="59"/>
      <c r="P85" s="92">
        <f>H85/F85-1</f>
        <v>1.2162162162162149E-2</v>
      </c>
      <c r="R85" s="46">
        <v>7.49</v>
      </c>
    </row>
    <row r="86" spans="1:19" x14ac:dyDescent="0.25">
      <c r="A86" s="106">
        <f t="shared" si="0"/>
        <v>80</v>
      </c>
      <c r="D86" s="46" t="s">
        <v>58</v>
      </c>
      <c r="E86" s="56">
        <v>2036</v>
      </c>
      <c r="F86" s="47">
        <v>10.3</v>
      </c>
      <c r="G86" s="57">
        <f>F86*E86</f>
        <v>20970.800000000003</v>
      </c>
      <c r="H86" s="47">
        <v>9.98</v>
      </c>
      <c r="I86" s="57">
        <f>H86*E86</f>
        <v>20319.280000000002</v>
      </c>
      <c r="J86" s="57">
        <f>I86-G86</f>
        <v>-651.52000000000044</v>
      </c>
      <c r="K86" s="58">
        <f>IF(G86=0,0,J86/G86)</f>
        <v>-3.106796116504856E-2</v>
      </c>
      <c r="L86" s="58">
        <f>I86/I$88</f>
        <v>9.8548470691922109E-3</v>
      </c>
      <c r="M86" s="59" t="e">
        <f>L86-#REF!</f>
        <v>#REF!</v>
      </c>
      <c r="N86" s="59"/>
      <c r="P86" s="92">
        <f>H86/F86-1</f>
        <v>-3.1067961165048619E-2</v>
      </c>
      <c r="R86" s="46">
        <v>9.98</v>
      </c>
    </row>
    <row r="87" spans="1:19" x14ac:dyDescent="0.25">
      <c r="A87" s="106">
        <f t="shared" si="0"/>
        <v>81</v>
      </c>
      <c r="D87" s="46" t="s">
        <v>33</v>
      </c>
      <c r="E87" s="56">
        <v>34150560</v>
      </c>
      <c r="F87" s="49">
        <v>4.3290000000000002E-2</v>
      </c>
      <c r="G87" s="57">
        <f>F87*E87</f>
        <v>1478377.7424000001</v>
      </c>
      <c r="H87" s="60">
        <f>F87*O87</f>
        <v>4.5474283603899872E-2</v>
      </c>
      <c r="I87" s="57">
        <f>H87*E87</f>
        <v>1552972.2506719988</v>
      </c>
      <c r="J87" s="57">
        <f>I87-G87</f>
        <v>74594.508271998726</v>
      </c>
      <c r="K87" s="58">
        <f>IF(G87=0,0,J87/G87)</f>
        <v>5.0457001707088688E-2</v>
      </c>
      <c r="L87" s="58">
        <f>I87/I$88</f>
        <v>0.75319125643584706</v>
      </c>
      <c r="M87" s="59" t="e">
        <f>L87-#REF!</f>
        <v>#REF!</v>
      </c>
      <c r="N87" s="59"/>
      <c r="O87" s="100">
        <f>O73</f>
        <v>1.0504570017070887</v>
      </c>
      <c r="P87" s="92">
        <f>H87/F87-1</f>
        <v>5.0457001707088667E-2</v>
      </c>
    </row>
    <row r="88" spans="1:19" s="76" customFormat="1" ht="20.399999999999999" customHeight="1" x14ac:dyDescent="0.3">
      <c r="A88" s="106">
        <f t="shared" si="0"/>
        <v>82</v>
      </c>
      <c r="C88" s="113"/>
      <c r="D88" s="61" t="s">
        <v>4</v>
      </c>
      <c r="E88" s="61"/>
      <c r="F88" s="61"/>
      <c r="G88" s="10">
        <f>SUM(G84:G87)</f>
        <v>1982225.4624000001</v>
      </c>
      <c r="H88" s="61"/>
      <c r="I88" s="10">
        <f>SUM(I84:I87)</f>
        <v>2061856.4506719988</v>
      </c>
      <c r="J88" s="10">
        <f>SUM(J84:J87)</f>
        <v>79630.988271998722</v>
      </c>
      <c r="K88" s="62">
        <f>J88/G88</f>
        <v>4.0172518102751374E-2</v>
      </c>
      <c r="L88" s="62">
        <f>SUM(L84:L87)</f>
        <v>1</v>
      </c>
      <c r="M88" s="63" t="e">
        <f>L88-#REF!</f>
        <v>#REF!</v>
      </c>
      <c r="N88" s="64" t="e">
        <f>I88-#REF!</f>
        <v>#REF!</v>
      </c>
      <c r="O88" s="114">
        <f>I88/G88</f>
        <v>1.0401725181027515</v>
      </c>
      <c r="S88" s="113"/>
    </row>
    <row r="89" spans="1:19" x14ac:dyDescent="0.25">
      <c r="A89" s="106">
        <f t="shared" ref="A89:A152" si="3">A88+1</f>
        <v>83</v>
      </c>
      <c r="D89" s="46" t="s">
        <v>22</v>
      </c>
      <c r="G89" s="11">
        <v>448714</v>
      </c>
      <c r="I89" s="57">
        <f>G89</f>
        <v>448714</v>
      </c>
      <c r="J89" s="57">
        <f>I89-G89</f>
        <v>0</v>
      </c>
      <c r="K89" s="47">
        <v>0</v>
      </c>
    </row>
    <row r="90" spans="1:19" x14ac:dyDescent="0.25">
      <c r="A90" s="106">
        <f t="shared" si="3"/>
        <v>84</v>
      </c>
      <c r="D90" s="46" t="s">
        <v>23</v>
      </c>
      <c r="G90" s="11">
        <v>309205</v>
      </c>
      <c r="I90" s="57">
        <f>G90</f>
        <v>309205</v>
      </c>
      <c r="J90" s="57">
        <f>I90-G90</f>
        <v>0</v>
      </c>
      <c r="K90" s="47">
        <v>0</v>
      </c>
    </row>
    <row r="91" spans="1:19" x14ac:dyDescent="0.25">
      <c r="A91" s="106">
        <f t="shared" si="3"/>
        <v>85</v>
      </c>
      <c r="D91" s="46" t="s">
        <v>25</v>
      </c>
      <c r="G91" s="11">
        <v>0</v>
      </c>
      <c r="I91" s="57">
        <f>G91</f>
        <v>0</v>
      </c>
      <c r="J91" s="57">
        <f>I91-G91</f>
        <v>0</v>
      </c>
      <c r="K91" s="47">
        <v>0</v>
      </c>
    </row>
    <row r="92" spans="1:19" x14ac:dyDescent="0.25">
      <c r="A92" s="106">
        <f t="shared" si="3"/>
        <v>86</v>
      </c>
      <c r="D92" s="46" t="s">
        <v>29</v>
      </c>
      <c r="G92" s="11">
        <v>0</v>
      </c>
      <c r="I92" s="57">
        <f>G92</f>
        <v>0</v>
      </c>
      <c r="J92" s="57"/>
      <c r="K92" s="47"/>
    </row>
    <row r="93" spans="1:19" x14ac:dyDescent="0.25">
      <c r="A93" s="106">
        <f t="shared" si="3"/>
        <v>87</v>
      </c>
      <c r="D93" s="66" t="s">
        <v>5</v>
      </c>
      <c r="E93" s="66"/>
      <c r="F93" s="66"/>
      <c r="G93" s="67">
        <f>SUM(G89:G92)</f>
        <v>757919</v>
      </c>
      <c r="H93" s="66"/>
      <c r="I93" s="67">
        <f>SUM(I89:I92)</f>
        <v>757919</v>
      </c>
      <c r="J93" s="67">
        <f>I93-G93</f>
        <v>0</v>
      </c>
      <c r="K93" s="68">
        <f>J93/G93</f>
        <v>0</v>
      </c>
    </row>
    <row r="94" spans="1:19" s="76" customFormat="1" ht="26.4" customHeight="1" thickBot="1" x14ac:dyDescent="0.3">
      <c r="A94" s="106">
        <f t="shared" si="3"/>
        <v>88</v>
      </c>
      <c r="C94" s="113"/>
      <c r="D94" s="69" t="s">
        <v>15</v>
      </c>
      <c r="E94" s="69"/>
      <c r="F94" s="69"/>
      <c r="G94" s="71">
        <f>G93+G88</f>
        <v>2740144.4624000001</v>
      </c>
      <c r="H94" s="69"/>
      <c r="I94" s="70">
        <f>I93+I88</f>
        <v>2819775.4506719988</v>
      </c>
      <c r="J94" s="70">
        <f>I94-G94</f>
        <v>79630.988271998707</v>
      </c>
      <c r="K94" s="72">
        <f>J94/G94</f>
        <v>2.9060872287825515E-2</v>
      </c>
      <c r="L94" s="46"/>
      <c r="M94" s="46"/>
      <c r="N94" s="46"/>
      <c r="O94" s="114"/>
      <c r="S94" s="113"/>
    </row>
    <row r="95" spans="1:19" ht="13.8" thickTop="1" x14ac:dyDescent="0.25">
      <c r="A95" s="106">
        <f t="shared" si="3"/>
        <v>89</v>
      </c>
      <c r="D95" s="46" t="s">
        <v>14</v>
      </c>
      <c r="E95" s="47">
        <f>E87/E84</f>
        <v>2845880</v>
      </c>
      <c r="G95" s="73">
        <f>G94/E84</f>
        <v>228345.37186666668</v>
      </c>
      <c r="I95" s="73">
        <f>I94/E84</f>
        <v>234981.28755599991</v>
      </c>
      <c r="J95" s="73">
        <f>I95-G95</f>
        <v>6635.9156893332256</v>
      </c>
      <c r="K95" s="58">
        <f>J95/G95</f>
        <v>2.9060872287825515E-2</v>
      </c>
    </row>
    <row r="96" spans="1:19" ht="13.8" thickBot="1" x14ac:dyDescent="0.3">
      <c r="A96" s="106">
        <f t="shared" si="3"/>
        <v>90</v>
      </c>
    </row>
    <row r="97" spans="1:19" x14ac:dyDescent="0.25">
      <c r="A97" s="106">
        <f t="shared" si="3"/>
        <v>91</v>
      </c>
      <c r="B97" s="55" t="s">
        <v>89</v>
      </c>
      <c r="C97" s="107">
        <v>3</v>
      </c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9" x14ac:dyDescent="0.25">
      <c r="A98" s="106">
        <f t="shared" si="3"/>
        <v>92</v>
      </c>
      <c r="B98" s="12"/>
      <c r="C98" s="11"/>
      <c r="D98" s="46" t="s">
        <v>48</v>
      </c>
      <c r="E98" s="56">
        <v>22664</v>
      </c>
      <c r="F98" s="47">
        <v>10.33</v>
      </c>
      <c r="G98" s="57">
        <f t="shared" ref="G98:G106" si="4">F98*E98</f>
        <v>234119.12</v>
      </c>
      <c r="H98" s="47">
        <f>F98*O98</f>
        <v>10.851220827634226</v>
      </c>
      <c r="I98" s="57">
        <f t="shared" ref="I98:I106" si="5">H98*E98</f>
        <v>245932.0688375021</v>
      </c>
      <c r="J98" s="57">
        <f t="shared" ref="J98:J106" si="6">I98-G98</f>
        <v>11812.948837502103</v>
      </c>
      <c r="K98" s="58">
        <f t="shared" ref="K98:K106" si="7">IF(G98=0,0,J98/G98)</f>
        <v>5.0457001707088694E-2</v>
      </c>
      <c r="L98" s="58">
        <f t="shared" ref="L98:L106" si="8">I98/I$107</f>
        <v>0.39045913877785826</v>
      </c>
      <c r="M98" s="59" t="e">
        <f>L98-#REF!</f>
        <v>#REF!</v>
      </c>
      <c r="N98" s="59"/>
      <c r="O98" s="100">
        <f>O87</f>
        <v>1.0504570017070887</v>
      </c>
      <c r="P98" s="92">
        <f t="shared" ref="P98:P106" si="9">H98/F98-1</f>
        <v>5.0457001707088667E-2</v>
      </c>
    </row>
    <row r="99" spans="1:19" x14ac:dyDescent="0.25">
      <c r="A99" s="106">
        <f t="shared" si="3"/>
        <v>93</v>
      </c>
      <c r="B99" s="12"/>
      <c r="C99" s="11"/>
      <c r="D99" s="46" t="s">
        <v>49</v>
      </c>
      <c r="E99" s="56">
        <v>2295</v>
      </c>
      <c r="F99" s="47">
        <v>15.11</v>
      </c>
      <c r="G99" s="57">
        <f t="shared" si="4"/>
        <v>34677.449999999997</v>
      </c>
      <c r="H99" s="47">
        <f t="shared" ref="H99:H106" si="10">F99*O99</f>
        <v>15.87240529579411</v>
      </c>
      <c r="I99" s="57">
        <f t="shared" si="5"/>
        <v>36427.170153847481</v>
      </c>
      <c r="J99" s="57">
        <f t="shared" si="6"/>
        <v>1749.7201538474837</v>
      </c>
      <c r="K99" s="58">
        <f t="shared" si="7"/>
        <v>5.0457001707088722E-2</v>
      </c>
      <c r="L99" s="58">
        <f t="shared" si="8"/>
        <v>5.783435057338436E-2</v>
      </c>
      <c r="M99" s="59" t="e">
        <f>L99-#REF!</f>
        <v>#REF!</v>
      </c>
      <c r="N99" s="59"/>
      <c r="O99" s="100">
        <f>O98</f>
        <v>1.0504570017070887</v>
      </c>
      <c r="P99" s="92">
        <f t="shared" si="9"/>
        <v>5.0457001707088667E-2</v>
      </c>
    </row>
    <row r="100" spans="1:19" x14ac:dyDescent="0.25">
      <c r="A100" s="106">
        <f t="shared" si="3"/>
        <v>94</v>
      </c>
      <c r="B100" s="12"/>
      <c r="C100" s="11"/>
      <c r="D100" s="46" t="s">
        <v>50</v>
      </c>
      <c r="E100" s="56">
        <v>894</v>
      </c>
      <c r="F100" s="47">
        <v>13.96</v>
      </c>
      <c r="G100" s="57">
        <f t="shared" si="4"/>
        <v>12480.240000000002</v>
      </c>
      <c r="H100" s="47">
        <f t="shared" si="10"/>
        <v>14.664379743830958</v>
      </c>
      <c r="I100" s="57">
        <f t="shared" si="5"/>
        <v>13109.955490984876</v>
      </c>
      <c r="J100" s="57">
        <f t="shared" si="6"/>
        <v>629.71549098487412</v>
      </c>
      <c r="K100" s="58">
        <f t="shared" si="7"/>
        <v>5.0457001707088486E-2</v>
      </c>
      <c r="L100" s="58">
        <f t="shared" si="8"/>
        <v>2.0814292152392243E-2</v>
      </c>
      <c r="M100" s="59" t="e">
        <f>L100-#REF!</f>
        <v>#REF!</v>
      </c>
      <c r="N100" s="59"/>
      <c r="O100" s="100">
        <f t="shared" ref="O100:O106" si="11">O99</f>
        <v>1.0504570017070887</v>
      </c>
      <c r="P100" s="92">
        <f t="shared" si="9"/>
        <v>5.0457001707088667E-2</v>
      </c>
    </row>
    <row r="101" spans="1:19" x14ac:dyDescent="0.25">
      <c r="A101" s="106">
        <f t="shared" si="3"/>
        <v>95</v>
      </c>
      <c r="B101" s="12"/>
      <c r="C101" s="11"/>
      <c r="D101" s="46" t="s">
        <v>51</v>
      </c>
      <c r="E101" s="56">
        <v>920</v>
      </c>
      <c r="F101" s="47">
        <v>20.73</v>
      </c>
      <c r="G101" s="57">
        <f t="shared" si="4"/>
        <v>19071.600000000002</v>
      </c>
      <c r="H101" s="47">
        <f t="shared" si="10"/>
        <v>21.77597364538795</v>
      </c>
      <c r="I101" s="57">
        <f t="shared" si="5"/>
        <v>20033.895753756915</v>
      </c>
      <c r="J101" s="57">
        <f t="shared" si="6"/>
        <v>962.29575375691275</v>
      </c>
      <c r="K101" s="58">
        <f t="shared" si="7"/>
        <v>5.0457001707088688E-2</v>
      </c>
      <c r="L101" s="58">
        <f t="shared" si="8"/>
        <v>3.1807229205012402E-2</v>
      </c>
      <c r="M101" s="59" t="e">
        <f>L101-#REF!</f>
        <v>#REF!</v>
      </c>
      <c r="N101" s="59"/>
      <c r="O101" s="100">
        <f t="shared" si="11"/>
        <v>1.0504570017070887</v>
      </c>
      <c r="P101" s="92">
        <f t="shared" si="9"/>
        <v>5.0457001707088667E-2</v>
      </c>
    </row>
    <row r="102" spans="1:19" x14ac:dyDescent="0.25">
      <c r="A102" s="106">
        <f t="shared" si="3"/>
        <v>96</v>
      </c>
      <c r="B102" s="12"/>
      <c r="C102" s="11"/>
      <c r="D102" s="46" t="s">
        <v>52</v>
      </c>
      <c r="E102" s="56">
        <v>132</v>
      </c>
      <c r="F102" s="47">
        <v>16.64</v>
      </c>
      <c r="G102" s="57">
        <f t="shared" si="4"/>
        <v>2196.48</v>
      </c>
      <c r="H102" s="47">
        <f t="shared" si="10"/>
        <v>17.479604508405956</v>
      </c>
      <c r="I102" s="57">
        <f t="shared" si="5"/>
        <v>2307.3077951095861</v>
      </c>
      <c r="J102" s="57">
        <f t="shared" si="6"/>
        <v>110.82779510958608</v>
      </c>
      <c r="K102" s="58">
        <f t="shared" si="7"/>
        <v>5.0457001707088646E-2</v>
      </c>
      <c r="L102" s="58">
        <f t="shared" si="8"/>
        <v>3.6632449718023465E-3</v>
      </c>
      <c r="M102" s="59" t="e">
        <f>L102-#REF!</f>
        <v>#REF!</v>
      </c>
      <c r="N102" s="59"/>
      <c r="O102" s="100">
        <f t="shared" si="11"/>
        <v>1.0504570017070887</v>
      </c>
      <c r="P102" s="92">
        <f t="shared" si="9"/>
        <v>5.0457001707088667E-2</v>
      </c>
    </row>
    <row r="103" spans="1:19" x14ac:dyDescent="0.25">
      <c r="A103" s="106">
        <f t="shared" si="3"/>
        <v>97</v>
      </c>
      <c r="B103" s="12"/>
      <c r="C103" s="11"/>
      <c r="D103" s="46" t="s">
        <v>53</v>
      </c>
      <c r="E103" s="56">
        <v>17983</v>
      </c>
      <c r="F103" s="47">
        <v>11.06</v>
      </c>
      <c r="G103" s="57">
        <f t="shared" si="4"/>
        <v>198891.98</v>
      </c>
      <c r="H103" s="47">
        <f t="shared" si="10"/>
        <v>11.618054438880401</v>
      </c>
      <c r="I103" s="57">
        <f t="shared" si="5"/>
        <v>208927.47297438627</v>
      </c>
      <c r="J103" s="57">
        <f t="shared" si="6"/>
        <v>10035.492974386259</v>
      </c>
      <c r="K103" s="58">
        <f t="shared" si="7"/>
        <v>5.0457001707088736E-2</v>
      </c>
      <c r="L103" s="58">
        <f t="shared" si="8"/>
        <v>0.33170802632703822</v>
      </c>
      <c r="M103" s="59" t="e">
        <f>L103-#REF!</f>
        <v>#REF!</v>
      </c>
      <c r="N103" s="59"/>
      <c r="O103" s="100">
        <f t="shared" si="11"/>
        <v>1.0504570017070887</v>
      </c>
      <c r="P103" s="92">
        <f t="shared" si="9"/>
        <v>5.0457001707088667E-2</v>
      </c>
    </row>
    <row r="104" spans="1:19" x14ac:dyDescent="0.25">
      <c r="A104" s="106">
        <f t="shared" si="3"/>
        <v>98</v>
      </c>
      <c r="B104" s="12"/>
      <c r="C104" s="11"/>
      <c r="D104" s="46" t="s">
        <v>54</v>
      </c>
      <c r="E104" s="56">
        <v>1913</v>
      </c>
      <c r="F104" s="47">
        <v>13.78</v>
      </c>
      <c r="G104" s="57">
        <f t="shared" si="4"/>
        <v>26361.14</v>
      </c>
      <c r="H104" s="47">
        <f t="shared" si="10"/>
        <v>14.475297483523681</v>
      </c>
      <c r="I104" s="57">
        <f t="shared" si="5"/>
        <v>27691.244085980801</v>
      </c>
      <c r="J104" s="57">
        <f t="shared" si="6"/>
        <v>1330.1040859808018</v>
      </c>
      <c r="K104" s="58">
        <f t="shared" si="7"/>
        <v>5.0457001707088611E-2</v>
      </c>
      <c r="L104" s="58">
        <f t="shared" si="8"/>
        <v>4.3964576757347072E-2</v>
      </c>
      <c r="M104" s="59" t="e">
        <f>L104-#REF!</f>
        <v>#REF!</v>
      </c>
      <c r="N104" s="59"/>
      <c r="O104" s="100">
        <f t="shared" si="11"/>
        <v>1.0504570017070887</v>
      </c>
      <c r="P104" s="92">
        <f t="shared" si="9"/>
        <v>5.0457001707088667E-2</v>
      </c>
    </row>
    <row r="105" spans="1:19" x14ac:dyDescent="0.25">
      <c r="A105" s="106">
        <f t="shared" si="3"/>
        <v>99</v>
      </c>
      <c r="B105" s="12"/>
      <c r="C105" s="11"/>
      <c r="D105" s="46" t="s">
        <v>55</v>
      </c>
      <c r="E105" s="56">
        <v>1447</v>
      </c>
      <c r="F105" s="47">
        <v>15.03</v>
      </c>
      <c r="G105" s="57">
        <f t="shared" si="4"/>
        <v>21748.41</v>
      </c>
      <c r="H105" s="47">
        <f t="shared" si="10"/>
        <v>15.788368735657542</v>
      </c>
      <c r="I105" s="57">
        <f t="shared" si="5"/>
        <v>22845.769560496465</v>
      </c>
      <c r="J105" s="57">
        <f t="shared" si="6"/>
        <v>1097.3595604964648</v>
      </c>
      <c r="K105" s="58">
        <f t="shared" si="7"/>
        <v>5.0457001707088694E-2</v>
      </c>
      <c r="L105" s="58">
        <f t="shared" si="8"/>
        <v>3.6271558847426735E-2</v>
      </c>
      <c r="M105" s="59" t="e">
        <f>L105-#REF!</f>
        <v>#REF!</v>
      </c>
      <c r="N105" s="59"/>
      <c r="O105" s="100">
        <f t="shared" si="11"/>
        <v>1.0504570017070887</v>
      </c>
      <c r="P105" s="92">
        <f t="shared" si="9"/>
        <v>5.0457001707088667E-2</v>
      </c>
    </row>
    <row r="106" spans="1:19" x14ac:dyDescent="0.25">
      <c r="A106" s="106">
        <f t="shared" si="3"/>
        <v>100</v>
      </c>
      <c r="B106" s="12"/>
      <c r="C106" s="11"/>
      <c r="D106" s="46" t="s">
        <v>56</v>
      </c>
      <c r="E106" s="56">
        <v>2444</v>
      </c>
      <c r="F106" s="47">
        <v>20.48</v>
      </c>
      <c r="G106" s="57">
        <f t="shared" si="4"/>
        <v>50053.120000000003</v>
      </c>
      <c r="H106" s="47">
        <f t="shared" si="10"/>
        <v>21.513359394961178</v>
      </c>
      <c r="I106" s="57">
        <f t="shared" si="5"/>
        <v>52578.650361285116</v>
      </c>
      <c r="J106" s="57">
        <f t="shared" si="6"/>
        <v>2525.530361285113</v>
      </c>
      <c r="K106" s="58">
        <f t="shared" si="7"/>
        <v>5.0457001707088646E-2</v>
      </c>
      <c r="L106" s="58">
        <f t="shared" si="8"/>
        <v>8.3477582387738322E-2</v>
      </c>
      <c r="M106" s="59" t="e">
        <f>L106-#REF!</f>
        <v>#REF!</v>
      </c>
      <c r="N106" s="59"/>
      <c r="O106" s="100">
        <f t="shared" si="11"/>
        <v>1.0504570017070887</v>
      </c>
      <c r="P106" s="92">
        <f t="shared" si="9"/>
        <v>5.0457001707088667E-2</v>
      </c>
    </row>
    <row r="107" spans="1:19" s="76" customFormat="1" ht="24.6" customHeight="1" x14ac:dyDescent="0.3">
      <c r="A107" s="106">
        <f t="shared" si="3"/>
        <v>101</v>
      </c>
      <c r="C107" s="113"/>
      <c r="D107" s="61" t="s">
        <v>4</v>
      </c>
      <c r="E107" s="61"/>
      <c r="F107" s="61"/>
      <c r="G107" s="10">
        <f>SUM(G98:G106)</f>
        <v>599599.54</v>
      </c>
      <c r="H107" s="61"/>
      <c r="I107" s="10">
        <f>SUM(I98:I106)</f>
        <v>629853.53501334961</v>
      </c>
      <c r="J107" s="10">
        <f>SUM(J98:J106)</f>
        <v>30253.995013349599</v>
      </c>
      <c r="K107" s="62">
        <f>J107/G107</f>
        <v>5.0457001707088694E-2</v>
      </c>
      <c r="L107" s="62">
        <f>SUM(L98:L106)</f>
        <v>1</v>
      </c>
      <c r="M107" s="63" t="e">
        <f>L107-#REF!</f>
        <v>#REF!</v>
      </c>
      <c r="N107" s="64" t="e">
        <f>I107-#REF!</f>
        <v>#REF!</v>
      </c>
      <c r="O107" s="114">
        <f>I107/G107</f>
        <v>1.0504570017070887</v>
      </c>
      <c r="S107" s="113"/>
    </row>
    <row r="108" spans="1:19" x14ac:dyDescent="0.25">
      <c r="A108" s="106">
        <f t="shared" si="3"/>
        <v>102</v>
      </c>
      <c r="D108" s="46" t="s">
        <v>22</v>
      </c>
      <c r="G108" s="11">
        <v>23603</v>
      </c>
      <c r="I108" s="57">
        <f>G108</f>
        <v>23603</v>
      </c>
      <c r="J108" s="57">
        <f>I108-G108</f>
        <v>0</v>
      </c>
      <c r="K108" s="47">
        <v>0</v>
      </c>
    </row>
    <row r="109" spans="1:19" x14ac:dyDescent="0.25">
      <c r="A109" s="106">
        <f t="shared" si="3"/>
        <v>103</v>
      </c>
      <c r="D109" s="46" t="s">
        <v>23</v>
      </c>
      <c r="G109" s="11">
        <v>55463</v>
      </c>
      <c r="I109" s="57">
        <f>G109</f>
        <v>55463</v>
      </c>
      <c r="J109" s="57">
        <f>I109-G109</f>
        <v>0</v>
      </c>
      <c r="K109" s="47">
        <v>0</v>
      </c>
    </row>
    <row r="110" spans="1:19" x14ac:dyDescent="0.25">
      <c r="A110" s="106">
        <f t="shared" si="3"/>
        <v>104</v>
      </c>
      <c r="D110" s="46" t="s">
        <v>25</v>
      </c>
      <c r="G110" s="11">
        <v>0</v>
      </c>
      <c r="I110" s="57">
        <f>G110</f>
        <v>0</v>
      </c>
      <c r="J110" s="57">
        <f>I110-G110</f>
        <v>0</v>
      </c>
      <c r="K110" s="47">
        <v>0</v>
      </c>
    </row>
    <row r="111" spans="1:19" x14ac:dyDescent="0.25">
      <c r="A111" s="106">
        <f t="shared" si="3"/>
        <v>105</v>
      </c>
      <c r="D111" s="46" t="s">
        <v>29</v>
      </c>
      <c r="G111" s="11">
        <v>0</v>
      </c>
      <c r="I111" s="57"/>
      <c r="J111" s="57"/>
      <c r="K111" s="47"/>
    </row>
    <row r="112" spans="1:19" x14ac:dyDescent="0.25">
      <c r="A112" s="106">
        <f t="shared" si="3"/>
        <v>106</v>
      </c>
      <c r="D112" s="66" t="s">
        <v>5</v>
      </c>
      <c r="E112" s="66"/>
      <c r="F112" s="66"/>
      <c r="G112" s="67">
        <f>SUM(G108:G110)</f>
        <v>79066</v>
      </c>
      <c r="H112" s="66"/>
      <c r="I112" s="67">
        <f>SUM(I108:I110)</f>
        <v>79066</v>
      </c>
      <c r="J112" s="67">
        <f>I112-G112</f>
        <v>0</v>
      </c>
      <c r="K112" s="68">
        <f>J112/G112</f>
        <v>0</v>
      </c>
    </row>
    <row r="113" spans="1:19" s="76" customFormat="1" ht="26.4" customHeight="1" thickBot="1" x14ac:dyDescent="0.3">
      <c r="A113" s="106">
        <f t="shared" si="3"/>
        <v>107</v>
      </c>
      <c r="C113" s="113"/>
      <c r="D113" s="69" t="s">
        <v>15</v>
      </c>
      <c r="E113" s="69"/>
      <c r="F113" s="69"/>
      <c r="G113" s="71">
        <f>G112+G107</f>
        <v>678665.54</v>
      </c>
      <c r="H113" s="69"/>
      <c r="I113" s="70">
        <f>I112+I107</f>
        <v>708919.53501334961</v>
      </c>
      <c r="J113" s="70">
        <f>I113-G113</f>
        <v>30253.995013349573</v>
      </c>
      <c r="K113" s="72">
        <f>J113/G113</f>
        <v>4.4578652119790216E-2</v>
      </c>
      <c r="L113" s="46"/>
      <c r="M113" s="46"/>
      <c r="N113" s="46"/>
      <c r="O113" s="114"/>
      <c r="S113" s="113"/>
    </row>
    <row r="114" spans="1:19" ht="13.8" thickTop="1" x14ac:dyDescent="0.25">
      <c r="A114" s="106">
        <f t="shared" si="3"/>
        <v>108</v>
      </c>
      <c r="E114" s="74">
        <v>1748913</v>
      </c>
      <c r="G114" s="73"/>
      <c r="I114" s="73"/>
      <c r="J114" s="73"/>
      <c r="K114" s="58"/>
    </row>
    <row r="115" spans="1:19" x14ac:dyDescent="0.25">
      <c r="A115" s="106">
        <f t="shared" si="3"/>
        <v>109</v>
      </c>
      <c r="B115" s="78"/>
      <c r="C115" s="127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</row>
    <row r="116" spans="1:19" x14ac:dyDescent="0.25">
      <c r="A116" s="106">
        <f t="shared" si="3"/>
        <v>110</v>
      </c>
    </row>
    <row r="117" spans="1:19" s="76" customFormat="1" ht="19.95" customHeight="1" x14ac:dyDescent="0.3">
      <c r="A117" s="106">
        <f t="shared" si="3"/>
        <v>111</v>
      </c>
      <c r="B117" s="76" t="s">
        <v>24</v>
      </c>
      <c r="C117" s="113"/>
      <c r="D117" s="61" t="s">
        <v>4</v>
      </c>
      <c r="E117" s="61"/>
      <c r="F117" s="75"/>
      <c r="G117" s="75">
        <f t="shared" ref="G117:I122" si="12">G10+G22+G60+G47+G74+G107+G88+G34</f>
        <v>42803311.893793337</v>
      </c>
      <c r="H117" s="61"/>
      <c r="I117" s="75">
        <f t="shared" si="12"/>
        <v>44984950.173793331</v>
      </c>
      <c r="J117" s="75">
        <f t="shared" ref="J117" si="13">J10+J22+J60+J47+J74+J107+J88+J34</f>
        <v>2181638.2799999961</v>
      </c>
      <c r="K117" s="62">
        <f>J117/G117</f>
        <v>5.0968912999378044E-2</v>
      </c>
      <c r="O117" s="114"/>
      <c r="S117" s="113"/>
    </row>
    <row r="118" spans="1:19" x14ac:dyDescent="0.25">
      <c r="A118" s="106">
        <f t="shared" si="3"/>
        <v>112</v>
      </c>
      <c r="D118" s="46" t="s">
        <v>22</v>
      </c>
      <c r="F118" s="11"/>
      <c r="G118" s="11">
        <f t="shared" si="12"/>
        <v>6316641.5562990028</v>
      </c>
      <c r="I118" s="11">
        <f t="shared" si="12"/>
        <v>6316641.5562990028</v>
      </c>
      <c r="J118" s="11">
        <f t="shared" ref="J118" si="14">J11+J23+J61+J48+J75+J108+J89+J35</f>
        <v>0</v>
      </c>
    </row>
    <row r="119" spans="1:19" x14ac:dyDescent="0.25">
      <c r="A119" s="106">
        <f t="shared" si="3"/>
        <v>113</v>
      </c>
      <c r="D119" s="46" t="s">
        <v>23</v>
      </c>
      <c r="F119" s="11"/>
      <c r="G119" s="11">
        <f t="shared" si="12"/>
        <v>5387555.7203341788</v>
      </c>
      <c r="I119" s="11">
        <f t="shared" si="12"/>
        <v>5387555.7203341788</v>
      </c>
      <c r="J119" s="11">
        <f t="shared" ref="J119" si="15">J12+J24+J62+J49+J76+J109+J90+J36</f>
        <v>0</v>
      </c>
    </row>
    <row r="120" spans="1:19" x14ac:dyDescent="0.25">
      <c r="A120" s="106">
        <f t="shared" si="3"/>
        <v>114</v>
      </c>
      <c r="D120" s="46" t="s">
        <v>25</v>
      </c>
      <c r="F120" s="11"/>
      <c r="G120" s="11">
        <f t="shared" si="12"/>
        <v>29229</v>
      </c>
      <c r="I120" s="11">
        <f t="shared" si="12"/>
        <v>29229</v>
      </c>
      <c r="J120" s="11">
        <f t="shared" ref="J120" si="16">J13+J25+J63+J50+J77+J110+J91+J37</f>
        <v>0</v>
      </c>
    </row>
    <row r="121" spans="1:19" x14ac:dyDescent="0.25">
      <c r="A121" s="106">
        <f t="shared" si="3"/>
        <v>115</v>
      </c>
      <c r="D121" s="46" t="s">
        <v>29</v>
      </c>
      <c r="G121" s="11">
        <f t="shared" si="12"/>
        <v>0</v>
      </c>
      <c r="I121" s="11">
        <f t="shared" si="12"/>
        <v>0</v>
      </c>
      <c r="J121" s="11">
        <f t="shared" ref="J121" si="17">J14+J26+J64+J51+J78+J111+J92+J38</f>
        <v>0</v>
      </c>
      <c r="K121" s="47"/>
    </row>
    <row r="122" spans="1:19" x14ac:dyDescent="0.25">
      <c r="A122" s="106">
        <f t="shared" si="3"/>
        <v>116</v>
      </c>
      <c r="D122" s="66" t="s">
        <v>5</v>
      </c>
      <c r="E122" s="66"/>
      <c r="F122" s="77"/>
      <c r="G122" s="77">
        <f t="shared" si="12"/>
        <v>11733426.276633183</v>
      </c>
      <c r="H122" s="66"/>
      <c r="I122" s="77">
        <f t="shared" si="12"/>
        <v>11733426.276633183</v>
      </c>
      <c r="J122" s="77">
        <f t="shared" ref="J122" si="18">J15+J27+J65+J52+J79+J112+J93+J39</f>
        <v>0</v>
      </c>
      <c r="K122" s="68">
        <f>J122/G122</f>
        <v>0</v>
      </c>
    </row>
    <row r="123" spans="1:19" s="76" customFormat="1" ht="21" customHeight="1" thickBot="1" x14ac:dyDescent="0.35">
      <c r="A123" s="106">
        <f t="shared" si="3"/>
        <v>117</v>
      </c>
      <c r="C123" s="113"/>
      <c r="D123" s="69" t="s">
        <v>15</v>
      </c>
      <c r="E123" s="69"/>
      <c r="F123" s="71"/>
      <c r="G123" s="71">
        <f>G122+G117</f>
        <v>54536738.170426518</v>
      </c>
      <c r="H123" s="69"/>
      <c r="I123" s="71">
        <f>I122+I117</f>
        <v>56718376.450426511</v>
      </c>
      <c r="J123" s="71">
        <f>J122+J117</f>
        <v>2181638.2799999961</v>
      </c>
      <c r="K123" s="72">
        <f>J123/G123</f>
        <v>4.0003094302824053E-2</v>
      </c>
      <c r="O123" s="114"/>
      <c r="S123" s="113"/>
    </row>
    <row r="124" spans="1:19" ht="13.8" thickTop="1" x14ac:dyDescent="0.25">
      <c r="A124" s="106">
        <f t="shared" si="3"/>
        <v>118</v>
      </c>
    </row>
    <row r="125" spans="1:19" x14ac:dyDescent="0.25">
      <c r="A125" s="106">
        <f t="shared" si="3"/>
        <v>119</v>
      </c>
      <c r="I125" s="46" t="s">
        <v>101</v>
      </c>
      <c r="J125" s="11">
        <v>2181638.2800000003</v>
      </c>
    </row>
    <row r="126" spans="1:19" x14ac:dyDescent="0.25">
      <c r="A126" s="106">
        <f t="shared" si="3"/>
        <v>120</v>
      </c>
      <c r="C126" s="46"/>
      <c r="I126" s="46" t="s">
        <v>102</v>
      </c>
      <c r="J126" s="11">
        <f>J123-J125</f>
        <v>-4.1909515857696533E-9</v>
      </c>
      <c r="L126" s="78"/>
      <c r="M126" s="78"/>
      <c r="N126" s="78"/>
    </row>
    <row r="127" spans="1:19" x14ac:dyDescent="0.25">
      <c r="A127" s="106">
        <f t="shared" si="3"/>
        <v>121</v>
      </c>
      <c r="C127" s="46"/>
      <c r="J127" s="11"/>
      <c r="L127" s="78"/>
      <c r="M127" s="78"/>
      <c r="N127" s="78"/>
    </row>
    <row r="128" spans="1:19" x14ac:dyDescent="0.25">
      <c r="A128" s="106">
        <f t="shared" si="3"/>
        <v>122</v>
      </c>
      <c r="C128" s="46"/>
      <c r="J128" s="11"/>
      <c r="L128" s="78"/>
      <c r="M128" s="78"/>
      <c r="N128" s="78"/>
    </row>
    <row r="129" spans="1:16" x14ac:dyDescent="0.25">
      <c r="A129" s="106">
        <f t="shared" si="3"/>
        <v>123</v>
      </c>
      <c r="B129" s="128" t="s">
        <v>59</v>
      </c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</row>
    <row r="130" spans="1:16" ht="13.8" thickBot="1" x14ac:dyDescent="0.3">
      <c r="A130" s="106">
        <f t="shared" si="3"/>
        <v>124</v>
      </c>
      <c r="D130" s="38"/>
      <c r="E130" s="38"/>
    </row>
    <row r="131" spans="1:16" x14ac:dyDescent="0.25">
      <c r="A131" s="106">
        <f t="shared" si="3"/>
        <v>125</v>
      </c>
      <c r="B131" s="55" t="s">
        <v>65</v>
      </c>
      <c r="C131" s="107">
        <v>22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</row>
    <row r="132" spans="1:16" ht="12.6" customHeight="1" x14ac:dyDescent="0.25">
      <c r="A132" s="106">
        <f t="shared" si="3"/>
        <v>126</v>
      </c>
      <c r="D132" s="46" t="s">
        <v>13</v>
      </c>
      <c r="E132" s="56"/>
      <c r="F132" s="47">
        <v>47.38</v>
      </c>
      <c r="G132" s="57"/>
      <c r="H132" s="47">
        <f>F132</f>
        <v>47.38</v>
      </c>
      <c r="I132" s="57"/>
      <c r="J132" s="57"/>
      <c r="K132" s="58"/>
      <c r="L132" s="58"/>
      <c r="M132" s="59"/>
      <c r="N132" s="59"/>
      <c r="P132" s="92">
        <f>H132/F132-1</f>
        <v>0</v>
      </c>
    </row>
    <row r="133" spans="1:16" x14ac:dyDescent="0.25">
      <c r="A133" s="106">
        <f t="shared" si="3"/>
        <v>127</v>
      </c>
      <c r="D133" s="46" t="s">
        <v>66</v>
      </c>
      <c r="E133" s="56"/>
      <c r="F133" s="60">
        <v>7.1379999999999999E-2</v>
      </c>
      <c r="G133" s="57"/>
      <c r="H133" s="49">
        <f t="shared" ref="H133:H136" si="19">F133</f>
        <v>7.1379999999999999E-2</v>
      </c>
      <c r="I133" s="57"/>
      <c r="J133" s="57"/>
      <c r="K133" s="58"/>
      <c r="L133" s="58"/>
      <c r="M133" s="59"/>
      <c r="N133" s="59"/>
      <c r="P133" s="92">
        <f>H133/F133-1</f>
        <v>0</v>
      </c>
    </row>
    <row r="134" spans="1:16" x14ac:dyDescent="0.25">
      <c r="A134" s="106">
        <f t="shared" si="3"/>
        <v>128</v>
      </c>
      <c r="D134" s="46" t="s">
        <v>67</v>
      </c>
      <c r="E134" s="56"/>
      <c r="F134" s="60">
        <v>6.4780000000000004E-2</v>
      </c>
      <c r="G134" s="57"/>
      <c r="H134" s="49">
        <f t="shared" si="19"/>
        <v>6.4780000000000004E-2</v>
      </c>
      <c r="I134" s="57"/>
      <c r="J134" s="57"/>
      <c r="K134" s="58"/>
      <c r="L134" s="58"/>
      <c r="M134" s="59"/>
      <c r="N134" s="59"/>
      <c r="P134" s="92">
        <f>H134/F134-1</f>
        <v>0</v>
      </c>
    </row>
    <row r="135" spans="1:16" x14ac:dyDescent="0.25">
      <c r="A135" s="106">
        <f t="shared" si="3"/>
        <v>129</v>
      </c>
      <c r="D135" s="46" t="s">
        <v>68</v>
      </c>
      <c r="E135" s="56"/>
      <c r="F135" s="60">
        <v>5.8189999999999999E-2</v>
      </c>
      <c r="G135" s="57"/>
      <c r="H135" s="49">
        <f t="shared" si="19"/>
        <v>5.8189999999999999E-2</v>
      </c>
      <c r="I135" s="57"/>
      <c r="J135" s="57"/>
      <c r="K135" s="58"/>
      <c r="L135" s="58"/>
      <c r="M135" s="59"/>
      <c r="N135" s="59"/>
      <c r="P135" s="92">
        <f>H135/F135-1</f>
        <v>0</v>
      </c>
    </row>
    <row r="136" spans="1:16" ht="13.8" thickBot="1" x14ac:dyDescent="0.3">
      <c r="A136" s="106">
        <f t="shared" si="3"/>
        <v>130</v>
      </c>
      <c r="D136" s="46" t="s">
        <v>57</v>
      </c>
      <c r="E136" s="56"/>
      <c r="F136" s="47">
        <v>6.21</v>
      </c>
      <c r="G136" s="57"/>
      <c r="H136" s="47">
        <f t="shared" si="19"/>
        <v>6.21</v>
      </c>
      <c r="I136" s="57"/>
      <c r="J136" s="57"/>
      <c r="K136" s="58"/>
      <c r="L136" s="58"/>
      <c r="M136" s="59"/>
      <c r="N136" s="59"/>
      <c r="P136" s="92">
        <f>H136/F136-1</f>
        <v>0</v>
      </c>
    </row>
    <row r="137" spans="1:16" x14ac:dyDescent="0.25">
      <c r="A137" s="106">
        <f t="shared" si="3"/>
        <v>131</v>
      </c>
      <c r="B137" s="55" t="s">
        <v>69</v>
      </c>
      <c r="C137" s="107">
        <v>33</v>
      </c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</row>
    <row r="138" spans="1:16" ht="12.6" customHeight="1" thickBot="1" x14ac:dyDescent="0.3">
      <c r="A138" s="106">
        <f t="shared" si="3"/>
        <v>132</v>
      </c>
      <c r="D138" s="46" t="s">
        <v>70</v>
      </c>
      <c r="E138" s="56"/>
      <c r="F138" s="49">
        <v>5.8110000000000002E-2</v>
      </c>
      <c r="G138" s="57"/>
      <c r="H138" s="48">
        <f>F138</f>
        <v>5.8110000000000002E-2</v>
      </c>
      <c r="I138" s="57"/>
      <c r="J138" s="57"/>
      <c r="K138" s="58"/>
      <c r="L138" s="58"/>
      <c r="M138" s="59"/>
      <c r="N138" s="59"/>
      <c r="P138" s="92">
        <f>H138/F138-1</f>
        <v>0</v>
      </c>
    </row>
    <row r="139" spans="1:16" x14ac:dyDescent="0.25">
      <c r="A139" s="106">
        <f t="shared" si="3"/>
        <v>133</v>
      </c>
      <c r="B139" s="55" t="s">
        <v>71</v>
      </c>
      <c r="C139" s="107" t="s">
        <v>72</v>
      </c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</row>
    <row r="140" spans="1:16" ht="12.6" customHeight="1" x14ac:dyDescent="0.25">
      <c r="A140" s="106">
        <f t="shared" si="3"/>
        <v>134</v>
      </c>
      <c r="D140" s="46" t="s">
        <v>75</v>
      </c>
      <c r="E140" s="56"/>
      <c r="F140" s="47">
        <v>3530.38</v>
      </c>
      <c r="G140" s="57"/>
      <c r="H140" s="47">
        <f t="shared" ref="H140:H144" si="20">F140</f>
        <v>3530.38</v>
      </c>
      <c r="I140" s="57"/>
      <c r="J140" s="57"/>
      <c r="K140" s="58"/>
      <c r="L140" s="58"/>
      <c r="M140" s="59"/>
      <c r="N140" s="59"/>
      <c r="P140" s="92">
        <f>H140/F140-1</f>
        <v>0</v>
      </c>
    </row>
    <row r="141" spans="1:16" ht="12.6" customHeight="1" x14ac:dyDescent="0.25">
      <c r="A141" s="106">
        <f t="shared" si="3"/>
        <v>135</v>
      </c>
      <c r="D141" s="46" t="s">
        <v>76</v>
      </c>
      <c r="E141" s="56"/>
      <c r="F141" s="47">
        <v>5603.59</v>
      </c>
      <c r="G141" s="57"/>
      <c r="H141" s="47">
        <f t="shared" si="20"/>
        <v>5603.59</v>
      </c>
      <c r="I141" s="57"/>
      <c r="J141" s="57"/>
      <c r="K141" s="58"/>
      <c r="L141" s="58"/>
      <c r="M141" s="59"/>
      <c r="N141" s="59"/>
      <c r="P141" s="92">
        <f>H141/F141-1</f>
        <v>0</v>
      </c>
    </row>
    <row r="142" spans="1:16" x14ac:dyDescent="0.25">
      <c r="A142" s="106">
        <f t="shared" si="3"/>
        <v>136</v>
      </c>
      <c r="D142" s="46" t="s">
        <v>57</v>
      </c>
      <c r="E142" s="56"/>
      <c r="F142" s="47">
        <v>7.4</v>
      </c>
      <c r="G142" s="57"/>
      <c r="H142" s="47">
        <f>H85</f>
        <v>7.49</v>
      </c>
      <c r="I142" s="57"/>
      <c r="J142" s="57"/>
      <c r="K142" s="58"/>
      <c r="L142" s="58"/>
      <c r="M142" s="59"/>
      <c r="N142" s="59"/>
      <c r="P142" s="92">
        <f>H142/F142-1</f>
        <v>1.2162162162162149E-2</v>
      </c>
    </row>
    <row r="143" spans="1:16" x14ac:dyDescent="0.25">
      <c r="A143" s="106">
        <f t="shared" si="3"/>
        <v>137</v>
      </c>
      <c r="D143" s="46" t="s">
        <v>58</v>
      </c>
      <c r="E143" s="56"/>
      <c r="F143" s="47">
        <v>10.3</v>
      </c>
      <c r="G143" s="57"/>
      <c r="H143" s="47">
        <f>H86</f>
        <v>9.98</v>
      </c>
      <c r="I143" s="57"/>
      <c r="J143" s="57"/>
      <c r="K143" s="58"/>
      <c r="L143" s="58"/>
      <c r="M143" s="59"/>
      <c r="N143" s="59"/>
      <c r="P143" s="92">
        <f>H143/F143-1</f>
        <v>-3.1067961165048619E-2</v>
      </c>
    </row>
    <row r="144" spans="1:16" ht="13.8" thickBot="1" x14ac:dyDescent="0.3">
      <c r="A144" s="106">
        <f t="shared" si="3"/>
        <v>138</v>
      </c>
      <c r="D144" s="46" t="s">
        <v>68</v>
      </c>
      <c r="E144" s="56"/>
      <c r="F144" s="60">
        <v>4.2680000000000003E-2</v>
      </c>
      <c r="G144" s="57"/>
      <c r="H144" s="49">
        <f t="shared" si="20"/>
        <v>4.2680000000000003E-2</v>
      </c>
      <c r="I144" s="57"/>
      <c r="J144" s="57"/>
      <c r="K144" s="58"/>
      <c r="L144" s="58"/>
      <c r="M144" s="59"/>
      <c r="N144" s="59"/>
      <c r="P144" s="92">
        <f>H144/F144-1</f>
        <v>0</v>
      </c>
    </row>
    <row r="145" spans="1:16" x14ac:dyDescent="0.25">
      <c r="A145" s="106">
        <f t="shared" si="3"/>
        <v>139</v>
      </c>
      <c r="B145" s="55" t="s">
        <v>71</v>
      </c>
      <c r="C145" s="107" t="s">
        <v>77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</row>
    <row r="146" spans="1:16" ht="12.6" customHeight="1" x14ac:dyDescent="0.25">
      <c r="A146" s="106">
        <f t="shared" si="3"/>
        <v>140</v>
      </c>
      <c r="D146" s="46" t="s">
        <v>13</v>
      </c>
      <c r="E146" s="56"/>
      <c r="F146" s="47">
        <v>633.80999999999995</v>
      </c>
      <c r="G146" s="57"/>
      <c r="H146" s="47">
        <f t="shared" ref="H146:H147" si="21">F146</f>
        <v>633.80999999999995</v>
      </c>
      <c r="I146" s="57"/>
      <c r="J146" s="57"/>
      <c r="K146" s="58"/>
      <c r="L146" s="58"/>
      <c r="M146" s="59"/>
      <c r="N146" s="59"/>
      <c r="P146" s="92">
        <f>H146/F146-1</f>
        <v>0</v>
      </c>
    </row>
    <row r="147" spans="1:16" ht="12.6" customHeight="1" x14ac:dyDescent="0.25">
      <c r="A147" s="106">
        <f t="shared" si="3"/>
        <v>141</v>
      </c>
      <c r="D147" s="46" t="s">
        <v>33</v>
      </c>
      <c r="E147" s="56"/>
      <c r="F147" s="49">
        <v>4.9790000000000001E-2</v>
      </c>
      <c r="G147" s="57"/>
      <c r="H147" s="47">
        <f t="shared" si="21"/>
        <v>4.9790000000000001E-2</v>
      </c>
      <c r="I147" s="57"/>
      <c r="J147" s="57"/>
      <c r="K147" s="58"/>
      <c r="L147" s="58"/>
      <c r="M147" s="59"/>
      <c r="N147" s="59"/>
      <c r="P147" s="92">
        <f>H147/F147-1</f>
        <v>0</v>
      </c>
    </row>
    <row r="148" spans="1:16" ht="13.8" thickBot="1" x14ac:dyDescent="0.3">
      <c r="A148" s="106">
        <f t="shared" si="3"/>
        <v>142</v>
      </c>
      <c r="D148" s="46" t="s">
        <v>34</v>
      </c>
      <c r="E148" s="56"/>
      <c r="F148" s="47">
        <v>7.4</v>
      </c>
      <c r="G148" s="57"/>
      <c r="H148" s="47">
        <f>H71</f>
        <v>7.49</v>
      </c>
      <c r="I148" s="57"/>
      <c r="J148" s="57"/>
      <c r="K148" s="58"/>
      <c r="L148" s="58"/>
      <c r="M148" s="59"/>
      <c r="N148" s="59"/>
      <c r="P148" s="92">
        <f>H148/F148-1</f>
        <v>1.2162162162162149E-2</v>
      </c>
    </row>
    <row r="149" spans="1:16" x14ac:dyDescent="0.25">
      <c r="A149" s="106">
        <f t="shared" si="3"/>
        <v>143</v>
      </c>
      <c r="B149" s="55" t="s">
        <v>71</v>
      </c>
      <c r="C149" s="107" t="s">
        <v>78</v>
      </c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</row>
    <row r="150" spans="1:16" ht="12.6" customHeight="1" x14ac:dyDescent="0.25">
      <c r="A150" s="106">
        <f t="shared" si="3"/>
        <v>144</v>
      </c>
      <c r="D150" s="46" t="s">
        <v>13</v>
      </c>
      <c r="E150" s="56"/>
      <c r="F150" s="47">
        <v>1266.43</v>
      </c>
      <c r="G150" s="57"/>
      <c r="H150" s="47">
        <f t="shared" ref="H150:H151" si="22">F150</f>
        <v>1266.43</v>
      </c>
      <c r="I150" s="57"/>
      <c r="J150" s="57"/>
      <c r="K150" s="58"/>
      <c r="L150" s="58"/>
      <c r="M150" s="59"/>
      <c r="N150" s="59"/>
      <c r="P150" s="92">
        <f>H150/F150-1</f>
        <v>0</v>
      </c>
    </row>
    <row r="151" spans="1:16" ht="12.6" customHeight="1" x14ac:dyDescent="0.25">
      <c r="A151" s="106">
        <f t="shared" si="3"/>
        <v>145</v>
      </c>
      <c r="D151" s="46" t="s">
        <v>33</v>
      </c>
      <c r="E151" s="56"/>
      <c r="F151" s="49">
        <v>4.3290000000000002E-2</v>
      </c>
      <c r="G151" s="57"/>
      <c r="H151" s="47">
        <f t="shared" si="22"/>
        <v>4.3290000000000002E-2</v>
      </c>
      <c r="I151" s="57"/>
      <c r="J151" s="57"/>
      <c r="K151" s="58"/>
      <c r="L151" s="58"/>
      <c r="M151" s="59"/>
      <c r="N151" s="59"/>
      <c r="P151" s="92">
        <f>H151/F151-1</f>
        <v>0</v>
      </c>
    </row>
    <row r="152" spans="1:16" ht="13.8" thickBot="1" x14ac:dyDescent="0.3">
      <c r="A152" s="106">
        <f t="shared" si="3"/>
        <v>146</v>
      </c>
      <c r="D152" s="46" t="s">
        <v>34</v>
      </c>
      <c r="E152" s="56"/>
      <c r="F152" s="47">
        <v>7.4</v>
      </c>
      <c r="G152" s="57"/>
      <c r="H152" s="47">
        <f>H142</f>
        <v>7.49</v>
      </c>
      <c r="I152" s="57"/>
      <c r="J152" s="57"/>
      <c r="K152" s="58"/>
      <c r="L152" s="58"/>
      <c r="M152" s="59"/>
      <c r="N152" s="59"/>
      <c r="P152" s="92">
        <f>H152/F152-1</f>
        <v>1.2162162162162149E-2</v>
      </c>
    </row>
    <row r="153" spans="1:16" x14ac:dyDescent="0.25">
      <c r="A153" s="106">
        <f t="shared" ref="A153:A157" si="23">A152+1</f>
        <v>147</v>
      </c>
      <c r="B153" s="55" t="s">
        <v>71</v>
      </c>
      <c r="C153" s="107" t="s">
        <v>79</v>
      </c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</row>
    <row r="154" spans="1:16" ht="12.6" customHeight="1" x14ac:dyDescent="0.25">
      <c r="A154" s="106">
        <f t="shared" si="23"/>
        <v>148</v>
      </c>
      <c r="D154" s="46" t="s">
        <v>75</v>
      </c>
      <c r="E154" s="56"/>
      <c r="F154" s="47">
        <v>3530.38</v>
      </c>
      <c r="G154" s="57"/>
      <c r="H154" s="47">
        <f t="shared" ref="H154:H157" si="24">F154</f>
        <v>3530.38</v>
      </c>
      <c r="I154" s="57"/>
      <c r="J154" s="57"/>
      <c r="K154" s="58"/>
      <c r="L154" s="58"/>
      <c r="M154" s="59"/>
      <c r="N154" s="59"/>
      <c r="P154" s="92">
        <f>H154/F154-1</f>
        <v>0</v>
      </c>
    </row>
    <row r="155" spans="1:16" ht="12.6" customHeight="1" x14ac:dyDescent="0.25">
      <c r="A155" s="106">
        <f t="shared" si="23"/>
        <v>149</v>
      </c>
      <c r="D155" s="46" t="s">
        <v>76</v>
      </c>
      <c r="E155" s="56"/>
      <c r="F155" s="47">
        <v>5603.59</v>
      </c>
      <c r="G155" s="57"/>
      <c r="H155" s="47">
        <f t="shared" si="24"/>
        <v>5603.59</v>
      </c>
      <c r="I155" s="57"/>
      <c r="J155" s="57"/>
      <c r="K155" s="58"/>
      <c r="L155" s="58"/>
      <c r="M155" s="59"/>
      <c r="N155" s="59"/>
      <c r="P155" s="92">
        <f>H155/F155-1</f>
        <v>0</v>
      </c>
    </row>
    <row r="156" spans="1:16" x14ac:dyDescent="0.25">
      <c r="A156" s="106">
        <f t="shared" si="23"/>
        <v>150</v>
      </c>
      <c r="D156" s="46" t="s">
        <v>57</v>
      </c>
      <c r="E156" s="56"/>
      <c r="F156" s="47">
        <v>7.4</v>
      </c>
      <c r="G156" s="57"/>
      <c r="H156" s="47">
        <f>H142</f>
        <v>7.49</v>
      </c>
      <c r="I156" s="57"/>
      <c r="J156" s="57"/>
      <c r="K156" s="58"/>
      <c r="L156" s="58"/>
      <c r="M156" s="59"/>
      <c r="N156" s="59"/>
      <c r="P156" s="92">
        <f>H156/F156-1</f>
        <v>1.2162162162162149E-2</v>
      </c>
    </row>
    <row r="157" spans="1:16" x14ac:dyDescent="0.25">
      <c r="A157" s="106">
        <f t="shared" si="23"/>
        <v>151</v>
      </c>
      <c r="D157" s="46" t="s">
        <v>68</v>
      </c>
      <c r="E157" s="56"/>
      <c r="F157" s="60">
        <v>4.2680000000000003E-2</v>
      </c>
      <c r="G157" s="57"/>
      <c r="H157" s="49">
        <f t="shared" si="24"/>
        <v>4.2680000000000003E-2</v>
      </c>
      <c r="I157" s="57"/>
      <c r="J157" s="57"/>
      <c r="K157" s="58"/>
      <c r="L157" s="58"/>
      <c r="M157" s="59"/>
      <c r="N157" s="59"/>
      <c r="P157" s="92">
        <f>H157/F157-1</f>
        <v>0</v>
      </c>
    </row>
    <row r="158" spans="1:16" x14ac:dyDescent="0.25">
      <c r="A158" s="106"/>
    </row>
    <row r="159" spans="1:16" x14ac:dyDescent="0.25">
      <c r="A159" s="106"/>
    </row>
    <row r="161" spans="5:8" x14ac:dyDescent="0.25">
      <c r="E161" s="93" t="s">
        <v>111</v>
      </c>
      <c r="F161" s="93"/>
      <c r="G161" s="93" t="s">
        <v>112</v>
      </c>
    </row>
    <row r="162" spans="5:8" x14ac:dyDescent="0.25">
      <c r="E162" s="86">
        <v>483741084</v>
      </c>
      <c r="G162" s="87">
        <v>54540957</v>
      </c>
      <c r="H162" s="88" t="s">
        <v>109</v>
      </c>
    </row>
    <row r="163" spans="5:8" x14ac:dyDescent="0.25">
      <c r="E163" s="86">
        <f>E9+E21+E33+E46+E58+E73+E87+E114</f>
        <v>480055292</v>
      </c>
      <c r="G163" s="87">
        <f>G123</f>
        <v>54536738.170426518</v>
      </c>
      <c r="H163" s="89" t="s">
        <v>110</v>
      </c>
    </row>
    <row r="164" spans="5:8" x14ac:dyDescent="0.25">
      <c r="E164" s="91">
        <f>E163-E162</f>
        <v>-3685792</v>
      </c>
      <c r="G164" s="90">
        <f>G163-G162</f>
        <v>-4218.829573482275</v>
      </c>
      <c r="H164" s="89" t="s">
        <v>102</v>
      </c>
    </row>
    <row r="165" spans="5:8" x14ac:dyDescent="0.25">
      <c r="E165" s="92">
        <f>E164/E162</f>
        <v>-7.6193487010088228E-3</v>
      </c>
      <c r="F165" s="92"/>
      <c r="G165" s="92">
        <f>G164/G162</f>
        <v>-7.73515868722706E-5</v>
      </c>
      <c r="H165" s="46" t="s">
        <v>102</v>
      </c>
    </row>
  </sheetData>
  <phoneticPr fontId="7" type="noConversion"/>
  <printOptions horizontalCentered="1"/>
  <pageMargins left="0.7" right="0.7" top="0.75" bottom="0.75" header="0.3" footer="0.3"/>
  <pageSetup scale="52" fitToHeight="6" orientation="landscape" r:id="rId1"/>
  <headerFooter>
    <oddHeader>&amp;R&amp;"Arial,Bold"&amp;10Exhibit JW-9
Page &amp;P of &amp;N</oddHeader>
  </headerFooter>
  <rowBreaks count="3" manualBreakCount="3">
    <brk id="55" max="13" man="1"/>
    <brk id="96" max="13" man="1"/>
    <brk id="126" max="13" man="1"/>
  </rowBreaks>
  <colBreaks count="1" manualBreakCount="1">
    <brk id="14" max="156" man="1"/>
  </colBreaks>
  <ignoredErrors>
    <ignoredError sqref="I10 J21 K130:K145 J10:K14 J56:J68 K56:K64 K21:K26 J22:J28 K30 J30 J69:J116 K69:K78 H156 J16:K19 J15 K28 K66:K68 K80:K92 K94:K111 K113:K121 K123:K126" formula="1"/>
    <ignoredError sqref="G1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D2D1-0261-4B16-940C-DD9AB8DBD482}">
  <sheetPr>
    <tabColor theme="5" tint="0.79998168889431442"/>
    <pageSetUpPr fitToPage="1"/>
  </sheetPr>
  <dimension ref="A1:H97"/>
  <sheetViews>
    <sheetView view="pageBreakPreview" zoomScale="60" zoomScaleNormal="85" workbookViewId="0">
      <selection activeCell="M33" sqref="M33"/>
    </sheetView>
  </sheetViews>
  <sheetFormatPr defaultRowHeight="13.2" x14ac:dyDescent="0.25"/>
  <cols>
    <col min="1" max="1" width="1.77734375" style="2" customWidth="1"/>
    <col min="2" max="2" width="1.21875" style="2" customWidth="1"/>
    <col min="3" max="3" width="8" style="9" customWidth="1"/>
    <col min="4" max="4" width="39.109375" style="9" bestFit="1" customWidth="1"/>
    <col min="5" max="5" width="33.77734375" style="2" bestFit="1" customWidth="1"/>
    <col min="6" max="6" width="14.6640625" style="2" customWidth="1"/>
    <col min="7" max="7" width="12.5546875" style="2" customWidth="1"/>
    <col min="8" max="8" width="11.6640625" style="2" customWidth="1"/>
    <col min="9" max="16384" width="8.88671875" style="2"/>
  </cols>
  <sheetData>
    <row r="1" spans="1:8" x14ac:dyDescent="0.25">
      <c r="A1" s="1" t="str">
        <f>Summary!A1</f>
        <v>SHELBY ENERGY COOPERATIVE</v>
      </c>
    </row>
    <row r="2" spans="1:8" x14ac:dyDescent="0.25">
      <c r="A2" s="1" t="s">
        <v>80</v>
      </c>
    </row>
    <row r="4" spans="1:8" x14ac:dyDescent="0.25">
      <c r="C4" s="24" t="s">
        <v>44</v>
      </c>
      <c r="D4" s="23"/>
      <c r="E4" s="23" t="s">
        <v>1</v>
      </c>
      <c r="F4" s="27" t="s">
        <v>31</v>
      </c>
      <c r="G4" s="27" t="s">
        <v>32</v>
      </c>
      <c r="H4" s="27" t="s">
        <v>99</v>
      </c>
    </row>
    <row r="5" spans="1:8" x14ac:dyDescent="0.25">
      <c r="C5" s="9">
        <f>'Billing Detail'!C7</f>
        <v>12</v>
      </c>
      <c r="D5" s="41" t="str">
        <f>'Billing Detail'!B7</f>
        <v>Residential Service</v>
      </c>
    </row>
    <row r="6" spans="1:8" x14ac:dyDescent="0.25">
      <c r="D6" s="41"/>
      <c r="E6" s="2" t="str">
        <f>'Billing Detail'!D8</f>
        <v>Customer Charge per Month</v>
      </c>
      <c r="F6" s="25">
        <f>'Billing Detail'!F8</f>
        <v>15.48</v>
      </c>
      <c r="G6" s="25">
        <f>'Billing Detail'!H8</f>
        <v>19.75</v>
      </c>
      <c r="H6" s="25">
        <f>G6-F6</f>
        <v>4.2699999999999996</v>
      </c>
    </row>
    <row r="7" spans="1:8" x14ac:dyDescent="0.25">
      <c r="D7" s="41"/>
      <c r="E7" s="2" t="str">
        <f>'Billing Detail'!D9</f>
        <v>Energy Charge per kWh</v>
      </c>
      <c r="F7" s="26">
        <f>'Billing Detail'!F9</f>
        <v>8.9599999999999999E-2</v>
      </c>
      <c r="G7" s="26">
        <f>'Billing Detail'!H9</f>
        <v>9.1810000000000003E-2</v>
      </c>
      <c r="H7" s="25">
        <f t="shared" ref="H7:H69" si="0">G7-F7</f>
        <v>2.2100000000000036E-3</v>
      </c>
    </row>
    <row r="8" spans="1:8" x14ac:dyDescent="0.25">
      <c r="C8" s="9">
        <f>'Billing Detail'!C19</f>
        <v>9</v>
      </c>
      <c r="D8" s="41" t="str">
        <f>'Billing Detail'!B19</f>
        <v>Off Peak Retail Marketing (ETS)</v>
      </c>
      <c r="F8" s="25"/>
      <c r="G8" s="25"/>
      <c r="H8" s="25"/>
    </row>
    <row r="9" spans="1:8" x14ac:dyDescent="0.25">
      <c r="D9" s="41"/>
      <c r="E9" s="2" t="str">
        <f>'Billing Detail'!D20</f>
        <v>Customer Charge per Month</v>
      </c>
      <c r="F9" s="82">
        <f>'Billing Detail'!F20</f>
        <v>0</v>
      </c>
      <c r="G9" s="82">
        <f>'Billing Detail'!H20</f>
        <v>0</v>
      </c>
      <c r="H9" s="25">
        <f>G9-F9</f>
        <v>0</v>
      </c>
    </row>
    <row r="10" spans="1:8" x14ac:dyDescent="0.25">
      <c r="D10" s="41"/>
      <c r="E10" s="2" t="str">
        <f>'Billing Detail'!D21</f>
        <v>Energy Charge per kWh</v>
      </c>
      <c r="F10" s="26">
        <f>'Billing Detail'!F21</f>
        <v>6.0639999999999999E-2</v>
      </c>
      <c r="G10" s="26">
        <f>'Billing Detail'!H21</f>
        <v>6.0639999999999999E-2</v>
      </c>
      <c r="H10" s="25">
        <f>G10-F10</f>
        <v>0</v>
      </c>
    </row>
    <row r="11" spans="1:8" x14ac:dyDescent="0.25">
      <c r="C11" s="9">
        <v>15</v>
      </c>
      <c r="D11" s="41" t="s">
        <v>62</v>
      </c>
      <c r="F11" s="25"/>
      <c r="G11" s="25"/>
      <c r="H11" s="25"/>
    </row>
    <row r="12" spans="1:8" x14ac:dyDescent="0.25">
      <c r="D12" s="2"/>
      <c r="E12" s="2" t="s">
        <v>63</v>
      </c>
      <c r="F12" s="25">
        <f>'Billing Detail'!F32</f>
        <v>0.52</v>
      </c>
      <c r="G12" s="25">
        <f>'Billing Detail'!H32</f>
        <v>0.65</v>
      </c>
      <c r="H12" s="25">
        <f>G12-F12</f>
        <v>0.13</v>
      </c>
    </row>
    <row r="13" spans="1:8" x14ac:dyDescent="0.25">
      <c r="D13" s="2"/>
      <c r="E13" s="2" t="s">
        <v>33</v>
      </c>
      <c r="F13" s="26">
        <f>F7</f>
        <v>8.9599999999999999E-2</v>
      </c>
      <c r="G13" s="26">
        <f>G7</f>
        <v>9.1810000000000003E-2</v>
      </c>
      <c r="H13" s="25">
        <f>G13-F13</f>
        <v>2.2100000000000036E-3</v>
      </c>
    </row>
    <row r="14" spans="1:8" x14ac:dyDescent="0.25">
      <c r="D14" s="2"/>
      <c r="E14" s="2" t="s">
        <v>64</v>
      </c>
      <c r="F14" s="25">
        <v>0.1</v>
      </c>
      <c r="G14" s="25">
        <f>F14</f>
        <v>0.1</v>
      </c>
      <c r="H14" s="25">
        <f>G14-F14</f>
        <v>0</v>
      </c>
    </row>
    <row r="15" spans="1:8" x14ac:dyDescent="0.25">
      <c r="C15" s="9">
        <f>'Billing Detail'!C43</f>
        <v>11</v>
      </c>
      <c r="D15" s="41" t="str">
        <f>'Billing Detail'!B43</f>
        <v xml:space="preserve">General Service </v>
      </c>
      <c r="F15" s="25"/>
      <c r="G15" s="25"/>
      <c r="H15" s="25"/>
    </row>
    <row r="16" spans="1:8" x14ac:dyDescent="0.25">
      <c r="D16" s="41"/>
      <c r="E16" s="2" t="str">
        <f>'Billing Detail'!D44</f>
        <v>Customer Charge Single Phase</v>
      </c>
      <c r="F16" s="25">
        <f>'Billing Detail'!F44</f>
        <v>18.57</v>
      </c>
      <c r="G16" s="25">
        <f>'Billing Detail'!H44</f>
        <v>22.84</v>
      </c>
      <c r="H16" s="25">
        <f t="shared" si="0"/>
        <v>4.2699999999999996</v>
      </c>
    </row>
    <row r="17" spans="3:8" x14ac:dyDescent="0.25">
      <c r="D17" s="41"/>
      <c r="E17" s="2" t="str">
        <f>'Billing Detail'!D45</f>
        <v>Customer Charge Three Phase</v>
      </c>
      <c r="F17" s="25">
        <f>'Billing Detail'!F45</f>
        <v>41.27</v>
      </c>
      <c r="G17" s="25">
        <f>'Billing Detail'!H45</f>
        <v>45.540000000000006</v>
      </c>
      <c r="H17" s="25">
        <f t="shared" si="0"/>
        <v>4.2700000000000031</v>
      </c>
    </row>
    <row r="18" spans="3:8" x14ac:dyDescent="0.25">
      <c r="D18" s="41"/>
      <c r="E18" s="2" t="str">
        <f>'Billing Detail'!D46</f>
        <v>Energy Charge per kWh</v>
      </c>
      <c r="F18" s="26">
        <f>'Billing Detail'!F46</f>
        <v>9.1869999999999993E-2</v>
      </c>
      <c r="G18" s="26">
        <f>'Billing Detail'!H46</f>
        <v>9.6505484746830225E-2</v>
      </c>
      <c r="H18" s="25">
        <f t="shared" si="0"/>
        <v>4.6354847468302318E-3</v>
      </c>
    </row>
    <row r="19" spans="3:8" x14ac:dyDescent="0.25">
      <c r="C19" s="9">
        <f>'Billing Detail'!C56</f>
        <v>2</v>
      </c>
      <c r="D19" s="41" t="str">
        <f>'Billing Detail'!B56</f>
        <v>Large Power Service</v>
      </c>
      <c r="F19" s="26"/>
      <c r="G19" s="26"/>
      <c r="H19" s="25"/>
    </row>
    <row r="20" spans="3:8" x14ac:dyDescent="0.25">
      <c r="D20" s="41"/>
      <c r="E20" s="2" t="str">
        <f>'Billing Detail'!D57</f>
        <v>Customer Charge</v>
      </c>
      <c r="F20" s="25">
        <f>'Billing Detail'!F57</f>
        <v>53.84</v>
      </c>
      <c r="G20" s="25">
        <f>'Billing Detail'!H57</f>
        <v>53.84</v>
      </c>
      <c r="H20" s="25">
        <f>G20-F20</f>
        <v>0</v>
      </c>
    </row>
    <row r="21" spans="3:8" x14ac:dyDescent="0.25">
      <c r="D21" s="41"/>
      <c r="E21" s="2" t="str">
        <f>'Billing Detail'!D58</f>
        <v>Energy Charge per kWh</v>
      </c>
      <c r="F21" s="26">
        <f>'Billing Detail'!F58</f>
        <v>6.2010000000000003E-2</v>
      </c>
      <c r="G21" s="26">
        <f>'Billing Detail'!H58</f>
        <v>6.513883867585657E-2</v>
      </c>
      <c r="H21" s="25">
        <f>G21-F21</f>
        <v>3.128838675856567E-3</v>
      </c>
    </row>
    <row r="22" spans="3:8" x14ac:dyDescent="0.25">
      <c r="D22" s="41"/>
      <c r="E22" s="2" t="str">
        <f>'Billing Detail'!D59</f>
        <v>Demand Charge per kW</v>
      </c>
      <c r="F22" s="25">
        <f>'Billing Detail'!F59</f>
        <v>6.24</v>
      </c>
      <c r="G22" s="25">
        <f>'Billing Detail'!H59</f>
        <v>6.24</v>
      </c>
      <c r="H22" s="25">
        <f>G22-F22</f>
        <v>0</v>
      </c>
    </row>
    <row r="23" spans="3:8" x14ac:dyDescent="0.25">
      <c r="C23" s="9" t="str">
        <f>'Billing Detail'!C69</f>
        <v>B1</v>
      </c>
      <c r="D23" s="41" t="str">
        <f>'Billing Detail'!B69</f>
        <v xml:space="preserve">Large Industrial Rate </v>
      </c>
      <c r="F23" s="26"/>
      <c r="G23" s="26"/>
      <c r="H23" s="25"/>
    </row>
    <row r="24" spans="3:8" x14ac:dyDescent="0.25">
      <c r="D24" s="41"/>
      <c r="E24" s="2" t="str">
        <f>'Billing Detail'!D70</f>
        <v>Customer Charge</v>
      </c>
      <c r="F24" s="25">
        <f>'Billing Detail'!F70</f>
        <v>633.6</v>
      </c>
      <c r="G24" s="25">
        <f>'Billing Detail'!H70</f>
        <v>633.6</v>
      </c>
      <c r="H24" s="25">
        <f t="shared" si="0"/>
        <v>0</v>
      </c>
    </row>
    <row r="25" spans="3:8" x14ac:dyDescent="0.25">
      <c r="D25" s="41"/>
      <c r="E25" s="2" t="str">
        <f>'Billing Detail'!D71</f>
        <v>Demand Charge - Contract per kW</v>
      </c>
      <c r="F25" s="25">
        <f>'Billing Detail'!F71</f>
        <v>7.4</v>
      </c>
      <c r="G25" s="25">
        <f>'Billing Detail'!H71</f>
        <v>7.49</v>
      </c>
      <c r="H25" s="25">
        <f t="shared" si="0"/>
        <v>8.9999999999999858E-2</v>
      </c>
    </row>
    <row r="26" spans="3:8" x14ac:dyDescent="0.25">
      <c r="D26" s="41"/>
      <c r="E26" s="2" t="str">
        <f>'Billing Detail'!D72</f>
        <v>Demand Charge - Excess per kW</v>
      </c>
      <c r="F26" s="25">
        <f>'Billing Detail'!F72</f>
        <v>10.3</v>
      </c>
      <c r="G26" s="25">
        <f>'Billing Detail'!H72</f>
        <v>9.98</v>
      </c>
      <c r="H26" s="25">
        <f t="shared" si="0"/>
        <v>-0.32000000000000028</v>
      </c>
    </row>
    <row r="27" spans="3:8" x14ac:dyDescent="0.25">
      <c r="D27" s="41"/>
      <c r="E27" s="2" t="str">
        <f>'Billing Detail'!D73</f>
        <v>Energy Charge per kWh</v>
      </c>
      <c r="F27" s="26">
        <f>'Billing Detail'!F73</f>
        <v>4.9790000000000001E-2</v>
      </c>
      <c r="G27" s="26">
        <f>'Billing Detail'!H73</f>
        <v>5.2302254114995943E-2</v>
      </c>
      <c r="H27" s="25">
        <f t="shared" si="0"/>
        <v>2.5122541149959418E-3</v>
      </c>
    </row>
    <row r="28" spans="3:8" x14ac:dyDescent="0.25">
      <c r="C28" s="9" t="str">
        <f>'Billing Detail'!C83</f>
        <v>B2</v>
      </c>
      <c r="D28" s="41" t="str">
        <f>'Billing Detail'!B83</f>
        <v xml:space="preserve">Large Industrial Rate </v>
      </c>
      <c r="F28" s="25"/>
      <c r="G28" s="25"/>
      <c r="H28" s="25"/>
    </row>
    <row r="29" spans="3:8" x14ac:dyDescent="0.25">
      <c r="D29" s="41"/>
      <c r="E29" s="2" t="str">
        <f>'Billing Detail'!D84</f>
        <v>Customer Charge</v>
      </c>
      <c r="F29" s="25">
        <f>'Billing Detail'!F84</f>
        <v>1266.4100000000001</v>
      </c>
      <c r="G29" s="25">
        <f>'Billing Detail'!H84</f>
        <v>1266.4100000000001</v>
      </c>
      <c r="H29" s="25">
        <f t="shared" si="0"/>
        <v>0</v>
      </c>
    </row>
    <row r="30" spans="3:8" x14ac:dyDescent="0.25">
      <c r="D30" s="41"/>
      <c r="E30" s="2" t="str">
        <f>'Billing Detail'!D85</f>
        <v>Demand Charge - Contract per kW</v>
      </c>
      <c r="F30" s="25">
        <f>'Billing Detail'!F85</f>
        <v>7.4</v>
      </c>
      <c r="G30" s="25">
        <f>'Billing Detail'!H85</f>
        <v>7.49</v>
      </c>
      <c r="H30" s="25">
        <f t="shared" si="0"/>
        <v>8.9999999999999858E-2</v>
      </c>
    </row>
    <row r="31" spans="3:8" x14ac:dyDescent="0.25">
      <c r="D31" s="41"/>
      <c r="E31" s="2" t="str">
        <f>'Billing Detail'!D86</f>
        <v>Demand Charge - Excess per kW</v>
      </c>
      <c r="F31" s="25">
        <f>'Billing Detail'!F86</f>
        <v>10.3</v>
      </c>
      <c r="G31" s="25">
        <f>'Billing Detail'!H86</f>
        <v>9.98</v>
      </c>
      <c r="H31" s="25">
        <f t="shared" si="0"/>
        <v>-0.32000000000000028</v>
      </c>
    </row>
    <row r="32" spans="3:8" x14ac:dyDescent="0.25">
      <c r="D32" s="41"/>
      <c r="E32" s="2" t="str">
        <f>'Billing Detail'!D87</f>
        <v>Energy Charge per kWh</v>
      </c>
      <c r="F32" s="26">
        <f>'Billing Detail'!F87</f>
        <v>4.3290000000000002E-2</v>
      </c>
      <c r="G32" s="26">
        <f>'Billing Detail'!H87</f>
        <v>4.5474283603899872E-2</v>
      </c>
      <c r="H32" s="25">
        <f t="shared" si="0"/>
        <v>2.1842836038998698E-3</v>
      </c>
    </row>
    <row r="33" spans="3:8" x14ac:dyDescent="0.25">
      <c r="C33" s="9">
        <f>'Billing Detail'!C97</f>
        <v>3</v>
      </c>
      <c r="D33" s="41" t="str">
        <f>'Billing Detail'!B97</f>
        <v>Outdoor and Street Lighting</v>
      </c>
      <c r="F33" s="25"/>
      <c r="G33" s="25"/>
      <c r="H33" s="25"/>
    </row>
    <row r="34" spans="3:8" x14ac:dyDescent="0.25">
      <c r="D34" s="41"/>
      <c r="E34" s="2" t="str">
        <f>'Billing Detail'!D98</f>
        <v>100 Watt Outdoor Light</v>
      </c>
      <c r="F34" s="25">
        <f>'Billing Detail'!F98</f>
        <v>10.33</v>
      </c>
      <c r="G34" s="25">
        <f>'Billing Detail'!H98</f>
        <v>10.851220827634226</v>
      </c>
      <c r="H34" s="25">
        <f t="shared" si="0"/>
        <v>0.52122082763422561</v>
      </c>
    </row>
    <row r="35" spans="3:8" x14ac:dyDescent="0.25">
      <c r="D35" s="2"/>
      <c r="E35" s="2" t="str">
        <f>'Billing Detail'!D99</f>
        <v>250 Watt Directional Flood</v>
      </c>
      <c r="F35" s="25">
        <f>'Billing Detail'!F99</f>
        <v>15.11</v>
      </c>
      <c r="G35" s="25">
        <f>'Billing Detail'!H99</f>
        <v>15.87240529579411</v>
      </c>
      <c r="H35" s="25">
        <f t="shared" si="0"/>
        <v>0.76240529579411032</v>
      </c>
    </row>
    <row r="36" spans="3:8" x14ac:dyDescent="0.25">
      <c r="D36" s="2"/>
      <c r="E36" s="2" t="str">
        <f>'Billing Detail'!D100</f>
        <v>100 Watt Decorative Colonial</v>
      </c>
      <c r="F36" s="25">
        <f>'Billing Detail'!F100</f>
        <v>13.96</v>
      </c>
      <c r="G36" s="25">
        <f>'Billing Detail'!H100</f>
        <v>14.664379743830958</v>
      </c>
      <c r="H36" s="25">
        <f t="shared" si="0"/>
        <v>0.70437974383095714</v>
      </c>
    </row>
    <row r="37" spans="3:8" x14ac:dyDescent="0.25">
      <c r="D37" s="2"/>
      <c r="E37" s="2" t="str">
        <f>'Billing Detail'!D101</f>
        <v>400 Watt Directional Flood</v>
      </c>
      <c r="F37" s="25">
        <f>'Billing Detail'!F101</f>
        <v>20.73</v>
      </c>
      <c r="G37" s="25">
        <f>'Billing Detail'!H101</f>
        <v>21.77597364538795</v>
      </c>
      <c r="H37" s="25">
        <f t="shared" si="0"/>
        <v>1.0459736453879493</v>
      </c>
    </row>
    <row r="38" spans="3:8" x14ac:dyDescent="0.25">
      <c r="D38" s="2"/>
      <c r="E38" s="2" t="str">
        <f>'Billing Detail'!D102</f>
        <v>150 Watt Decorative Acorn</v>
      </c>
      <c r="F38" s="25">
        <f>'Billing Detail'!F102</f>
        <v>16.64</v>
      </c>
      <c r="G38" s="25">
        <f>'Billing Detail'!H102</f>
        <v>17.479604508405956</v>
      </c>
      <c r="H38" s="25">
        <f t="shared" si="0"/>
        <v>0.83960450840595513</v>
      </c>
    </row>
    <row r="39" spans="3:8" x14ac:dyDescent="0.25">
      <c r="D39" s="2"/>
      <c r="E39" s="2" t="str">
        <f>'Billing Detail'!D103</f>
        <v>Standard</v>
      </c>
      <c r="F39" s="25">
        <f>'Billing Detail'!F103</f>
        <v>11.06</v>
      </c>
      <c r="G39" s="25">
        <f>'Billing Detail'!H103</f>
        <v>11.618054438880401</v>
      </c>
      <c r="H39" s="25">
        <f t="shared" si="0"/>
        <v>0.55805443888040074</v>
      </c>
    </row>
    <row r="40" spans="3:8" x14ac:dyDescent="0.25">
      <c r="D40" s="2"/>
      <c r="E40" s="2" t="str">
        <f>'Billing Detail'!D104</f>
        <v>Decorative Colonial</v>
      </c>
      <c r="F40" s="25">
        <f>'Billing Detail'!F104</f>
        <v>13.78</v>
      </c>
      <c r="G40" s="25">
        <f>'Billing Detail'!H104</f>
        <v>14.475297483523681</v>
      </c>
      <c r="H40" s="25">
        <f t="shared" si="0"/>
        <v>0.69529748352368159</v>
      </c>
    </row>
    <row r="41" spans="3:8" x14ac:dyDescent="0.25">
      <c r="D41" s="2"/>
      <c r="E41" s="2" t="str">
        <f>'Billing Detail'!D105</f>
        <v>Cobra Head</v>
      </c>
      <c r="F41" s="25">
        <f>'Billing Detail'!F105</f>
        <v>15.03</v>
      </c>
      <c r="G41" s="25">
        <f>'Billing Detail'!H105</f>
        <v>15.788368735657542</v>
      </c>
      <c r="H41" s="25">
        <f t="shared" si="0"/>
        <v>0.75836873565754281</v>
      </c>
    </row>
    <row r="42" spans="3:8" x14ac:dyDescent="0.25">
      <c r="D42" s="2"/>
      <c r="E42" s="2" t="str">
        <f>'Billing Detail'!D106</f>
        <v>Directional Flood Light</v>
      </c>
      <c r="F42" s="25">
        <f>'Billing Detail'!F106</f>
        <v>20.48</v>
      </c>
      <c r="G42" s="25">
        <f>'Billing Detail'!H106</f>
        <v>21.513359394961178</v>
      </c>
      <c r="H42" s="25">
        <f t="shared" si="0"/>
        <v>1.0333593949611775</v>
      </c>
    </row>
    <row r="43" spans="3:8" x14ac:dyDescent="0.25">
      <c r="C43" s="9">
        <f>'Billing Detail'!C131</f>
        <v>22</v>
      </c>
      <c r="D43" s="41" t="str">
        <f>'Billing Detail'!B131</f>
        <v xml:space="preserve">Optional TOD Demand </v>
      </c>
      <c r="F43" s="25"/>
      <c r="G43" s="25"/>
      <c r="H43" s="25"/>
    </row>
    <row r="44" spans="3:8" x14ac:dyDescent="0.25">
      <c r="D44" s="41"/>
      <c r="E44" s="2" t="str">
        <f>'Billing Detail'!D132</f>
        <v>Customer Charge</v>
      </c>
      <c r="F44" s="25">
        <f>'Billing Detail'!F132</f>
        <v>47.38</v>
      </c>
      <c r="G44" s="25">
        <f>'Billing Detail'!H132</f>
        <v>47.38</v>
      </c>
      <c r="H44" s="25">
        <f t="shared" si="0"/>
        <v>0</v>
      </c>
    </row>
    <row r="45" spans="3:8" x14ac:dyDescent="0.25">
      <c r="D45" s="41"/>
      <c r="E45" s="2" t="str">
        <f>'Billing Detail'!D133</f>
        <v>Energy Charge per kWh - First 100</v>
      </c>
      <c r="F45" s="26">
        <f>'Billing Detail'!F133</f>
        <v>7.1379999999999999E-2</v>
      </c>
      <c r="G45" s="26">
        <f>'Billing Detail'!H133</f>
        <v>7.1379999999999999E-2</v>
      </c>
      <c r="H45" s="25">
        <f t="shared" si="0"/>
        <v>0</v>
      </c>
    </row>
    <row r="46" spans="3:8" x14ac:dyDescent="0.25">
      <c r="D46" s="41"/>
      <c r="E46" s="2" t="str">
        <f>'Billing Detail'!D134</f>
        <v>Energy Charge per kWh - Next 100</v>
      </c>
      <c r="F46" s="26">
        <f>'Billing Detail'!F134</f>
        <v>6.4780000000000004E-2</v>
      </c>
      <c r="G46" s="26">
        <f>'Billing Detail'!H134</f>
        <v>6.4780000000000004E-2</v>
      </c>
      <c r="H46" s="25">
        <f t="shared" si="0"/>
        <v>0</v>
      </c>
    </row>
    <row r="47" spans="3:8" x14ac:dyDescent="0.25">
      <c r="D47" s="41"/>
      <c r="E47" s="2" t="str">
        <f>'Billing Detail'!D135</f>
        <v>Energy Charge per kWh - All Over 200</v>
      </c>
      <c r="F47" s="26">
        <f>'Billing Detail'!F135</f>
        <v>5.8189999999999999E-2</v>
      </c>
      <c r="G47" s="26">
        <f>'Billing Detail'!H135</f>
        <v>5.8189999999999999E-2</v>
      </c>
      <c r="H47" s="25">
        <f t="shared" si="0"/>
        <v>0</v>
      </c>
    </row>
    <row r="48" spans="3:8" ht="13.2" customHeight="1" x14ac:dyDescent="0.25">
      <c r="D48" s="44"/>
      <c r="E48" s="2" t="str">
        <f>'Billing Detail'!D136</f>
        <v>Demand Charge - Contract per kW</v>
      </c>
      <c r="F48" s="25">
        <f>'Billing Detail'!F136</f>
        <v>6.21</v>
      </c>
      <c r="G48" s="25">
        <f>'Billing Detail'!H136</f>
        <v>6.21</v>
      </c>
      <c r="H48" s="25">
        <f t="shared" si="0"/>
        <v>0</v>
      </c>
    </row>
    <row r="49" spans="3:8" ht="13.2" customHeight="1" x14ac:dyDescent="0.25">
      <c r="C49" s="9">
        <f>'Billing Detail'!C137</f>
        <v>33</v>
      </c>
      <c r="D49" s="45" t="str">
        <f>'Billing Detail'!B137</f>
        <v>Special Outdoor Lighting</v>
      </c>
      <c r="H49" s="25"/>
    </row>
    <row r="50" spans="3:8" ht="13.2" customHeight="1" x14ac:dyDescent="0.25">
      <c r="D50" s="45"/>
      <c r="E50" s="2" t="str">
        <f>'Billing Detail'!D138</f>
        <v>Energy Rate</v>
      </c>
      <c r="F50" s="26">
        <f>'Billing Detail'!F138</f>
        <v>5.8110000000000002E-2</v>
      </c>
      <c r="G50" s="26">
        <f>'Billing Detail'!H138</f>
        <v>5.8110000000000002E-2</v>
      </c>
      <c r="H50" s="25">
        <f t="shared" si="0"/>
        <v>0</v>
      </c>
    </row>
    <row r="51" spans="3:8" ht="13.2" customHeight="1" x14ac:dyDescent="0.25">
      <c r="C51" s="9" t="str">
        <f>'Billing Detail'!C139</f>
        <v>B3</v>
      </c>
      <c r="D51" s="45" t="str">
        <f>'Billing Detail'!B139</f>
        <v>Large Industrial Rate</v>
      </c>
      <c r="F51" s="25"/>
      <c r="G51" s="25"/>
      <c r="H51" s="25"/>
    </row>
    <row r="52" spans="3:8" ht="13.2" customHeight="1" x14ac:dyDescent="0.25">
      <c r="D52" s="45"/>
      <c r="E52" s="2" t="str">
        <f>'Billing Detail'!D140</f>
        <v>Customer Charge Transformer 10,000 - 14,999 kVA</v>
      </c>
      <c r="F52" s="25">
        <f>'Billing Detail'!F140</f>
        <v>3530.38</v>
      </c>
      <c r="G52" s="25">
        <f>'Billing Detail'!H140</f>
        <v>3530.38</v>
      </c>
      <c r="H52" s="25">
        <f t="shared" si="0"/>
        <v>0</v>
      </c>
    </row>
    <row r="53" spans="3:8" ht="13.2" customHeight="1" x14ac:dyDescent="0.25">
      <c r="D53" s="45"/>
      <c r="E53" s="2" t="str">
        <f>'Billing Detail'!D141</f>
        <v>Customer Charge Transformer 15,000+ kVA</v>
      </c>
      <c r="F53" s="25">
        <f>'Billing Detail'!F141</f>
        <v>5603.59</v>
      </c>
      <c r="G53" s="25">
        <f>'Billing Detail'!H141</f>
        <v>5603.59</v>
      </c>
      <c r="H53" s="25">
        <f t="shared" si="0"/>
        <v>0</v>
      </c>
    </row>
    <row r="54" spans="3:8" ht="13.2" customHeight="1" x14ac:dyDescent="0.25">
      <c r="D54" s="45"/>
      <c r="E54" s="2" t="str">
        <f>'Billing Detail'!D142</f>
        <v>Demand Charge - Contract per kW</v>
      </c>
      <c r="F54" s="25">
        <f>'Billing Detail'!F142</f>
        <v>7.4</v>
      </c>
      <c r="G54" s="25">
        <f>'Billing Detail'!H142</f>
        <v>7.49</v>
      </c>
      <c r="H54" s="25">
        <f t="shared" si="0"/>
        <v>8.9999999999999858E-2</v>
      </c>
    </row>
    <row r="55" spans="3:8" ht="13.2" customHeight="1" x14ac:dyDescent="0.25">
      <c r="D55" s="45"/>
      <c r="E55" s="2" t="str">
        <f>'Billing Detail'!D143</f>
        <v>Demand Charge - Excess per kW</v>
      </c>
      <c r="F55" s="25">
        <f>'Billing Detail'!F143</f>
        <v>10.3</v>
      </c>
      <c r="G55" s="25">
        <f>'Billing Detail'!H143</f>
        <v>9.98</v>
      </c>
      <c r="H55" s="25">
        <f t="shared" si="0"/>
        <v>-0.32000000000000028</v>
      </c>
    </row>
    <row r="56" spans="3:8" ht="13.2" customHeight="1" x14ac:dyDescent="0.25">
      <c r="D56" s="45"/>
      <c r="E56" s="2" t="str">
        <f>'Billing Detail'!D144</f>
        <v>Energy Charge per kWh - All Over 200</v>
      </c>
      <c r="F56" s="26">
        <f>'Billing Detail'!F144</f>
        <v>4.2680000000000003E-2</v>
      </c>
      <c r="G56" s="26">
        <f>'Billing Detail'!H144</f>
        <v>4.2680000000000003E-2</v>
      </c>
      <c r="H56" s="25">
        <f t="shared" si="0"/>
        <v>0</v>
      </c>
    </row>
    <row r="57" spans="3:8" ht="13.2" customHeight="1" x14ac:dyDescent="0.25">
      <c r="C57" s="9" t="str">
        <f>'Billing Detail'!C145</f>
        <v>C1</v>
      </c>
      <c r="D57" s="45" t="str">
        <f>'Billing Detail'!B145</f>
        <v>Large Industrial Rate</v>
      </c>
      <c r="F57" s="25"/>
      <c r="G57" s="25"/>
      <c r="H57" s="25"/>
    </row>
    <row r="58" spans="3:8" ht="13.2" customHeight="1" x14ac:dyDescent="0.25">
      <c r="D58" s="45"/>
      <c r="E58" s="2" t="str">
        <f>'Billing Detail'!D146</f>
        <v>Customer Charge</v>
      </c>
      <c r="F58" s="25">
        <f>'Billing Detail'!F146</f>
        <v>633.80999999999995</v>
      </c>
      <c r="G58" s="25">
        <f>'Billing Detail'!H146</f>
        <v>633.80999999999995</v>
      </c>
      <c r="H58" s="25">
        <f t="shared" si="0"/>
        <v>0</v>
      </c>
    </row>
    <row r="59" spans="3:8" ht="13.2" customHeight="1" x14ac:dyDescent="0.25">
      <c r="D59" s="45"/>
      <c r="E59" s="2" t="str">
        <f>'Billing Detail'!D147</f>
        <v>Energy Charge per kWh</v>
      </c>
      <c r="F59" s="26">
        <f>'Billing Detail'!F147</f>
        <v>4.9790000000000001E-2</v>
      </c>
      <c r="G59" s="26">
        <f>'Billing Detail'!H147</f>
        <v>4.9790000000000001E-2</v>
      </c>
      <c r="H59" s="25">
        <f t="shared" si="0"/>
        <v>0</v>
      </c>
    </row>
    <row r="60" spans="3:8" ht="13.2" customHeight="1" x14ac:dyDescent="0.25">
      <c r="D60" s="45"/>
      <c r="E60" s="2" t="str">
        <f>'Billing Detail'!D148</f>
        <v>Demand Charge per kW</v>
      </c>
      <c r="F60" s="25">
        <f>'Billing Detail'!F148</f>
        <v>7.4</v>
      </c>
      <c r="G60" s="25">
        <f>'Billing Detail'!H148</f>
        <v>7.49</v>
      </c>
      <c r="H60" s="25">
        <f t="shared" si="0"/>
        <v>8.9999999999999858E-2</v>
      </c>
    </row>
    <row r="61" spans="3:8" ht="13.2" customHeight="1" x14ac:dyDescent="0.25">
      <c r="C61" s="9" t="str">
        <f>'Billing Detail'!C149</f>
        <v>C2</v>
      </c>
      <c r="D61" s="45" t="str">
        <f>'Billing Detail'!B149</f>
        <v>Large Industrial Rate</v>
      </c>
      <c r="F61" s="25"/>
      <c r="G61" s="25"/>
      <c r="H61" s="25"/>
    </row>
    <row r="62" spans="3:8" ht="13.2" customHeight="1" x14ac:dyDescent="0.25">
      <c r="D62" s="45"/>
      <c r="E62" s="2" t="str">
        <f>'Billing Detail'!D150</f>
        <v>Customer Charge</v>
      </c>
      <c r="F62" s="25">
        <f>'Billing Detail'!F150</f>
        <v>1266.43</v>
      </c>
      <c r="G62" s="25">
        <f>'Billing Detail'!H150</f>
        <v>1266.43</v>
      </c>
      <c r="H62" s="25">
        <f t="shared" si="0"/>
        <v>0</v>
      </c>
    </row>
    <row r="63" spans="3:8" ht="13.2" customHeight="1" x14ac:dyDescent="0.25">
      <c r="D63" s="45"/>
      <c r="E63" s="2" t="str">
        <f>'Billing Detail'!D151</f>
        <v>Energy Charge per kWh</v>
      </c>
      <c r="F63" s="26">
        <f>'Billing Detail'!F151</f>
        <v>4.3290000000000002E-2</v>
      </c>
      <c r="G63" s="26">
        <f>'Billing Detail'!H151</f>
        <v>4.3290000000000002E-2</v>
      </c>
      <c r="H63" s="25">
        <f t="shared" si="0"/>
        <v>0</v>
      </c>
    </row>
    <row r="64" spans="3:8" ht="13.2" customHeight="1" x14ac:dyDescent="0.25">
      <c r="D64" s="45"/>
      <c r="E64" s="2" t="str">
        <f>'Billing Detail'!D152</f>
        <v>Demand Charge per kW</v>
      </c>
      <c r="F64" s="25">
        <f>'Billing Detail'!F152</f>
        <v>7.4</v>
      </c>
      <c r="G64" s="25">
        <f>'Billing Detail'!H152</f>
        <v>7.49</v>
      </c>
      <c r="H64" s="25">
        <f t="shared" si="0"/>
        <v>8.9999999999999858E-2</v>
      </c>
    </row>
    <row r="65" spans="3:8" ht="13.2" customHeight="1" x14ac:dyDescent="0.25">
      <c r="C65" s="9" t="str">
        <f>'Billing Detail'!C153</f>
        <v>C3</v>
      </c>
      <c r="D65" s="45" t="str">
        <f>'Billing Detail'!B153</f>
        <v>Large Industrial Rate</v>
      </c>
      <c r="F65" s="25"/>
      <c r="G65" s="25"/>
      <c r="H65" s="25"/>
    </row>
    <row r="66" spans="3:8" ht="13.2" customHeight="1" x14ac:dyDescent="0.25">
      <c r="D66" s="45"/>
      <c r="E66" s="2" t="str">
        <f>'Billing Detail'!D154</f>
        <v>Customer Charge Transformer 10,000 - 14,999 kVA</v>
      </c>
      <c r="F66" s="25">
        <f>'Billing Detail'!F154</f>
        <v>3530.38</v>
      </c>
      <c r="G66" s="25">
        <f>'Billing Detail'!H154</f>
        <v>3530.38</v>
      </c>
      <c r="H66" s="25">
        <f t="shared" si="0"/>
        <v>0</v>
      </c>
    </row>
    <row r="67" spans="3:8" ht="13.2" customHeight="1" x14ac:dyDescent="0.25">
      <c r="D67" s="45"/>
      <c r="E67" s="2" t="str">
        <f>'Billing Detail'!D155</f>
        <v>Customer Charge Transformer 15,000+ kVA</v>
      </c>
      <c r="F67" s="25">
        <f>'Billing Detail'!F155</f>
        <v>5603.59</v>
      </c>
      <c r="G67" s="25">
        <f>'Billing Detail'!H155</f>
        <v>5603.59</v>
      </c>
      <c r="H67" s="25">
        <f t="shared" si="0"/>
        <v>0</v>
      </c>
    </row>
    <row r="68" spans="3:8" ht="13.2" customHeight="1" x14ac:dyDescent="0.25">
      <c r="E68" s="2" t="str">
        <f>'Billing Detail'!D156</f>
        <v>Demand Charge - Contract per kW</v>
      </c>
      <c r="F68" s="25">
        <f>'Billing Detail'!F156</f>
        <v>7.4</v>
      </c>
      <c r="G68" s="25">
        <f>'Billing Detail'!H156</f>
        <v>7.49</v>
      </c>
      <c r="H68" s="25">
        <f t="shared" si="0"/>
        <v>8.9999999999999858E-2</v>
      </c>
    </row>
    <row r="69" spans="3:8" ht="13.2" customHeight="1" x14ac:dyDescent="0.25">
      <c r="E69" s="2" t="str">
        <f>'Billing Detail'!D157</f>
        <v>Energy Charge per kWh - All Over 200</v>
      </c>
      <c r="F69" s="26">
        <f>'Billing Detail'!F157</f>
        <v>4.2680000000000003E-2</v>
      </c>
      <c r="G69" s="26">
        <f>'Billing Detail'!H157</f>
        <v>4.2680000000000003E-2</v>
      </c>
      <c r="H69" s="25">
        <f t="shared" si="0"/>
        <v>0</v>
      </c>
    </row>
    <row r="70" spans="3:8" ht="13.2" customHeight="1" x14ac:dyDescent="0.25">
      <c r="F70" s="25"/>
      <c r="G70" s="25"/>
    </row>
    <row r="71" spans="3:8" ht="13.2" customHeight="1" x14ac:dyDescent="0.25">
      <c r="F71" s="25"/>
      <c r="G71" s="25"/>
    </row>
    <row r="72" spans="3:8" ht="41.4" customHeight="1" x14ac:dyDescent="0.25">
      <c r="C72" s="133" t="s">
        <v>35</v>
      </c>
      <c r="D72" s="133"/>
      <c r="E72" s="133"/>
      <c r="F72" s="133"/>
      <c r="G72" s="133"/>
    </row>
    <row r="73" spans="3:8" x14ac:dyDescent="0.25">
      <c r="D73" s="2"/>
      <c r="F73" s="134" t="s">
        <v>36</v>
      </c>
      <c r="G73" s="134"/>
    </row>
    <row r="74" spans="3:8" x14ac:dyDescent="0.25">
      <c r="C74" s="37" t="s">
        <v>37</v>
      </c>
      <c r="D74" s="30"/>
      <c r="E74" s="31"/>
      <c r="F74" s="32" t="s">
        <v>38</v>
      </c>
      <c r="G74" s="32" t="s">
        <v>39</v>
      </c>
    </row>
    <row r="75" spans="3:8" x14ac:dyDescent="0.25">
      <c r="C75" s="38">
        <f>Summary!C8</f>
        <v>12</v>
      </c>
      <c r="D75" s="3" t="str">
        <f>Summary!B8</f>
        <v>Residential Service</v>
      </c>
      <c r="F75" s="33">
        <f>Summary!G8</f>
        <v>1140239.8680699989</v>
      </c>
      <c r="G75" s="34">
        <f>Summary!H8</f>
        <v>4.1841863155091197E-2</v>
      </c>
    </row>
    <row r="76" spans="3:8" x14ac:dyDescent="0.25">
      <c r="C76" s="38">
        <f>Summary!C9</f>
        <v>9</v>
      </c>
      <c r="D76" s="3" t="str">
        <f>Summary!B9</f>
        <v>Off Peak Retail Marketing (ETS)</v>
      </c>
      <c r="F76" s="33">
        <f>Summary!G9</f>
        <v>0</v>
      </c>
      <c r="G76" s="34">
        <f>Summary!H9</f>
        <v>0</v>
      </c>
    </row>
    <row r="77" spans="3:8" x14ac:dyDescent="0.25">
      <c r="C77" s="38">
        <f>Summary!C10</f>
        <v>15</v>
      </c>
      <c r="D77" s="3" t="str">
        <f>Summary!B10</f>
        <v>Prepay Service</v>
      </c>
      <c r="F77" s="33">
        <f>Summary!G10</f>
        <v>72322.826203333447</v>
      </c>
      <c r="G77" s="34">
        <f>Summary!H10</f>
        <v>3.7190492783849401E-2</v>
      </c>
    </row>
    <row r="78" spans="3:8" x14ac:dyDescent="0.25">
      <c r="C78" s="38">
        <f>Summary!C11</f>
        <v>11</v>
      </c>
      <c r="D78" s="3" t="str">
        <f>Summary!B11</f>
        <v xml:space="preserve">General Service </v>
      </c>
      <c r="F78" s="33">
        <f>Summary!G11</f>
        <v>365814.23559885379</v>
      </c>
      <c r="G78" s="34">
        <f>Summary!H11</f>
        <v>6.8229253044796545E-2</v>
      </c>
    </row>
    <row r="79" spans="3:8" x14ac:dyDescent="0.25">
      <c r="C79" s="38">
        <f>Summary!C12</f>
        <v>2</v>
      </c>
      <c r="D79" s="3" t="str">
        <f>Summary!B12</f>
        <v>Large Power Service</v>
      </c>
      <c r="F79" s="33">
        <f>Summary!G12</f>
        <v>192834.73612673488</v>
      </c>
      <c r="G79" s="34">
        <f>Summary!H12</f>
        <v>3.0351058483424214E-2</v>
      </c>
    </row>
    <row r="80" spans="3:8" x14ac:dyDescent="0.25">
      <c r="C80" s="38" t="str">
        <f>Summary!C13</f>
        <v>B1</v>
      </c>
      <c r="D80" s="3" t="str">
        <f>Summary!B13</f>
        <v xml:space="preserve">Large Industrial Rate </v>
      </c>
      <c r="F80" s="33">
        <f>Summary!G13</f>
        <v>300541.63071572594</v>
      </c>
      <c r="G80" s="34">
        <f>Summary!H13</f>
        <v>2.948807142993029E-2</v>
      </c>
    </row>
    <row r="81" spans="3:7" x14ac:dyDescent="0.25">
      <c r="C81" s="38" t="str">
        <f>Summary!C14</f>
        <v>B2</v>
      </c>
      <c r="D81" s="3" t="str">
        <f>Summary!B14</f>
        <v xml:space="preserve">Large Industrial Rate </v>
      </c>
      <c r="F81" s="33">
        <f>Summary!G14</f>
        <v>79630.988271998707</v>
      </c>
      <c r="G81" s="34">
        <f>Summary!H14</f>
        <v>2.9060872287825515E-2</v>
      </c>
    </row>
    <row r="82" spans="3:7" x14ac:dyDescent="0.25">
      <c r="C82" s="38">
        <f>Summary!C15</f>
        <v>3</v>
      </c>
      <c r="D82" s="3" t="str">
        <f>Summary!B15</f>
        <v>Outdoor and Street Lighting</v>
      </c>
      <c r="F82" s="33">
        <f>Summary!G15</f>
        <v>30253.995013349573</v>
      </c>
      <c r="G82" s="34">
        <f>Summary!H15</f>
        <v>4.4578652119790216E-2</v>
      </c>
    </row>
    <row r="83" spans="3:7" x14ac:dyDescent="0.25">
      <c r="C83" s="42"/>
      <c r="D83" s="83" t="str">
        <f>Summary!B16</f>
        <v>Total</v>
      </c>
      <c r="E83" s="18"/>
      <c r="F83" s="84">
        <f>Summary!G16</f>
        <v>2181638.2800000012</v>
      </c>
      <c r="G83" s="85">
        <f>Summary!H16</f>
        <v>4.0003094302824151E-2</v>
      </c>
    </row>
    <row r="84" spans="3:7" x14ac:dyDescent="0.25">
      <c r="D84" s="2"/>
    </row>
    <row r="85" spans="3:7" ht="40.200000000000003" customHeight="1" x14ac:dyDescent="0.25">
      <c r="C85" s="133" t="s">
        <v>41</v>
      </c>
      <c r="D85" s="133"/>
      <c r="E85" s="133"/>
      <c r="F85" s="133"/>
      <c r="G85" s="133"/>
    </row>
    <row r="86" spans="3:7" x14ac:dyDescent="0.25">
      <c r="D86" s="2"/>
      <c r="E86" s="36" t="s">
        <v>14</v>
      </c>
      <c r="F86" s="134" t="s">
        <v>36</v>
      </c>
      <c r="G86" s="134"/>
    </row>
    <row r="87" spans="3:7" x14ac:dyDescent="0.25">
      <c r="C87" s="37" t="s">
        <v>37</v>
      </c>
      <c r="D87" s="31"/>
      <c r="E87" s="37" t="s">
        <v>42</v>
      </c>
      <c r="F87" s="32" t="s">
        <v>38</v>
      </c>
      <c r="G87" s="32" t="s">
        <v>39</v>
      </c>
    </row>
    <row r="88" spans="3:7" x14ac:dyDescent="0.25">
      <c r="C88" s="9">
        <f>Summary!C8</f>
        <v>12</v>
      </c>
      <c r="D88" s="43" t="str">
        <f>Summary!B8</f>
        <v>Residential Service</v>
      </c>
      <c r="E88" s="39">
        <f>'Billing Detail'!E17</f>
        <v>1383.6127823656052</v>
      </c>
      <c r="F88" s="25">
        <f>Summary!I8</f>
        <v>7.3277842490279852</v>
      </c>
      <c r="G88" s="4">
        <f>Summary!H8</f>
        <v>4.1841863155091197E-2</v>
      </c>
    </row>
    <row r="89" spans="3:7" x14ac:dyDescent="0.25">
      <c r="C89" s="9">
        <f>Summary!C9</f>
        <v>9</v>
      </c>
      <c r="D89" s="43" t="str">
        <f>Summary!B9</f>
        <v>Off Peak Retail Marketing (ETS)</v>
      </c>
      <c r="E89" s="39">
        <f>'Billing Detail'!E29</f>
        <v>897.04285714285709</v>
      </c>
      <c r="F89" s="25">
        <f>Summary!I9</f>
        <v>0</v>
      </c>
      <c r="G89" s="4">
        <f>Summary!H9</f>
        <v>0</v>
      </c>
    </row>
    <row r="90" spans="3:7" x14ac:dyDescent="0.25">
      <c r="C90" s="9">
        <f>Summary!C10</f>
        <v>15</v>
      </c>
      <c r="D90" s="43" t="str">
        <f>Summary!B10</f>
        <v>Prepay Service</v>
      </c>
      <c r="E90" s="39">
        <f>'Billing Detail'!E41</f>
        <v>51.536403171663551</v>
      </c>
      <c r="F90" s="25">
        <f>Summary!I10</f>
        <v>0.24389545100937671</v>
      </c>
      <c r="G90" s="4">
        <f>Summary!H10</f>
        <v>3.7190492783849401E-2</v>
      </c>
    </row>
    <row r="91" spans="3:7" x14ac:dyDescent="0.25">
      <c r="C91" s="9">
        <f>Summary!C11</f>
        <v>11</v>
      </c>
      <c r="D91" s="43" t="str">
        <f>Summary!B11</f>
        <v xml:space="preserve">General Service </v>
      </c>
      <c r="E91" s="39">
        <f>'Billing Detail'!E54</f>
        <v>888.35185273159141</v>
      </c>
      <c r="F91" s="25">
        <f>Summary!I11</f>
        <v>8.6891742422530456</v>
      </c>
      <c r="G91" s="4">
        <f>Summary!H11</f>
        <v>6.8229253044796545E-2</v>
      </c>
    </row>
    <row r="92" spans="3:7" x14ac:dyDescent="0.25">
      <c r="C92" s="9">
        <f>Summary!C12</f>
        <v>2</v>
      </c>
      <c r="D92" s="43" t="str">
        <f>Summary!B12</f>
        <v>Large Power Service</v>
      </c>
      <c r="E92" s="39">
        <f>'Billing Detail'!E67</f>
        <v>84087.61887210884</v>
      </c>
      <c r="F92" s="25">
        <f>Summary!I12</f>
        <v>262.36018520644211</v>
      </c>
      <c r="G92" s="4">
        <f>Summary!H12</f>
        <v>3.0351058483424214E-2</v>
      </c>
    </row>
    <row r="93" spans="3:7" x14ac:dyDescent="0.25">
      <c r="C93" s="9" t="str">
        <f>Summary!C13</f>
        <v>B1</v>
      </c>
      <c r="D93" s="43" t="str">
        <f>Summary!B13</f>
        <v xml:space="preserve">Large Industrial Rate </v>
      </c>
      <c r="E93" s="39">
        <f>'Billing Detail'!E81</f>
        <v>680697.34523809527</v>
      </c>
      <c r="F93" s="25">
        <f>Summary!I13</f>
        <v>1788.9382780697997</v>
      </c>
      <c r="G93" s="4">
        <f>Summary!H13</f>
        <v>2.948807142993029E-2</v>
      </c>
    </row>
    <row r="94" spans="3:7" x14ac:dyDescent="0.25">
      <c r="C94" s="9" t="str">
        <f>Summary!C14</f>
        <v>B2</v>
      </c>
      <c r="D94" s="43" t="str">
        <f>Summary!B14</f>
        <v xml:space="preserve">Large Industrial Rate </v>
      </c>
      <c r="E94" s="39">
        <f>'Billing Detail'!E95</f>
        <v>2845880</v>
      </c>
      <c r="F94" s="25">
        <f>Summary!I14</f>
        <v>6635.9156893332256</v>
      </c>
      <c r="G94" s="4">
        <f>Summary!H14</f>
        <v>2.9060872287825515E-2</v>
      </c>
    </row>
    <row r="95" spans="3:7" x14ac:dyDescent="0.25">
      <c r="C95" s="9">
        <f>Summary!C15</f>
        <v>3</v>
      </c>
      <c r="D95" s="43" t="str">
        <f>Summary!B15</f>
        <v>Outdoor and Street Lighting</v>
      </c>
      <c r="E95" s="40" t="s">
        <v>43</v>
      </c>
      <c r="F95" s="25">
        <f>Summary!I15</f>
        <v>0</v>
      </c>
      <c r="G95" s="4">
        <f>Summary!H15</f>
        <v>4.4578652119790216E-2</v>
      </c>
    </row>
    <row r="96" spans="3:7" x14ac:dyDescent="0.25">
      <c r="C96" s="29"/>
      <c r="D96" s="94" t="s">
        <v>40</v>
      </c>
      <c r="E96" s="95"/>
      <c r="F96" s="96"/>
      <c r="G96" s="97">
        <f>Summary!H16</f>
        <v>4.0003094302824151E-2</v>
      </c>
    </row>
    <row r="97" spans="4:7" x14ac:dyDescent="0.25">
      <c r="D97" s="43"/>
      <c r="E97" s="39"/>
      <c r="F97" s="25"/>
      <c r="G97" s="4"/>
    </row>
  </sheetData>
  <mergeCells count="4">
    <mergeCell ref="C72:G72"/>
    <mergeCell ref="F73:G73"/>
    <mergeCell ref="C85:G85"/>
    <mergeCell ref="F86:G86"/>
  </mergeCells>
  <printOptions horizontalCentered="1"/>
  <pageMargins left="0.7" right="0.7" top="0.75" bottom="0.75" header="0.3" footer="0.3"/>
  <pageSetup paperSize="9" scale="78" orientation="portrait" r:id="rId1"/>
  <headerFooter>
    <oddHeader>&amp;R&amp;"Arial,Bold"&amp;10Exhibit 2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905C9-8ECE-4114-9E08-52D2EE400D97}">
  <dimension ref="C6:I23"/>
  <sheetViews>
    <sheetView workbookViewId="0">
      <selection activeCell="H20" sqref="H20"/>
    </sheetView>
  </sheetViews>
  <sheetFormatPr defaultRowHeight="14.4" x14ac:dyDescent="0.3"/>
  <cols>
    <col min="3" max="3" width="37.77734375" bestFit="1" customWidth="1"/>
    <col min="4" max="4" width="8.88671875" style="79"/>
    <col min="8" max="8" width="26.6640625" bestFit="1" customWidth="1"/>
  </cols>
  <sheetData>
    <row r="6" spans="3:9" x14ac:dyDescent="0.3">
      <c r="C6" t="s">
        <v>88</v>
      </c>
      <c r="D6" s="79">
        <v>2</v>
      </c>
      <c r="F6" t="s">
        <v>81</v>
      </c>
      <c r="H6" t="s">
        <v>61</v>
      </c>
      <c r="I6" s="79">
        <v>12</v>
      </c>
    </row>
    <row r="7" spans="3:9" x14ac:dyDescent="0.3">
      <c r="C7" t="s">
        <v>60</v>
      </c>
      <c r="D7" s="79">
        <v>9</v>
      </c>
      <c r="F7" t="s">
        <v>82</v>
      </c>
      <c r="H7" t="s">
        <v>60</v>
      </c>
      <c r="I7" s="79">
        <v>9</v>
      </c>
    </row>
    <row r="8" spans="3:9" x14ac:dyDescent="0.3">
      <c r="C8" t="s">
        <v>90</v>
      </c>
      <c r="D8" s="79">
        <v>11</v>
      </c>
      <c r="F8" t="s">
        <v>83</v>
      </c>
      <c r="H8" t="s">
        <v>62</v>
      </c>
      <c r="I8" s="79">
        <v>15</v>
      </c>
    </row>
    <row r="9" spans="3:9" x14ac:dyDescent="0.3">
      <c r="C9" t="s">
        <v>61</v>
      </c>
      <c r="D9" s="79">
        <v>12</v>
      </c>
      <c r="F9" t="s">
        <v>84</v>
      </c>
      <c r="H9" t="s">
        <v>90</v>
      </c>
      <c r="I9" s="79">
        <v>11</v>
      </c>
    </row>
    <row r="10" spans="3:9" x14ac:dyDescent="0.3">
      <c r="F10" t="s">
        <v>85</v>
      </c>
      <c r="H10" t="s">
        <v>88</v>
      </c>
      <c r="I10" s="79">
        <v>2</v>
      </c>
    </row>
    <row r="11" spans="3:9" x14ac:dyDescent="0.3">
      <c r="C11" t="s">
        <v>62</v>
      </c>
      <c r="D11" s="79">
        <v>15</v>
      </c>
      <c r="F11" t="s">
        <v>86</v>
      </c>
      <c r="H11" t="s">
        <v>71</v>
      </c>
      <c r="I11" s="79" t="s">
        <v>74</v>
      </c>
    </row>
    <row r="12" spans="3:9" x14ac:dyDescent="0.3">
      <c r="C12" t="s">
        <v>71</v>
      </c>
      <c r="D12" s="79" t="s">
        <v>74</v>
      </c>
      <c r="F12" t="s">
        <v>74</v>
      </c>
      <c r="H12" t="s">
        <v>71</v>
      </c>
      <c r="I12" s="79" t="s">
        <v>73</v>
      </c>
    </row>
    <row r="13" spans="3:9" x14ac:dyDescent="0.3">
      <c r="C13" t="s">
        <v>71</v>
      </c>
      <c r="D13" s="79" t="s">
        <v>73</v>
      </c>
      <c r="F13" t="s">
        <v>73</v>
      </c>
      <c r="H13" t="s">
        <v>89</v>
      </c>
      <c r="I13" s="79">
        <v>3</v>
      </c>
    </row>
    <row r="14" spans="3:9" x14ac:dyDescent="0.3">
      <c r="C14" t="s">
        <v>89</v>
      </c>
      <c r="D14" s="79">
        <v>3</v>
      </c>
      <c r="F14" t="s">
        <v>87</v>
      </c>
    </row>
    <row r="16" spans="3:9" x14ac:dyDescent="0.3">
      <c r="C16" t="s">
        <v>91</v>
      </c>
      <c r="D16" s="79">
        <v>22</v>
      </c>
    </row>
    <row r="17" spans="3:4" x14ac:dyDescent="0.3">
      <c r="C17" t="s">
        <v>92</v>
      </c>
      <c r="D17" s="79">
        <v>24</v>
      </c>
    </row>
    <row r="18" spans="3:4" x14ac:dyDescent="0.3">
      <c r="C18" t="s">
        <v>93</v>
      </c>
      <c r="D18" s="79">
        <v>33</v>
      </c>
    </row>
    <row r="19" spans="3:4" x14ac:dyDescent="0.3">
      <c r="C19" t="s">
        <v>71</v>
      </c>
      <c r="D19" s="79" t="s">
        <v>72</v>
      </c>
    </row>
    <row r="20" spans="3:4" x14ac:dyDescent="0.3">
      <c r="C20" t="s">
        <v>71</v>
      </c>
      <c r="D20" s="79" t="s">
        <v>77</v>
      </c>
    </row>
    <row r="21" spans="3:4" x14ac:dyDescent="0.3">
      <c r="C21" t="s">
        <v>71</v>
      </c>
      <c r="D21" s="79" t="s">
        <v>78</v>
      </c>
    </row>
    <row r="22" spans="3:4" x14ac:dyDescent="0.3">
      <c r="C22" t="s">
        <v>71</v>
      </c>
      <c r="D22" s="79" t="s">
        <v>79</v>
      </c>
    </row>
    <row r="23" spans="3:4" x14ac:dyDescent="0.3">
      <c r="C23" t="s">
        <v>94</v>
      </c>
      <c r="D23" s="79" t="s">
        <v>95</v>
      </c>
    </row>
  </sheetData>
  <phoneticPr fontId="7" type="noConversion"/>
  <pageMargins left="0.7" right="0.7" top="0.75" bottom="0.75" header="0.3" footer="0.3"/>
  <ignoredErrors>
    <ignoredError sqref="F6:F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Sheet1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2023-07-25T02:20:28Z</cp:lastPrinted>
  <dcterms:created xsi:type="dcterms:W3CDTF">2021-02-09T02:13:44Z</dcterms:created>
  <dcterms:modified xsi:type="dcterms:W3CDTF">2023-09-12T03:53:36Z</dcterms:modified>
</cp:coreProperties>
</file>