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70" firstSheet="6" activeTab="6"/>
  </bookViews>
  <sheets>
    <sheet name="OLD - RUS Payts" sheetId="1" state="hidden" r:id="rId1"/>
    <sheet name="RUS Payts (2)" sheetId="2" state="hidden" r:id="rId2"/>
    <sheet name="RUS Payts (3)" sheetId="3" state="hidden" r:id="rId3"/>
    <sheet name="FFB Payts (3)" sheetId="4" state="hidden" r:id="rId4"/>
    <sheet name="CFC Payts (2)" sheetId="5" state="hidden" r:id="rId5"/>
    <sheet name="LTD Summary" sheetId="6" state="hidden" r:id="rId6"/>
    <sheet name="Summary - LTD Interest" sheetId="7" r:id="rId7"/>
    <sheet name="RUS Payts" sheetId="8" r:id="rId8"/>
    <sheet name="old CFC Payts" sheetId="9" state="hidden" r:id="rId9"/>
    <sheet name="FFB Payts" sheetId="10" r:id="rId10"/>
    <sheet name="CFC Payts" sheetId="11" r:id="rId11"/>
    <sheet name="CFC LOC" sheetId="12" state="hidden" r:id="rId12"/>
    <sheet name="Consumer Deposit Interest" sheetId="13" state="hidden" r:id="rId13"/>
    <sheet name="PPP" sheetId="14" state="hidden" r:id="rId14"/>
    <sheet name="FFB Amortizatio" sheetId="15" state="hidden" r:id="rId15"/>
    <sheet name="FFB Payts (2)" sheetId="16" state="hidden" r:id="rId16"/>
    <sheet name="TREA  Amortizat" sheetId="17" state="hidden" r:id="rId17"/>
  </sheets>
  <externalReferences>
    <externalReference r:id="rId20"/>
    <externalReference r:id="rId21"/>
  </externalReferences>
  <definedNames>
    <definedName name="_xlfn._FV" hidden="1">#NAME?</definedName>
    <definedName name="_xlnm.Print_Area" localSheetId="10">'CFC Payts'!$I$1:$AA$45</definedName>
    <definedName name="_xlnm.Print_Area" localSheetId="4">'CFC Payts (2)'!$I$1:$AA$47</definedName>
    <definedName name="_xlnm.Print_Area" localSheetId="9">'FFB Payts'!$A$1:$CH$49</definedName>
    <definedName name="_xlnm.Print_Area" localSheetId="15">'FFB Payts (2)'!$I$3:$AD$29</definedName>
    <definedName name="_xlnm.Print_Area" localSheetId="3">'FFB Payts (3)'!$I$1:$AB$30</definedName>
    <definedName name="_xlnm.Print_Area" localSheetId="0">'OLD - RUS Payts'!$A$2:$AU$59</definedName>
    <definedName name="_xlnm.Print_Area" localSheetId="8">'old CFC Payts'!$I$2:$Z$25</definedName>
    <definedName name="_xlnm.Print_Area" localSheetId="7">'RUS Payts'!$I$1:$AU$20</definedName>
    <definedName name="_xlnm.Print_Area" localSheetId="1">'RUS Payts (2)'!$A$1:$AU$14</definedName>
    <definedName name="_xlnm.Print_Area" localSheetId="2">'RUS Payts (3)'!$I$1:$AT$20</definedName>
    <definedName name="_xlnm.Print_Area">'FFB Amortizatio'!$B$18:$B$31</definedName>
    <definedName name="_xlnm.Print_Titles" localSheetId="10">'CFC Payts'!$B:$G</definedName>
    <definedName name="_xlnm.Print_Titles" localSheetId="4">'CFC Payts (2)'!$B:$G</definedName>
    <definedName name="_xlnm.Print_Titles" localSheetId="9">'FFB Payts'!$A:$G</definedName>
    <definedName name="_xlnm.Print_Titles" localSheetId="15">'FFB Payts (2)'!$A:$F</definedName>
    <definedName name="_xlnm.Print_Titles" localSheetId="3">'FFB Payts (3)'!$A:$G</definedName>
    <definedName name="_xlnm.Print_Titles" localSheetId="0">'OLD - RUS Payts'!$A:$G</definedName>
    <definedName name="_xlnm.Print_Titles" localSheetId="8">'old CFC Payts'!$A:$F</definedName>
    <definedName name="_xlnm.Print_Titles" localSheetId="7">'RUS Payts'!$A:$G</definedName>
    <definedName name="_xlnm.Print_Titles" localSheetId="1">'RUS Payts (2)'!$A:$G</definedName>
    <definedName name="_xlnm.Print_Titles" localSheetId="2">'RUS Payts (3)'!$A:$G</definedName>
    <definedName name="_xlnm.Print_Titles">#N/A</definedName>
  </definedNames>
  <calcPr fullCalcOnLoad="1" iterate="1" iterateCount="100" iterateDelta="0.001"/>
</workbook>
</file>

<file path=xl/comments10.xml><?xml version="1.0" encoding="utf-8"?>
<comments xmlns="http://schemas.openxmlformats.org/spreadsheetml/2006/main">
  <authors>
    <author>Jean McLaughlin</author>
  </authors>
  <commentList>
    <comment ref="D17" authorId="0">
      <text>
        <r>
          <rPr>
            <b/>
            <sz val="9"/>
            <rFont val="Tahoma"/>
            <family val="2"/>
          </rPr>
          <t>Jean McLaughlin:</t>
        </r>
        <r>
          <rPr>
            <sz val="9"/>
            <rFont val="Tahoma"/>
            <family val="2"/>
          </rPr>
          <t xml:space="preserve">
Will really pay 12/31/2045</t>
        </r>
      </text>
    </comment>
    <comment ref="D16" authorId="0">
      <text>
        <r>
          <rPr>
            <b/>
            <sz val="9"/>
            <rFont val="Tahoma"/>
            <family val="2"/>
          </rPr>
          <t>Jean McLaughlin:</t>
        </r>
        <r>
          <rPr>
            <sz val="9"/>
            <rFont val="Tahoma"/>
            <family val="2"/>
          </rPr>
          <t xml:space="preserve">
Will really pay 12/31/2045
</t>
        </r>
      </text>
    </comment>
  </commentList>
</comments>
</file>

<file path=xl/comments11.xml><?xml version="1.0" encoding="utf-8"?>
<comments xmlns="http://schemas.openxmlformats.org/spreadsheetml/2006/main">
  <authors>
    <author>Jean McLaughlin</author>
  </authors>
  <commentList>
    <comment ref="D21" authorId="0">
      <text>
        <r>
          <rPr>
            <b/>
            <sz val="9"/>
            <rFont val="Tahoma"/>
            <family val="2"/>
          </rPr>
          <t>Jean McLaughlin:</t>
        </r>
        <r>
          <rPr>
            <sz val="9"/>
            <rFont val="Tahoma"/>
            <family val="2"/>
          </rPr>
          <t xml:space="preserve">
Per CFC website</t>
        </r>
      </text>
    </comment>
    <comment ref="D41" authorId="0">
      <text>
        <r>
          <rPr>
            <b/>
            <sz val="9"/>
            <rFont val="Tahoma"/>
            <family val="2"/>
          </rPr>
          <t>Jean McLaughlin:</t>
        </r>
        <r>
          <rPr>
            <sz val="9"/>
            <rFont val="Tahoma"/>
            <family val="2"/>
          </rPr>
          <t xml:space="preserve">
Per CFC website</t>
        </r>
      </text>
    </comment>
  </commentList>
</comments>
</file>

<file path=xl/comments2.xml><?xml version="1.0" encoding="utf-8"?>
<comments xmlns="http://schemas.openxmlformats.org/spreadsheetml/2006/main">
  <authors>
    <author>Jean McLaughlin</author>
  </authors>
  <commentList>
    <comment ref="E9" authorId="0">
      <text>
        <r>
          <rPr>
            <b/>
            <sz val="9"/>
            <rFont val="Tahoma"/>
            <family val="2"/>
          </rPr>
          <t>Jean McLaughlin:</t>
        </r>
        <r>
          <rPr>
            <sz val="9"/>
            <rFont val="Tahoma"/>
            <family val="2"/>
          </rPr>
          <t xml:space="preserve">
FFB early payoff &amp; RUS early payoff and regular mthly pymt</t>
        </r>
      </text>
    </comment>
  </commentList>
</comments>
</file>

<file path=xl/comments4.xml><?xml version="1.0" encoding="utf-8"?>
<comments xmlns="http://schemas.openxmlformats.org/spreadsheetml/2006/main">
  <authors>
    <author>Jean McLaughlin</author>
  </authors>
  <commentList>
    <comment ref="D16" authorId="0">
      <text>
        <r>
          <rPr>
            <b/>
            <sz val="9"/>
            <rFont val="Tahoma"/>
            <family val="2"/>
          </rPr>
          <t>Jean McLaughlin:</t>
        </r>
        <r>
          <rPr>
            <sz val="9"/>
            <rFont val="Tahoma"/>
            <family val="2"/>
          </rPr>
          <t xml:space="preserve">
Will really pay 12/31/2045
</t>
        </r>
      </text>
    </comment>
    <comment ref="D17" authorId="0">
      <text>
        <r>
          <rPr>
            <b/>
            <sz val="9"/>
            <rFont val="Tahoma"/>
            <family val="2"/>
          </rPr>
          <t>Jean McLaughlin:</t>
        </r>
        <r>
          <rPr>
            <sz val="9"/>
            <rFont val="Tahoma"/>
            <family val="2"/>
          </rPr>
          <t xml:space="preserve">
Will really pay 12/31/2045</t>
        </r>
      </text>
    </comment>
  </commentList>
</comments>
</file>

<file path=xl/comments5.xml><?xml version="1.0" encoding="utf-8"?>
<comments xmlns="http://schemas.openxmlformats.org/spreadsheetml/2006/main">
  <authors>
    <author>Jean McLaughlin</author>
  </authors>
  <commentList>
    <comment ref="D21" authorId="0">
      <text>
        <r>
          <rPr>
            <b/>
            <sz val="9"/>
            <rFont val="Tahoma"/>
            <family val="2"/>
          </rPr>
          <t>Jean McLaughlin:</t>
        </r>
        <r>
          <rPr>
            <sz val="9"/>
            <rFont val="Tahoma"/>
            <family val="2"/>
          </rPr>
          <t xml:space="preserve">
Per CFC website</t>
        </r>
      </text>
    </comment>
    <comment ref="D43" authorId="0">
      <text>
        <r>
          <rPr>
            <b/>
            <sz val="9"/>
            <rFont val="Tahoma"/>
            <family val="2"/>
          </rPr>
          <t>Jean McLaughlin:</t>
        </r>
        <r>
          <rPr>
            <sz val="9"/>
            <rFont val="Tahoma"/>
            <family val="2"/>
          </rPr>
          <t xml:space="preserve">
Per CFC website</t>
        </r>
      </text>
    </comment>
  </commentList>
</comments>
</file>

<file path=xl/sharedStrings.xml><?xml version="1.0" encoding="utf-8"?>
<sst xmlns="http://schemas.openxmlformats.org/spreadsheetml/2006/main" count="1321" uniqueCount="337">
  <si>
    <t xml:space="preserve"> (loanint.wk4)</t>
  </si>
  <si>
    <t>Loan #</t>
  </si>
  <si>
    <t>B190</t>
  </si>
  <si>
    <t>B192</t>
  </si>
  <si>
    <t>B200</t>
  </si>
  <si>
    <t>B202</t>
  </si>
  <si>
    <t>1B210</t>
  </si>
  <si>
    <t>1B212</t>
  </si>
  <si>
    <t>1B220</t>
  </si>
  <si>
    <t>1B222</t>
  </si>
  <si>
    <t>1B230</t>
  </si>
  <si>
    <t>1B232</t>
  </si>
  <si>
    <t>1B240</t>
  </si>
  <si>
    <t>1B250</t>
  </si>
  <si>
    <t>1B252</t>
  </si>
  <si>
    <t>1B260</t>
  </si>
  <si>
    <t>1B262</t>
  </si>
  <si>
    <t>1B270</t>
  </si>
  <si>
    <t>1B272</t>
  </si>
  <si>
    <t>1B280</t>
  </si>
  <si>
    <t>1B281</t>
  </si>
  <si>
    <t>1B283</t>
  </si>
  <si>
    <t>1B290</t>
  </si>
  <si>
    <t>1B292</t>
  </si>
  <si>
    <t>1B300</t>
  </si>
  <si>
    <t>1B301</t>
  </si>
  <si>
    <t>1B302</t>
  </si>
  <si>
    <t>1B305</t>
  </si>
  <si>
    <t>1B310</t>
  </si>
  <si>
    <t xml:space="preserve"> 1B315</t>
  </si>
  <si>
    <t>COC</t>
  </si>
  <si>
    <t>Balance</t>
  </si>
  <si>
    <t>Rate</t>
  </si>
  <si>
    <t>JAN</t>
  </si>
  <si>
    <t>INT</t>
  </si>
  <si>
    <t>PRIN</t>
  </si>
  <si>
    <t>BALANCE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</si>
  <si>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</si>
  <si>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</si>
  <si>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</si>
  <si>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</si>
  <si>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</si>
  <si>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</si>
  <si>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</si>
  <si>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</si>
  <si>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</si>
  <si>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</si>
  <si>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</si>
  <si>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 TOTALS</t>
  </si>
  <si>
    <t>PRIN PD</t>
  </si>
  <si>
    <t>THRU 1998</t>
  </si>
  <si>
    <t>THRU 1999</t>
  </si>
  <si>
    <t>THRU 2000</t>
  </si>
  <si>
    <t>THRU 2001</t>
  </si>
  <si>
    <t>THRU 2002</t>
  </si>
  <si>
    <t>THRU 2003</t>
  </si>
  <si>
    <t>THRU 2004</t>
  </si>
  <si>
    <t>THRU 2005</t>
  </si>
  <si>
    <t>THRU 2006</t>
  </si>
  <si>
    <t>ORIGINAL</t>
  </si>
  <si>
    <t>H0010</t>
  </si>
  <si>
    <t>H0015</t>
  </si>
  <si>
    <t>H0020</t>
  </si>
  <si>
    <t>H0025</t>
  </si>
  <si>
    <t>H0030</t>
  </si>
  <si>
    <t>H0035</t>
  </si>
  <si>
    <t>H0040</t>
  </si>
  <si>
    <t>H0045</t>
  </si>
  <si>
    <t>H0050</t>
  </si>
  <si>
    <t>H0055</t>
  </si>
  <si>
    <t>H0060</t>
  </si>
  <si>
    <t>H0065</t>
  </si>
  <si>
    <t>H0070</t>
  </si>
  <si>
    <t>Date</t>
  </si>
  <si>
    <t>SEC 9</t>
  </si>
  <si>
    <t>INT-SEC 9</t>
  </si>
  <si>
    <t>Scheduled Interest Payments - FFB</t>
  </si>
  <si>
    <t>Loan Payts 2005.xls</t>
  </si>
  <si>
    <t>Pricing Date</t>
  </si>
  <si>
    <t>Maturity Date</t>
  </si>
  <si>
    <t>Payt Due</t>
  </si>
  <si>
    <t>FFB</t>
  </si>
  <si>
    <t>5 yr</t>
  </si>
  <si>
    <t xml:space="preserve"> *</t>
  </si>
  <si>
    <t>30 yr</t>
  </si>
  <si>
    <t>F0055</t>
  </si>
  <si>
    <t>6 mth</t>
  </si>
  <si>
    <t>30 yrs</t>
  </si>
  <si>
    <t>35 yrs</t>
  </si>
  <si>
    <t>TOTAL</t>
  </si>
  <si>
    <t>Scheduled Interest Payments - TREAS</t>
  </si>
  <si>
    <t>LOAN</t>
  </si>
  <si>
    <t>A330</t>
  </si>
  <si>
    <t>THRU 2007</t>
  </si>
  <si>
    <t>1B320</t>
  </si>
  <si>
    <t>1B325</t>
  </si>
  <si>
    <t>1 B326</t>
  </si>
  <si>
    <t>1 B327</t>
  </si>
  <si>
    <t>B331</t>
  </si>
  <si>
    <t>B 330</t>
  </si>
  <si>
    <t>B332</t>
  </si>
  <si>
    <t>B333</t>
  </si>
  <si>
    <t>B334</t>
  </si>
  <si>
    <t>B335</t>
  </si>
  <si>
    <t>1B242</t>
  </si>
  <si>
    <t>RUS RE-FI</t>
  </si>
  <si>
    <t>H0075</t>
  </si>
  <si>
    <t>H0080</t>
  </si>
  <si>
    <t>H0085</t>
  </si>
  <si>
    <t>verified 6/15/15 jcm</t>
  </si>
  <si>
    <t>verified 9/14/15 jcm</t>
  </si>
  <si>
    <t xml:space="preserve">Maturity </t>
  </si>
  <si>
    <t>Advance</t>
  </si>
  <si>
    <t>V</t>
  </si>
  <si>
    <t>Maturity</t>
  </si>
  <si>
    <t>Rate Repricing</t>
  </si>
  <si>
    <t>8/31/16-8/31/27</t>
  </si>
  <si>
    <t>Multiple</t>
  </si>
  <si>
    <t>YTD- Interest Paid</t>
  </si>
  <si>
    <t xml:space="preserve"> </t>
  </si>
  <si>
    <t>JUNE</t>
  </si>
  <si>
    <t>JULY</t>
  </si>
  <si>
    <t>SEPT</t>
  </si>
  <si>
    <t>Interest Balances</t>
  </si>
  <si>
    <t>Y-T-D Paid</t>
  </si>
  <si>
    <t>Mthly Accrual</t>
  </si>
  <si>
    <t>verified 12/16/15 jcm</t>
  </si>
  <si>
    <t>Non-Payment Month Accrual Amount</t>
  </si>
  <si>
    <t>Outstanding Balance</t>
  </si>
  <si>
    <t>DEC '15</t>
  </si>
  <si>
    <t>RUS PRINCIPAL &amp; INTEREST PAYMENTS - 2016</t>
  </si>
  <si>
    <t>CFC PRINCIPAL &amp; INTEREST PAYMENTS - 2016</t>
  </si>
  <si>
    <t>updated 1/25/16 jcm</t>
  </si>
  <si>
    <t>PAID 1/29/16 JCM</t>
  </si>
  <si>
    <t>Account #</t>
  </si>
  <si>
    <t>RET-7-1</t>
  </si>
  <si>
    <t>RET-7-2</t>
  </si>
  <si>
    <t>RET-8-1</t>
  </si>
  <si>
    <t>RET-8-2</t>
  </si>
  <si>
    <t>RET-8-4</t>
  </si>
  <si>
    <t>RET-9-1</t>
  </si>
  <si>
    <t>RET-9-2</t>
  </si>
  <si>
    <t>RET-9-3</t>
  </si>
  <si>
    <t>RET-9-4</t>
  </si>
  <si>
    <t>RET-9-5</t>
  </si>
  <si>
    <t>RET-9-6</t>
  </si>
  <si>
    <t>updated princ &amp; int 2/16/16 based on Feb stmt jcm</t>
  </si>
  <si>
    <t>updated 2/16/16 jcm</t>
  </si>
  <si>
    <t>updated 2/25/16 jcm</t>
  </si>
  <si>
    <t>PAID 2/26/16 JCM</t>
  </si>
  <si>
    <t>Make sure the YTD here matches YTD in AB24</t>
  </si>
  <si>
    <t>UPDATED 3/21/16 JCM</t>
  </si>
  <si>
    <t>PD 3/30/16 JCM</t>
  </si>
  <si>
    <t>updated princ and int 5/6/16 jcm</t>
  </si>
  <si>
    <t>updated 4/18/16 jcm</t>
  </si>
  <si>
    <t>pd 4/28/16 jcm</t>
  </si>
  <si>
    <t>updated 5/17/16 jcm</t>
  </si>
  <si>
    <t>updated 5/20/16 jcm</t>
  </si>
  <si>
    <t>pd 5/25/16 jcm</t>
  </si>
  <si>
    <t>Red text=refinanced with CFC</t>
  </si>
  <si>
    <t>Repricing</t>
  </si>
  <si>
    <t>1B327</t>
  </si>
  <si>
    <t>H0090</t>
  </si>
  <si>
    <t>H0095</t>
  </si>
  <si>
    <t>F</t>
  </si>
  <si>
    <t>H0100</t>
  </si>
  <si>
    <t>AMOUNT</t>
  </si>
  <si>
    <t>ACCOUNT</t>
  </si>
  <si>
    <t>INTEREST EARNED (5%)</t>
  </si>
  <si>
    <t>Outstanding Balance w/ COC</t>
  </si>
  <si>
    <t>COC Balance</t>
  </si>
  <si>
    <t>TRANSACTION DATE</t>
  </si>
  <si>
    <t>H0105</t>
  </si>
  <si>
    <t>FFB PRINCIPAL &amp; INTEREST PAYMENTS - 2018</t>
  </si>
  <si>
    <t>----</t>
  </si>
  <si>
    <t>Outstanding Balance as of January 1st</t>
  </si>
  <si>
    <t>Outstanding Balance as of March 6th</t>
  </si>
  <si>
    <t>F0110</t>
  </si>
  <si>
    <t>F0115</t>
  </si>
  <si>
    <t>Billed Debt Service</t>
  </si>
  <si>
    <t>12/31/18          Bal. Forward</t>
  </si>
  <si>
    <t>FFB PRINCIPAL &amp; INTEREST PAYMENTS - 2019</t>
  </si>
  <si>
    <t>F0120</t>
  </si>
  <si>
    <t>FFB-1-1</t>
  </si>
  <si>
    <t>FFB-4-4</t>
  </si>
  <si>
    <t>FFB-1-2</t>
  </si>
  <si>
    <t>FFB-1-3</t>
  </si>
  <si>
    <t>FFB-2-1</t>
  </si>
  <si>
    <t>FFB-2-4</t>
  </si>
  <si>
    <t>FFB-2-5</t>
  </si>
  <si>
    <t>FFB-2-6</t>
  </si>
  <si>
    <t>FFB-2-7</t>
  </si>
  <si>
    <t>FFB-2-8</t>
  </si>
  <si>
    <t>FFB-2-9</t>
  </si>
  <si>
    <t>FFB-3-1</t>
  </si>
  <si>
    <t>FFB-3-2</t>
  </si>
  <si>
    <t>FFB-3-3</t>
  </si>
  <si>
    <t>FFB-4-1</t>
  </si>
  <si>
    <t>FFB-4-2</t>
  </si>
  <si>
    <t>FFB-4-3</t>
  </si>
  <si>
    <t>FFB-4-5</t>
  </si>
  <si>
    <t>FFB-4-6</t>
  </si>
  <si>
    <t>FFB-5-1</t>
  </si>
  <si>
    <t>F0125</t>
  </si>
  <si>
    <t>FFB-5-2</t>
  </si>
  <si>
    <t>Projected Interest</t>
  </si>
  <si>
    <t>Per RUS</t>
  </si>
  <si>
    <t>Paid from Gen Funds</t>
  </si>
  <si>
    <t>12/31/19         Bal. Forward</t>
  </si>
  <si>
    <t>RUS PRINCIPAL &amp; INTEREST PAYMENTS - 2020</t>
  </si>
  <si>
    <t>CFC PRINCIPAL &amp; INTEREST PAYMENTS - 2020</t>
  </si>
  <si>
    <t>DEC '19</t>
  </si>
  <si>
    <t>Z0428</t>
  </si>
  <si>
    <t>Z1055</t>
  </si>
  <si>
    <t>Z2272</t>
  </si>
  <si>
    <t>F0130</t>
  </si>
  <si>
    <t>FFB-5-3</t>
  </si>
  <si>
    <t>updated interest &amp; principal 3/6/20</t>
  </si>
  <si>
    <t>FFB PRINCIPAL &amp; INTEREST PAYMENTS - 2020</t>
  </si>
  <si>
    <t>F0135</t>
  </si>
  <si>
    <t>FFB-5-4</t>
  </si>
  <si>
    <t xml:space="preserve">After June Advance - Outstanding Balance </t>
  </si>
  <si>
    <t xml:space="preserve">2020 Beginning - Outstanding Balance </t>
  </si>
  <si>
    <t>PPP PRINCIPAL &amp; INTEREST PAYMENTS - 2020</t>
  </si>
  <si>
    <t>updated 11/12/20</t>
  </si>
  <si>
    <t>RUS, FFB, &amp; CFC Totaled</t>
  </si>
  <si>
    <t>RUS Totals</t>
  </si>
  <si>
    <t xml:space="preserve">Annual Form 7 </t>
  </si>
  <si>
    <t>End Balance w/o COC</t>
  </si>
  <si>
    <t xml:space="preserve">PART N (A)   </t>
  </si>
  <si>
    <t>PART C line 43</t>
  </si>
  <si>
    <t>Princ. Paid YTD (-)</t>
  </si>
  <si>
    <t>**Sergio's CM</t>
  </si>
  <si>
    <t>LT Debt</t>
  </si>
  <si>
    <t>PART C line 50</t>
  </si>
  <si>
    <t>Current Maturities</t>
  </si>
  <si>
    <t xml:space="preserve">PART N (D)   </t>
  </si>
  <si>
    <t>Interest Paid YTD</t>
  </si>
  <si>
    <t>Princ. Paid YTD (+)</t>
  </si>
  <si>
    <t>FFB Totals</t>
  </si>
  <si>
    <t>End Balance</t>
  </si>
  <si>
    <t>CFC Totals</t>
  </si>
  <si>
    <t xml:space="preserve">End Balance </t>
  </si>
  <si>
    <t>PPP Loan (forgiven Jan 2021)</t>
  </si>
  <si>
    <t>F0140</t>
  </si>
  <si>
    <t>FFB-5-5</t>
  </si>
  <si>
    <t>Recalc Rate</t>
  </si>
  <si>
    <t>Fixed Rate</t>
  </si>
  <si>
    <t>Variance</t>
  </si>
  <si>
    <t>Interest Rate Reasonableness</t>
  </si>
  <si>
    <t>*Note: performance and volume discounts applied to certain loans, resulting in lower actual interest rate</t>
  </si>
  <si>
    <t>F0145</t>
  </si>
  <si>
    <t>FFB-5-6</t>
  </si>
  <si>
    <t>RUS PRINCIPAL &amp; INTEREST PAYMENTS - 2022</t>
  </si>
  <si>
    <t>FFB PRINCIPAL &amp; INTEREST PAYMENTS - 2022</t>
  </si>
  <si>
    <t>CFC PRINCIPAL &amp; INTEREST PAYMENTS - 2022</t>
  </si>
  <si>
    <t>DEC '21</t>
  </si>
  <si>
    <t>Calculated for 5/3 payment date - per USDA</t>
  </si>
  <si>
    <t>3 DAYS PAID WITH APRIL</t>
  </si>
  <si>
    <t>add'tl 213.02  payment</t>
  </si>
  <si>
    <t>F0150</t>
  </si>
  <si>
    <t>FFB-5-7</t>
  </si>
  <si>
    <t>PER MM - ACCRUE ADD'TL $24,545 IN MAY</t>
  </si>
  <si>
    <t>Updated Non-Pymt Mth Accrual Amt for add'tl loan</t>
  </si>
  <si>
    <t>MAY BALANCE</t>
  </si>
  <si>
    <t>ACCRUED</t>
  </si>
  <si>
    <t>0822 FJ802</t>
  </si>
  <si>
    <t>May 2022 Loan Draw</t>
  </si>
  <si>
    <t>Sept 2022 Loan Draw</t>
  </si>
  <si>
    <t>F0155</t>
  </si>
  <si>
    <t>FFB-5-8</t>
  </si>
  <si>
    <t>1122 FJ802</t>
  </si>
  <si>
    <t>FJ801 - 1222 entry</t>
  </si>
  <si>
    <t>PART N (A)</t>
  </si>
  <si>
    <t>PART N (D)</t>
  </si>
  <si>
    <t>RUS, FFB, &amp; CFC Totals</t>
  </si>
  <si>
    <t>ANNUAL FORM 7</t>
  </si>
  <si>
    <t>LT DEBT</t>
  </si>
  <si>
    <t>Interest YTD</t>
  </si>
  <si>
    <t>Princ  YTD (+)</t>
  </si>
  <si>
    <t>Princ YTD (-)</t>
  </si>
  <si>
    <t>PART C LINE 43</t>
  </si>
  <si>
    <t>PART C LINE 50</t>
  </si>
  <si>
    <t>CURRENT MATURITIES</t>
  </si>
  <si>
    <t>2021 Prin Amount</t>
  </si>
  <si>
    <t>2022 Prin Amount</t>
  </si>
  <si>
    <t>2021 Princ Amount</t>
  </si>
  <si>
    <t xml:space="preserve">2022 Princ Amount </t>
  </si>
  <si>
    <t>2022 Balance</t>
  </si>
  <si>
    <t>2021 PRINC AMOUNT</t>
  </si>
  <si>
    <t>2022 PRINC AMOUNT</t>
  </si>
  <si>
    <t>2022 BALANCE</t>
  </si>
  <si>
    <t>RUS</t>
  </si>
  <si>
    <t>CFC</t>
  </si>
  <si>
    <t>Beginning Accrued Balance</t>
  </si>
  <si>
    <t>Ending Accrued Balance</t>
  </si>
  <si>
    <t>Net Change</t>
  </si>
  <si>
    <t>Agrees to Form 7</t>
  </si>
  <si>
    <t>2022 CFC Accrued Interest:</t>
  </si>
  <si>
    <t>2022 LTD Interest</t>
  </si>
  <si>
    <t>Total</t>
  </si>
  <si>
    <t>2023 LTD Interest</t>
  </si>
  <si>
    <t>Debt Svc Amount</t>
  </si>
  <si>
    <t>2023</t>
  </si>
  <si>
    <t>12/31/22</t>
  </si>
  <si>
    <t>New Loan #1</t>
  </si>
  <si>
    <t>New Loan #2</t>
  </si>
  <si>
    <t>Pro Forma Increase</t>
  </si>
  <si>
    <t>LOC Facility #5112</t>
  </si>
  <si>
    <t>LOC Facility #5113</t>
  </si>
  <si>
    <t>Start Date</t>
  </si>
  <si>
    <t>End Date</t>
  </si>
  <si>
    <t>Days</t>
  </si>
  <si>
    <t>Interest Rate</t>
  </si>
  <si>
    <t>Accrued Interest</t>
  </si>
  <si>
    <t>Q2 LOC Activity (actual as of 4/25)</t>
  </si>
  <si>
    <t>Total Q2 Interest</t>
  </si>
  <si>
    <t>2022 Acct 431.10</t>
  </si>
  <si>
    <t>Adjustment for 2022</t>
  </si>
  <si>
    <t>Deposit Balance</t>
  </si>
  <si>
    <t>2023 Projected</t>
  </si>
  <si>
    <t>A</t>
  </si>
  <si>
    <t>2022 Adjusted Acct 431.1</t>
  </si>
  <si>
    <t>Increase in deposit interest</t>
  </si>
  <si>
    <t>Consumer Deposit Interest</t>
  </si>
  <si>
    <t>Conversion error from SEDC to NISC where the interst rate incorrectly changed back to the old</t>
  </si>
  <si>
    <t>deposit interest rate of 1.66% from May through December 2021. The adjustment to correct the</t>
  </si>
  <si>
    <t>error was made by NISC programmers in February 2022, which resulted in a net credit balance</t>
  </si>
  <si>
    <t>for deposit interest in 2022 to correct the overstated interest expense in 2021.</t>
  </si>
  <si>
    <t>PSC Interst Rates</t>
  </si>
  <si>
    <t>2022 Adjusted</t>
  </si>
  <si>
    <t>Lender</t>
  </si>
  <si>
    <t>Interest Expense</t>
  </si>
  <si>
    <t>Shelby Energy Cooperative, Inc.</t>
  </si>
  <si>
    <t>2023 Long Term Debt Interest Expense Detail</t>
  </si>
  <si>
    <t>October 17th Order: Exclude 2023 RUS loan advances</t>
  </si>
  <si>
    <t>Shelby Energy Requested Rehearing: Include 2023 RUS loan advances (May and Aug)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</si>
</sst>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00%"/>
    <numFmt numFmtId="166" formatCode="[$$-409]#,##0.00"/>
    <numFmt numFmtId="167" formatCode="&quot;$&quot;#,##0"/>
    <numFmt numFmtId="168" formatCode="[$-409]dddd\,\ mmmm\ dd\,\ yyyy"/>
    <numFmt numFmtId="169" formatCode="mmm\-yyyy"/>
    <numFmt numFmtId="170" formatCode="0.0%"/>
    <numFmt numFmtId="171" formatCode="0.0"/>
    <numFmt numFmtId="172" formatCode="0.0000"/>
    <numFmt numFmtId="173" formatCode="0.000"/>
    <numFmt numFmtId="174" formatCode="m/d/yy;@"/>
    <numFmt numFmtId="175" formatCode="#,##0.000"/>
    <numFmt numFmtId="176" formatCode="#,##0.0000"/>
    <numFmt numFmtId="177" formatCode="_(* #,##0.0_);_(* \(#,##0.0\);_(* &quot;-&quot;_);_(@_)"/>
    <numFmt numFmtId="178" formatCode="_(* #,##0.00_);_(* \(#,##0.00\);_(* &quot;-&quot;_);_(@_)"/>
    <numFmt numFmtId="179" formatCode="yy\ \-\ mmm"/>
    <numFmt numFmtId="180" formatCode="0.00000000"/>
    <numFmt numFmtId="181" formatCode="[$-409]mmmm\ d\,\ yyyy;@"/>
    <numFmt numFmtId="182" formatCode="#,##0.000000000000_);\(#,##0.000000000000\)"/>
    <numFmt numFmtId="183" formatCode="#,##0.00000000000_);\(#,##0.00000000000\)"/>
    <numFmt numFmtId="184" formatCode="#,##0.0000000000_);\(#,##0.0000000000\)"/>
    <numFmt numFmtId="185" formatCode="#,##0.000000000_);\(#,##0.000000000\)"/>
    <numFmt numFmtId="186" formatCode="#,##0.00000000_);\(#,##0.00000000\)"/>
    <numFmt numFmtId="187" formatCode="#,##0.0000000_);\(#,##0.0000000\)"/>
    <numFmt numFmtId="188" formatCode="#,##0.000000_);\(#,##0.000000\)"/>
    <numFmt numFmtId="189" formatCode="#,##0.00000_);\(#,##0.00000\)"/>
    <numFmt numFmtId="190" formatCode="#,##0.0000_);\(#,##0.0000\)"/>
    <numFmt numFmtId="191" formatCode="#,##0.000_);\(#,##0.000\)"/>
    <numFmt numFmtId="192" formatCode="#,##0.0_);\(#,##0.0\)"/>
    <numFmt numFmtId="193" formatCode="#,##0.0"/>
    <numFmt numFmtId="194" formatCode="0.0000%"/>
    <numFmt numFmtId="195" formatCode="#,##0.000000"/>
    <numFmt numFmtId="196" formatCode="#,##0.00000"/>
    <numFmt numFmtId="197" formatCode="#,##0.00000000"/>
    <numFmt numFmtId="198" formatCode="#,##0.0000000"/>
    <numFmt numFmtId="199" formatCode="_(* #,##0.000_);_(* \(#,##0.000\);_(* &quot;-&quot;???_);_(@_)"/>
    <numFmt numFmtId="200" formatCode="_(* #,##0.00000_);_(* \(#,##0.00000\);_(* &quot;-&quot;?????_);_(@_)"/>
  </numFmts>
  <fonts count="11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b/>
      <sz val="10"/>
      <name val="Arial MT"/>
      <family val="0"/>
    </font>
    <font>
      <b/>
      <sz val="14"/>
      <name val="Arial MT"/>
      <family val="0"/>
    </font>
    <font>
      <sz val="6"/>
      <name val="Times New Roman"/>
      <family val="1"/>
    </font>
    <font>
      <b/>
      <u val="single"/>
      <sz val="10"/>
      <name val="Arial MT"/>
      <family val="0"/>
    </font>
    <font>
      <b/>
      <sz val="12"/>
      <name val="Arial MT"/>
      <family val="0"/>
    </font>
    <font>
      <b/>
      <u val="single"/>
      <sz val="12"/>
      <name val="Arial MT"/>
      <family val="0"/>
    </font>
    <font>
      <b/>
      <sz val="12"/>
      <name val="Arial"/>
      <family val="2"/>
    </font>
    <font>
      <i/>
      <sz val="10"/>
      <name val="Arial MT"/>
      <family val="0"/>
    </font>
    <font>
      <sz val="10"/>
      <name val="Arial MT"/>
      <family val="0"/>
    </font>
    <font>
      <sz val="8"/>
      <name val="Arial MT"/>
      <family val="0"/>
    </font>
    <font>
      <b/>
      <i/>
      <sz val="10"/>
      <name val="Arial MT"/>
      <family val="0"/>
    </font>
    <font>
      <u val="single"/>
      <sz val="10"/>
      <name val="Arial MT"/>
      <family val="0"/>
    </font>
    <font>
      <sz val="10"/>
      <name val="Arial"/>
      <family val="2"/>
    </font>
    <font>
      <sz val="9"/>
      <name val="Arial MT"/>
      <family val="0"/>
    </font>
    <font>
      <sz val="6"/>
      <name val="Arial"/>
      <family val="2"/>
    </font>
    <font>
      <sz val="8"/>
      <name val="Arial"/>
      <family val="2"/>
    </font>
    <font>
      <b/>
      <u val="single"/>
      <sz val="9"/>
      <name val="Arial MT"/>
      <family val="0"/>
    </font>
    <font>
      <b/>
      <sz val="8"/>
      <name val="Arial MT"/>
      <family val="0"/>
    </font>
    <font>
      <b/>
      <sz val="9"/>
      <name val="Arial MT"/>
      <family val="0"/>
    </font>
    <font>
      <u val="single"/>
      <sz val="12"/>
      <name val="Arial MT"/>
      <family val="0"/>
    </font>
    <font>
      <b/>
      <sz val="11"/>
      <name val="Arial MT"/>
      <family val="0"/>
    </font>
    <font>
      <sz val="14"/>
      <name val="Arial MT"/>
      <family val="0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MT"/>
      <family val="0"/>
    </font>
    <font>
      <sz val="12"/>
      <color indexed="49"/>
      <name val="Arial MT"/>
      <family val="0"/>
    </font>
    <font>
      <sz val="10"/>
      <color indexed="49"/>
      <name val="Arial MT"/>
      <family val="0"/>
    </font>
    <font>
      <sz val="9"/>
      <color indexed="10"/>
      <name val="Arial MT"/>
      <family val="0"/>
    </font>
    <font>
      <sz val="8"/>
      <color indexed="49"/>
      <name val="Arial MT"/>
      <family val="0"/>
    </font>
    <font>
      <b/>
      <sz val="10"/>
      <color indexed="60"/>
      <name val="Arial MT"/>
      <family val="0"/>
    </font>
    <font>
      <b/>
      <sz val="12"/>
      <color indexed="10"/>
      <name val="Arial MT"/>
      <family val="0"/>
    </font>
    <font>
      <b/>
      <sz val="10"/>
      <color indexed="10"/>
      <name val="Arial MT"/>
      <family val="0"/>
    </font>
    <font>
      <u val="single"/>
      <sz val="10"/>
      <color indexed="10"/>
      <name val="Arial MT"/>
      <family val="0"/>
    </font>
    <font>
      <sz val="12"/>
      <color indexed="10"/>
      <name val="Arial MT"/>
      <family val="0"/>
    </font>
    <font>
      <b/>
      <sz val="12"/>
      <color indexed="53"/>
      <name val="Arial MT"/>
      <family val="0"/>
    </font>
    <font>
      <b/>
      <sz val="10"/>
      <color indexed="9"/>
      <name val="Arial MT"/>
      <family val="0"/>
    </font>
    <font>
      <b/>
      <sz val="14"/>
      <color indexed="60"/>
      <name val="Arial MT"/>
      <family val="0"/>
    </font>
    <font>
      <b/>
      <sz val="11"/>
      <color indexed="53"/>
      <name val="Arial MT"/>
      <family val="0"/>
    </font>
    <font>
      <b/>
      <u val="single"/>
      <sz val="12"/>
      <color indexed="53"/>
      <name val="Arial MT"/>
      <family val="0"/>
    </font>
    <font>
      <sz val="9"/>
      <color indexed="60"/>
      <name val="Arial MT"/>
      <family val="0"/>
    </font>
    <font>
      <sz val="8"/>
      <color indexed="10"/>
      <name val="Arial MT"/>
      <family val="0"/>
    </font>
    <font>
      <u val="single"/>
      <sz val="10"/>
      <color indexed="9"/>
      <name val="Arial MT"/>
      <family val="0"/>
    </font>
    <font>
      <sz val="10"/>
      <color indexed="9"/>
      <name val="Arial MT"/>
      <family val="0"/>
    </font>
    <font>
      <sz val="12"/>
      <color indexed="30"/>
      <name val="Arial MT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MT"/>
      <family val="0"/>
    </font>
    <font>
      <sz val="12"/>
      <color theme="8" tint="-0.24997000396251678"/>
      <name val="Arial MT"/>
      <family val="0"/>
    </font>
    <font>
      <sz val="10"/>
      <color theme="8" tint="-0.24997000396251678"/>
      <name val="Arial MT"/>
      <family val="0"/>
    </font>
    <font>
      <sz val="9"/>
      <color rgb="FFFF0000"/>
      <name val="Arial MT"/>
      <family val="0"/>
    </font>
    <font>
      <sz val="8"/>
      <color theme="8" tint="-0.24997000396251678"/>
      <name val="Arial MT"/>
      <family val="0"/>
    </font>
    <font>
      <b/>
      <sz val="10"/>
      <color theme="5" tint="-0.24997000396251678"/>
      <name val="Arial MT"/>
      <family val="0"/>
    </font>
    <font>
      <b/>
      <sz val="12"/>
      <color theme="5"/>
      <name val="Arial MT"/>
      <family val="0"/>
    </font>
    <font>
      <b/>
      <sz val="10"/>
      <color theme="5"/>
      <name val="Arial MT"/>
      <family val="0"/>
    </font>
    <font>
      <u val="single"/>
      <sz val="10"/>
      <color rgb="FFFF0000"/>
      <name val="Arial MT"/>
      <family val="0"/>
    </font>
    <font>
      <sz val="12"/>
      <color rgb="FFFF0000"/>
      <name val="Arial MT"/>
      <family val="0"/>
    </font>
    <font>
      <b/>
      <sz val="12"/>
      <color theme="9" tint="-0.24997000396251678"/>
      <name val="Arial MT"/>
      <family val="0"/>
    </font>
    <font>
      <b/>
      <sz val="10"/>
      <color theme="0"/>
      <name val="Arial MT"/>
      <family val="0"/>
    </font>
    <font>
      <b/>
      <sz val="14"/>
      <color theme="5" tint="-0.24997000396251678"/>
      <name val="Arial MT"/>
      <family val="0"/>
    </font>
    <font>
      <b/>
      <sz val="11"/>
      <color theme="9" tint="-0.24997000396251678"/>
      <name val="Arial MT"/>
      <family val="0"/>
    </font>
    <font>
      <b/>
      <u val="single"/>
      <sz val="12"/>
      <color theme="9" tint="-0.24997000396251678"/>
      <name val="Arial MT"/>
      <family val="0"/>
    </font>
    <font>
      <sz val="9"/>
      <color theme="5" tint="-0.24997000396251678"/>
      <name val="Arial MT"/>
      <family val="0"/>
    </font>
    <font>
      <b/>
      <sz val="12"/>
      <color rgb="FFFF0000"/>
      <name val="Arial MT"/>
      <family val="0"/>
    </font>
    <font>
      <sz val="8"/>
      <color rgb="FFFF0000"/>
      <name val="Arial MT"/>
      <family val="0"/>
    </font>
    <font>
      <u val="single"/>
      <sz val="10"/>
      <color theme="0"/>
      <name val="Arial MT"/>
      <family val="0"/>
    </font>
    <font>
      <sz val="10"/>
      <color theme="0"/>
      <name val="Arial MT"/>
      <family val="0"/>
    </font>
    <font>
      <sz val="12"/>
      <color rgb="FF0070C0"/>
      <name val="Arial MT"/>
      <family val="0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theme="1"/>
      </right>
      <top style="thin">
        <color indexed="8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theme="1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9" fillId="0" borderId="10" xfId="0" applyNumberFormat="1" applyFont="1" applyBorder="1" applyAlignment="1">
      <alignment horizontal="centerContinuous"/>
    </xf>
    <xf numFmtId="0" fontId="5" fillId="0" borderId="11" xfId="0" applyNumberFormat="1" applyFont="1" applyBorder="1" applyAlignment="1">
      <alignment horizontal="centerContinuous"/>
    </xf>
    <xf numFmtId="0" fontId="8" fillId="0" borderId="11" xfId="0" applyNumberFormat="1" applyFont="1" applyBorder="1" applyAlignment="1">
      <alignment horizontal="centerContinuous"/>
    </xf>
    <xf numFmtId="0" fontId="9" fillId="0" borderId="11" xfId="0" applyNumberFormat="1" applyFont="1" applyBorder="1" applyAlignment="1">
      <alignment horizontal="centerContinuous"/>
    </xf>
    <xf numFmtId="0" fontId="0" fillId="0" borderId="11" xfId="0" applyNumberFormat="1" applyFont="1" applyBorder="1" applyAlignment="1">
      <alignment horizontal="centerContinuous"/>
    </xf>
    <xf numFmtId="0" fontId="11" fillId="0" borderId="10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 horizontal="centerContinuous"/>
    </xf>
    <xf numFmtId="0" fontId="4" fillId="0" borderId="12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12" xfId="0" applyNumberFormat="1" applyFont="1" applyBorder="1" applyAlignment="1">
      <alignment horizontal="centerContinuous"/>
    </xf>
    <xf numFmtId="0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165" fontId="14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/>
    </xf>
    <xf numFmtId="4" fontId="13" fillId="0" borderId="0" xfId="0" applyNumberFormat="1" applyFont="1" applyAlignment="1">
      <alignment horizontal="right"/>
    </xf>
    <xf numFmtId="4" fontId="13" fillId="0" borderId="12" xfId="0" applyNumberFormat="1" applyFont="1" applyBorder="1" applyAlignment="1">
      <alignment horizontal="right"/>
    </xf>
    <xf numFmtId="4" fontId="1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165" fontId="18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164" fontId="1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7" fontId="17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17" fillId="1" borderId="0" xfId="0" applyNumberFormat="1" applyFont="1" applyFill="1" applyAlignment="1">
      <alignment/>
    </xf>
    <xf numFmtId="4" fontId="17" fillId="0" borderId="0" xfId="0" applyNumberFormat="1" applyFont="1" applyAlignment="1">
      <alignment horizontal="right"/>
    </xf>
    <xf numFmtId="4" fontId="17" fillId="1" borderId="0" xfId="0" applyNumberFormat="1" applyFont="1" applyFill="1" applyAlignment="1">
      <alignment/>
    </xf>
    <xf numFmtId="4" fontId="17" fillId="0" borderId="0" xfId="0" applyNumberFormat="1" applyFont="1" applyAlignment="1">
      <alignment/>
    </xf>
    <xf numFmtId="17" fontId="17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13" xfId="0" applyNumberFormat="1" applyFont="1" applyBorder="1" applyAlignment="1">
      <alignment horizontal="centerContinuous"/>
    </xf>
    <xf numFmtId="0" fontId="5" fillId="0" borderId="14" xfId="0" applyNumberFormat="1" applyFont="1" applyBorder="1" applyAlignment="1">
      <alignment horizontal="centerContinuous"/>
    </xf>
    <xf numFmtId="0" fontId="4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14" fontId="17" fillId="0" borderId="0" xfId="0" applyNumberFormat="1" applyFont="1" applyAlignment="1">
      <alignment horizontal="right"/>
    </xf>
    <xf numFmtId="4" fontId="13" fillId="0" borderId="0" xfId="0" applyNumberFormat="1" applyFont="1" applyBorder="1" applyAlignment="1">
      <alignment/>
    </xf>
    <xf numFmtId="4" fontId="13" fillId="0" borderId="15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/>
    </xf>
    <xf numFmtId="4" fontId="92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9" fillId="0" borderId="17" xfId="0" applyNumberFormat="1" applyFont="1" applyBorder="1" applyAlignment="1">
      <alignment horizontal="centerContinuous"/>
    </xf>
    <xf numFmtId="0" fontId="5" fillId="0" borderId="16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Continuous"/>
    </xf>
    <xf numFmtId="0" fontId="5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Continuous"/>
    </xf>
    <xf numFmtId="4" fontId="13" fillId="0" borderId="18" xfId="0" applyNumberFormat="1" applyFont="1" applyBorder="1" applyAlignment="1">
      <alignment/>
    </xf>
    <xf numFmtId="0" fontId="5" fillId="0" borderId="15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0" fontId="11" fillId="0" borderId="17" xfId="0" applyNumberFormat="1" applyFont="1" applyBorder="1" applyAlignment="1">
      <alignment horizontal="centerContinuous"/>
    </xf>
    <xf numFmtId="4" fontId="13" fillId="0" borderId="15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/>
    </xf>
    <xf numFmtId="0" fontId="5" fillId="0" borderId="20" xfId="0" applyNumberFormat="1" applyFont="1" applyBorder="1" applyAlignment="1">
      <alignment horizontal="centerContinuous"/>
    </xf>
    <xf numFmtId="0" fontId="5" fillId="0" borderId="21" xfId="0" applyNumberFormat="1" applyFont="1" applyBorder="1" applyAlignment="1">
      <alignment horizontal="centerContinuous"/>
    </xf>
    <xf numFmtId="0" fontId="4" fillId="0" borderId="20" xfId="0" applyNumberFormat="1" applyFont="1" applyBorder="1" applyAlignment="1">
      <alignment/>
    </xf>
    <xf numFmtId="4" fontId="13" fillId="0" borderId="21" xfId="0" applyNumberFormat="1" applyFont="1" applyBorder="1" applyAlignment="1">
      <alignment/>
    </xf>
    <xf numFmtId="4" fontId="13" fillId="0" borderId="22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10" fillId="0" borderId="18" xfId="0" applyNumberFormat="1" applyFont="1" applyBorder="1" applyAlignment="1">
      <alignment horizontal="centerContinuous"/>
    </xf>
    <xf numFmtId="4" fontId="16" fillId="0" borderId="22" xfId="0" applyNumberFormat="1" applyFont="1" applyBorder="1" applyAlignment="1">
      <alignment/>
    </xf>
    <xf numFmtId="4" fontId="13" fillId="0" borderId="15" xfId="0" applyNumberFormat="1" applyFont="1" applyBorder="1" applyAlignment="1">
      <alignment horizontal="right"/>
    </xf>
    <xf numFmtId="4" fontId="16" fillId="0" borderId="16" xfId="0" applyNumberFormat="1" applyFont="1" applyBorder="1" applyAlignment="1">
      <alignment/>
    </xf>
    <xf numFmtId="0" fontId="8" fillId="0" borderId="23" xfId="0" applyNumberFormat="1" applyFont="1" applyBorder="1" applyAlignment="1">
      <alignment horizontal="centerContinuous"/>
    </xf>
    <xf numFmtId="165" fontId="14" fillId="0" borderId="0" xfId="0" applyNumberFormat="1" applyFont="1" applyBorder="1" applyAlignment="1">
      <alignment horizontal="center"/>
    </xf>
    <xf numFmtId="0" fontId="14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left"/>
    </xf>
    <xf numFmtId="14" fontId="13" fillId="0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/>
    </xf>
    <xf numFmtId="39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left"/>
    </xf>
    <xf numFmtId="165" fontId="13" fillId="0" borderId="15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/>
    </xf>
    <xf numFmtId="0" fontId="5" fillId="0" borderId="22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5" fillId="0" borderId="18" xfId="0" applyNumberFormat="1" applyFont="1" applyBorder="1" applyAlignment="1">
      <alignment horizontal="center"/>
    </xf>
    <xf numFmtId="0" fontId="14" fillId="0" borderId="0" xfId="0" applyNumberFormat="1" applyFont="1" applyAlignment="1">
      <alignment/>
    </xf>
    <xf numFmtId="0" fontId="93" fillId="0" borderId="0" xfId="0" applyNumberFormat="1" applyFont="1" applyAlignment="1">
      <alignment/>
    </xf>
    <xf numFmtId="0" fontId="94" fillId="0" borderId="25" xfId="0" applyNumberFormat="1" applyFont="1" applyBorder="1" applyAlignment="1">
      <alignment/>
    </xf>
    <xf numFmtId="0" fontId="94" fillId="0" borderId="26" xfId="0" applyNumberFormat="1" applyFont="1" applyBorder="1" applyAlignment="1">
      <alignment/>
    </xf>
    <xf numFmtId="0" fontId="94" fillId="0" borderId="27" xfId="0" applyNumberFormat="1" applyFont="1" applyBorder="1" applyAlignment="1">
      <alignment/>
    </xf>
    <xf numFmtId="0" fontId="94" fillId="0" borderId="28" xfId="0" applyNumberFormat="1" applyFont="1" applyBorder="1" applyAlignment="1">
      <alignment/>
    </xf>
    <xf numFmtId="0" fontId="94" fillId="0" borderId="29" xfId="0" applyNumberFormat="1" applyFont="1" applyBorder="1" applyAlignment="1">
      <alignment/>
    </xf>
    <xf numFmtId="0" fontId="94" fillId="0" borderId="30" xfId="0" applyNumberFormat="1" applyFont="1" applyBorder="1" applyAlignment="1">
      <alignment/>
    </xf>
    <xf numFmtId="0" fontId="95" fillId="0" borderId="0" xfId="0" applyNumberFormat="1" applyFont="1" applyAlignment="1">
      <alignment horizontal="right"/>
    </xf>
    <xf numFmtId="0" fontId="18" fillId="0" borderId="0" xfId="0" applyNumberFormat="1" applyFont="1" applyBorder="1" applyAlignment="1">
      <alignment/>
    </xf>
    <xf numFmtId="39" fontId="93" fillId="0" borderId="0" xfId="0" applyNumberFormat="1" applyFont="1" applyAlignment="1">
      <alignment/>
    </xf>
    <xf numFmtId="39" fontId="93" fillId="0" borderId="0" xfId="0" applyNumberFormat="1" applyFont="1" applyAlignment="1">
      <alignment/>
    </xf>
    <xf numFmtId="39" fontId="96" fillId="0" borderId="0" xfId="0" applyNumberFormat="1" applyFont="1" applyAlignment="1">
      <alignment horizontal="left"/>
    </xf>
    <xf numFmtId="39" fontId="96" fillId="0" borderId="0" xfId="0" applyNumberFormat="1" applyFont="1" applyAlignment="1">
      <alignment/>
    </xf>
    <xf numFmtId="4" fontId="93" fillId="0" borderId="0" xfId="0" applyNumberFormat="1" applyFont="1" applyAlignment="1">
      <alignment/>
    </xf>
    <xf numFmtId="0" fontId="97" fillId="0" borderId="0" xfId="0" applyNumberFormat="1" applyFont="1" applyAlignment="1">
      <alignment horizontal="right"/>
    </xf>
    <xf numFmtId="4" fontId="97" fillId="0" borderId="0" xfId="0" applyNumberFormat="1" applyFont="1" applyAlignment="1">
      <alignment/>
    </xf>
    <xf numFmtId="0" fontId="98" fillId="0" borderId="0" xfId="0" applyNumberFormat="1" applyFont="1" applyAlignment="1">
      <alignment horizontal="right"/>
    </xf>
    <xf numFmtId="4" fontId="99" fillId="0" borderId="15" xfId="0" applyNumberFormat="1" applyFont="1" applyBorder="1" applyAlignment="1">
      <alignment/>
    </xf>
    <xf numFmtId="4" fontId="99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4" fontId="15" fillId="0" borderId="15" xfId="0" applyNumberFormat="1" applyFont="1" applyBorder="1" applyAlignment="1">
      <alignment/>
    </xf>
    <xf numFmtId="0" fontId="11" fillId="0" borderId="11" xfId="0" applyNumberFormat="1" applyFont="1" applyBorder="1" applyAlignment="1">
      <alignment horizontal="centerContinuous"/>
    </xf>
    <xf numFmtId="0" fontId="8" fillId="0" borderId="3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4" fontId="13" fillId="0" borderId="32" xfId="0" applyNumberFormat="1" applyFont="1" applyBorder="1" applyAlignment="1">
      <alignment/>
    </xf>
    <xf numFmtId="0" fontId="5" fillId="0" borderId="33" xfId="0" applyNumberFormat="1" applyFont="1" applyBorder="1" applyAlignment="1">
      <alignment horizontal="centerContinuous"/>
    </xf>
    <xf numFmtId="0" fontId="5" fillId="0" borderId="34" xfId="0" applyNumberFormat="1" applyFont="1" applyBorder="1" applyAlignment="1">
      <alignment horizontal="centerContinuous"/>
    </xf>
    <xf numFmtId="0" fontId="0" fillId="0" borderId="33" xfId="0" applyNumberFormat="1" applyFont="1" applyBorder="1" applyAlignment="1">
      <alignment/>
    </xf>
    <xf numFmtId="4" fontId="13" fillId="0" borderId="34" xfId="0" applyNumberFormat="1" applyFont="1" applyBorder="1" applyAlignment="1">
      <alignment/>
    </xf>
    <xf numFmtId="0" fontId="4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18" fillId="0" borderId="25" xfId="0" applyNumberFormat="1" applyFont="1" applyBorder="1" applyAlignment="1">
      <alignment/>
    </xf>
    <xf numFmtId="4" fontId="94" fillId="0" borderId="0" xfId="0" applyNumberFormat="1" applyFont="1" applyFill="1" applyBorder="1" applyAlignment="1">
      <alignment/>
    </xf>
    <xf numFmtId="0" fontId="94" fillId="0" borderId="35" xfId="0" applyNumberFormat="1" applyFont="1" applyFill="1" applyBorder="1" applyAlignment="1">
      <alignment/>
    </xf>
    <xf numFmtId="4" fontId="16" fillId="0" borderId="0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 vertical="center"/>
    </xf>
    <xf numFmtId="166" fontId="5" fillId="0" borderId="15" xfId="0" applyNumberFormat="1" applyFont="1" applyBorder="1" applyAlignment="1">
      <alignment/>
    </xf>
    <xf numFmtId="4" fontId="94" fillId="0" borderId="22" xfId="42" applyNumberFormat="1" applyFont="1" applyFill="1" applyBorder="1" applyAlignment="1">
      <alignment/>
    </xf>
    <xf numFmtId="4" fontId="94" fillId="0" borderId="36" xfId="0" applyNumberFormat="1" applyFont="1" applyFill="1" applyBorder="1" applyAlignment="1">
      <alignment/>
    </xf>
    <xf numFmtId="0" fontId="94" fillId="0" borderId="0" xfId="0" applyNumberFormat="1" applyFont="1" applyFill="1" applyBorder="1" applyAlignment="1">
      <alignment/>
    </xf>
    <xf numFmtId="0" fontId="94" fillId="0" borderId="24" xfId="0" applyNumberFormat="1" applyFont="1" applyFill="1" applyBorder="1" applyAlignment="1">
      <alignment/>
    </xf>
    <xf numFmtId="4" fontId="94" fillId="0" borderId="37" xfId="0" applyNumberFormat="1" applyFont="1" applyFill="1" applyBorder="1" applyAlignment="1">
      <alignment/>
    </xf>
    <xf numFmtId="0" fontId="94" fillId="0" borderId="30" xfId="0" applyNumberFormat="1" applyFont="1" applyFill="1" applyBorder="1" applyAlignment="1">
      <alignment/>
    </xf>
    <xf numFmtId="4" fontId="94" fillId="0" borderId="38" xfId="0" applyNumberFormat="1" applyFont="1" applyFill="1" applyBorder="1" applyAlignment="1">
      <alignment/>
    </xf>
    <xf numFmtId="4" fontId="94" fillId="0" borderId="39" xfId="0" applyNumberFormat="1" applyFont="1" applyFill="1" applyBorder="1" applyAlignment="1">
      <alignment/>
    </xf>
    <xf numFmtId="4" fontId="94" fillId="0" borderId="40" xfId="42" applyNumberFormat="1" applyFont="1" applyFill="1" applyBorder="1" applyAlignment="1">
      <alignment/>
    </xf>
    <xf numFmtId="4" fontId="94" fillId="0" borderId="41" xfId="0" applyNumberFormat="1" applyFont="1" applyFill="1" applyBorder="1" applyAlignment="1">
      <alignment/>
    </xf>
    <xf numFmtId="0" fontId="94" fillId="0" borderId="42" xfId="0" applyNumberFormat="1" applyFont="1" applyFill="1" applyBorder="1" applyAlignment="1">
      <alignment/>
    </xf>
    <xf numFmtId="4" fontId="94" fillId="0" borderId="43" xfId="0" applyNumberFormat="1" applyFont="1" applyFill="1" applyBorder="1" applyAlignment="1">
      <alignment/>
    </xf>
    <xf numFmtId="4" fontId="94" fillId="0" borderId="44" xfId="0" applyNumberFormat="1" applyFont="1" applyFill="1" applyBorder="1" applyAlignment="1">
      <alignment/>
    </xf>
    <xf numFmtId="0" fontId="94" fillId="0" borderId="45" xfId="0" applyNumberFormat="1" applyFont="1" applyFill="1" applyBorder="1" applyAlignment="1">
      <alignment/>
    </xf>
    <xf numFmtId="0" fontId="94" fillId="0" borderId="46" xfId="0" applyNumberFormat="1" applyFont="1" applyFill="1" applyBorder="1" applyAlignment="1">
      <alignment/>
    </xf>
    <xf numFmtId="4" fontId="94" fillId="0" borderId="47" xfId="0" applyNumberFormat="1" applyFont="1" applyFill="1" applyBorder="1" applyAlignment="1">
      <alignment/>
    </xf>
    <xf numFmtId="4" fontId="94" fillId="0" borderId="48" xfId="0" applyNumberFormat="1" applyFont="1" applyFill="1" applyBorder="1" applyAlignment="1">
      <alignment/>
    </xf>
    <xf numFmtId="2" fontId="92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4" fontId="92" fillId="0" borderId="0" xfId="0" applyNumberFormat="1" applyFont="1" applyBorder="1" applyAlignment="1">
      <alignment/>
    </xf>
    <xf numFmtId="4" fontId="92" fillId="0" borderId="0" xfId="0" applyNumberFormat="1" applyFont="1" applyAlignment="1">
      <alignment/>
    </xf>
    <xf numFmtId="4" fontId="100" fillId="0" borderId="0" xfId="0" applyNumberFormat="1" applyFont="1" applyAlignment="1">
      <alignment/>
    </xf>
    <xf numFmtId="0" fontId="92" fillId="0" borderId="0" xfId="0" applyNumberFormat="1" applyFont="1" applyAlignment="1">
      <alignment horizontal="center"/>
    </xf>
    <xf numFmtId="14" fontId="92" fillId="0" borderId="0" xfId="0" applyNumberFormat="1" applyFont="1" applyAlignment="1">
      <alignment horizontal="center"/>
    </xf>
    <xf numFmtId="165" fontId="92" fillId="0" borderId="0" xfId="0" applyNumberFormat="1" applyFont="1" applyAlignment="1">
      <alignment horizontal="center"/>
    </xf>
    <xf numFmtId="14" fontId="92" fillId="0" borderId="0" xfId="0" applyNumberFormat="1" applyFont="1" applyFill="1" applyAlignment="1">
      <alignment horizontal="center"/>
    </xf>
    <xf numFmtId="165" fontId="92" fillId="0" borderId="0" xfId="0" applyNumberFormat="1" applyFont="1" applyBorder="1" applyAlignment="1">
      <alignment horizontal="center"/>
    </xf>
    <xf numFmtId="0" fontId="101" fillId="0" borderId="0" xfId="0" applyNumberFormat="1" applyFont="1" applyAlignment="1">
      <alignment/>
    </xf>
    <xf numFmtId="0" fontId="101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left"/>
    </xf>
    <xf numFmtId="0" fontId="5" fillId="34" borderId="0" xfId="0" applyNumberFormat="1" applyFont="1" applyFill="1" applyAlignment="1">
      <alignment horizontal="left"/>
    </xf>
    <xf numFmtId="4" fontId="13" fillId="35" borderId="0" xfId="0" applyNumberFormat="1" applyFont="1" applyFill="1" applyAlignment="1">
      <alignment/>
    </xf>
    <xf numFmtId="4" fontId="13" fillId="35" borderId="15" xfId="0" applyNumberFormat="1" applyFont="1" applyFill="1" applyBorder="1" applyAlignment="1">
      <alignment/>
    </xf>
    <xf numFmtId="4" fontId="16" fillId="0" borderId="0" xfId="0" applyNumberFormat="1" applyFont="1" applyAlignment="1">
      <alignment horizontal="right"/>
    </xf>
    <xf numFmtId="4" fontId="13" fillId="34" borderId="0" xfId="0" applyNumberFormat="1" applyFont="1" applyFill="1" applyAlignment="1">
      <alignment horizontal="center"/>
    </xf>
    <xf numFmtId="14" fontId="13" fillId="34" borderId="0" xfId="0" applyNumberFormat="1" applyFont="1" applyFill="1" applyAlignment="1">
      <alignment horizontal="left"/>
    </xf>
    <xf numFmtId="10" fontId="13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174" fontId="13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174" fontId="22" fillId="0" borderId="0" xfId="0" applyNumberFormat="1" applyFont="1" applyAlignment="1">
      <alignment horizontal="center"/>
    </xf>
    <xf numFmtId="0" fontId="10" fillId="0" borderId="49" xfId="0" applyNumberFormat="1" applyFont="1" applyBorder="1" applyAlignment="1">
      <alignment horizontal="centerContinuous"/>
    </xf>
    <xf numFmtId="0" fontId="5" fillId="0" borderId="50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4" fontId="13" fillId="0" borderId="50" xfId="0" applyNumberFormat="1" applyFont="1" applyBorder="1" applyAlignment="1">
      <alignment/>
    </xf>
    <xf numFmtId="10" fontId="13" fillId="0" borderId="0" xfId="59" applyNumberFormat="1" applyFont="1" applyFill="1" applyAlignment="1">
      <alignment horizontal="center"/>
    </xf>
    <xf numFmtId="0" fontId="18" fillId="0" borderId="26" xfId="0" applyNumberFormat="1" applyFont="1" applyBorder="1" applyAlignment="1">
      <alignment/>
    </xf>
    <xf numFmtId="0" fontId="94" fillId="0" borderId="25" xfId="0" applyNumberFormat="1" applyFont="1" applyFill="1" applyBorder="1" applyAlignment="1">
      <alignment/>
    </xf>
    <xf numFmtId="4" fontId="94" fillId="0" borderId="30" xfId="0" applyNumberFormat="1" applyFont="1" applyFill="1" applyBorder="1" applyAlignment="1">
      <alignment/>
    </xf>
    <xf numFmtId="4" fontId="94" fillId="0" borderId="51" xfId="0" applyNumberFormat="1" applyFont="1" applyFill="1" applyBorder="1" applyAlignment="1">
      <alignment/>
    </xf>
    <xf numFmtId="0" fontId="94" fillId="0" borderId="24" xfId="0" applyNumberFormat="1" applyFont="1" applyFill="1" applyBorder="1" applyAlignment="1">
      <alignment horizontal="center"/>
    </xf>
    <xf numFmtId="0" fontId="4" fillId="36" borderId="0" xfId="0" applyNumberFormat="1" applyFont="1" applyFill="1" applyBorder="1" applyAlignment="1">
      <alignment/>
    </xf>
    <xf numFmtId="0" fontId="4" fillId="36" borderId="52" xfId="0" applyNumberFormat="1" applyFont="1" applyFill="1" applyBorder="1" applyAlignment="1">
      <alignment/>
    </xf>
    <xf numFmtId="0" fontId="4" fillId="36" borderId="45" xfId="0" applyNumberFormat="1" applyFont="1" applyFill="1" applyBorder="1" applyAlignment="1">
      <alignment/>
    </xf>
    <xf numFmtId="0" fontId="4" fillId="36" borderId="53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23" fillId="0" borderId="0" xfId="0" applyNumberFormat="1" applyFont="1" applyAlignment="1">
      <alignment/>
    </xf>
    <xf numFmtId="4" fontId="23" fillId="0" borderId="15" xfId="0" applyNumberFormat="1" applyFont="1" applyBorder="1" applyAlignment="1">
      <alignment/>
    </xf>
    <xf numFmtId="14" fontId="23" fillId="0" borderId="0" xfId="0" applyNumberFormat="1" applyFont="1" applyAlignment="1">
      <alignment horizontal="center"/>
    </xf>
    <xf numFmtId="174" fontId="23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left"/>
    </xf>
    <xf numFmtId="0" fontId="23" fillId="0" borderId="0" xfId="0" applyNumberFormat="1" applyFont="1" applyFill="1" applyAlignment="1">
      <alignment horizontal="left"/>
    </xf>
    <xf numFmtId="0" fontId="102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102" fillId="0" borderId="0" xfId="0" applyNumberFormat="1" applyFont="1" applyAlignment="1">
      <alignment horizontal="right"/>
    </xf>
    <xf numFmtId="4" fontId="1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/>
    </xf>
    <xf numFmtId="4" fontId="103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104" fillId="0" borderId="0" xfId="0" applyNumberFormat="1" applyFont="1" applyAlignment="1">
      <alignment/>
    </xf>
    <xf numFmtId="4" fontId="4" fillId="0" borderId="12" xfId="0" applyNumberFormat="1" applyFont="1" applyBorder="1" applyAlignment="1">
      <alignment/>
    </xf>
    <xf numFmtId="4" fontId="24" fillId="0" borderId="12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0" fontId="5" fillId="0" borderId="54" xfId="0" applyNumberFormat="1" applyFont="1" applyBorder="1" applyAlignment="1">
      <alignment horizontal="center"/>
    </xf>
    <xf numFmtId="0" fontId="5" fillId="0" borderId="55" xfId="0" applyNumberFormat="1" applyFont="1" applyBorder="1" applyAlignment="1">
      <alignment horizontal="center"/>
    </xf>
    <xf numFmtId="0" fontId="5" fillId="0" borderId="56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24" fillId="0" borderId="34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165" fontId="13" fillId="0" borderId="0" xfId="59" applyNumberFormat="1" applyFont="1" applyBorder="1" applyAlignment="1">
      <alignment/>
    </xf>
    <xf numFmtId="0" fontId="5" fillId="0" borderId="17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Continuous"/>
    </xf>
    <xf numFmtId="4" fontId="4" fillId="0" borderId="0" xfId="0" applyNumberFormat="1" applyFont="1" applyFill="1" applyAlignment="1">
      <alignment/>
    </xf>
    <xf numFmtId="0" fontId="21" fillId="0" borderId="0" xfId="0" applyNumberFormat="1" applyFont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center"/>
    </xf>
    <xf numFmtId="0" fontId="105" fillId="0" borderId="0" xfId="0" applyNumberFormat="1" applyFont="1" applyAlignment="1">
      <alignment horizontal="right"/>
    </xf>
    <xf numFmtId="4" fontId="106" fillId="0" borderId="0" xfId="0" applyNumberFormat="1" applyFont="1" applyAlignment="1">
      <alignment horizontal="right"/>
    </xf>
    <xf numFmtId="4" fontId="23" fillId="0" borderId="41" xfId="0" applyNumberFormat="1" applyFont="1" applyBorder="1" applyAlignment="1">
      <alignment/>
    </xf>
    <xf numFmtId="4" fontId="23" fillId="0" borderId="42" xfId="0" applyNumberFormat="1" applyFont="1" applyBorder="1" applyAlignment="1">
      <alignment/>
    </xf>
    <xf numFmtId="4" fontId="18" fillId="0" borderId="40" xfId="0" applyNumberFormat="1" applyFont="1" applyBorder="1" applyAlignment="1">
      <alignment/>
    </xf>
    <xf numFmtId="4" fontId="18" fillId="0" borderId="57" xfId="0" applyNumberFormat="1" applyFont="1" applyBorder="1" applyAlignment="1">
      <alignment/>
    </xf>
    <xf numFmtId="4" fontId="18" fillId="0" borderId="58" xfId="0" applyNumberFormat="1" applyFont="1" applyBorder="1" applyAlignment="1">
      <alignment/>
    </xf>
    <xf numFmtId="4" fontId="23" fillId="0" borderId="4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4" fontId="18" fillId="0" borderId="15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50" xfId="0" applyNumberFormat="1" applyFont="1" applyBorder="1" applyAlignment="1">
      <alignment/>
    </xf>
    <xf numFmtId="4" fontId="18" fillId="0" borderId="32" xfId="0" applyNumberFormat="1" applyFont="1" applyBorder="1" applyAlignment="1">
      <alignment/>
    </xf>
    <xf numFmtId="4" fontId="18" fillId="0" borderId="16" xfId="0" applyNumberFormat="1" applyFont="1" applyBorder="1" applyAlignment="1">
      <alignment/>
    </xf>
    <xf numFmtId="4" fontId="18" fillId="0" borderId="0" xfId="0" applyNumberFormat="1" applyFont="1" applyFill="1" applyAlignment="1">
      <alignment/>
    </xf>
    <xf numFmtId="4" fontId="18" fillId="0" borderId="15" xfId="0" applyNumberFormat="1" applyFont="1" applyFill="1" applyBorder="1" applyAlignment="1">
      <alignment/>
    </xf>
    <xf numFmtId="4" fontId="18" fillId="0" borderId="32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18" fillId="0" borderId="36" xfId="0" applyNumberFormat="1" applyFont="1" applyBorder="1" applyAlignment="1">
      <alignment/>
    </xf>
    <xf numFmtId="4" fontId="18" fillId="0" borderId="24" xfId="0" applyNumberFormat="1" applyFont="1" applyBorder="1" applyAlignment="1">
      <alignment/>
    </xf>
    <xf numFmtId="4" fontId="18" fillId="0" borderId="22" xfId="0" applyNumberFormat="1" applyFont="1" applyBorder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178" fontId="13" fillId="0" borderId="0" xfId="0" applyNumberFormat="1" applyFont="1" applyAlignment="1">
      <alignment horizontal="center"/>
    </xf>
    <xf numFmtId="0" fontId="0" fillId="0" borderId="17" xfId="0" applyNumberFormat="1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Continuous"/>
    </xf>
    <xf numFmtId="0" fontId="9" fillId="0" borderId="11" xfId="0" applyNumberFormat="1" applyFont="1" applyBorder="1" applyAlignment="1">
      <alignment horizontal="centerContinuous"/>
    </xf>
    <xf numFmtId="0" fontId="8" fillId="0" borderId="11" xfId="0" applyNumberFormat="1" applyFont="1" applyBorder="1" applyAlignment="1">
      <alignment horizontal="centerContinuous"/>
    </xf>
    <xf numFmtId="0" fontId="8" fillId="0" borderId="18" xfId="0" applyNumberFormat="1" applyFont="1" applyBorder="1" applyAlignment="1">
      <alignment/>
    </xf>
    <xf numFmtId="0" fontId="8" fillId="0" borderId="33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Continuous"/>
    </xf>
    <xf numFmtId="0" fontId="9" fillId="0" borderId="17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11" fillId="0" borderId="17" xfId="0" applyNumberFormat="1" applyFont="1" applyBorder="1" applyAlignment="1">
      <alignment horizontal="centerContinuous"/>
    </xf>
    <xf numFmtId="0" fontId="4" fillId="0" borderId="12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5" fillId="0" borderId="59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Fill="1" applyAlignment="1">
      <alignment horizontal="center"/>
    </xf>
    <xf numFmtId="4" fontId="13" fillId="0" borderId="16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18" xfId="0" applyNumberFormat="1" applyFont="1" applyBorder="1" applyAlignment="1">
      <alignment/>
    </xf>
    <xf numFmtId="4" fontId="13" fillId="0" borderId="17" xfId="0" applyNumberFormat="1" applyFont="1" applyBorder="1" applyAlignment="1">
      <alignment horizontal="right"/>
    </xf>
    <xf numFmtId="4" fontId="13" fillId="0" borderId="60" xfId="0" applyNumberFormat="1" applyFont="1" applyBorder="1" applyAlignment="1">
      <alignment/>
    </xf>
    <xf numFmtId="4" fontId="13" fillId="0" borderId="12" xfId="0" applyNumberFormat="1" applyFont="1" applyBorder="1" applyAlignment="1">
      <alignment horizontal="right"/>
    </xf>
    <xf numFmtId="4" fontId="13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5" fontId="13" fillId="0" borderId="0" xfId="59" applyNumberFormat="1" applyFont="1" applyBorder="1" applyAlignment="1">
      <alignment/>
    </xf>
    <xf numFmtId="0" fontId="13" fillId="0" borderId="0" xfId="0" applyNumberFormat="1" applyFont="1" applyFill="1" applyAlignment="1">
      <alignment horizontal="center"/>
    </xf>
    <xf numFmtId="165" fontId="13" fillId="0" borderId="15" xfId="0" applyNumberFormat="1" applyFont="1" applyFill="1" applyBorder="1" applyAlignment="1">
      <alignment horizontal="center"/>
    </xf>
    <xf numFmtId="165" fontId="13" fillId="0" borderId="15" xfId="0" applyNumberFormat="1" applyFont="1" applyBorder="1" applyAlignment="1">
      <alignment horizontal="center"/>
    </xf>
    <xf numFmtId="0" fontId="9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165" fontId="14" fillId="0" borderId="0" xfId="0" applyNumberFormat="1" applyFont="1" applyAlignment="1">
      <alignment horizontal="center"/>
    </xf>
    <xf numFmtId="4" fontId="99" fillId="0" borderId="15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15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107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4" fontId="13" fillId="0" borderId="15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107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4" fontId="18" fillId="0" borderId="0" xfId="0" applyNumberFormat="1" applyFont="1" applyAlignment="1">
      <alignment/>
    </xf>
    <xf numFmtId="0" fontId="18" fillId="0" borderId="0" xfId="0" applyNumberFormat="1" applyFont="1" applyBorder="1" applyAlignment="1">
      <alignment/>
    </xf>
    <xf numFmtId="0" fontId="93" fillId="0" borderId="0" xfId="0" applyNumberFormat="1" applyFont="1" applyAlignment="1">
      <alignment horizontal="right"/>
    </xf>
    <xf numFmtId="0" fontId="93" fillId="0" borderId="25" xfId="0" applyNumberFormat="1" applyFont="1" applyFill="1" applyBorder="1" applyAlignment="1">
      <alignment/>
    </xf>
    <xf numFmtId="0" fontId="94" fillId="0" borderId="26" xfId="0" applyNumberFormat="1" applyFont="1" applyFill="1" applyBorder="1" applyAlignment="1">
      <alignment horizontal="center"/>
    </xf>
    <xf numFmtId="0" fontId="96" fillId="0" borderId="26" xfId="0" applyNumberFormat="1" applyFont="1" applyFill="1" applyBorder="1" applyAlignment="1">
      <alignment/>
    </xf>
    <xf numFmtId="0" fontId="93" fillId="0" borderId="26" xfId="0" applyNumberFormat="1" applyFont="1" applyFill="1" applyBorder="1" applyAlignment="1">
      <alignment/>
    </xf>
    <xf numFmtId="0" fontId="94" fillId="0" borderId="27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93" fillId="0" borderId="0" xfId="0" applyNumberFormat="1" applyFont="1" applyAlignment="1">
      <alignment/>
    </xf>
    <xf numFmtId="0" fontId="93" fillId="0" borderId="28" xfId="0" applyNumberFormat="1" applyFont="1" applyFill="1" applyBorder="1" applyAlignment="1">
      <alignment/>
    </xf>
    <xf numFmtId="4" fontId="94" fillId="0" borderId="22" xfId="0" applyNumberFormat="1" applyFont="1" applyFill="1" applyBorder="1" applyAlignment="1">
      <alignment/>
    </xf>
    <xf numFmtId="39" fontId="94" fillId="0" borderId="0" xfId="0" applyNumberFormat="1" applyFont="1" applyFill="1" applyBorder="1" applyAlignment="1">
      <alignment/>
    </xf>
    <xf numFmtId="0" fontId="94" fillId="0" borderId="0" xfId="0" applyNumberFormat="1" applyFont="1" applyFill="1" applyBorder="1" applyAlignment="1">
      <alignment/>
    </xf>
    <xf numFmtId="0" fontId="94" fillId="0" borderId="24" xfId="0" applyNumberFormat="1" applyFont="1" applyFill="1" applyBorder="1" applyAlignment="1">
      <alignment/>
    </xf>
    <xf numFmtId="0" fontId="93" fillId="0" borderId="0" xfId="0" applyNumberFormat="1" applyFont="1" applyFill="1" applyBorder="1" applyAlignment="1">
      <alignment/>
    </xf>
    <xf numFmtId="0" fontId="93" fillId="0" borderId="24" xfId="0" applyNumberFormat="1" applyFont="1" applyFill="1" applyBorder="1" applyAlignment="1">
      <alignment/>
    </xf>
    <xf numFmtId="39" fontId="94" fillId="0" borderId="52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95" fillId="0" borderId="0" xfId="0" applyNumberFormat="1" applyFont="1" applyAlignment="1">
      <alignment horizontal="right"/>
    </xf>
    <xf numFmtId="2" fontId="92" fillId="0" borderId="0" xfId="0" applyNumberFormat="1" applyFont="1" applyFill="1" applyAlignment="1">
      <alignment/>
    </xf>
    <xf numFmtId="0" fontId="93" fillId="0" borderId="29" xfId="0" applyNumberFormat="1" applyFont="1" applyFill="1" applyBorder="1" applyAlignment="1">
      <alignment/>
    </xf>
    <xf numFmtId="4" fontId="94" fillId="0" borderId="40" xfId="42" applyNumberFormat="1" applyFont="1" applyFill="1" applyBorder="1" applyAlignment="1">
      <alignment/>
    </xf>
    <xf numFmtId="39" fontId="94" fillId="0" borderId="41" xfId="0" applyNumberFormat="1" applyFont="1" applyFill="1" applyBorder="1" applyAlignment="1">
      <alignment/>
    </xf>
    <xf numFmtId="0" fontId="93" fillId="0" borderId="42" xfId="0" applyNumberFormat="1" applyFont="1" applyFill="1" applyBorder="1" applyAlignment="1">
      <alignment/>
    </xf>
    <xf numFmtId="39" fontId="94" fillId="0" borderId="43" xfId="0" applyNumberFormat="1" applyFont="1" applyFill="1" applyBorder="1" applyAlignment="1">
      <alignment/>
    </xf>
    <xf numFmtId="0" fontId="93" fillId="0" borderId="30" xfId="0" applyNumberFormat="1" applyFont="1" applyFill="1" applyBorder="1" applyAlignment="1">
      <alignment/>
    </xf>
    <xf numFmtId="4" fontId="94" fillId="0" borderId="38" xfId="0" applyNumberFormat="1" applyFont="1" applyFill="1" applyBorder="1" applyAlignment="1">
      <alignment/>
    </xf>
    <xf numFmtId="39" fontId="94" fillId="0" borderId="45" xfId="0" applyNumberFormat="1" applyFont="1" applyFill="1" applyBorder="1" applyAlignment="1">
      <alignment/>
    </xf>
    <xf numFmtId="0" fontId="93" fillId="0" borderId="45" xfId="0" applyNumberFormat="1" applyFont="1" applyFill="1" applyBorder="1" applyAlignment="1">
      <alignment/>
    </xf>
    <xf numFmtId="39" fontId="94" fillId="0" borderId="53" xfId="0" applyNumberFormat="1" applyFont="1" applyFill="1" applyBorder="1" applyAlignment="1">
      <alignment/>
    </xf>
    <xf numFmtId="0" fontId="101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/>
    </xf>
    <xf numFmtId="0" fontId="23" fillId="0" borderId="0" xfId="0" applyNumberFormat="1" applyFont="1" applyAlignment="1">
      <alignment horizontal="center" wrapText="1"/>
    </xf>
    <xf numFmtId="41" fontId="13" fillId="0" borderId="0" xfId="0" applyNumberFormat="1" applyFont="1" applyAlignment="1" quotePrefix="1">
      <alignment horizontal="center"/>
    </xf>
    <xf numFmtId="4" fontId="99" fillId="0" borderId="15" xfId="0" applyNumberFormat="1" applyFont="1" applyBorder="1" applyAlignment="1">
      <alignment horizontal="right"/>
    </xf>
    <xf numFmtId="178" fontId="4" fillId="0" borderId="0" xfId="0" applyNumberFormat="1" applyFont="1" applyAlignment="1">
      <alignment/>
    </xf>
    <xf numFmtId="0" fontId="13" fillId="0" borderId="0" xfId="0" applyNumberFormat="1" applyFont="1" applyFill="1" applyAlignment="1">
      <alignment horizontal="center"/>
    </xf>
    <xf numFmtId="43" fontId="4" fillId="0" borderId="0" xfId="42" applyFont="1" applyAlignment="1">
      <alignment/>
    </xf>
    <xf numFmtId="4" fontId="13" fillId="0" borderId="0" xfId="0" applyNumberFormat="1" applyFont="1" applyAlignment="1" quotePrefix="1">
      <alignment horizontal="center"/>
    </xf>
    <xf numFmtId="179" fontId="4" fillId="0" borderId="0" xfId="0" applyNumberFormat="1" applyFont="1" applyAlignment="1">
      <alignment/>
    </xf>
    <xf numFmtId="165" fontId="13" fillId="0" borderId="0" xfId="0" applyNumberFormat="1" applyFont="1" applyFill="1" applyAlignment="1">
      <alignment horizontal="center"/>
    </xf>
    <xf numFmtId="173" fontId="13" fillId="0" borderId="0" xfId="0" applyNumberFormat="1" applyFont="1" applyAlignment="1">
      <alignment/>
    </xf>
    <xf numFmtId="4" fontId="13" fillId="0" borderId="12" xfId="0" applyNumberFormat="1" applyFont="1" applyFill="1" applyBorder="1" applyAlignment="1">
      <alignment horizontal="right"/>
    </xf>
    <xf numFmtId="4" fontId="13" fillId="0" borderId="0" xfId="0" applyNumberFormat="1" applyFont="1" applyFill="1" applyAlignment="1">
      <alignment horizontal="right"/>
    </xf>
    <xf numFmtId="4" fontId="13" fillId="0" borderId="15" xfId="0" applyNumberFormat="1" applyFont="1" applyFill="1" applyBorder="1" applyAlignment="1">
      <alignment/>
    </xf>
    <xf numFmtId="4" fontId="16" fillId="0" borderId="12" xfId="0" applyNumberFormat="1" applyFont="1" applyFill="1" applyBorder="1" applyAlignment="1">
      <alignment horizontal="right"/>
    </xf>
    <xf numFmtId="4" fontId="16" fillId="0" borderId="0" xfId="0" applyNumberFormat="1" applyFont="1" applyFill="1" applyAlignment="1">
      <alignment horizontal="right"/>
    </xf>
    <xf numFmtId="4" fontId="16" fillId="0" borderId="15" xfId="0" applyNumberFormat="1" applyFont="1" applyFill="1" applyBorder="1" applyAlignment="1">
      <alignment/>
    </xf>
    <xf numFmtId="39" fontId="13" fillId="0" borderId="0" xfId="0" applyNumberFormat="1" applyFont="1" applyAlignment="1">
      <alignment/>
    </xf>
    <xf numFmtId="4" fontId="13" fillId="0" borderId="12" xfId="0" applyNumberFormat="1" applyFont="1" applyFill="1" applyBorder="1" applyAlignment="1">
      <alignment horizontal="right"/>
    </xf>
    <xf numFmtId="0" fontId="96" fillId="0" borderId="0" xfId="0" applyNumberFormat="1" applyFont="1" applyFill="1" applyBorder="1" applyAlignment="1">
      <alignment/>
    </xf>
    <xf numFmtId="0" fontId="93" fillId="0" borderId="24" xfId="0" applyNumberFormat="1" applyFont="1" applyFill="1" applyBorder="1" applyAlignment="1">
      <alignment/>
    </xf>
    <xf numFmtId="0" fontId="93" fillId="0" borderId="42" xfId="0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178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0" fontId="93" fillId="0" borderId="28" xfId="0" applyFont="1" applyBorder="1" applyAlignment="1">
      <alignment/>
    </xf>
    <xf numFmtId="0" fontId="93" fillId="0" borderId="29" xfId="0" applyFont="1" applyBorder="1" applyAlignment="1">
      <alignment/>
    </xf>
    <xf numFmtId="0" fontId="93" fillId="0" borderId="30" xfId="0" applyFont="1" applyBorder="1" applyAlignment="1">
      <alignment/>
    </xf>
    <xf numFmtId="0" fontId="4" fillId="0" borderId="25" xfId="0" applyNumberFormat="1" applyFont="1" applyBorder="1" applyAlignment="1">
      <alignment/>
    </xf>
    <xf numFmtId="0" fontId="94" fillId="0" borderId="24" xfId="0" applyFont="1" applyBorder="1" applyAlignment="1">
      <alignment/>
    </xf>
    <xf numFmtId="0" fontId="93" fillId="0" borderId="24" xfId="0" applyFont="1" applyBorder="1" applyAlignment="1">
      <alignment/>
    </xf>
    <xf numFmtId="0" fontId="93" fillId="0" borderId="45" xfId="0" applyFont="1" applyBorder="1" applyAlignment="1">
      <alignment/>
    </xf>
    <xf numFmtId="0" fontId="93" fillId="0" borderId="42" xfId="0" applyFont="1" applyBorder="1" applyAlignment="1">
      <alignment/>
    </xf>
    <xf numFmtId="0" fontId="4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4" fontId="18" fillId="0" borderId="23" xfId="0" applyNumberFormat="1" applyFont="1" applyBorder="1" applyAlignment="1">
      <alignment/>
    </xf>
    <xf numFmtId="174" fontId="18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165" fontId="13" fillId="34" borderId="0" xfId="0" applyNumberFormat="1" applyFont="1" applyFill="1" applyAlignment="1">
      <alignment horizontal="center"/>
    </xf>
    <xf numFmtId="0" fontId="13" fillId="34" borderId="0" xfId="0" applyNumberFormat="1" applyFont="1" applyFill="1" applyAlignment="1">
      <alignment horizontal="center"/>
    </xf>
    <xf numFmtId="0" fontId="0" fillId="0" borderId="15" xfId="0" applyNumberFormat="1" applyFont="1" applyBorder="1" applyAlignment="1">
      <alignment horizontal="center"/>
    </xf>
    <xf numFmtId="165" fontId="13" fillId="0" borderId="15" xfId="0" applyNumberFormat="1" applyFont="1" applyFill="1" applyBorder="1" applyAlignment="1">
      <alignment horizontal="center"/>
    </xf>
    <xf numFmtId="165" fontId="14" fillId="0" borderId="15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8" fillId="0" borderId="24" xfId="0" applyFont="1" applyBorder="1" applyAlignment="1">
      <alignment horizontal="right"/>
    </xf>
    <xf numFmtId="4" fontId="18" fillId="0" borderId="24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/>
    </xf>
    <xf numFmtId="4" fontId="4" fillId="0" borderId="24" xfId="0" applyNumberFormat="1" applyFont="1" applyBorder="1" applyAlignment="1">
      <alignment/>
    </xf>
    <xf numFmtId="4" fontId="13" fillId="0" borderId="12" xfId="0" applyNumberFormat="1" applyFont="1" applyFill="1" applyBorder="1" applyAlignment="1">
      <alignment/>
    </xf>
    <xf numFmtId="4" fontId="23" fillId="0" borderId="41" xfId="0" applyNumberFormat="1" applyFont="1" applyFill="1" applyBorder="1" applyAlignment="1">
      <alignment/>
    </xf>
    <xf numFmtId="4" fontId="23" fillId="0" borderId="42" xfId="0" applyNumberFormat="1" applyFont="1" applyFill="1" applyBorder="1" applyAlignment="1">
      <alignment/>
    </xf>
    <xf numFmtId="10" fontId="4" fillId="0" borderId="0" xfId="59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24" xfId="0" applyNumberFormat="1" applyFont="1" applyBorder="1" applyAlignment="1">
      <alignment horizontal="center"/>
    </xf>
    <xf numFmtId="174" fontId="13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" fontId="13" fillId="0" borderId="50" xfId="0" applyNumberFormat="1" applyFont="1" applyFill="1" applyBorder="1" applyAlignment="1">
      <alignment/>
    </xf>
    <xf numFmtId="4" fontId="13" fillId="0" borderId="32" xfId="0" applyNumberFormat="1" applyFont="1" applyFill="1" applyBorder="1" applyAlignment="1">
      <alignment/>
    </xf>
    <xf numFmtId="4" fontId="13" fillId="0" borderId="16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10" fontId="13" fillId="0" borderId="0" xfId="0" applyNumberFormat="1" applyFont="1" applyFill="1" applyAlignment="1">
      <alignment horizontal="center"/>
    </xf>
    <xf numFmtId="4" fontId="14" fillId="0" borderId="0" xfId="0" applyNumberFormat="1" applyFont="1" applyBorder="1" applyAlignment="1">
      <alignment horizontal="left" vertical="center"/>
    </xf>
    <xf numFmtId="4" fontId="16" fillId="0" borderId="0" xfId="0" applyNumberFormat="1" applyFont="1" applyFill="1" applyBorder="1" applyAlignment="1">
      <alignment/>
    </xf>
    <xf numFmtId="0" fontId="22" fillId="0" borderId="55" xfId="0" applyNumberFormat="1" applyFont="1" applyBorder="1" applyAlignment="1">
      <alignment horizontal="center" wrapText="1"/>
    </xf>
    <xf numFmtId="4" fontId="16" fillId="0" borderId="16" xfId="0" applyNumberFormat="1" applyFont="1" applyBorder="1" applyAlignment="1">
      <alignment horizontal="right"/>
    </xf>
    <xf numFmtId="194" fontId="0" fillId="0" borderId="0" xfId="59" applyNumberFormat="1" applyFont="1" applyAlignment="1">
      <alignment horizontal="center"/>
    </xf>
    <xf numFmtId="0" fontId="8" fillId="0" borderId="11" xfId="0" applyNumberFormat="1" applyFont="1" applyBorder="1" applyAlignment="1">
      <alignment/>
    </xf>
    <xf numFmtId="4" fontId="108" fillId="0" borderId="0" xfId="0" applyNumberFormat="1" applyFont="1" applyAlignment="1">
      <alignment horizontal="right"/>
    </xf>
    <xf numFmtId="4" fontId="109" fillId="0" borderId="0" xfId="0" applyNumberFormat="1" applyFont="1" applyBorder="1" applyAlignment="1">
      <alignment/>
    </xf>
    <xf numFmtId="0" fontId="101" fillId="0" borderId="0" xfId="0" applyNumberFormat="1" applyFont="1" applyBorder="1" applyAlignment="1">
      <alignment/>
    </xf>
    <xf numFmtId="0" fontId="109" fillId="0" borderId="0" xfId="0" applyNumberFormat="1" applyFont="1" applyBorder="1" applyAlignment="1">
      <alignment/>
    </xf>
    <xf numFmtId="0" fontId="101" fillId="0" borderId="0" xfId="0" applyNumberFormat="1" applyFont="1" applyAlignment="1">
      <alignment/>
    </xf>
    <xf numFmtId="0" fontId="109" fillId="0" borderId="0" xfId="0" applyNumberFormat="1" applyFont="1" applyAlignment="1">
      <alignment/>
    </xf>
    <xf numFmtId="4" fontId="13" fillId="0" borderId="24" xfId="0" applyNumberFormat="1" applyFont="1" applyBorder="1" applyAlignment="1">
      <alignment/>
    </xf>
    <xf numFmtId="4" fontId="110" fillId="0" borderId="0" xfId="0" applyNumberFormat="1" applyFont="1" applyAlignment="1">
      <alignment/>
    </xf>
    <xf numFmtId="4" fontId="111" fillId="0" borderId="0" xfId="0" applyNumberFormat="1" applyFont="1" applyAlignment="1">
      <alignment/>
    </xf>
    <xf numFmtId="43" fontId="4" fillId="0" borderId="24" xfId="42" applyFont="1" applyBorder="1" applyAlignment="1">
      <alignment/>
    </xf>
    <xf numFmtId="43" fontId="4" fillId="0" borderId="0" xfId="0" applyNumberFormat="1" applyFont="1" applyAlignment="1">
      <alignment/>
    </xf>
    <xf numFmtId="4" fontId="13" fillId="0" borderId="15" xfId="0" applyNumberFormat="1" applyFont="1" applyFill="1" applyBorder="1" applyAlignment="1">
      <alignment/>
    </xf>
    <xf numFmtId="4" fontId="4" fillId="0" borderId="6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0" fontId="4" fillId="0" borderId="24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3" fontId="4" fillId="0" borderId="0" xfId="42" applyFont="1" applyAlignment="1">
      <alignment horizontal="right"/>
    </xf>
    <xf numFmtId="0" fontId="112" fillId="0" borderId="0" xfId="0" applyNumberFormat="1" applyFont="1" applyAlignment="1">
      <alignment/>
    </xf>
    <xf numFmtId="4" fontId="112" fillId="0" borderId="0" xfId="0" applyNumberFormat="1" applyFont="1" applyAlignment="1">
      <alignment/>
    </xf>
    <xf numFmtId="0" fontId="4" fillId="0" borderId="12" xfId="0" applyNumberFormat="1" applyFont="1" applyBorder="1" applyAlignment="1">
      <alignment horizontal="left"/>
    </xf>
    <xf numFmtId="43" fontId="4" fillId="0" borderId="12" xfId="42" applyFont="1" applyBorder="1" applyAlignment="1">
      <alignment horizontal="right"/>
    </xf>
    <xf numFmtId="43" fontId="4" fillId="0" borderId="0" xfId="42" applyFont="1" applyAlignment="1">
      <alignment/>
    </xf>
    <xf numFmtId="43" fontId="112" fillId="0" borderId="0" xfId="42" applyFont="1" applyAlignment="1">
      <alignment/>
    </xf>
    <xf numFmtId="0" fontId="112" fillId="0" borderId="12" xfId="0" applyNumberFormat="1" applyFont="1" applyBorder="1" applyAlignment="1">
      <alignment horizontal="right"/>
    </xf>
    <xf numFmtId="0" fontId="112" fillId="0" borderId="0" xfId="0" applyFont="1" applyAlignment="1">
      <alignment horizontal="right"/>
    </xf>
    <xf numFmtId="0" fontId="112" fillId="0" borderId="0" xfId="0" applyNumberFormat="1" applyFont="1" applyAlignment="1">
      <alignment horizontal="right"/>
    </xf>
    <xf numFmtId="0" fontId="112" fillId="0" borderId="0" xfId="0" applyFont="1" applyAlignment="1">
      <alignment/>
    </xf>
    <xf numFmtId="166" fontId="112" fillId="0" borderId="0" xfId="0" applyNumberFormat="1" applyFont="1" applyAlignment="1">
      <alignment/>
    </xf>
    <xf numFmtId="0" fontId="112" fillId="0" borderId="24" xfId="0" applyNumberFormat="1" applyFont="1" applyBorder="1" applyAlignment="1">
      <alignment horizontal="right"/>
    </xf>
    <xf numFmtId="4" fontId="112" fillId="0" borderId="24" xfId="0" applyNumberFormat="1" applyFont="1" applyBorder="1" applyAlignment="1">
      <alignment/>
    </xf>
    <xf numFmtId="43" fontId="4" fillId="0" borderId="0" xfId="42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43" fontId="4" fillId="0" borderId="0" xfId="42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1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3" fontId="13" fillId="0" borderId="0" xfId="42" applyFont="1" applyBorder="1" applyAlignment="1">
      <alignment horizontal="right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0" fontId="4" fillId="0" borderId="34" xfId="0" applyNumberFormat="1" applyFont="1" applyBorder="1" applyAlignment="1">
      <alignment horizontal="center"/>
    </xf>
    <xf numFmtId="0" fontId="5" fillId="0" borderId="61" xfId="0" applyNumberFormat="1" applyFont="1" applyBorder="1" applyAlignment="1">
      <alignment horizontal="center"/>
    </xf>
    <xf numFmtId="0" fontId="0" fillId="0" borderId="62" xfId="0" applyNumberFormat="1" applyFont="1" applyBorder="1" applyAlignment="1" quotePrefix="1">
      <alignment horizontal="centerContinuous"/>
    </xf>
    <xf numFmtId="4" fontId="13" fillId="0" borderId="0" xfId="0" applyNumberFormat="1" applyFont="1" applyFill="1" applyBorder="1" applyAlignment="1">
      <alignment/>
    </xf>
    <xf numFmtId="4" fontId="13" fillId="0" borderId="18" xfId="0" applyNumberFormat="1" applyFont="1" applyFill="1" applyBorder="1" applyAlignment="1">
      <alignment/>
    </xf>
    <xf numFmtId="4" fontId="13" fillId="0" borderId="17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165" fontId="13" fillId="0" borderId="0" xfId="59" applyNumberFormat="1" applyFont="1" applyFill="1" applyBorder="1" applyAlignment="1">
      <alignment/>
    </xf>
    <xf numFmtId="43" fontId="13" fillId="0" borderId="23" xfId="42" applyFont="1" applyBorder="1" applyAlignment="1">
      <alignment horizontal="right"/>
    </xf>
    <xf numFmtId="43" fontId="13" fillId="0" borderId="15" xfId="42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9" fillId="0" borderId="18" xfId="0" applyNumberFormat="1" applyFont="1" applyBorder="1" applyAlignment="1" quotePrefix="1">
      <alignment/>
    </xf>
    <xf numFmtId="0" fontId="1" fillId="0" borderId="10" xfId="0" applyNumberFormat="1" applyFont="1" applyBorder="1" applyAlignment="1">
      <alignment horizontal="centerContinuous"/>
    </xf>
    <xf numFmtId="0" fontId="17" fillId="0" borderId="11" xfId="0" applyNumberFormat="1" applyFont="1" applyBorder="1" applyAlignment="1">
      <alignment horizontal="centerContinuous"/>
    </xf>
    <xf numFmtId="0" fontId="17" fillId="0" borderId="18" xfId="0" applyNumberFormat="1" applyFont="1" applyBorder="1" applyAlignment="1">
      <alignment horizontal="centerContinuous"/>
    </xf>
    <xf numFmtId="0" fontId="13" fillId="0" borderId="12" xfId="0" applyNumberFormat="1" applyFont="1" applyBorder="1" applyAlignment="1">
      <alignment/>
    </xf>
    <xf numFmtId="0" fontId="13" fillId="0" borderId="33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0" fontId="13" fillId="0" borderId="34" xfId="0" applyNumberFormat="1" applyFont="1" applyBorder="1" applyAlignment="1">
      <alignment/>
    </xf>
    <xf numFmtId="0" fontId="69" fillId="0" borderId="0" xfId="0" applyFont="1" applyAlignment="1">
      <alignment/>
    </xf>
    <xf numFmtId="43" fontId="69" fillId="0" borderId="0" xfId="42" applyFont="1" applyAlignment="1">
      <alignment/>
    </xf>
    <xf numFmtId="4" fontId="69" fillId="0" borderId="0" xfId="0" applyNumberFormat="1" applyFont="1" applyAlignment="1">
      <alignment/>
    </xf>
    <xf numFmtId="0" fontId="69" fillId="0" borderId="0" xfId="0" applyFont="1" applyAlignment="1">
      <alignment horizontal="left" indent="1"/>
    </xf>
    <xf numFmtId="44" fontId="70" fillId="34" borderId="0" xfId="44" applyFont="1" applyFill="1" applyAlignment="1">
      <alignment/>
    </xf>
    <xf numFmtId="0" fontId="69" fillId="0" borderId="0" xfId="0" applyFont="1" applyAlignment="1">
      <alignment horizontal="left" indent="2"/>
    </xf>
    <xf numFmtId="43" fontId="69" fillId="0" borderId="63" xfId="42" applyFont="1" applyBorder="1" applyAlignment="1">
      <alignment/>
    </xf>
    <xf numFmtId="44" fontId="69" fillId="0" borderId="0" xfId="44" applyFont="1" applyAlignment="1">
      <alignment/>
    </xf>
    <xf numFmtId="44" fontId="69" fillId="0" borderId="63" xfId="44" applyFont="1" applyBorder="1" applyAlignment="1">
      <alignment/>
    </xf>
    <xf numFmtId="0" fontId="0" fillId="0" borderId="18" xfId="0" applyNumberFormat="1" applyFont="1" applyBorder="1" applyAlignment="1" quotePrefix="1">
      <alignment horizontal="centerContinuous"/>
    </xf>
    <xf numFmtId="4" fontId="94" fillId="0" borderId="24" xfId="0" applyNumberFormat="1" applyFont="1" applyFill="1" applyBorder="1" applyAlignment="1">
      <alignment/>
    </xf>
    <xf numFmtId="0" fontId="94" fillId="0" borderId="0" xfId="0" applyNumberFormat="1" applyFont="1" applyBorder="1" applyAlignment="1">
      <alignment/>
    </xf>
    <xf numFmtId="14" fontId="69" fillId="0" borderId="0" xfId="0" applyNumberFormat="1" applyFont="1" applyAlignment="1">
      <alignment/>
    </xf>
    <xf numFmtId="9" fontId="69" fillId="0" borderId="0" xfId="59" applyFont="1" applyAlignment="1">
      <alignment/>
    </xf>
    <xf numFmtId="43" fontId="69" fillId="0" borderId="0" xfId="0" applyNumberFormat="1" applyFont="1" applyAlignment="1">
      <alignment/>
    </xf>
    <xf numFmtId="10" fontId="69" fillId="0" borderId="0" xfId="59" applyNumberFormat="1" applyFont="1" applyAlignment="1">
      <alignment/>
    </xf>
    <xf numFmtId="0" fontId="70" fillId="0" borderId="0" xfId="0" applyFont="1" applyAlignment="1">
      <alignment/>
    </xf>
    <xf numFmtId="0" fontId="69" fillId="0" borderId="24" xfId="0" applyFont="1" applyBorder="1" applyAlignment="1">
      <alignment/>
    </xf>
    <xf numFmtId="43" fontId="69" fillId="0" borderId="63" xfId="0" applyNumberFormat="1" applyFont="1" applyBorder="1" applyAlignment="1">
      <alignment/>
    </xf>
    <xf numFmtId="0" fontId="113" fillId="0" borderId="0" xfId="0" applyFont="1" applyAlignment="1">
      <alignment/>
    </xf>
    <xf numFmtId="44" fontId="69" fillId="0" borderId="63" xfId="0" applyNumberFormat="1" applyFont="1" applyBorder="1" applyAlignment="1">
      <alignment/>
    </xf>
    <xf numFmtId="0" fontId="113" fillId="0" borderId="0" xfId="0" applyFont="1" applyAlignment="1">
      <alignment horizontal="right"/>
    </xf>
    <xf numFmtId="0" fontId="69" fillId="0" borderId="0" xfId="0" applyFont="1" applyAlignment="1">
      <alignment horizontal="left"/>
    </xf>
    <xf numFmtId="14" fontId="69" fillId="0" borderId="0" xfId="0" applyNumberFormat="1" applyFont="1" applyAlignment="1">
      <alignment horizontal="left"/>
    </xf>
    <xf numFmtId="0" fontId="114" fillId="0" borderId="0" xfId="0" applyFont="1" applyAlignment="1">
      <alignment/>
    </xf>
    <xf numFmtId="0" fontId="17" fillId="0" borderId="0" xfId="0" applyFont="1" applyAlignment="1">
      <alignment/>
    </xf>
    <xf numFmtId="44" fontId="17" fillId="0" borderId="0" xfId="44" applyFont="1" applyAlignment="1">
      <alignment/>
    </xf>
    <xf numFmtId="4" fontId="17" fillId="0" borderId="0" xfId="0" applyNumberFormat="1" applyFont="1" applyAlignment="1">
      <alignment/>
    </xf>
    <xf numFmtId="44" fontId="17" fillId="0" borderId="63" xfId="44" applyFont="1" applyBorder="1" applyAlignment="1">
      <alignment/>
    </xf>
    <xf numFmtId="10" fontId="17" fillId="0" borderId="0" xfId="59" applyNumberFormat="1" applyFont="1" applyAlignment="1">
      <alignment/>
    </xf>
    <xf numFmtId="43" fontId="17" fillId="0" borderId="0" xfId="42" applyFont="1" applyAlignment="1">
      <alignment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17" fillId="0" borderId="24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 wrapText="1"/>
    </xf>
    <xf numFmtId="14" fontId="5" fillId="0" borderId="0" xfId="0" applyNumberFormat="1" applyFont="1" applyAlignment="1" quotePrefix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4" fontId="16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164" fontId="6" fillId="0" borderId="0" xfId="0" applyNumberFormat="1" applyFont="1" applyAlignment="1" quotePrefix="1">
      <alignment horizontal="center"/>
    </xf>
    <xf numFmtId="0" fontId="4" fillId="0" borderId="24" xfId="0" applyNumberFormat="1" applyFont="1" applyBorder="1" applyAlignment="1">
      <alignment horizontal="center"/>
    </xf>
    <xf numFmtId="0" fontId="70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Accounting\@GMT-2019.10.08-11.00.04\Loan%20Payments\2017%20Loan%20Paym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Accounting\@GMT-2019.10.08-11.00.04\Loan%20Payments\2018%20Loan%20Pay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D - RUS Payts"/>
      <sheetName val="RUS Payts"/>
      <sheetName val="old CFC Payts"/>
      <sheetName val="FFB Payts"/>
      <sheetName val="CFC Payts"/>
      <sheetName val="FFB Amortizatio"/>
      <sheetName val="TREA  Amortizat"/>
    </sheetNames>
    <sheetDataSet>
      <sheetData sheetId="3">
        <row r="5">
          <cell r="AD5">
            <v>671401.29</v>
          </cell>
        </row>
        <row r="6">
          <cell r="AD6">
            <v>872821.3499999999</v>
          </cell>
        </row>
        <row r="7">
          <cell r="AD7">
            <v>675185.2699999999</v>
          </cell>
        </row>
        <row r="8">
          <cell r="AD8">
            <v>764211.78</v>
          </cell>
        </row>
        <row r="9">
          <cell r="AD9">
            <v>714200.95</v>
          </cell>
        </row>
        <row r="10">
          <cell r="AD10">
            <v>746102.29</v>
          </cell>
        </row>
        <row r="11">
          <cell r="AD11">
            <v>723864.1000000001</v>
          </cell>
        </row>
        <row r="12">
          <cell r="AD12">
            <v>723773.91</v>
          </cell>
        </row>
        <row r="13">
          <cell r="AD13">
            <v>1817439.22</v>
          </cell>
        </row>
        <row r="14">
          <cell r="AD14">
            <v>937103.21</v>
          </cell>
        </row>
        <row r="15">
          <cell r="AD15">
            <v>1229994.6599999997</v>
          </cell>
        </row>
        <row r="16">
          <cell r="AD16">
            <v>1460832.3399999999</v>
          </cell>
        </row>
        <row r="17">
          <cell r="AD17">
            <v>1037423.2999999998</v>
          </cell>
        </row>
        <row r="18">
          <cell r="AD18">
            <v>2568603.76</v>
          </cell>
        </row>
        <row r="19">
          <cell r="W19">
            <v>0.01065</v>
          </cell>
          <cell r="AD19">
            <v>4300103.24</v>
          </cell>
        </row>
        <row r="20">
          <cell r="W20">
            <v>0.01065</v>
          </cell>
          <cell r="AD20">
            <v>1787628.26</v>
          </cell>
        </row>
        <row r="21">
          <cell r="AD21">
            <v>1250026.5299999998</v>
          </cell>
        </row>
        <row r="22">
          <cell r="AD22">
            <v>5096262.01</v>
          </cell>
        </row>
        <row r="23">
          <cell r="W23">
            <v>0.01065</v>
          </cell>
          <cell r="AD23">
            <v>3862781.2199999997</v>
          </cell>
        </row>
        <row r="24">
          <cell r="W24">
            <v>0.01065</v>
          </cell>
          <cell r="AD24">
            <v>4541164.55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LD - RUS Payts"/>
      <sheetName val="RUS Payts"/>
      <sheetName val="old CFC Payts"/>
      <sheetName val="FFB Payts"/>
      <sheetName val="CFC Payts"/>
      <sheetName val="FFB Amortizatio"/>
      <sheetName val="FFB Payts (2)"/>
      <sheetName val="TREA  Amortizat"/>
    </sheetNames>
    <sheetDataSet>
      <sheetData sheetId="1">
        <row r="27">
          <cell r="G27">
            <v>2511383.6999999997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9"/>
  <sheetViews>
    <sheetView zoomScale="80" zoomScaleNormal="80" workbookViewId="0" topLeftCell="A1">
      <pane xSplit="8" ySplit="3" topLeftCell="S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D66" sqref="D66"/>
    </sheetView>
  </sheetViews>
  <sheetFormatPr defaultColWidth="9.6640625" defaultRowHeight="15"/>
  <cols>
    <col min="1" max="1" width="8.21484375" style="1" customWidth="1"/>
    <col min="2" max="2" width="8.4453125" style="1" bestFit="1" customWidth="1"/>
    <col min="3" max="3" width="8.5546875" style="1" bestFit="1" customWidth="1"/>
    <col min="4" max="4" width="8.3359375" style="1" customWidth="1"/>
    <col min="5" max="6" width="11.21484375" style="1" customWidth="1"/>
    <col min="7" max="7" width="6.88671875" style="1" bestFit="1" customWidth="1"/>
    <col min="8" max="8" width="1.77734375" style="1" bestFit="1" customWidth="1"/>
    <col min="9" max="17" width="10.77734375" style="1" customWidth="1"/>
    <col min="18" max="18" width="10.77734375" style="6" customWidth="1"/>
    <col min="19" max="26" width="10.77734375" style="1" customWidth="1"/>
    <col min="27" max="27" width="10.77734375" style="6" customWidth="1"/>
    <col min="28" max="35" width="10.77734375" style="1" customWidth="1"/>
    <col min="36" max="36" width="10.77734375" style="6" customWidth="1"/>
    <col min="37" max="44" width="10.77734375" style="1" customWidth="1"/>
    <col min="45" max="45" width="12.6640625" style="6" customWidth="1"/>
    <col min="46" max="46" width="12.6640625" style="1" customWidth="1"/>
    <col min="47" max="47" width="14.6640625" style="1" customWidth="1"/>
    <col min="48" max="49" width="12.6640625" style="1" customWidth="1"/>
    <col min="50" max="52" width="10.6640625" style="1" customWidth="1"/>
    <col min="53" max="57" width="11.6640625" style="1" customWidth="1"/>
    <col min="58" max="16384" width="9.6640625" style="1" customWidth="1"/>
  </cols>
  <sheetData>
    <row r="1" spans="1:59" ht="18">
      <c r="A1" s="2">
        <f ca="1">NOW()</f>
        <v>45234.445947685184</v>
      </c>
      <c r="B1" s="2"/>
      <c r="C1" s="2"/>
      <c r="D1" s="2"/>
      <c r="E1" s="2"/>
      <c r="F1" s="563" t="s">
        <v>130</v>
      </c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 t="s">
        <v>130</v>
      </c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 t="s">
        <v>130</v>
      </c>
      <c r="AH1" s="563"/>
      <c r="AI1" s="563"/>
      <c r="AJ1" s="563"/>
      <c r="AK1" s="563"/>
      <c r="AL1" s="563"/>
      <c r="AM1" s="563"/>
      <c r="AN1" s="563"/>
      <c r="AO1" s="563"/>
      <c r="AP1" s="563"/>
      <c r="AQ1" s="563"/>
      <c r="AR1" s="563"/>
      <c r="AS1" s="563" t="s">
        <v>130</v>
      </c>
      <c r="AT1" s="563"/>
      <c r="AU1" s="563"/>
      <c r="AV1" s="563"/>
      <c r="AW1" s="563"/>
      <c r="AX1" s="563"/>
      <c r="AY1" s="563"/>
      <c r="AZ1" s="563"/>
      <c r="BA1" s="563"/>
      <c r="BB1" s="563"/>
      <c r="BC1" s="563"/>
      <c r="BD1" s="563"/>
      <c r="BE1" s="563"/>
      <c r="BF1" s="563"/>
      <c r="BG1" s="4"/>
    </row>
    <row r="2" spans="1:47" ht="13.5" customHeight="1">
      <c r="A2" s="5" t="s">
        <v>0</v>
      </c>
      <c r="B2" s="5"/>
      <c r="C2" s="7" t="s">
        <v>112</v>
      </c>
      <c r="D2" s="7" t="s">
        <v>114</v>
      </c>
      <c r="E2" s="7" t="s">
        <v>115</v>
      </c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U2" s="102"/>
    </row>
    <row r="3" spans="1:59" ht="13.5" customHeight="1">
      <c r="A3" s="7" t="s">
        <v>1</v>
      </c>
      <c r="B3" s="7" t="s">
        <v>134</v>
      </c>
      <c r="C3" s="7" t="s">
        <v>73</v>
      </c>
      <c r="D3" s="7" t="s">
        <v>73</v>
      </c>
      <c r="E3" s="7" t="s">
        <v>73</v>
      </c>
      <c r="F3" s="7" t="s">
        <v>31</v>
      </c>
      <c r="G3" s="7" t="s">
        <v>32</v>
      </c>
      <c r="H3" s="7"/>
      <c r="I3" s="8" t="s">
        <v>33</v>
      </c>
      <c r="J3" s="9"/>
      <c r="K3" s="107"/>
      <c r="L3" s="11" t="s">
        <v>37</v>
      </c>
      <c r="M3" s="10"/>
      <c r="N3" s="10"/>
      <c r="O3" s="8" t="s">
        <v>38</v>
      </c>
      <c r="P3" s="10"/>
      <c r="Q3" s="10"/>
      <c r="R3" s="8" t="s">
        <v>39</v>
      </c>
      <c r="S3" s="10"/>
      <c r="T3" s="83"/>
      <c r="U3" s="81" t="s">
        <v>40</v>
      </c>
      <c r="V3" s="11"/>
      <c r="W3" s="103"/>
      <c r="X3" s="11" t="s">
        <v>41</v>
      </c>
      <c r="Y3" s="10"/>
      <c r="Z3" s="83"/>
      <c r="AA3" s="11" t="s">
        <v>42</v>
      </c>
      <c r="AB3" s="12"/>
      <c r="AC3" s="85"/>
      <c r="AD3" s="11" t="s">
        <v>43</v>
      </c>
      <c r="AE3" s="12"/>
      <c r="AF3" s="83"/>
      <c r="AG3" s="11" t="s">
        <v>44</v>
      </c>
      <c r="AH3" s="12"/>
      <c r="AI3" s="12"/>
      <c r="AJ3" s="8" t="s">
        <v>45</v>
      </c>
      <c r="AK3" s="12"/>
      <c r="AL3" s="12"/>
      <c r="AM3" s="13" t="s">
        <v>46</v>
      </c>
      <c r="AN3" s="12"/>
      <c r="AO3" s="12"/>
      <c r="AP3" s="8" t="s">
        <v>47</v>
      </c>
      <c r="AQ3" s="12"/>
      <c r="AR3" s="85"/>
      <c r="AS3" s="93" t="s">
        <v>48</v>
      </c>
      <c r="AT3" s="12"/>
      <c r="AU3" s="85"/>
      <c r="AV3" s="9" t="s">
        <v>49</v>
      </c>
      <c r="AW3" s="14" t="s">
        <v>49</v>
      </c>
      <c r="AX3" s="14" t="s">
        <v>49</v>
      </c>
      <c r="AY3" s="14" t="s">
        <v>49</v>
      </c>
      <c r="AZ3" s="14" t="s">
        <v>49</v>
      </c>
      <c r="BA3" s="14" t="s">
        <v>49</v>
      </c>
      <c r="BB3" s="14" t="s">
        <v>49</v>
      </c>
      <c r="BC3" s="14" t="s">
        <v>49</v>
      </c>
      <c r="BD3" s="14" t="s">
        <v>49</v>
      </c>
      <c r="BE3" s="14" t="s">
        <v>49</v>
      </c>
      <c r="BF3" s="63" t="s">
        <v>59</v>
      </c>
      <c r="BG3" s="15"/>
    </row>
    <row r="4" spans="6:59" ht="13.5" customHeight="1">
      <c r="F4" s="16">
        <v>42369</v>
      </c>
      <c r="G4" s="17"/>
      <c r="H4" s="17"/>
      <c r="I4" s="18" t="s">
        <v>34</v>
      </c>
      <c r="J4" s="19" t="s">
        <v>35</v>
      </c>
      <c r="K4" s="121" t="s">
        <v>36</v>
      </c>
      <c r="L4" s="101" t="s">
        <v>34</v>
      </c>
      <c r="M4" s="19" t="s">
        <v>35</v>
      </c>
      <c r="N4" s="19" t="s">
        <v>36</v>
      </c>
      <c r="O4" s="18" t="s">
        <v>34</v>
      </c>
      <c r="P4" s="19" t="s">
        <v>35</v>
      </c>
      <c r="Q4" s="19" t="s">
        <v>36</v>
      </c>
      <c r="R4" s="18" t="s">
        <v>34</v>
      </c>
      <c r="S4" s="19" t="s">
        <v>35</v>
      </c>
      <c r="T4" s="84" t="s">
        <v>36</v>
      </c>
      <c r="U4" s="82" t="s">
        <v>34</v>
      </c>
      <c r="V4" s="19" t="s">
        <v>35</v>
      </c>
      <c r="W4" s="87" t="s">
        <v>36</v>
      </c>
      <c r="X4" s="101" t="s">
        <v>34</v>
      </c>
      <c r="Y4" s="19" t="s">
        <v>35</v>
      </c>
      <c r="Z4" s="87" t="s">
        <v>36</v>
      </c>
      <c r="AA4" s="101" t="s">
        <v>34</v>
      </c>
      <c r="AB4" s="19" t="s">
        <v>35</v>
      </c>
      <c r="AC4" s="87" t="s">
        <v>36</v>
      </c>
      <c r="AD4" s="101" t="s">
        <v>34</v>
      </c>
      <c r="AE4" s="19" t="s">
        <v>35</v>
      </c>
      <c r="AF4" s="87" t="s">
        <v>36</v>
      </c>
      <c r="AG4" s="101" t="s">
        <v>34</v>
      </c>
      <c r="AH4" s="19" t="s">
        <v>35</v>
      </c>
      <c r="AI4" s="19" t="s">
        <v>36</v>
      </c>
      <c r="AJ4" s="18" t="s">
        <v>34</v>
      </c>
      <c r="AK4" s="19" t="s">
        <v>35</v>
      </c>
      <c r="AL4" s="19" t="s">
        <v>36</v>
      </c>
      <c r="AM4" s="18" t="s">
        <v>34</v>
      </c>
      <c r="AN4" s="19" t="s">
        <v>35</v>
      </c>
      <c r="AO4" s="19" t="s">
        <v>36</v>
      </c>
      <c r="AP4" s="18" t="s">
        <v>34</v>
      </c>
      <c r="AQ4" s="19" t="s">
        <v>35</v>
      </c>
      <c r="AR4" s="84" t="s">
        <v>36</v>
      </c>
      <c r="AS4" s="82" t="s">
        <v>34</v>
      </c>
      <c r="AT4" s="19" t="s">
        <v>35</v>
      </c>
      <c r="AU4" s="87" t="s">
        <v>36</v>
      </c>
      <c r="AV4" s="145" t="s">
        <v>50</v>
      </c>
      <c r="AW4" s="20" t="s">
        <v>51</v>
      </c>
      <c r="AX4" s="20" t="s">
        <v>52</v>
      </c>
      <c r="AY4" s="20" t="s">
        <v>53</v>
      </c>
      <c r="AZ4" s="20" t="s">
        <v>54</v>
      </c>
      <c r="BA4" s="20" t="s">
        <v>55</v>
      </c>
      <c r="BB4" s="20" t="s">
        <v>56</v>
      </c>
      <c r="BC4" s="20" t="s">
        <v>57</v>
      </c>
      <c r="BD4" s="20" t="s">
        <v>58</v>
      </c>
      <c r="BE4" s="20" t="s">
        <v>93</v>
      </c>
      <c r="BF4" s="64" t="s">
        <v>36</v>
      </c>
      <c r="BG4" s="15"/>
    </row>
    <row r="5" spans="1:59" ht="1.5" customHeight="1">
      <c r="A5" s="21">
        <v>4140</v>
      </c>
      <c r="B5" s="21"/>
      <c r="C5" s="21"/>
      <c r="D5" s="21"/>
      <c r="E5" s="21"/>
      <c r="F5" s="22">
        <v>0</v>
      </c>
      <c r="G5" s="23">
        <v>0.02</v>
      </c>
      <c r="H5" s="23"/>
      <c r="I5" s="24"/>
      <c r="J5" s="25"/>
      <c r="K5" s="73">
        <f aca="true" t="shared" si="0" ref="K5:K14">F5-J5</f>
        <v>0</v>
      </c>
      <c r="L5" s="26"/>
      <c r="M5" s="28"/>
      <c r="N5" s="86">
        <f>J5-M5</f>
        <v>0</v>
      </c>
      <c r="O5" s="26"/>
      <c r="P5" s="28"/>
      <c r="Q5" s="86">
        <f>M5-P5</f>
        <v>0</v>
      </c>
      <c r="R5" s="26"/>
      <c r="S5" s="28"/>
      <c r="T5" s="86">
        <f>P5-S5</f>
        <v>0</v>
      </c>
      <c r="U5" s="92"/>
      <c r="V5" s="28"/>
      <c r="W5" s="86">
        <f>S5-V5</f>
        <v>0</v>
      </c>
      <c r="X5" s="25"/>
      <c r="Y5" s="25"/>
      <c r="Z5" s="86">
        <f>V5-Y5</f>
        <v>0</v>
      </c>
      <c r="AA5" s="25"/>
      <c r="AB5" s="25"/>
      <c r="AC5" s="86">
        <f>Y5-AB5</f>
        <v>0</v>
      </c>
      <c r="AD5" s="25"/>
      <c r="AE5" s="25"/>
      <c r="AF5" s="86">
        <f>AB5-AE5</f>
        <v>0</v>
      </c>
      <c r="AG5" s="25"/>
      <c r="AH5" s="25"/>
      <c r="AI5" s="86">
        <f>AE5-AH5</f>
        <v>0</v>
      </c>
      <c r="AJ5" s="25"/>
      <c r="AK5" s="25"/>
      <c r="AL5" s="86">
        <f>AH5-AK5</f>
        <v>0</v>
      </c>
      <c r="AM5" s="25"/>
      <c r="AN5" s="25"/>
      <c r="AO5" s="86">
        <f>AK5-AN5</f>
        <v>0</v>
      </c>
      <c r="AP5" s="25"/>
      <c r="AQ5" s="25"/>
      <c r="AR5" s="86">
        <f>AN5-AQ5</f>
        <v>0</v>
      </c>
      <c r="AS5" s="92"/>
      <c r="AT5" s="26"/>
      <c r="AU5" s="86">
        <f>AQ5-AT5</f>
        <v>0</v>
      </c>
      <c r="AV5" s="26">
        <v>339000</v>
      </c>
      <c r="AW5" s="27">
        <f>AT5+AV5</f>
        <v>339000</v>
      </c>
      <c r="AX5" s="27">
        <v>339000</v>
      </c>
      <c r="AY5" s="27">
        <v>339000</v>
      </c>
      <c r="AZ5" s="27">
        <v>339000</v>
      </c>
      <c r="BA5" s="27">
        <v>339000</v>
      </c>
      <c r="BB5" s="27">
        <v>339000</v>
      </c>
      <c r="BC5" s="27">
        <v>339000</v>
      </c>
      <c r="BD5" s="27">
        <v>339000</v>
      </c>
      <c r="BE5" s="27">
        <v>339000</v>
      </c>
      <c r="BF5" s="67">
        <v>339000</v>
      </c>
      <c r="BG5" s="15"/>
    </row>
    <row r="6" spans="1:59" ht="15.75" customHeight="1" hidden="1">
      <c r="A6" s="21">
        <v>4150</v>
      </c>
      <c r="B6" s="21"/>
      <c r="C6" s="21"/>
      <c r="D6" s="21"/>
      <c r="E6" s="21"/>
      <c r="F6" s="22">
        <v>0</v>
      </c>
      <c r="G6" s="23">
        <v>0.02</v>
      </c>
      <c r="H6" s="23"/>
      <c r="I6" s="18"/>
      <c r="J6" s="19"/>
      <c r="K6" s="73">
        <f t="shared" si="0"/>
        <v>0</v>
      </c>
      <c r="L6" s="72"/>
      <c r="M6" s="30"/>
      <c r="N6" s="73">
        <f>J6-M6</f>
        <v>0</v>
      </c>
      <c r="O6" s="72"/>
      <c r="P6" s="30"/>
      <c r="Q6" s="73">
        <f>M6-P6</f>
        <v>0</v>
      </c>
      <c r="R6" s="72"/>
      <c r="S6" s="30"/>
      <c r="T6" s="73">
        <f>P6-S6</f>
        <v>0</v>
      </c>
      <c r="U6" s="78"/>
      <c r="V6" s="30"/>
      <c r="W6" s="73">
        <f>S6-V6</f>
        <v>0</v>
      </c>
      <c r="X6" s="101"/>
      <c r="Y6" s="19"/>
      <c r="Z6" s="73">
        <f>V6-Y6</f>
        <v>0</v>
      </c>
      <c r="AA6" s="101"/>
      <c r="AB6" s="19"/>
      <c r="AC6" s="73">
        <f>Y6-AB6</f>
        <v>0</v>
      </c>
      <c r="AD6" s="101"/>
      <c r="AE6" s="19"/>
      <c r="AF6" s="73">
        <f>AB6-AE6</f>
        <v>0</v>
      </c>
      <c r="AG6" s="101"/>
      <c r="AH6" s="19"/>
      <c r="AI6" s="73">
        <f>AE6-AH6</f>
        <v>0</v>
      </c>
      <c r="AJ6" s="101"/>
      <c r="AK6" s="19"/>
      <c r="AL6" s="73">
        <f>AH6-AK6</f>
        <v>0</v>
      </c>
      <c r="AM6" s="101"/>
      <c r="AN6" s="19"/>
      <c r="AO6" s="73">
        <f>AK6-AN6</f>
        <v>0</v>
      </c>
      <c r="AP6" s="101"/>
      <c r="AQ6" s="19"/>
      <c r="AR6" s="73">
        <f>AN6-AQ6</f>
        <v>0</v>
      </c>
      <c r="AS6" s="78"/>
      <c r="AT6" s="22"/>
      <c r="AU6" s="73">
        <f>AQ6-AT6</f>
        <v>0</v>
      </c>
      <c r="AV6" s="72">
        <v>333000</v>
      </c>
      <c r="AW6" s="29">
        <f>AT6+AV6</f>
        <v>333000</v>
      </c>
      <c r="AX6" s="29">
        <v>333000</v>
      </c>
      <c r="AY6" s="29">
        <v>333000</v>
      </c>
      <c r="AZ6" s="29">
        <v>333000</v>
      </c>
      <c r="BA6" s="29">
        <v>333000</v>
      </c>
      <c r="BB6" s="29">
        <v>333000</v>
      </c>
      <c r="BC6" s="29">
        <v>333000</v>
      </c>
      <c r="BD6" s="29">
        <v>333000</v>
      </c>
      <c r="BE6" s="29">
        <v>333000</v>
      </c>
      <c r="BF6" s="68">
        <v>333000</v>
      </c>
      <c r="BG6" s="15"/>
    </row>
    <row r="7" spans="1:59" ht="15.75" customHeight="1" hidden="1">
      <c r="A7" s="21">
        <v>4160</v>
      </c>
      <c r="B7" s="21"/>
      <c r="C7" s="21"/>
      <c r="D7" s="21"/>
      <c r="E7" s="21"/>
      <c r="F7" s="22">
        <v>0</v>
      </c>
      <c r="G7" s="23">
        <v>0.02</v>
      </c>
      <c r="H7" s="23"/>
      <c r="I7" s="18"/>
      <c r="J7" s="19"/>
      <c r="K7" s="73">
        <f t="shared" si="0"/>
        <v>0</v>
      </c>
      <c r="L7" s="72"/>
      <c r="M7" s="30"/>
      <c r="N7" s="73">
        <f aca="true" t="shared" si="1" ref="N7:N14">K7-M7</f>
        <v>0</v>
      </c>
      <c r="O7" s="72"/>
      <c r="P7" s="30"/>
      <c r="Q7" s="73">
        <f aca="true" t="shared" si="2" ref="Q7:Q14">N7-P7</f>
        <v>0</v>
      </c>
      <c r="R7" s="72"/>
      <c r="S7" s="30"/>
      <c r="T7" s="73">
        <f aca="true" t="shared" si="3" ref="T7:T14">Q7-S7</f>
        <v>0</v>
      </c>
      <c r="U7" s="78"/>
      <c r="V7" s="30"/>
      <c r="W7" s="73">
        <f aca="true" t="shared" si="4" ref="W7:W14">T7-V7</f>
        <v>0</v>
      </c>
      <c r="X7" s="101"/>
      <c r="Y7" s="19"/>
      <c r="Z7" s="73">
        <f aca="true" t="shared" si="5" ref="Z7:Z14">W7-Y7</f>
        <v>0</v>
      </c>
      <c r="AA7" s="101"/>
      <c r="AB7" s="19"/>
      <c r="AC7" s="73">
        <f aca="true" t="shared" si="6" ref="AC7:AC14">Z7-AB7</f>
        <v>0</v>
      </c>
      <c r="AD7" s="101"/>
      <c r="AE7" s="19"/>
      <c r="AF7" s="73">
        <f aca="true" t="shared" si="7" ref="AF7:AF14">AC7-AE7</f>
        <v>0</v>
      </c>
      <c r="AG7" s="101"/>
      <c r="AH7" s="19"/>
      <c r="AI7" s="73">
        <f aca="true" t="shared" si="8" ref="AI7:AI14">AF7-AH7</f>
        <v>0</v>
      </c>
      <c r="AJ7" s="101"/>
      <c r="AK7" s="19"/>
      <c r="AL7" s="73">
        <f aca="true" t="shared" si="9" ref="AL7:AL14">AI7-AK7</f>
        <v>0</v>
      </c>
      <c r="AM7" s="101"/>
      <c r="AN7" s="19"/>
      <c r="AO7" s="73">
        <f aca="true" t="shared" si="10" ref="AO7:AO14">AL7-AN7</f>
        <v>0</v>
      </c>
      <c r="AP7" s="101"/>
      <c r="AQ7" s="19"/>
      <c r="AR7" s="73">
        <f>AL7-AQ7</f>
        <v>0</v>
      </c>
      <c r="AS7" s="78">
        <f aca="true" t="shared" si="11" ref="AS7:AT14">I7+L7+O7+R7+U7+X7+AA7+AD7+AG7+AJ7+AM7+AP7</f>
        <v>0</v>
      </c>
      <c r="AT7" s="22">
        <f t="shared" si="11"/>
        <v>0</v>
      </c>
      <c r="AU7" s="73">
        <f aca="true" t="shared" si="12" ref="AU7:AU14">F7-AT7</f>
        <v>0</v>
      </c>
      <c r="AV7" s="72">
        <v>99276.5</v>
      </c>
      <c r="AW7" s="29">
        <v>99885</v>
      </c>
      <c r="AX7" s="29">
        <v>99885</v>
      </c>
      <c r="AY7" s="29">
        <v>99885</v>
      </c>
      <c r="AZ7" s="29">
        <v>99885</v>
      </c>
      <c r="BA7" s="29">
        <v>99885</v>
      </c>
      <c r="BB7" s="29">
        <v>99885</v>
      </c>
      <c r="BC7" s="29">
        <v>99885</v>
      </c>
      <c r="BD7" s="29">
        <v>99885</v>
      </c>
      <c r="BE7" s="29">
        <v>99885</v>
      </c>
      <c r="BF7" s="68">
        <v>99885</v>
      </c>
      <c r="BG7" s="15"/>
    </row>
    <row r="8" spans="1:59" ht="15.75" customHeight="1" hidden="1">
      <c r="A8" s="21">
        <v>4170</v>
      </c>
      <c r="B8" s="21"/>
      <c r="C8" s="21"/>
      <c r="D8" s="21"/>
      <c r="E8" s="21"/>
      <c r="F8" s="22">
        <v>0</v>
      </c>
      <c r="G8" s="23">
        <v>0.02</v>
      </c>
      <c r="H8" s="23"/>
      <c r="I8" s="31"/>
      <c r="J8" s="30"/>
      <c r="K8" s="73">
        <f t="shared" si="0"/>
        <v>0</v>
      </c>
      <c r="L8" s="76"/>
      <c r="M8" s="30"/>
      <c r="N8" s="73">
        <f t="shared" si="1"/>
        <v>0</v>
      </c>
      <c r="O8" s="72"/>
      <c r="P8" s="30"/>
      <c r="Q8" s="73">
        <f t="shared" si="2"/>
        <v>0</v>
      </c>
      <c r="R8" s="72"/>
      <c r="S8" s="30"/>
      <c r="T8" s="73">
        <f t="shared" si="3"/>
        <v>0</v>
      </c>
      <c r="U8" s="78"/>
      <c r="V8" s="30"/>
      <c r="W8" s="73">
        <f t="shared" si="4"/>
        <v>0</v>
      </c>
      <c r="X8" s="72"/>
      <c r="Y8" s="30"/>
      <c r="Z8" s="73">
        <f t="shared" si="5"/>
        <v>0</v>
      </c>
      <c r="AA8" s="72"/>
      <c r="AB8" s="30"/>
      <c r="AC8" s="105">
        <f t="shared" si="6"/>
        <v>0</v>
      </c>
      <c r="AD8" s="72"/>
      <c r="AE8" s="30"/>
      <c r="AF8" s="73">
        <f t="shared" si="7"/>
        <v>0</v>
      </c>
      <c r="AG8" s="72"/>
      <c r="AH8" s="30"/>
      <c r="AI8" s="105">
        <f t="shared" si="8"/>
        <v>0</v>
      </c>
      <c r="AJ8" s="72"/>
      <c r="AK8" s="30"/>
      <c r="AL8" s="73">
        <f t="shared" si="9"/>
        <v>0</v>
      </c>
      <c r="AM8" s="72"/>
      <c r="AN8" s="30"/>
      <c r="AO8" s="105">
        <f t="shared" si="10"/>
        <v>0</v>
      </c>
      <c r="AP8" s="72"/>
      <c r="AQ8" s="30"/>
      <c r="AR8" s="73">
        <f aca="true" t="shared" si="13" ref="AR8:AR14">AO8-AQ8</f>
        <v>0</v>
      </c>
      <c r="AS8" s="77">
        <f t="shared" si="11"/>
        <v>0</v>
      </c>
      <c r="AT8" s="22">
        <f t="shared" si="11"/>
        <v>0</v>
      </c>
      <c r="AU8" s="105">
        <f t="shared" si="12"/>
        <v>0</v>
      </c>
      <c r="AV8" s="72">
        <v>599895.24</v>
      </c>
      <c r="AW8" s="29">
        <v>627591.49</v>
      </c>
      <c r="AX8" s="29">
        <v>655842.97</v>
      </c>
      <c r="AY8" s="31">
        <v>684664.8</v>
      </c>
      <c r="AZ8" s="31">
        <v>691469</v>
      </c>
      <c r="BA8" s="31">
        <v>691469</v>
      </c>
      <c r="BB8" s="31">
        <v>691469</v>
      </c>
      <c r="BC8" s="29">
        <v>691469</v>
      </c>
      <c r="BD8" s="29">
        <v>691469</v>
      </c>
      <c r="BE8" s="29">
        <v>691469</v>
      </c>
      <c r="BF8" s="68">
        <f>AU8+BB8</f>
        <v>691469</v>
      </c>
      <c r="BG8" s="15"/>
    </row>
    <row r="9" spans="1:59" ht="15.75" customHeight="1" hidden="1">
      <c r="A9" s="21">
        <v>4171</v>
      </c>
      <c r="B9" s="21"/>
      <c r="C9" s="21"/>
      <c r="D9" s="21"/>
      <c r="E9" s="21"/>
      <c r="F9" s="22">
        <v>0</v>
      </c>
      <c r="G9" s="23">
        <v>0.02</v>
      </c>
      <c r="H9" s="23"/>
      <c r="I9" s="31"/>
      <c r="J9" s="30"/>
      <c r="K9" s="73">
        <f t="shared" si="0"/>
        <v>0</v>
      </c>
      <c r="L9" s="76"/>
      <c r="M9" s="30"/>
      <c r="N9" s="73">
        <f t="shared" si="1"/>
        <v>0</v>
      </c>
      <c r="O9" s="72"/>
      <c r="P9" s="30"/>
      <c r="Q9" s="73">
        <f t="shared" si="2"/>
        <v>0</v>
      </c>
      <c r="R9" s="72"/>
      <c r="S9" s="30"/>
      <c r="T9" s="73">
        <f t="shared" si="3"/>
        <v>0</v>
      </c>
      <c r="U9" s="78"/>
      <c r="V9" s="30"/>
      <c r="W9" s="73">
        <f t="shared" si="4"/>
        <v>0</v>
      </c>
      <c r="X9" s="72"/>
      <c r="Y9" s="30"/>
      <c r="Z9" s="73">
        <f t="shared" si="5"/>
        <v>0</v>
      </c>
      <c r="AA9" s="72"/>
      <c r="AB9" s="30"/>
      <c r="AC9" s="73">
        <f t="shared" si="6"/>
        <v>0</v>
      </c>
      <c r="AD9" s="72"/>
      <c r="AE9" s="30"/>
      <c r="AF9" s="73">
        <f t="shared" si="7"/>
        <v>0</v>
      </c>
      <c r="AG9" s="72"/>
      <c r="AH9" s="30"/>
      <c r="AI9" s="73">
        <f t="shared" si="8"/>
        <v>0</v>
      </c>
      <c r="AJ9" s="72"/>
      <c r="AK9" s="30"/>
      <c r="AL9" s="73">
        <f t="shared" si="9"/>
        <v>0</v>
      </c>
      <c r="AM9" s="72"/>
      <c r="AN9" s="30"/>
      <c r="AO9" s="73">
        <f t="shared" si="10"/>
        <v>0</v>
      </c>
      <c r="AP9" s="72"/>
      <c r="AQ9" s="30"/>
      <c r="AR9" s="73">
        <f t="shared" si="13"/>
        <v>0</v>
      </c>
      <c r="AS9" s="78">
        <f t="shared" si="11"/>
        <v>0</v>
      </c>
      <c r="AT9" s="22">
        <f t="shared" si="11"/>
        <v>0</v>
      </c>
      <c r="AU9" s="73">
        <f t="shared" si="12"/>
        <v>0</v>
      </c>
      <c r="AV9" s="72">
        <v>7309.99</v>
      </c>
      <c r="AW9" s="29">
        <v>7676.66</v>
      </c>
      <c r="AX9" s="29">
        <v>8050.67</v>
      </c>
      <c r="AY9" s="31">
        <v>8432.25</v>
      </c>
      <c r="AZ9" s="31">
        <v>8531</v>
      </c>
      <c r="BA9" s="31">
        <v>8531</v>
      </c>
      <c r="BB9" s="31">
        <v>8531</v>
      </c>
      <c r="BC9" s="29">
        <v>8531</v>
      </c>
      <c r="BD9" s="29">
        <v>8531</v>
      </c>
      <c r="BE9" s="29">
        <v>8531</v>
      </c>
      <c r="BF9" s="68">
        <f>AU9+BB9</f>
        <v>8531</v>
      </c>
      <c r="BG9" s="15"/>
    </row>
    <row r="10" spans="1:59" ht="14.25" customHeight="1" hidden="1">
      <c r="A10" s="21">
        <v>4180</v>
      </c>
      <c r="B10" s="21"/>
      <c r="C10" s="21"/>
      <c r="D10" s="21"/>
      <c r="E10" s="21"/>
      <c r="F10" s="22">
        <v>0</v>
      </c>
      <c r="G10" s="23">
        <v>0.02</v>
      </c>
      <c r="H10" s="23"/>
      <c r="I10" s="31">
        <v>0</v>
      </c>
      <c r="J10" s="30">
        <v>0</v>
      </c>
      <c r="K10" s="73">
        <f t="shared" si="0"/>
        <v>0</v>
      </c>
      <c r="L10" s="30">
        <v>0</v>
      </c>
      <c r="M10" s="30">
        <v>0</v>
      </c>
      <c r="N10" s="73">
        <f t="shared" si="1"/>
        <v>0</v>
      </c>
      <c r="O10" s="30">
        <v>0</v>
      </c>
      <c r="P10" s="30">
        <v>0</v>
      </c>
      <c r="Q10" s="73">
        <f t="shared" si="2"/>
        <v>0</v>
      </c>
      <c r="R10" s="30">
        <v>0</v>
      </c>
      <c r="S10" s="30">
        <v>0</v>
      </c>
      <c r="T10" s="73">
        <f t="shared" si="3"/>
        <v>0</v>
      </c>
      <c r="U10" s="30">
        <v>0</v>
      </c>
      <c r="V10" s="30">
        <v>0</v>
      </c>
      <c r="W10" s="73">
        <f t="shared" si="4"/>
        <v>0</v>
      </c>
      <c r="X10" s="30">
        <v>0</v>
      </c>
      <c r="Y10" s="30">
        <v>0</v>
      </c>
      <c r="Z10" s="73">
        <f t="shared" si="5"/>
        <v>0</v>
      </c>
      <c r="AA10" s="30">
        <v>0</v>
      </c>
      <c r="AB10" s="30">
        <v>0</v>
      </c>
      <c r="AC10" s="73">
        <f t="shared" si="6"/>
        <v>0</v>
      </c>
      <c r="AD10" s="30">
        <v>0</v>
      </c>
      <c r="AE10" s="30">
        <v>0</v>
      </c>
      <c r="AF10" s="73">
        <f t="shared" si="7"/>
        <v>0</v>
      </c>
      <c r="AG10" s="30">
        <v>0</v>
      </c>
      <c r="AH10" s="30">
        <v>0</v>
      </c>
      <c r="AI10" s="73">
        <f t="shared" si="8"/>
        <v>0</v>
      </c>
      <c r="AJ10" s="30">
        <v>0</v>
      </c>
      <c r="AK10" s="30">
        <v>0</v>
      </c>
      <c r="AL10" s="73">
        <f t="shared" si="9"/>
        <v>0</v>
      </c>
      <c r="AM10" s="30">
        <v>0</v>
      </c>
      <c r="AN10" s="30">
        <v>0</v>
      </c>
      <c r="AO10" s="73">
        <f t="shared" si="10"/>
        <v>0</v>
      </c>
      <c r="AP10" s="30">
        <v>0</v>
      </c>
      <c r="AQ10" s="30">
        <v>0</v>
      </c>
      <c r="AR10" s="73">
        <f t="shared" si="13"/>
        <v>0</v>
      </c>
      <c r="AS10" s="78">
        <f t="shared" si="11"/>
        <v>0</v>
      </c>
      <c r="AT10" s="22">
        <f t="shared" si="11"/>
        <v>0</v>
      </c>
      <c r="AU10" s="73">
        <f t="shared" si="12"/>
        <v>0</v>
      </c>
      <c r="AV10" s="72">
        <v>502381.67</v>
      </c>
      <c r="AW10" s="29">
        <v>527583.03</v>
      </c>
      <c r="AX10" s="29">
        <v>553289.22</v>
      </c>
      <c r="AY10" s="31">
        <v>579515.2</v>
      </c>
      <c r="AZ10" s="31">
        <v>606269.48</v>
      </c>
      <c r="BA10" s="31">
        <v>633564.75</v>
      </c>
      <c r="BB10" s="31">
        <v>661410.46</v>
      </c>
      <c r="BC10" s="29">
        <v>667999.99</v>
      </c>
      <c r="BD10" s="29">
        <v>668000</v>
      </c>
      <c r="BE10" s="29">
        <v>668000</v>
      </c>
      <c r="BF10" s="68">
        <f>F10+BC10</f>
        <v>667999.99</v>
      </c>
      <c r="BG10" s="15"/>
    </row>
    <row r="11" spans="1:59" ht="15.75" customHeight="1" hidden="1">
      <c r="A11" s="21" t="s">
        <v>2</v>
      </c>
      <c r="B11" s="21"/>
      <c r="C11" s="21"/>
      <c r="D11" s="21"/>
      <c r="E11" s="21"/>
      <c r="F11" s="22">
        <v>0</v>
      </c>
      <c r="G11" s="23">
        <v>0.02</v>
      </c>
      <c r="H11" s="23"/>
      <c r="I11" s="31">
        <v>0</v>
      </c>
      <c r="J11" s="30">
        <v>0</v>
      </c>
      <c r="K11" s="73">
        <f t="shared" si="0"/>
        <v>0</v>
      </c>
      <c r="L11" s="30">
        <v>0</v>
      </c>
      <c r="M11" s="30">
        <v>0</v>
      </c>
      <c r="N11" s="73">
        <f t="shared" si="1"/>
        <v>0</v>
      </c>
      <c r="O11" s="30">
        <v>0</v>
      </c>
      <c r="P11" s="30">
        <v>0</v>
      </c>
      <c r="Q11" s="73">
        <f t="shared" si="2"/>
        <v>0</v>
      </c>
      <c r="R11" s="30">
        <v>0</v>
      </c>
      <c r="S11" s="30">
        <v>0</v>
      </c>
      <c r="T11" s="73">
        <f t="shared" si="3"/>
        <v>0</v>
      </c>
      <c r="U11" s="30">
        <v>0</v>
      </c>
      <c r="V11" s="30">
        <v>0</v>
      </c>
      <c r="W11" s="73">
        <f t="shared" si="4"/>
        <v>0</v>
      </c>
      <c r="X11" s="30">
        <v>0</v>
      </c>
      <c r="Y11" s="30">
        <v>0</v>
      </c>
      <c r="Z11" s="73">
        <f t="shared" si="5"/>
        <v>0</v>
      </c>
      <c r="AA11" s="30">
        <v>0</v>
      </c>
      <c r="AB11" s="30">
        <v>0</v>
      </c>
      <c r="AC11" s="73">
        <f t="shared" si="6"/>
        <v>0</v>
      </c>
      <c r="AD11" s="30">
        <v>0</v>
      </c>
      <c r="AE11" s="30">
        <v>0</v>
      </c>
      <c r="AF11" s="73">
        <f t="shared" si="7"/>
        <v>0</v>
      </c>
      <c r="AG11" s="30">
        <v>0</v>
      </c>
      <c r="AH11" s="30">
        <v>0</v>
      </c>
      <c r="AI11" s="73">
        <f t="shared" si="8"/>
        <v>0</v>
      </c>
      <c r="AJ11" s="30">
        <v>0</v>
      </c>
      <c r="AK11" s="30">
        <v>0</v>
      </c>
      <c r="AL11" s="73">
        <f t="shared" si="9"/>
        <v>0</v>
      </c>
      <c r="AM11" s="30">
        <v>0</v>
      </c>
      <c r="AN11" s="30">
        <v>0</v>
      </c>
      <c r="AO11" s="73">
        <f t="shared" si="10"/>
        <v>0</v>
      </c>
      <c r="AP11" s="30">
        <v>0</v>
      </c>
      <c r="AQ11" s="30">
        <v>0</v>
      </c>
      <c r="AR11" s="73">
        <f t="shared" si="13"/>
        <v>0</v>
      </c>
      <c r="AS11" s="78">
        <f t="shared" si="11"/>
        <v>0</v>
      </c>
      <c r="AT11" s="22">
        <f t="shared" si="11"/>
        <v>0</v>
      </c>
      <c r="AU11" s="73">
        <f t="shared" si="12"/>
        <v>0</v>
      </c>
      <c r="AV11" s="72">
        <v>155128.76</v>
      </c>
      <c r="AW11" s="29">
        <v>163344.66</v>
      </c>
      <c r="AX11" s="29">
        <v>171725.06</v>
      </c>
      <c r="AY11" s="31">
        <v>180275.07</v>
      </c>
      <c r="AZ11" s="31">
        <v>188997.22</v>
      </c>
      <c r="BA11" s="31">
        <v>197895.75</v>
      </c>
      <c r="BB11" s="29">
        <v>206973.66</v>
      </c>
      <c r="BC11" s="29">
        <v>216233.77</v>
      </c>
      <c r="BD11" s="29">
        <v>225500</v>
      </c>
      <c r="BE11" s="29">
        <f>BD11+AU11</f>
        <v>225500</v>
      </c>
      <c r="BF11" s="68">
        <f>F11+BD11</f>
        <v>225500</v>
      </c>
      <c r="BG11" s="15"/>
    </row>
    <row r="12" spans="1:59" ht="15.75" customHeight="1" hidden="1">
      <c r="A12" s="21" t="s">
        <v>3</v>
      </c>
      <c r="B12" s="21"/>
      <c r="C12" s="21"/>
      <c r="D12" s="21"/>
      <c r="E12" s="21"/>
      <c r="F12" s="22">
        <v>0</v>
      </c>
      <c r="G12" s="23">
        <v>0.02</v>
      </c>
      <c r="H12" s="23"/>
      <c r="I12" s="31">
        <v>0</v>
      </c>
      <c r="J12" s="30">
        <v>0</v>
      </c>
      <c r="K12" s="73">
        <f t="shared" si="0"/>
        <v>0</v>
      </c>
      <c r="L12" s="30">
        <v>0</v>
      </c>
      <c r="M12" s="30">
        <v>0</v>
      </c>
      <c r="N12" s="73">
        <f t="shared" si="1"/>
        <v>0</v>
      </c>
      <c r="O12" s="30">
        <v>0</v>
      </c>
      <c r="P12" s="30">
        <v>0</v>
      </c>
      <c r="Q12" s="73">
        <f t="shared" si="2"/>
        <v>0</v>
      </c>
      <c r="R12" s="30">
        <v>0</v>
      </c>
      <c r="S12" s="30">
        <v>0</v>
      </c>
      <c r="T12" s="73">
        <f t="shared" si="3"/>
        <v>0</v>
      </c>
      <c r="U12" s="30">
        <v>0</v>
      </c>
      <c r="V12" s="30">
        <v>0</v>
      </c>
      <c r="W12" s="73">
        <f t="shared" si="4"/>
        <v>0</v>
      </c>
      <c r="X12" s="30">
        <v>0</v>
      </c>
      <c r="Y12" s="30">
        <v>0</v>
      </c>
      <c r="Z12" s="73">
        <f t="shared" si="5"/>
        <v>0</v>
      </c>
      <c r="AA12" s="30">
        <v>0</v>
      </c>
      <c r="AB12" s="30">
        <v>0</v>
      </c>
      <c r="AC12" s="73">
        <f t="shared" si="6"/>
        <v>0</v>
      </c>
      <c r="AD12" s="30">
        <v>0</v>
      </c>
      <c r="AE12" s="30">
        <v>0</v>
      </c>
      <c r="AF12" s="73">
        <f t="shared" si="7"/>
        <v>0</v>
      </c>
      <c r="AG12" s="30">
        <v>0</v>
      </c>
      <c r="AH12" s="30">
        <v>0</v>
      </c>
      <c r="AI12" s="73">
        <f t="shared" si="8"/>
        <v>0</v>
      </c>
      <c r="AJ12" s="30">
        <v>0</v>
      </c>
      <c r="AK12" s="30">
        <v>0</v>
      </c>
      <c r="AL12" s="73">
        <f t="shared" si="9"/>
        <v>0</v>
      </c>
      <c r="AM12" s="30">
        <v>0</v>
      </c>
      <c r="AN12" s="30">
        <v>0</v>
      </c>
      <c r="AO12" s="73">
        <f t="shared" si="10"/>
        <v>0</v>
      </c>
      <c r="AP12" s="30">
        <v>0</v>
      </c>
      <c r="AQ12" s="30">
        <v>0</v>
      </c>
      <c r="AR12" s="73">
        <f t="shared" si="13"/>
        <v>0</v>
      </c>
      <c r="AS12" s="78">
        <f t="shared" si="11"/>
        <v>0</v>
      </c>
      <c r="AT12" s="22">
        <f t="shared" si="11"/>
        <v>0</v>
      </c>
      <c r="AU12" s="73">
        <f t="shared" si="12"/>
        <v>0</v>
      </c>
      <c r="AV12" s="72">
        <v>154440.84</v>
      </c>
      <c r="AW12" s="29">
        <v>162620.29</v>
      </c>
      <c r="AX12" s="29">
        <v>170963.52</v>
      </c>
      <c r="AY12" s="31">
        <v>179475.62</v>
      </c>
      <c r="AZ12" s="31">
        <v>188159.1</v>
      </c>
      <c r="BA12" s="31">
        <v>197018.18</v>
      </c>
      <c r="BB12" s="29">
        <v>206055.83</v>
      </c>
      <c r="BC12" s="29">
        <v>215274.9</v>
      </c>
      <c r="BD12" s="29">
        <v>224500</v>
      </c>
      <c r="BE12" s="29">
        <f>BD12+AU12</f>
        <v>224500</v>
      </c>
      <c r="BF12" s="68">
        <f>F12+BD12</f>
        <v>224500</v>
      </c>
      <c r="BG12" s="15"/>
    </row>
    <row r="13" spans="1:59" ht="15.75" customHeight="1" hidden="1">
      <c r="A13" s="21" t="s">
        <v>4</v>
      </c>
      <c r="B13" s="21"/>
      <c r="C13" s="21"/>
      <c r="D13" s="21"/>
      <c r="E13" s="21"/>
      <c r="F13" s="22">
        <v>0</v>
      </c>
      <c r="G13" s="23">
        <v>0.02</v>
      </c>
      <c r="H13" s="23"/>
      <c r="I13" s="31">
        <v>0</v>
      </c>
      <c r="J13" s="30">
        <v>0</v>
      </c>
      <c r="K13" s="73">
        <f t="shared" si="0"/>
        <v>0</v>
      </c>
      <c r="L13" s="30">
        <v>0</v>
      </c>
      <c r="M13" s="30">
        <v>0</v>
      </c>
      <c r="N13" s="73">
        <f t="shared" si="1"/>
        <v>0</v>
      </c>
      <c r="O13" s="30">
        <v>0</v>
      </c>
      <c r="P13" s="30">
        <v>0</v>
      </c>
      <c r="Q13" s="73">
        <f t="shared" si="2"/>
        <v>0</v>
      </c>
      <c r="R13" s="30">
        <v>0</v>
      </c>
      <c r="S13" s="30">
        <v>0</v>
      </c>
      <c r="T13" s="73">
        <f t="shared" si="3"/>
        <v>0</v>
      </c>
      <c r="U13" s="30">
        <v>0</v>
      </c>
      <c r="V13" s="30">
        <v>0</v>
      </c>
      <c r="W13" s="73">
        <f t="shared" si="4"/>
        <v>0</v>
      </c>
      <c r="X13" s="30">
        <v>0</v>
      </c>
      <c r="Y13" s="30">
        <v>0</v>
      </c>
      <c r="Z13" s="73">
        <f t="shared" si="5"/>
        <v>0</v>
      </c>
      <c r="AA13" s="30">
        <v>0</v>
      </c>
      <c r="AB13" s="30">
        <v>0</v>
      </c>
      <c r="AC13" s="73">
        <f t="shared" si="6"/>
        <v>0</v>
      </c>
      <c r="AD13" s="30">
        <v>0</v>
      </c>
      <c r="AE13" s="30">
        <v>0</v>
      </c>
      <c r="AF13" s="73">
        <f t="shared" si="7"/>
        <v>0</v>
      </c>
      <c r="AG13" s="30">
        <v>0</v>
      </c>
      <c r="AH13" s="30">
        <v>0</v>
      </c>
      <c r="AI13" s="73">
        <f t="shared" si="8"/>
        <v>0</v>
      </c>
      <c r="AJ13" s="30">
        <v>0</v>
      </c>
      <c r="AK13" s="30">
        <v>0</v>
      </c>
      <c r="AL13" s="73">
        <f t="shared" si="9"/>
        <v>0</v>
      </c>
      <c r="AM13" s="30">
        <v>0</v>
      </c>
      <c r="AN13" s="30">
        <v>0</v>
      </c>
      <c r="AO13" s="73">
        <f t="shared" si="10"/>
        <v>0</v>
      </c>
      <c r="AP13" s="30">
        <v>0</v>
      </c>
      <c r="AQ13" s="30">
        <v>0</v>
      </c>
      <c r="AR13" s="73">
        <f t="shared" si="13"/>
        <v>0</v>
      </c>
      <c r="AS13" s="78">
        <f t="shared" si="11"/>
        <v>0</v>
      </c>
      <c r="AT13" s="22">
        <f t="shared" si="11"/>
        <v>0</v>
      </c>
      <c r="AU13" s="73">
        <f t="shared" si="12"/>
        <v>0</v>
      </c>
      <c r="AV13" s="72">
        <v>122290.12</v>
      </c>
      <c r="AW13" s="29">
        <v>128986.54</v>
      </c>
      <c r="AX13" s="29">
        <v>135817.01</v>
      </c>
      <c r="AY13" s="31">
        <v>142785.8</v>
      </c>
      <c r="AZ13" s="31">
        <v>149894.88</v>
      </c>
      <c r="BA13" s="31">
        <v>157147.71</v>
      </c>
      <c r="BB13" s="29">
        <v>164546.68</v>
      </c>
      <c r="BC13" s="29">
        <v>172094.25</v>
      </c>
      <c r="BD13" s="29">
        <v>179793.81</v>
      </c>
      <c r="BE13" s="29">
        <f>BD13+AT13</f>
        <v>179793.81</v>
      </c>
      <c r="BF13" s="69">
        <f>F13+BE13</f>
        <v>179793.81</v>
      </c>
      <c r="BG13" s="15"/>
    </row>
    <row r="14" spans="1:59" ht="15.75" customHeight="1" hidden="1">
      <c r="A14" s="21" t="s">
        <v>5</v>
      </c>
      <c r="B14" s="21"/>
      <c r="C14" s="21"/>
      <c r="D14" s="21"/>
      <c r="E14" s="21"/>
      <c r="F14" s="32">
        <v>0</v>
      </c>
      <c r="G14" s="23">
        <v>0.02</v>
      </c>
      <c r="H14" s="23"/>
      <c r="I14" s="31">
        <v>0</v>
      </c>
      <c r="J14" s="30">
        <v>0</v>
      </c>
      <c r="K14" s="73">
        <f t="shared" si="0"/>
        <v>0</v>
      </c>
      <c r="L14" s="30">
        <v>0</v>
      </c>
      <c r="M14" s="30">
        <v>0</v>
      </c>
      <c r="N14" s="73">
        <f t="shared" si="1"/>
        <v>0</v>
      </c>
      <c r="O14" s="30">
        <v>0</v>
      </c>
      <c r="P14" s="30">
        <v>0</v>
      </c>
      <c r="Q14" s="73">
        <f t="shared" si="2"/>
        <v>0</v>
      </c>
      <c r="R14" s="30">
        <v>0</v>
      </c>
      <c r="S14" s="30">
        <v>0</v>
      </c>
      <c r="T14" s="73">
        <f t="shared" si="3"/>
        <v>0</v>
      </c>
      <c r="U14" s="30">
        <v>0</v>
      </c>
      <c r="V14" s="30">
        <v>0</v>
      </c>
      <c r="W14" s="73">
        <f t="shared" si="4"/>
        <v>0</v>
      </c>
      <c r="X14" s="30">
        <v>0</v>
      </c>
      <c r="Y14" s="30">
        <v>0</v>
      </c>
      <c r="Z14" s="73">
        <f t="shared" si="5"/>
        <v>0</v>
      </c>
      <c r="AA14" s="30">
        <v>0</v>
      </c>
      <c r="AB14" s="30">
        <v>0</v>
      </c>
      <c r="AC14" s="73">
        <f t="shared" si="6"/>
        <v>0</v>
      </c>
      <c r="AD14" s="30">
        <v>0</v>
      </c>
      <c r="AE14" s="30">
        <v>0</v>
      </c>
      <c r="AF14" s="73">
        <f t="shared" si="7"/>
        <v>0</v>
      </c>
      <c r="AG14" s="30">
        <v>0</v>
      </c>
      <c r="AH14" s="30">
        <v>0</v>
      </c>
      <c r="AI14" s="73">
        <f t="shared" si="8"/>
        <v>0</v>
      </c>
      <c r="AJ14" s="30">
        <v>0</v>
      </c>
      <c r="AK14" s="30">
        <v>0</v>
      </c>
      <c r="AL14" s="73">
        <f t="shared" si="9"/>
        <v>0</v>
      </c>
      <c r="AM14" s="30">
        <v>0</v>
      </c>
      <c r="AN14" s="30">
        <v>0</v>
      </c>
      <c r="AO14" s="73">
        <f t="shared" si="10"/>
        <v>0</v>
      </c>
      <c r="AP14" s="30">
        <v>0</v>
      </c>
      <c r="AQ14" s="30">
        <v>0</v>
      </c>
      <c r="AR14" s="73">
        <f t="shared" si="13"/>
        <v>0</v>
      </c>
      <c r="AS14" s="78">
        <f t="shared" si="11"/>
        <v>0</v>
      </c>
      <c r="AT14" s="22">
        <f t="shared" si="11"/>
        <v>0</v>
      </c>
      <c r="AU14" s="88">
        <f t="shared" si="12"/>
        <v>0</v>
      </c>
      <c r="AV14" s="72">
        <v>122290.12</v>
      </c>
      <c r="AW14" s="29">
        <v>128986.54</v>
      </c>
      <c r="AX14" s="29">
        <v>135817.01</v>
      </c>
      <c r="AY14" s="31">
        <v>142785.8</v>
      </c>
      <c r="AZ14" s="31">
        <v>149894.88</v>
      </c>
      <c r="BA14" s="31">
        <v>157147.71</v>
      </c>
      <c r="BB14" s="29">
        <v>164546.68</v>
      </c>
      <c r="BC14" s="29">
        <v>172094.25</v>
      </c>
      <c r="BD14" s="29">
        <v>179793.81</v>
      </c>
      <c r="BE14" s="29">
        <f>BD14+AT14</f>
        <v>179793.81</v>
      </c>
      <c r="BF14" s="69">
        <f>F14+BE14</f>
        <v>179793.81</v>
      </c>
      <c r="BG14" s="15"/>
    </row>
    <row r="15" spans="1:59" ht="15" hidden="1">
      <c r="A15" s="21"/>
      <c r="B15" s="21"/>
      <c r="C15" s="21"/>
      <c r="D15" s="21"/>
      <c r="E15" s="21"/>
      <c r="F15" s="33">
        <v>0</v>
      </c>
      <c r="G15" s="23"/>
      <c r="H15" s="23"/>
      <c r="I15" s="31"/>
      <c r="J15" s="30"/>
      <c r="K15" s="73"/>
      <c r="L15" s="30"/>
      <c r="M15" s="30"/>
      <c r="N15" s="73"/>
      <c r="O15" s="30"/>
      <c r="P15" s="30"/>
      <c r="Q15" s="73"/>
      <c r="R15" s="30"/>
      <c r="S15" s="30"/>
      <c r="T15" s="73"/>
      <c r="U15" s="30"/>
      <c r="V15" s="30"/>
      <c r="W15" s="73"/>
      <c r="X15" s="30"/>
      <c r="Y15" s="30"/>
      <c r="Z15" s="73"/>
      <c r="AA15" s="30"/>
      <c r="AB15" s="30"/>
      <c r="AC15" s="73"/>
      <c r="AD15" s="30"/>
      <c r="AE15" s="30"/>
      <c r="AF15" s="73"/>
      <c r="AG15" s="30"/>
      <c r="AH15" s="30"/>
      <c r="AI15" s="73"/>
      <c r="AJ15" s="30"/>
      <c r="AK15" s="30"/>
      <c r="AL15" s="73"/>
      <c r="AM15" s="30"/>
      <c r="AN15" s="30"/>
      <c r="AO15" s="73"/>
      <c r="AP15" s="30"/>
      <c r="AQ15" s="30"/>
      <c r="AR15" s="73"/>
      <c r="AS15" s="78"/>
      <c r="AT15" s="22"/>
      <c r="AU15" s="146">
        <f>SUM(AU5:AU14)</f>
        <v>0</v>
      </c>
      <c r="AV15" s="72"/>
      <c r="AW15" s="29"/>
      <c r="AX15" s="29"/>
      <c r="AY15" s="29"/>
      <c r="AZ15" s="29"/>
      <c r="BA15" s="31"/>
      <c r="BB15" s="31"/>
      <c r="BC15" s="31"/>
      <c r="BD15" s="31"/>
      <c r="BE15" s="31"/>
      <c r="BF15" s="69">
        <f>SUM(BF10:BF14)</f>
        <v>1477587.61</v>
      </c>
      <c r="BG15" s="15"/>
    </row>
    <row r="16" spans="1:59" ht="15.75" customHeight="1" hidden="1">
      <c r="A16" s="21" t="s">
        <v>6</v>
      </c>
      <c r="B16" s="21"/>
      <c r="C16" s="21"/>
      <c r="D16" s="21"/>
      <c r="E16" s="21"/>
      <c r="F16" s="22">
        <v>0</v>
      </c>
      <c r="G16" s="23">
        <v>0.05</v>
      </c>
      <c r="H16" s="23"/>
      <c r="I16" s="31">
        <v>0</v>
      </c>
      <c r="J16" s="30">
        <v>0</v>
      </c>
      <c r="K16" s="73">
        <f aca="true" t="shared" si="14" ref="K16:K38">F16-J16</f>
        <v>0</v>
      </c>
      <c r="L16" s="30">
        <v>0</v>
      </c>
      <c r="M16" s="30">
        <v>0</v>
      </c>
      <c r="N16" s="73">
        <f aca="true" t="shared" si="15" ref="N16:N37">K16-M16</f>
        <v>0</v>
      </c>
      <c r="O16" s="30">
        <v>0</v>
      </c>
      <c r="P16" s="30">
        <v>0</v>
      </c>
      <c r="Q16" s="73">
        <f aca="true" t="shared" si="16" ref="Q16:Q38">N16-P16</f>
        <v>0</v>
      </c>
      <c r="R16" s="30">
        <v>0</v>
      </c>
      <c r="S16" s="30">
        <v>0</v>
      </c>
      <c r="T16" s="73">
        <f aca="true" t="shared" si="17" ref="T16:T38">Q16-S16</f>
        <v>0</v>
      </c>
      <c r="U16" s="30">
        <v>0</v>
      </c>
      <c r="V16" s="30">
        <v>0</v>
      </c>
      <c r="W16" s="73">
        <f aca="true" t="shared" si="18" ref="W16:W38">T16-V16</f>
        <v>0</v>
      </c>
      <c r="X16" s="30">
        <v>0</v>
      </c>
      <c r="Y16" s="30">
        <v>0</v>
      </c>
      <c r="Z16" s="73">
        <f aca="true" t="shared" si="19" ref="Z16:Z38">W16-Y16</f>
        <v>0</v>
      </c>
      <c r="AA16" s="30">
        <v>0</v>
      </c>
      <c r="AB16" s="30">
        <v>0</v>
      </c>
      <c r="AC16" s="73">
        <f aca="true" t="shared" si="20" ref="AC16:AC38">Z16-AB16</f>
        <v>0</v>
      </c>
      <c r="AD16" s="30">
        <v>0</v>
      </c>
      <c r="AE16" s="30">
        <v>0</v>
      </c>
      <c r="AF16" s="73">
        <f aca="true" t="shared" si="21" ref="AF16:AF38">AC16-AE16</f>
        <v>0</v>
      </c>
      <c r="AG16" s="30">
        <v>0</v>
      </c>
      <c r="AH16" s="30">
        <v>0</v>
      </c>
      <c r="AI16" s="73">
        <f aca="true" t="shared" si="22" ref="AI16:AI38">AF16-AH16</f>
        <v>0</v>
      </c>
      <c r="AJ16" s="30">
        <v>0</v>
      </c>
      <c r="AK16" s="30">
        <v>0</v>
      </c>
      <c r="AL16" s="73">
        <f aca="true" t="shared" si="23" ref="AL16:AL38">AI16-AK16</f>
        <v>0</v>
      </c>
      <c r="AM16" s="30">
        <v>0</v>
      </c>
      <c r="AN16" s="30">
        <v>0</v>
      </c>
      <c r="AO16" s="73">
        <f aca="true" t="shared" si="24" ref="AO16:AO38">AL16-AN16</f>
        <v>0</v>
      </c>
      <c r="AP16" s="30">
        <v>0</v>
      </c>
      <c r="AQ16" s="30">
        <v>0</v>
      </c>
      <c r="AR16" s="73">
        <f aca="true" t="shared" si="25" ref="AR16:AR38">AO16-AQ16</f>
        <v>0</v>
      </c>
      <c r="AS16" s="78">
        <f aca="true" t="shared" si="26" ref="AS16:AS38">I16+L16+O16+R16+U16+X16+AA16+AD16+AG16+AJ16+AM16+AP16</f>
        <v>0</v>
      </c>
      <c r="AT16" s="22">
        <f aca="true" t="shared" si="27" ref="AT16:AT38">J16+M16+P16+S16+V16+Y16+AB16+AE16+AH16+AK16+AN16+AQ16</f>
        <v>0</v>
      </c>
      <c r="AU16" s="73">
        <f aca="true" t="shared" si="28" ref="AU16:AU38">F16-AT16</f>
        <v>0</v>
      </c>
      <c r="AV16" s="72">
        <v>115852.96</v>
      </c>
      <c r="AW16" s="29">
        <v>124731</v>
      </c>
      <c r="AX16" s="29">
        <v>134057.8</v>
      </c>
      <c r="AY16" s="31">
        <v>143862.88</v>
      </c>
      <c r="AZ16" s="31">
        <v>154166.7</v>
      </c>
      <c r="BA16" s="31">
        <v>164997.35</v>
      </c>
      <c r="BB16" s="29">
        <v>176379.55</v>
      </c>
      <c r="BC16" s="29">
        <v>188340.22</v>
      </c>
      <c r="BD16" s="29">
        <v>200909.61</v>
      </c>
      <c r="BE16" s="29">
        <f aca="true" t="shared" si="29" ref="BE16:BE38">BD16+AT16</f>
        <v>200909.61</v>
      </c>
      <c r="BF16" s="69">
        <f aca="true" t="shared" si="30" ref="BF16:BF21">F16+BE16</f>
        <v>200909.61</v>
      </c>
      <c r="BG16" s="15"/>
    </row>
    <row r="17" spans="1:59" ht="15.75" customHeight="1" hidden="1">
      <c r="A17" s="21" t="s">
        <v>7</v>
      </c>
      <c r="B17" s="21"/>
      <c r="C17" s="21"/>
      <c r="D17" s="21"/>
      <c r="E17" s="21"/>
      <c r="F17" s="22">
        <v>0</v>
      </c>
      <c r="G17" s="23">
        <v>0.05</v>
      </c>
      <c r="H17" s="23"/>
      <c r="I17" s="31">
        <v>0</v>
      </c>
      <c r="J17" s="30">
        <v>0</v>
      </c>
      <c r="K17" s="73">
        <f t="shared" si="14"/>
        <v>0</v>
      </c>
      <c r="L17" s="30">
        <v>0</v>
      </c>
      <c r="M17" s="30">
        <v>0</v>
      </c>
      <c r="N17" s="73">
        <f t="shared" si="15"/>
        <v>0</v>
      </c>
      <c r="O17" s="30">
        <v>0</v>
      </c>
      <c r="P17" s="30">
        <v>0</v>
      </c>
      <c r="Q17" s="73">
        <f t="shared" si="16"/>
        <v>0</v>
      </c>
      <c r="R17" s="30">
        <v>0</v>
      </c>
      <c r="S17" s="30">
        <v>0</v>
      </c>
      <c r="T17" s="73">
        <f t="shared" si="17"/>
        <v>0</v>
      </c>
      <c r="U17" s="30">
        <v>0</v>
      </c>
      <c r="V17" s="30">
        <v>0</v>
      </c>
      <c r="W17" s="73">
        <f t="shared" si="18"/>
        <v>0</v>
      </c>
      <c r="X17" s="30">
        <v>0</v>
      </c>
      <c r="Y17" s="30">
        <v>0</v>
      </c>
      <c r="Z17" s="73">
        <f t="shared" si="19"/>
        <v>0</v>
      </c>
      <c r="AA17" s="30">
        <v>0</v>
      </c>
      <c r="AB17" s="30">
        <v>0</v>
      </c>
      <c r="AC17" s="73">
        <f t="shared" si="20"/>
        <v>0</v>
      </c>
      <c r="AD17" s="30">
        <v>0</v>
      </c>
      <c r="AE17" s="30">
        <v>0</v>
      </c>
      <c r="AF17" s="73">
        <f t="shared" si="21"/>
        <v>0</v>
      </c>
      <c r="AG17" s="30">
        <v>0</v>
      </c>
      <c r="AH17" s="30">
        <v>0</v>
      </c>
      <c r="AI17" s="73">
        <f t="shared" si="22"/>
        <v>0</v>
      </c>
      <c r="AJ17" s="30">
        <v>0</v>
      </c>
      <c r="AK17" s="30">
        <v>0</v>
      </c>
      <c r="AL17" s="73">
        <f t="shared" si="23"/>
        <v>0</v>
      </c>
      <c r="AM17" s="30">
        <v>0</v>
      </c>
      <c r="AN17" s="30">
        <v>0</v>
      </c>
      <c r="AO17" s="73">
        <f t="shared" si="24"/>
        <v>0</v>
      </c>
      <c r="AP17" s="30">
        <v>0</v>
      </c>
      <c r="AQ17" s="30">
        <v>0</v>
      </c>
      <c r="AR17" s="73">
        <f t="shared" si="25"/>
        <v>0</v>
      </c>
      <c r="AS17" s="78">
        <f t="shared" si="26"/>
        <v>0</v>
      </c>
      <c r="AT17" s="22">
        <f t="shared" si="27"/>
        <v>0</v>
      </c>
      <c r="AU17" s="73">
        <f t="shared" si="28"/>
        <v>0</v>
      </c>
      <c r="AV17" s="72">
        <v>115852.96</v>
      </c>
      <c r="AW17" s="29">
        <v>124731</v>
      </c>
      <c r="AX17" s="29">
        <v>134057.8</v>
      </c>
      <c r="AY17" s="31">
        <v>143862.88</v>
      </c>
      <c r="AZ17" s="31">
        <v>154166.7</v>
      </c>
      <c r="BA17" s="31">
        <v>164997.35</v>
      </c>
      <c r="BB17" s="29">
        <v>176379.55</v>
      </c>
      <c r="BC17" s="29">
        <v>188340.22</v>
      </c>
      <c r="BD17" s="29">
        <v>200909.61</v>
      </c>
      <c r="BE17" s="29">
        <f t="shared" si="29"/>
        <v>200909.61</v>
      </c>
      <c r="BF17" s="69">
        <f t="shared" si="30"/>
        <v>200909.61</v>
      </c>
      <c r="BG17" s="15"/>
    </row>
    <row r="18" spans="1:59" ht="15.75" customHeight="1" hidden="1">
      <c r="A18" s="21" t="s">
        <v>8</v>
      </c>
      <c r="B18" s="21"/>
      <c r="C18" s="21"/>
      <c r="D18" s="21"/>
      <c r="E18" s="21"/>
      <c r="F18" s="22">
        <v>0</v>
      </c>
      <c r="G18" s="23">
        <v>0.05</v>
      </c>
      <c r="H18" s="23"/>
      <c r="I18" s="31">
        <v>0</v>
      </c>
      <c r="J18" s="30">
        <v>0</v>
      </c>
      <c r="K18" s="73">
        <f t="shared" si="14"/>
        <v>0</v>
      </c>
      <c r="L18" s="30">
        <v>0</v>
      </c>
      <c r="M18" s="30">
        <v>0</v>
      </c>
      <c r="N18" s="73">
        <f t="shared" si="15"/>
        <v>0</v>
      </c>
      <c r="O18" s="30">
        <v>0</v>
      </c>
      <c r="P18" s="30">
        <v>0</v>
      </c>
      <c r="Q18" s="73">
        <f t="shared" si="16"/>
        <v>0</v>
      </c>
      <c r="R18" s="30">
        <v>0</v>
      </c>
      <c r="S18" s="30">
        <v>0</v>
      </c>
      <c r="T18" s="73">
        <f t="shared" si="17"/>
        <v>0</v>
      </c>
      <c r="U18" s="30">
        <v>0</v>
      </c>
      <c r="V18" s="30">
        <v>0</v>
      </c>
      <c r="W18" s="73">
        <f t="shared" si="18"/>
        <v>0</v>
      </c>
      <c r="X18" s="30">
        <v>0</v>
      </c>
      <c r="Y18" s="30">
        <v>0</v>
      </c>
      <c r="Z18" s="73">
        <f t="shared" si="19"/>
        <v>0</v>
      </c>
      <c r="AA18" s="30">
        <v>0</v>
      </c>
      <c r="AB18" s="30">
        <v>0</v>
      </c>
      <c r="AC18" s="73">
        <f t="shared" si="20"/>
        <v>0</v>
      </c>
      <c r="AD18" s="30">
        <v>0</v>
      </c>
      <c r="AE18" s="30">
        <v>0</v>
      </c>
      <c r="AF18" s="73">
        <f t="shared" si="21"/>
        <v>0</v>
      </c>
      <c r="AG18" s="30">
        <v>0</v>
      </c>
      <c r="AH18" s="30">
        <v>0</v>
      </c>
      <c r="AI18" s="73">
        <f t="shared" si="22"/>
        <v>0</v>
      </c>
      <c r="AJ18" s="30">
        <v>0</v>
      </c>
      <c r="AK18" s="30">
        <v>0</v>
      </c>
      <c r="AL18" s="73">
        <f t="shared" si="23"/>
        <v>0</v>
      </c>
      <c r="AM18" s="30">
        <v>0</v>
      </c>
      <c r="AN18" s="30">
        <v>0</v>
      </c>
      <c r="AO18" s="73">
        <f t="shared" si="24"/>
        <v>0</v>
      </c>
      <c r="AP18" s="30">
        <v>0</v>
      </c>
      <c r="AQ18" s="30">
        <v>0</v>
      </c>
      <c r="AR18" s="73">
        <f t="shared" si="25"/>
        <v>0</v>
      </c>
      <c r="AS18" s="78">
        <f t="shared" si="26"/>
        <v>0</v>
      </c>
      <c r="AT18" s="22">
        <f t="shared" si="27"/>
        <v>0</v>
      </c>
      <c r="AU18" s="73">
        <f t="shared" si="28"/>
        <v>0</v>
      </c>
      <c r="AV18" s="72">
        <v>90005.87</v>
      </c>
      <c r="AW18" s="29">
        <v>97136.32</v>
      </c>
      <c r="AX18" s="29">
        <v>104626.97</v>
      </c>
      <c r="AY18" s="31">
        <v>112502.15</v>
      </c>
      <c r="AZ18" s="31">
        <v>120777.74</v>
      </c>
      <c r="BA18" s="31">
        <v>129476.44</v>
      </c>
      <c r="BB18" s="29">
        <v>138617.9</v>
      </c>
      <c r="BC18" s="29">
        <v>148224.35</v>
      </c>
      <c r="BD18" s="29">
        <v>158319.53</v>
      </c>
      <c r="BE18" s="29">
        <f t="shared" si="29"/>
        <v>158319.53</v>
      </c>
      <c r="BF18" s="69">
        <f t="shared" si="30"/>
        <v>158319.53</v>
      </c>
      <c r="BG18" s="15"/>
    </row>
    <row r="19" spans="1:59" ht="15.75" customHeight="1" hidden="1">
      <c r="A19" s="21" t="s">
        <v>9</v>
      </c>
      <c r="B19" s="21"/>
      <c r="C19" s="21"/>
      <c r="D19" s="21"/>
      <c r="E19" s="21"/>
      <c r="F19" s="22">
        <v>0</v>
      </c>
      <c r="G19" s="23">
        <v>0.05</v>
      </c>
      <c r="H19" s="23"/>
      <c r="I19" s="31">
        <v>0</v>
      </c>
      <c r="J19" s="30">
        <v>0</v>
      </c>
      <c r="K19" s="73">
        <f t="shared" si="14"/>
        <v>0</v>
      </c>
      <c r="L19" s="30">
        <v>0</v>
      </c>
      <c r="M19" s="30">
        <v>0</v>
      </c>
      <c r="N19" s="73">
        <f t="shared" si="15"/>
        <v>0</v>
      </c>
      <c r="O19" s="30">
        <v>0</v>
      </c>
      <c r="P19" s="30">
        <v>0</v>
      </c>
      <c r="Q19" s="73">
        <f t="shared" si="16"/>
        <v>0</v>
      </c>
      <c r="R19" s="30">
        <v>0</v>
      </c>
      <c r="S19" s="30">
        <v>0</v>
      </c>
      <c r="T19" s="73">
        <f t="shared" si="17"/>
        <v>0</v>
      </c>
      <c r="U19" s="30">
        <v>0</v>
      </c>
      <c r="V19" s="30">
        <v>0</v>
      </c>
      <c r="W19" s="73">
        <f t="shared" si="18"/>
        <v>0</v>
      </c>
      <c r="X19" s="30">
        <v>0</v>
      </c>
      <c r="Y19" s="30">
        <v>0</v>
      </c>
      <c r="Z19" s="73">
        <f t="shared" si="19"/>
        <v>0</v>
      </c>
      <c r="AA19" s="30">
        <v>0</v>
      </c>
      <c r="AB19" s="30">
        <v>0</v>
      </c>
      <c r="AC19" s="73">
        <f t="shared" si="20"/>
        <v>0</v>
      </c>
      <c r="AD19" s="30">
        <v>0</v>
      </c>
      <c r="AE19" s="30">
        <v>0</v>
      </c>
      <c r="AF19" s="73">
        <f t="shared" si="21"/>
        <v>0</v>
      </c>
      <c r="AG19" s="30">
        <v>0</v>
      </c>
      <c r="AH19" s="30">
        <v>0</v>
      </c>
      <c r="AI19" s="73">
        <f t="shared" si="22"/>
        <v>0</v>
      </c>
      <c r="AJ19" s="30">
        <v>0</v>
      </c>
      <c r="AK19" s="30">
        <v>0</v>
      </c>
      <c r="AL19" s="73">
        <f t="shared" si="23"/>
        <v>0</v>
      </c>
      <c r="AM19" s="30">
        <v>0</v>
      </c>
      <c r="AN19" s="30">
        <v>0</v>
      </c>
      <c r="AO19" s="73">
        <f t="shared" si="24"/>
        <v>0</v>
      </c>
      <c r="AP19" s="30">
        <v>0</v>
      </c>
      <c r="AQ19" s="30">
        <v>0</v>
      </c>
      <c r="AR19" s="73">
        <f t="shared" si="25"/>
        <v>0</v>
      </c>
      <c r="AS19" s="78">
        <f t="shared" si="26"/>
        <v>0</v>
      </c>
      <c r="AT19" s="22">
        <f t="shared" si="27"/>
        <v>0</v>
      </c>
      <c r="AU19" s="73">
        <f t="shared" si="28"/>
        <v>0</v>
      </c>
      <c r="AV19" s="72">
        <v>90005.87</v>
      </c>
      <c r="AW19" s="29">
        <v>97136.32</v>
      </c>
      <c r="AX19" s="29">
        <v>104626.97</v>
      </c>
      <c r="AY19" s="31">
        <v>112502.15</v>
      </c>
      <c r="AZ19" s="31">
        <v>120777.74</v>
      </c>
      <c r="BA19" s="31">
        <v>129476.44</v>
      </c>
      <c r="BB19" s="29">
        <v>138617.9</v>
      </c>
      <c r="BC19" s="29">
        <v>148224.35</v>
      </c>
      <c r="BD19" s="29">
        <v>158319.53</v>
      </c>
      <c r="BE19" s="29">
        <f t="shared" si="29"/>
        <v>158319.53</v>
      </c>
      <c r="BF19" s="69">
        <f t="shared" si="30"/>
        <v>158319.53</v>
      </c>
      <c r="BG19" s="15"/>
    </row>
    <row r="20" spans="1:59" ht="15.75" customHeight="1" hidden="1">
      <c r="A20" s="21" t="s">
        <v>10</v>
      </c>
      <c r="B20" s="21"/>
      <c r="C20" s="21"/>
      <c r="D20" s="21"/>
      <c r="E20" s="21"/>
      <c r="F20" s="22">
        <v>0</v>
      </c>
      <c r="G20" s="23">
        <v>0.05</v>
      </c>
      <c r="H20" s="23"/>
      <c r="I20" s="31">
        <v>0</v>
      </c>
      <c r="J20" s="30">
        <v>0</v>
      </c>
      <c r="K20" s="73">
        <f t="shared" si="14"/>
        <v>0</v>
      </c>
      <c r="L20" s="30">
        <v>0</v>
      </c>
      <c r="M20" s="30">
        <v>0</v>
      </c>
      <c r="N20" s="73">
        <f t="shared" si="15"/>
        <v>0</v>
      </c>
      <c r="O20" s="30">
        <v>0</v>
      </c>
      <c r="P20" s="30">
        <v>0</v>
      </c>
      <c r="Q20" s="73">
        <f t="shared" si="16"/>
        <v>0</v>
      </c>
      <c r="R20" s="30">
        <v>0</v>
      </c>
      <c r="S20" s="30">
        <v>0</v>
      </c>
      <c r="T20" s="73">
        <f t="shared" si="17"/>
        <v>0</v>
      </c>
      <c r="U20" s="30">
        <v>0</v>
      </c>
      <c r="V20" s="30">
        <v>0</v>
      </c>
      <c r="W20" s="73">
        <f t="shared" si="18"/>
        <v>0</v>
      </c>
      <c r="X20" s="30">
        <v>0</v>
      </c>
      <c r="Y20" s="30">
        <v>0</v>
      </c>
      <c r="Z20" s="73">
        <f t="shared" si="19"/>
        <v>0</v>
      </c>
      <c r="AA20" s="30">
        <v>0</v>
      </c>
      <c r="AB20" s="30">
        <v>0</v>
      </c>
      <c r="AC20" s="73">
        <f t="shared" si="20"/>
        <v>0</v>
      </c>
      <c r="AD20" s="30">
        <v>0</v>
      </c>
      <c r="AE20" s="30">
        <v>0</v>
      </c>
      <c r="AF20" s="73">
        <f t="shared" si="21"/>
        <v>0</v>
      </c>
      <c r="AG20" s="30">
        <v>0</v>
      </c>
      <c r="AH20" s="30">
        <v>0</v>
      </c>
      <c r="AI20" s="73">
        <f t="shared" si="22"/>
        <v>0</v>
      </c>
      <c r="AJ20" s="30">
        <v>0</v>
      </c>
      <c r="AK20" s="30">
        <v>0</v>
      </c>
      <c r="AL20" s="73">
        <f t="shared" si="23"/>
        <v>0</v>
      </c>
      <c r="AM20" s="30">
        <v>0</v>
      </c>
      <c r="AN20" s="30">
        <v>0</v>
      </c>
      <c r="AO20" s="73">
        <f t="shared" si="24"/>
        <v>0</v>
      </c>
      <c r="AP20" s="30">
        <v>0</v>
      </c>
      <c r="AQ20" s="30">
        <v>0</v>
      </c>
      <c r="AR20" s="73">
        <f t="shared" si="25"/>
        <v>0</v>
      </c>
      <c r="AS20" s="78">
        <f t="shared" si="26"/>
        <v>0</v>
      </c>
      <c r="AT20" s="22">
        <f t="shared" si="27"/>
        <v>0</v>
      </c>
      <c r="AU20" s="73">
        <f t="shared" si="28"/>
        <v>0</v>
      </c>
      <c r="AV20" s="72">
        <v>84974.48</v>
      </c>
      <c r="AW20" s="29">
        <v>91848.55</v>
      </c>
      <c r="AX20" s="29">
        <v>99069.75</v>
      </c>
      <c r="AY20" s="31">
        <v>106661.88</v>
      </c>
      <c r="AZ20" s="31">
        <v>114639.92</v>
      </c>
      <c r="BA20" s="31">
        <v>123025.86</v>
      </c>
      <c r="BB20" s="29">
        <v>131838.52</v>
      </c>
      <c r="BC20" s="29">
        <v>141099.67</v>
      </c>
      <c r="BD20" s="29">
        <v>150831.88</v>
      </c>
      <c r="BE20" s="29">
        <f t="shared" si="29"/>
        <v>150831.88</v>
      </c>
      <c r="BF20" s="69">
        <f t="shared" si="30"/>
        <v>150831.88</v>
      </c>
      <c r="BG20" s="15"/>
    </row>
    <row r="21" spans="1:59" ht="15.75" customHeight="1" hidden="1">
      <c r="A21" s="21" t="s">
        <v>11</v>
      </c>
      <c r="B21" s="21"/>
      <c r="C21" s="21"/>
      <c r="D21" s="21"/>
      <c r="E21" s="21"/>
      <c r="F21" s="22">
        <v>0</v>
      </c>
      <c r="G21" s="23">
        <v>0.05</v>
      </c>
      <c r="H21" s="23"/>
      <c r="I21" s="31">
        <v>0</v>
      </c>
      <c r="J21" s="30">
        <v>0</v>
      </c>
      <c r="K21" s="73">
        <f t="shared" si="14"/>
        <v>0</v>
      </c>
      <c r="L21" s="30">
        <v>0</v>
      </c>
      <c r="M21" s="30">
        <v>0</v>
      </c>
      <c r="N21" s="73">
        <f t="shared" si="15"/>
        <v>0</v>
      </c>
      <c r="O21" s="30">
        <v>0</v>
      </c>
      <c r="P21" s="30">
        <v>0</v>
      </c>
      <c r="Q21" s="73">
        <f t="shared" si="16"/>
        <v>0</v>
      </c>
      <c r="R21" s="30">
        <v>0</v>
      </c>
      <c r="S21" s="30">
        <v>0</v>
      </c>
      <c r="T21" s="73">
        <f t="shared" si="17"/>
        <v>0</v>
      </c>
      <c r="U21" s="30">
        <v>0</v>
      </c>
      <c r="V21" s="30">
        <v>0</v>
      </c>
      <c r="W21" s="73">
        <f t="shared" si="18"/>
        <v>0</v>
      </c>
      <c r="X21" s="30">
        <v>0</v>
      </c>
      <c r="Y21" s="30">
        <v>0</v>
      </c>
      <c r="Z21" s="73">
        <f t="shared" si="19"/>
        <v>0</v>
      </c>
      <c r="AA21" s="30">
        <v>0</v>
      </c>
      <c r="AB21" s="30">
        <v>0</v>
      </c>
      <c r="AC21" s="73">
        <f t="shared" si="20"/>
        <v>0</v>
      </c>
      <c r="AD21" s="30">
        <v>0</v>
      </c>
      <c r="AE21" s="30">
        <v>0</v>
      </c>
      <c r="AF21" s="73">
        <f t="shared" si="21"/>
        <v>0</v>
      </c>
      <c r="AG21" s="30">
        <v>0</v>
      </c>
      <c r="AH21" s="30">
        <v>0</v>
      </c>
      <c r="AI21" s="73">
        <f t="shared" si="22"/>
        <v>0</v>
      </c>
      <c r="AJ21" s="30">
        <v>0</v>
      </c>
      <c r="AK21" s="30">
        <v>0</v>
      </c>
      <c r="AL21" s="73">
        <f t="shared" si="23"/>
        <v>0</v>
      </c>
      <c r="AM21" s="30">
        <v>0</v>
      </c>
      <c r="AN21" s="30">
        <v>0</v>
      </c>
      <c r="AO21" s="73">
        <f t="shared" si="24"/>
        <v>0</v>
      </c>
      <c r="AP21" s="30">
        <v>0</v>
      </c>
      <c r="AQ21" s="30">
        <v>0</v>
      </c>
      <c r="AR21" s="73">
        <f t="shared" si="25"/>
        <v>0</v>
      </c>
      <c r="AS21" s="78">
        <f t="shared" si="26"/>
        <v>0</v>
      </c>
      <c r="AT21" s="22">
        <f t="shared" si="27"/>
        <v>0</v>
      </c>
      <c r="AU21" s="73">
        <f t="shared" si="28"/>
        <v>0</v>
      </c>
      <c r="AV21" s="72">
        <v>84974.48</v>
      </c>
      <c r="AW21" s="29">
        <v>91848.55</v>
      </c>
      <c r="AX21" s="29">
        <v>99069.75</v>
      </c>
      <c r="AY21" s="31">
        <v>106661.88</v>
      </c>
      <c r="AZ21" s="31">
        <v>114639.92</v>
      </c>
      <c r="BA21" s="31">
        <v>123025.86</v>
      </c>
      <c r="BB21" s="29">
        <v>131838.52</v>
      </c>
      <c r="BC21" s="29">
        <v>141099.67</v>
      </c>
      <c r="BD21" s="29">
        <v>150831.88</v>
      </c>
      <c r="BE21" s="29">
        <f t="shared" si="29"/>
        <v>150831.88</v>
      </c>
      <c r="BF21" s="69">
        <f t="shared" si="30"/>
        <v>150831.88</v>
      </c>
      <c r="BG21" s="15"/>
    </row>
    <row r="22" spans="1:59" ht="15.75" customHeight="1" hidden="1">
      <c r="A22" s="21" t="s">
        <v>12</v>
      </c>
      <c r="B22" s="21"/>
      <c r="C22" s="21"/>
      <c r="D22" s="21"/>
      <c r="E22" s="21"/>
      <c r="F22" s="22">
        <v>0</v>
      </c>
      <c r="G22" s="23">
        <v>0.05</v>
      </c>
      <c r="H22" s="23"/>
      <c r="I22" s="31">
        <v>0</v>
      </c>
      <c r="J22" s="30">
        <v>0</v>
      </c>
      <c r="K22" s="73">
        <f t="shared" si="14"/>
        <v>0</v>
      </c>
      <c r="L22" s="30">
        <v>0</v>
      </c>
      <c r="M22" s="30">
        <v>0</v>
      </c>
      <c r="N22" s="73">
        <f t="shared" si="15"/>
        <v>0</v>
      </c>
      <c r="O22" s="30">
        <v>0</v>
      </c>
      <c r="P22" s="30">
        <v>0</v>
      </c>
      <c r="Q22" s="73">
        <f t="shared" si="16"/>
        <v>0</v>
      </c>
      <c r="R22" s="30">
        <v>0</v>
      </c>
      <c r="S22" s="30">
        <v>0</v>
      </c>
      <c r="T22" s="73">
        <f t="shared" si="17"/>
        <v>0</v>
      </c>
      <c r="U22" s="30">
        <v>0</v>
      </c>
      <c r="V22" s="30">
        <v>0</v>
      </c>
      <c r="W22" s="73">
        <f t="shared" si="18"/>
        <v>0</v>
      </c>
      <c r="X22" s="30">
        <v>0</v>
      </c>
      <c r="Y22" s="30">
        <v>0</v>
      </c>
      <c r="Z22" s="73">
        <f t="shared" si="19"/>
        <v>0</v>
      </c>
      <c r="AA22" s="30">
        <v>0</v>
      </c>
      <c r="AB22" s="30">
        <v>0</v>
      </c>
      <c r="AC22" s="73">
        <f t="shared" si="20"/>
        <v>0</v>
      </c>
      <c r="AD22" s="30">
        <v>0</v>
      </c>
      <c r="AE22" s="30">
        <v>0</v>
      </c>
      <c r="AF22" s="73">
        <f t="shared" si="21"/>
        <v>0</v>
      </c>
      <c r="AG22" s="30">
        <v>0</v>
      </c>
      <c r="AH22" s="30">
        <v>0</v>
      </c>
      <c r="AI22" s="73">
        <f t="shared" si="22"/>
        <v>0</v>
      </c>
      <c r="AJ22" s="30">
        <v>0</v>
      </c>
      <c r="AK22" s="30">
        <v>0</v>
      </c>
      <c r="AL22" s="73">
        <f t="shared" si="23"/>
        <v>0</v>
      </c>
      <c r="AM22" s="30">
        <v>0</v>
      </c>
      <c r="AN22" s="30">
        <v>0</v>
      </c>
      <c r="AO22" s="73">
        <f t="shared" si="24"/>
        <v>0</v>
      </c>
      <c r="AP22" s="30">
        <v>0</v>
      </c>
      <c r="AQ22" s="30">
        <v>0</v>
      </c>
      <c r="AR22" s="73">
        <f t="shared" si="25"/>
        <v>0</v>
      </c>
      <c r="AS22" s="78">
        <f t="shared" si="26"/>
        <v>0</v>
      </c>
      <c r="AT22" s="22">
        <f t="shared" si="27"/>
        <v>0</v>
      </c>
      <c r="AU22" s="73">
        <f t="shared" si="28"/>
        <v>0</v>
      </c>
      <c r="AV22" s="72">
        <v>165456.2</v>
      </c>
      <c r="AW22" s="29">
        <v>179366.86</v>
      </c>
      <c r="AX22" s="29">
        <v>193979.53</v>
      </c>
      <c r="AY22" s="31">
        <v>209343.65</v>
      </c>
      <c r="AZ22" s="31">
        <v>225488.33</v>
      </c>
      <c r="BA22" s="31">
        <v>242458.45</v>
      </c>
      <c r="BB22" s="29">
        <v>260291.62</v>
      </c>
      <c r="BC22" s="29">
        <v>279033.23</v>
      </c>
      <c r="BD22" s="29">
        <v>298727.69</v>
      </c>
      <c r="BE22" s="29">
        <f t="shared" si="29"/>
        <v>298727.69</v>
      </c>
      <c r="BF22" s="69">
        <f aca="true" t="shared" si="31" ref="BF22:BF38">F22+BD22</f>
        <v>298727.69</v>
      </c>
      <c r="BG22" s="15"/>
    </row>
    <row r="23" spans="1:59" ht="15.75" customHeight="1" hidden="1">
      <c r="A23" s="21" t="s">
        <v>104</v>
      </c>
      <c r="B23" s="21"/>
      <c r="C23" s="21"/>
      <c r="D23" s="21"/>
      <c r="E23" s="21"/>
      <c r="F23" s="22">
        <v>0</v>
      </c>
      <c r="G23" s="23">
        <v>0.05</v>
      </c>
      <c r="H23" s="23"/>
      <c r="I23" s="31">
        <v>0</v>
      </c>
      <c r="J23" s="30">
        <v>0</v>
      </c>
      <c r="K23" s="73">
        <f t="shared" si="14"/>
        <v>0</v>
      </c>
      <c r="L23" s="30">
        <v>0</v>
      </c>
      <c r="M23" s="30">
        <v>0</v>
      </c>
      <c r="N23" s="73">
        <f t="shared" si="15"/>
        <v>0</v>
      </c>
      <c r="O23" s="30">
        <v>0</v>
      </c>
      <c r="P23" s="30">
        <v>0</v>
      </c>
      <c r="Q23" s="73">
        <f t="shared" si="16"/>
        <v>0</v>
      </c>
      <c r="R23" s="30">
        <v>0</v>
      </c>
      <c r="S23" s="30">
        <v>0</v>
      </c>
      <c r="T23" s="73">
        <f t="shared" si="17"/>
        <v>0</v>
      </c>
      <c r="U23" s="30">
        <v>0</v>
      </c>
      <c r="V23" s="30">
        <v>0</v>
      </c>
      <c r="W23" s="73">
        <f t="shared" si="18"/>
        <v>0</v>
      </c>
      <c r="X23" s="30">
        <v>0</v>
      </c>
      <c r="Y23" s="30">
        <v>0</v>
      </c>
      <c r="Z23" s="73">
        <f t="shared" si="19"/>
        <v>0</v>
      </c>
      <c r="AA23" s="30">
        <v>0</v>
      </c>
      <c r="AB23" s="30">
        <v>0</v>
      </c>
      <c r="AC23" s="73">
        <f t="shared" si="20"/>
        <v>0</v>
      </c>
      <c r="AD23" s="30">
        <v>0</v>
      </c>
      <c r="AE23" s="30">
        <v>0</v>
      </c>
      <c r="AF23" s="73">
        <f t="shared" si="21"/>
        <v>0</v>
      </c>
      <c r="AG23" s="30">
        <v>0</v>
      </c>
      <c r="AH23" s="30">
        <v>0</v>
      </c>
      <c r="AI23" s="73">
        <f t="shared" si="22"/>
        <v>0</v>
      </c>
      <c r="AJ23" s="30">
        <v>0</v>
      </c>
      <c r="AK23" s="30">
        <v>0</v>
      </c>
      <c r="AL23" s="73">
        <f t="shared" si="23"/>
        <v>0</v>
      </c>
      <c r="AM23" s="30">
        <v>0</v>
      </c>
      <c r="AN23" s="30">
        <v>0</v>
      </c>
      <c r="AO23" s="73">
        <f t="shared" si="24"/>
        <v>0</v>
      </c>
      <c r="AP23" s="30">
        <v>0</v>
      </c>
      <c r="AQ23" s="30">
        <v>0</v>
      </c>
      <c r="AR23" s="73">
        <f t="shared" si="25"/>
        <v>0</v>
      </c>
      <c r="AS23" s="78">
        <f t="shared" si="26"/>
        <v>0</v>
      </c>
      <c r="AT23" s="22">
        <f t="shared" si="27"/>
        <v>0</v>
      </c>
      <c r="AU23" s="73">
        <f t="shared" si="28"/>
        <v>0</v>
      </c>
      <c r="AV23" s="72">
        <v>165456.2</v>
      </c>
      <c r="AW23" s="29">
        <v>179366.86</v>
      </c>
      <c r="AX23" s="29">
        <v>193979.53</v>
      </c>
      <c r="AY23" s="31">
        <v>209343.65</v>
      </c>
      <c r="AZ23" s="31">
        <v>225488.33</v>
      </c>
      <c r="BA23" s="31">
        <v>242458.45</v>
      </c>
      <c r="BB23" s="29">
        <v>260291.62</v>
      </c>
      <c r="BC23" s="29">
        <v>279033.23</v>
      </c>
      <c r="BD23" s="29">
        <v>298727.69</v>
      </c>
      <c r="BE23" s="29">
        <f t="shared" si="29"/>
        <v>298727.69</v>
      </c>
      <c r="BF23" s="69">
        <f t="shared" si="31"/>
        <v>298727.69</v>
      </c>
      <c r="BG23" s="15"/>
    </row>
    <row r="24" spans="1:59" ht="15.75" customHeight="1" hidden="1">
      <c r="A24" s="21" t="s">
        <v>13</v>
      </c>
      <c r="B24" s="21"/>
      <c r="C24" s="21"/>
      <c r="D24" s="21"/>
      <c r="E24" s="21"/>
      <c r="F24" s="22">
        <v>0</v>
      </c>
      <c r="G24" s="23">
        <v>0.05</v>
      </c>
      <c r="H24" s="23"/>
      <c r="I24" s="31">
        <v>0</v>
      </c>
      <c r="J24" s="30">
        <v>0</v>
      </c>
      <c r="K24" s="73">
        <f t="shared" si="14"/>
        <v>0</v>
      </c>
      <c r="L24" s="30">
        <v>0</v>
      </c>
      <c r="M24" s="30">
        <v>0</v>
      </c>
      <c r="N24" s="73">
        <f t="shared" si="15"/>
        <v>0</v>
      </c>
      <c r="O24" s="30">
        <v>0</v>
      </c>
      <c r="P24" s="30">
        <v>0</v>
      </c>
      <c r="Q24" s="73">
        <f t="shared" si="16"/>
        <v>0</v>
      </c>
      <c r="R24" s="30">
        <v>0</v>
      </c>
      <c r="S24" s="30">
        <v>0</v>
      </c>
      <c r="T24" s="73">
        <f t="shared" si="17"/>
        <v>0</v>
      </c>
      <c r="U24" s="30">
        <v>0</v>
      </c>
      <c r="V24" s="30">
        <v>0</v>
      </c>
      <c r="W24" s="73">
        <f t="shared" si="18"/>
        <v>0</v>
      </c>
      <c r="X24" s="30">
        <v>0</v>
      </c>
      <c r="Y24" s="30">
        <v>0</v>
      </c>
      <c r="Z24" s="73">
        <f t="shared" si="19"/>
        <v>0</v>
      </c>
      <c r="AA24" s="30">
        <v>0</v>
      </c>
      <c r="AB24" s="30">
        <v>0</v>
      </c>
      <c r="AC24" s="73">
        <f t="shared" si="20"/>
        <v>0</v>
      </c>
      <c r="AD24" s="30">
        <v>0</v>
      </c>
      <c r="AE24" s="30">
        <v>0</v>
      </c>
      <c r="AF24" s="73">
        <f t="shared" si="21"/>
        <v>0</v>
      </c>
      <c r="AG24" s="30">
        <v>0</v>
      </c>
      <c r="AH24" s="30">
        <v>0</v>
      </c>
      <c r="AI24" s="73">
        <f t="shared" si="22"/>
        <v>0</v>
      </c>
      <c r="AJ24" s="30">
        <v>0</v>
      </c>
      <c r="AK24" s="30">
        <v>0</v>
      </c>
      <c r="AL24" s="73">
        <f t="shared" si="23"/>
        <v>0</v>
      </c>
      <c r="AM24" s="30">
        <v>0</v>
      </c>
      <c r="AN24" s="30">
        <v>0</v>
      </c>
      <c r="AO24" s="73">
        <f t="shared" si="24"/>
        <v>0</v>
      </c>
      <c r="AP24" s="30">
        <v>0</v>
      </c>
      <c r="AQ24" s="30">
        <v>0</v>
      </c>
      <c r="AR24" s="73">
        <f t="shared" si="25"/>
        <v>0</v>
      </c>
      <c r="AS24" s="78">
        <f aca="true" t="shared" si="32" ref="AS24:AS35">I24+L24+O24+R24+U24+X24+AA24+AD24+AG24+AJ24+AM24+AP24</f>
        <v>0</v>
      </c>
      <c r="AT24" s="22">
        <f t="shared" si="27"/>
        <v>0</v>
      </c>
      <c r="AU24" s="73">
        <f t="shared" si="28"/>
        <v>0</v>
      </c>
      <c r="AV24" s="72">
        <v>243367.37</v>
      </c>
      <c r="AW24" s="29">
        <v>264718.58</v>
      </c>
      <c r="AX24" s="29">
        <v>287146.52</v>
      </c>
      <c r="AY24" s="31">
        <v>310729.2</v>
      </c>
      <c r="AZ24" s="31">
        <v>335509.35</v>
      </c>
      <c r="BA24" s="31">
        <v>361556.45</v>
      </c>
      <c r="BB24" s="29">
        <v>388927.46</v>
      </c>
      <c r="BC24" s="29">
        <v>417694.18</v>
      </c>
      <c r="BD24" s="29">
        <v>447922.84</v>
      </c>
      <c r="BE24" s="29">
        <f t="shared" si="29"/>
        <v>447922.84</v>
      </c>
      <c r="BF24" s="69">
        <f t="shared" si="31"/>
        <v>447922.84</v>
      </c>
      <c r="BG24" s="15"/>
    </row>
    <row r="25" spans="1:59" ht="15.75" customHeight="1" hidden="1">
      <c r="A25" s="21" t="s">
        <v>14</v>
      </c>
      <c r="B25" s="21"/>
      <c r="C25" s="21"/>
      <c r="D25" s="21"/>
      <c r="E25" s="21"/>
      <c r="F25" s="22">
        <v>0</v>
      </c>
      <c r="G25" s="23">
        <v>0.05</v>
      </c>
      <c r="H25" s="23"/>
      <c r="I25" s="31">
        <v>0</v>
      </c>
      <c r="J25" s="30">
        <v>0</v>
      </c>
      <c r="K25" s="73">
        <f t="shared" si="14"/>
        <v>0</v>
      </c>
      <c r="L25" s="30">
        <v>0</v>
      </c>
      <c r="M25" s="30">
        <v>0</v>
      </c>
      <c r="N25" s="73">
        <f t="shared" si="15"/>
        <v>0</v>
      </c>
      <c r="O25" s="30">
        <v>0</v>
      </c>
      <c r="P25" s="30">
        <v>0</v>
      </c>
      <c r="Q25" s="73">
        <f t="shared" si="16"/>
        <v>0</v>
      </c>
      <c r="R25" s="30">
        <v>0</v>
      </c>
      <c r="S25" s="30">
        <v>0</v>
      </c>
      <c r="T25" s="73">
        <f t="shared" si="17"/>
        <v>0</v>
      </c>
      <c r="U25" s="30">
        <v>0</v>
      </c>
      <c r="V25" s="30">
        <v>0</v>
      </c>
      <c r="W25" s="73">
        <f t="shared" si="18"/>
        <v>0</v>
      </c>
      <c r="X25" s="30">
        <v>0</v>
      </c>
      <c r="Y25" s="30">
        <v>0</v>
      </c>
      <c r="Z25" s="73">
        <f t="shared" si="19"/>
        <v>0</v>
      </c>
      <c r="AA25" s="30">
        <v>0</v>
      </c>
      <c r="AB25" s="30">
        <v>0</v>
      </c>
      <c r="AC25" s="73">
        <f t="shared" si="20"/>
        <v>0</v>
      </c>
      <c r="AD25" s="30">
        <v>0</v>
      </c>
      <c r="AE25" s="30">
        <v>0</v>
      </c>
      <c r="AF25" s="73">
        <f t="shared" si="21"/>
        <v>0</v>
      </c>
      <c r="AG25" s="30">
        <v>0</v>
      </c>
      <c r="AH25" s="30">
        <v>0</v>
      </c>
      <c r="AI25" s="73">
        <f t="shared" si="22"/>
        <v>0</v>
      </c>
      <c r="AJ25" s="30">
        <v>0</v>
      </c>
      <c r="AK25" s="30">
        <v>0</v>
      </c>
      <c r="AL25" s="73">
        <f t="shared" si="23"/>
        <v>0</v>
      </c>
      <c r="AM25" s="30">
        <v>0</v>
      </c>
      <c r="AN25" s="30">
        <v>0</v>
      </c>
      <c r="AO25" s="73">
        <f t="shared" si="24"/>
        <v>0</v>
      </c>
      <c r="AP25" s="30">
        <v>0</v>
      </c>
      <c r="AQ25" s="30">
        <v>0</v>
      </c>
      <c r="AR25" s="73">
        <f t="shared" si="25"/>
        <v>0</v>
      </c>
      <c r="AS25" s="78">
        <f t="shared" si="32"/>
        <v>0</v>
      </c>
      <c r="AT25" s="22">
        <f t="shared" si="27"/>
        <v>0</v>
      </c>
      <c r="AU25" s="73">
        <f t="shared" si="28"/>
        <v>0</v>
      </c>
      <c r="AV25" s="72">
        <v>243367.37</v>
      </c>
      <c r="AW25" s="29">
        <v>264718.58</v>
      </c>
      <c r="AX25" s="29">
        <v>287146.52</v>
      </c>
      <c r="AY25" s="31">
        <v>310729.2</v>
      </c>
      <c r="AZ25" s="31">
        <v>335509.35</v>
      </c>
      <c r="BA25" s="31">
        <v>361556.45</v>
      </c>
      <c r="BB25" s="29">
        <v>388927.46</v>
      </c>
      <c r="BC25" s="29">
        <v>417694.18</v>
      </c>
      <c r="BD25" s="29">
        <v>447922.84</v>
      </c>
      <c r="BE25" s="29">
        <f t="shared" si="29"/>
        <v>447922.84</v>
      </c>
      <c r="BF25" s="69">
        <f t="shared" si="31"/>
        <v>447922.84</v>
      </c>
      <c r="BG25" s="15"/>
    </row>
    <row r="26" spans="1:59" ht="15.75" customHeight="1" hidden="1">
      <c r="A26" s="21" t="s">
        <v>15</v>
      </c>
      <c r="B26" s="21"/>
      <c r="C26" s="21"/>
      <c r="D26" s="21"/>
      <c r="E26" s="21"/>
      <c r="F26" s="22">
        <v>0</v>
      </c>
      <c r="G26" s="23">
        <v>0.05</v>
      </c>
      <c r="H26" s="23"/>
      <c r="I26" s="31">
        <v>0</v>
      </c>
      <c r="J26" s="30">
        <v>0</v>
      </c>
      <c r="K26" s="73">
        <f t="shared" si="14"/>
        <v>0</v>
      </c>
      <c r="L26" s="30">
        <v>0</v>
      </c>
      <c r="M26" s="30">
        <v>0</v>
      </c>
      <c r="N26" s="73">
        <f t="shared" si="15"/>
        <v>0</v>
      </c>
      <c r="O26" s="30">
        <v>0</v>
      </c>
      <c r="P26" s="30">
        <v>0</v>
      </c>
      <c r="Q26" s="73">
        <f t="shared" si="16"/>
        <v>0</v>
      </c>
      <c r="R26" s="30">
        <v>0</v>
      </c>
      <c r="S26" s="30">
        <v>0</v>
      </c>
      <c r="T26" s="73">
        <f t="shared" si="17"/>
        <v>0</v>
      </c>
      <c r="U26" s="30">
        <v>0</v>
      </c>
      <c r="V26" s="30">
        <v>0</v>
      </c>
      <c r="W26" s="73">
        <f t="shared" si="18"/>
        <v>0</v>
      </c>
      <c r="X26" s="30">
        <v>0</v>
      </c>
      <c r="Y26" s="30">
        <v>0</v>
      </c>
      <c r="Z26" s="73">
        <f t="shared" si="19"/>
        <v>0</v>
      </c>
      <c r="AA26" s="30">
        <v>0</v>
      </c>
      <c r="AB26" s="30">
        <v>0</v>
      </c>
      <c r="AC26" s="73">
        <f t="shared" si="20"/>
        <v>0</v>
      </c>
      <c r="AD26" s="30">
        <v>0</v>
      </c>
      <c r="AE26" s="30">
        <v>0</v>
      </c>
      <c r="AF26" s="73">
        <f t="shared" si="21"/>
        <v>0</v>
      </c>
      <c r="AG26" s="30">
        <v>0</v>
      </c>
      <c r="AH26" s="30">
        <v>0</v>
      </c>
      <c r="AI26" s="73">
        <f t="shared" si="22"/>
        <v>0</v>
      </c>
      <c r="AJ26" s="30">
        <v>0</v>
      </c>
      <c r="AK26" s="30">
        <v>0</v>
      </c>
      <c r="AL26" s="73">
        <f t="shared" si="23"/>
        <v>0</v>
      </c>
      <c r="AM26" s="30">
        <v>0</v>
      </c>
      <c r="AN26" s="30">
        <v>0</v>
      </c>
      <c r="AO26" s="73">
        <f t="shared" si="24"/>
        <v>0</v>
      </c>
      <c r="AP26" s="30">
        <v>0</v>
      </c>
      <c r="AQ26" s="30">
        <v>0</v>
      </c>
      <c r="AR26" s="73">
        <f t="shared" si="25"/>
        <v>0</v>
      </c>
      <c r="AS26" s="78">
        <f t="shared" si="32"/>
        <v>0</v>
      </c>
      <c r="AT26" s="22">
        <f t="shared" si="27"/>
        <v>0</v>
      </c>
      <c r="AU26" s="73">
        <f t="shared" si="28"/>
        <v>0</v>
      </c>
      <c r="AV26" s="72">
        <v>132689.12</v>
      </c>
      <c r="AW26" s="29">
        <v>145556.45</v>
      </c>
      <c r="AX26" s="29">
        <v>159071.67</v>
      </c>
      <c r="AY26" s="31">
        <v>173284.57</v>
      </c>
      <c r="AZ26" s="31">
        <v>188218.33</v>
      </c>
      <c r="BA26" s="31">
        <v>203915.62</v>
      </c>
      <c r="BB26" s="29">
        <v>220409.77</v>
      </c>
      <c r="BC26" s="29">
        <v>237746.8</v>
      </c>
      <c r="BD26" s="29">
        <v>255964.12</v>
      </c>
      <c r="BE26" s="29">
        <f t="shared" si="29"/>
        <v>255964.12</v>
      </c>
      <c r="BF26" s="69">
        <f t="shared" si="31"/>
        <v>255964.12</v>
      </c>
      <c r="BG26" s="15"/>
    </row>
    <row r="27" spans="1:59" ht="15.75" customHeight="1" hidden="1">
      <c r="A27" s="21" t="s">
        <v>16</v>
      </c>
      <c r="B27" s="21"/>
      <c r="C27" s="21"/>
      <c r="D27" s="21"/>
      <c r="E27" s="21"/>
      <c r="F27" s="22">
        <v>0</v>
      </c>
      <c r="G27" s="23">
        <v>0.05</v>
      </c>
      <c r="H27" s="23"/>
      <c r="I27" s="31">
        <v>0</v>
      </c>
      <c r="J27" s="30">
        <v>0</v>
      </c>
      <c r="K27" s="73">
        <f t="shared" si="14"/>
        <v>0</v>
      </c>
      <c r="L27" s="30">
        <v>0</v>
      </c>
      <c r="M27" s="30">
        <v>0</v>
      </c>
      <c r="N27" s="73">
        <f t="shared" si="15"/>
        <v>0</v>
      </c>
      <c r="O27" s="30">
        <v>0</v>
      </c>
      <c r="P27" s="30">
        <v>0</v>
      </c>
      <c r="Q27" s="73">
        <f t="shared" si="16"/>
        <v>0</v>
      </c>
      <c r="R27" s="30">
        <v>0</v>
      </c>
      <c r="S27" s="30">
        <v>0</v>
      </c>
      <c r="T27" s="73">
        <f t="shared" si="17"/>
        <v>0</v>
      </c>
      <c r="U27" s="30">
        <v>0</v>
      </c>
      <c r="V27" s="30">
        <v>0</v>
      </c>
      <c r="W27" s="73">
        <f t="shared" si="18"/>
        <v>0</v>
      </c>
      <c r="X27" s="30">
        <v>0</v>
      </c>
      <c r="Y27" s="30">
        <v>0</v>
      </c>
      <c r="Z27" s="73">
        <f t="shared" si="19"/>
        <v>0</v>
      </c>
      <c r="AA27" s="30">
        <v>0</v>
      </c>
      <c r="AB27" s="30">
        <v>0</v>
      </c>
      <c r="AC27" s="73">
        <f t="shared" si="20"/>
        <v>0</v>
      </c>
      <c r="AD27" s="30">
        <v>0</v>
      </c>
      <c r="AE27" s="30">
        <v>0</v>
      </c>
      <c r="AF27" s="73">
        <f t="shared" si="21"/>
        <v>0</v>
      </c>
      <c r="AG27" s="30">
        <v>0</v>
      </c>
      <c r="AH27" s="30">
        <v>0</v>
      </c>
      <c r="AI27" s="73">
        <f t="shared" si="22"/>
        <v>0</v>
      </c>
      <c r="AJ27" s="30">
        <v>0</v>
      </c>
      <c r="AK27" s="30">
        <v>0</v>
      </c>
      <c r="AL27" s="73">
        <f t="shared" si="23"/>
        <v>0</v>
      </c>
      <c r="AM27" s="30">
        <v>0</v>
      </c>
      <c r="AN27" s="30">
        <v>0</v>
      </c>
      <c r="AO27" s="73">
        <f t="shared" si="24"/>
        <v>0</v>
      </c>
      <c r="AP27" s="30">
        <v>0</v>
      </c>
      <c r="AQ27" s="30">
        <v>0</v>
      </c>
      <c r="AR27" s="73">
        <f t="shared" si="25"/>
        <v>0</v>
      </c>
      <c r="AS27" s="78">
        <f t="shared" si="32"/>
        <v>0</v>
      </c>
      <c r="AT27" s="22">
        <f t="shared" si="27"/>
        <v>0</v>
      </c>
      <c r="AU27" s="73">
        <f t="shared" si="28"/>
        <v>0</v>
      </c>
      <c r="AV27" s="72">
        <v>132689.12</v>
      </c>
      <c r="AW27" s="29">
        <v>145556.45</v>
      </c>
      <c r="AX27" s="29">
        <v>159071.67</v>
      </c>
      <c r="AY27" s="31">
        <v>173284.57</v>
      </c>
      <c r="AZ27" s="31">
        <v>188218.33</v>
      </c>
      <c r="BA27" s="31">
        <v>203915.62</v>
      </c>
      <c r="BB27" s="29">
        <v>220409.77</v>
      </c>
      <c r="BC27" s="29">
        <v>237746.8</v>
      </c>
      <c r="BD27" s="29">
        <v>255964.12</v>
      </c>
      <c r="BE27" s="29">
        <f t="shared" si="29"/>
        <v>255964.12</v>
      </c>
      <c r="BF27" s="69">
        <f t="shared" si="31"/>
        <v>255964.12</v>
      </c>
      <c r="BG27" s="15"/>
    </row>
    <row r="28" spans="1:59" ht="15.75" customHeight="1" hidden="1">
      <c r="A28" s="21" t="s">
        <v>17</v>
      </c>
      <c r="B28" s="21"/>
      <c r="C28" s="21"/>
      <c r="D28" s="21"/>
      <c r="E28" s="21"/>
      <c r="F28" s="22">
        <v>0</v>
      </c>
      <c r="G28" s="23">
        <v>0.05</v>
      </c>
      <c r="H28" s="23"/>
      <c r="I28" s="31">
        <v>0</v>
      </c>
      <c r="J28" s="30">
        <v>0</v>
      </c>
      <c r="K28" s="73">
        <f t="shared" si="14"/>
        <v>0</v>
      </c>
      <c r="L28" s="30">
        <v>0</v>
      </c>
      <c r="M28" s="30">
        <v>0</v>
      </c>
      <c r="N28" s="73">
        <f t="shared" si="15"/>
        <v>0</v>
      </c>
      <c r="O28" s="30">
        <v>0</v>
      </c>
      <c r="P28" s="30">
        <v>0</v>
      </c>
      <c r="Q28" s="73">
        <f t="shared" si="16"/>
        <v>0</v>
      </c>
      <c r="R28" s="30">
        <v>0</v>
      </c>
      <c r="S28" s="30">
        <v>0</v>
      </c>
      <c r="T28" s="73">
        <f t="shared" si="17"/>
        <v>0</v>
      </c>
      <c r="U28" s="30">
        <v>0</v>
      </c>
      <c r="V28" s="30">
        <v>0</v>
      </c>
      <c r="W28" s="73">
        <f t="shared" si="18"/>
        <v>0</v>
      </c>
      <c r="X28" s="30">
        <v>0</v>
      </c>
      <c r="Y28" s="30">
        <v>0</v>
      </c>
      <c r="Z28" s="73">
        <f t="shared" si="19"/>
        <v>0</v>
      </c>
      <c r="AA28" s="30">
        <v>0</v>
      </c>
      <c r="AB28" s="30">
        <v>0</v>
      </c>
      <c r="AC28" s="73">
        <f t="shared" si="20"/>
        <v>0</v>
      </c>
      <c r="AD28" s="30">
        <v>0</v>
      </c>
      <c r="AE28" s="30">
        <v>0</v>
      </c>
      <c r="AF28" s="73">
        <f t="shared" si="21"/>
        <v>0</v>
      </c>
      <c r="AG28" s="30">
        <v>0</v>
      </c>
      <c r="AH28" s="30">
        <v>0</v>
      </c>
      <c r="AI28" s="73">
        <f t="shared" si="22"/>
        <v>0</v>
      </c>
      <c r="AJ28" s="30">
        <v>0</v>
      </c>
      <c r="AK28" s="30">
        <v>0</v>
      </c>
      <c r="AL28" s="73">
        <f t="shared" si="23"/>
        <v>0</v>
      </c>
      <c r="AM28" s="30">
        <v>0</v>
      </c>
      <c r="AN28" s="30">
        <v>0</v>
      </c>
      <c r="AO28" s="73">
        <f t="shared" si="24"/>
        <v>0</v>
      </c>
      <c r="AP28" s="30">
        <v>0</v>
      </c>
      <c r="AQ28" s="30">
        <v>0</v>
      </c>
      <c r="AR28" s="73">
        <f t="shared" si="25"/>
        <v>0</v>
      </c>
      <c r="AS28" s="78">
        <f t="shared" si="32"/>
        <v>0</v>
      </c>
      <c r="AT28" s="22">
        <f t="shared" si="27"/>
        <v>0</v>
      </c>
      <c r="AU28" s="73">
        <f t="shared" si="28"/>
        <v>0</v>
      </c>
      <c r="AV28" s="72">
        <v>61734.67</v>
      </c>
      <c r="AW28" s="29">
        <v>68421.06</v>
      </c>
      <c r="AX28" s="29">
        <v>75448.13</v>
      </c>
      <c r="AY28" s="31">
        <v>82835.87</v>
      </c>
      <c r="AZ28" s="31">
        <v>90601.78</v>
      </c>
      <c r="BA28" s="31">
        <v>98764.96</v>
      </c>
      <c r="BB28" s="29">
        <v>107345.02</v>
      </c>
      <c r="BC28" s="29">
        <v>116364.58</v>
      </c>
      <c r="BD28" s="29">
        <v>125845.2</v>
      </c>
      <c r="BE28" s="29">
        <f t="shared" si="29"/>
        <v>125845.2</v>
      </c>
      <c r="BF28" s="69">
        <f t="shared" si="31"/>
        <v>125845.2</v>
      </c>
      <c r="BG28" s="15"/>
    </row>
    <row r="29" spans="1:59" ht="15.75" customHeight="1" hidden="1">
      <c r="A29" s="21" t="s">
        <v>18</v>
      </c>
      <c r="B29" s="21"/>
      <c r="C29" s="21"/>
      <c r="D29" s="21"/>
      <c r="E29" s="21"/>
      <c r="F29" s="22">
        <v>0</v>
      </c>
      <c r="G29" s="23">
        <v>0.05</v>
      </c>
      <c r="H29" s="23"/>
      <c r="I29" s="31">
        <v>0</v>
      </c>
      <c r="J29" s="30">
        <v>0</v>
      </c>
      <c r="K29" s="73">
        <f t="shared" si="14"/>
        <v>0</v>
      </c>
      <c r="L29" s="30">
        <v>0</v>
      </c>
      <c r="M29" s="30">
        <v>0</v>
      </c>
      <c r="N29" s="73">
        <f t="shared" si="15"/>
        <v>0</v>
      </c>
      <c r="O29" s="30">
        <v>0</v>
      </c>
      <c r="P29" s="30">
        <v>0</v>
      </c>
      <c r="Q29" s="73">
        <f t="shared" si="16"/>
        <v>0</v>
      </c>
      <c r="R29" s="30">
        <v>0</v>
      </c>
      <c r="S29" s="30">
        <v>0</v>
      </c>
      <c r="T29" s="73">
        <f t="shared" si="17"/>
        <v>0</v>
      </c>
      <c r="U29" s="30">
        <v>0</v>
      </c>
      <c r="V29" s="30">
        <v>0</v>
      </c>
      <c r="W29" s="73">
        <f t="shared" si="18"/>
        <v>0</v>
      </c>
      <c r="X29" s="30">
        <v>0</v>
      </c>
      <c r="Y29" s="30">
        <v>0</v>
      </c>
      <c r="Z29" s="73">
        <f t="shared" si="19"/>
        <v>0</v>
      </c>
      <c r="AA29" s="30">
        <v>0</v>
      </c>
      <c r="AB29" s="30">
        <v>0</v>
      </c>
      <c r="AC29" s="73">
        <f t="shared" si="20"/>
        <v>0</v>
      </c>
      <c r="AD29" s="30">
        <v>0</v>
      </c>
      <c r="AE29" s="30">
        <v>0</v>
      </c>
      <c r="AF29" s="73">
        <f t="shared" si="21"/>
        <v>0</v>
      </c>
      <c r="AG29" s="30">
        <v>0</v>
      </c>
      <c r="AH29" s="30">
        <v>0</v>
      </c>
      <c r="AI29" s="73">
        <f t="shared" si="22"/>
        <v>0</v>
      </c>
      <c r="AJ29" s="30">
        <v>0</v>
      </c>
      <c r="AK29" s="30">
        <v>0</v>
      </c>
      <c r="AL29" s="73">
        <f t="shared" si="23"/>
        <v>0</v>
      </c>
      <c r="AM29" s="30">
        <v>0</v>
      </c>
      <c r="AN29" s="30">
        <v>0</v>
      </c>
      <c r="AO29" s="73">
        <f t="shared" si="24"/>
        <v>0</v>
      </c>
      <c r="AP29" s="30">
        <v>0</v>
      </c>
      <c r="AQ29" s="30">
        <v>0</v>
      </c>
      <c r="AR29" s="73">
        <f t="shared" si="25"/>
        <v>0</v>
      </c>
      <c r="AS29" s="78">
        <f t="shared" si="32"/>
        <v>0</v>
      </c>
      <c r="AT29" s="22">
        <f t="shared" si="27"/>
        <v>0</v>
      </c>
      <c r="AU29" s="73">
        <f t="shared" si="28"/>
        <v>0</v>
      </c>
      <c r="AV29" s="72">
        <v>61536.82</v>
      </c>
      <c r="AW29" s="29">
        <v>68213.09</v>
      </c>
      <c r="AX29" s="29">
        <v>75229.5</v>
      </c>
      <c r="AY29" s="31">
        <v>82606.06</v>
      </c>
      <c r="AZ29" s="31">
        <v>90360.23</v>
      </c>
      <c r="BA29" s="31">
        <v>98511.05</v>
      </c>
      <c r="BB29" s="29">
        <v>107078.31</v>
      </c>
      <c r="BC29" s="29">
        <v>116084.21</v>
      </c>
      <c r="BD29" s="29">
        <v>125550.45</v>
      </c>
      <c r="BE29" s="29">
        <f t="shared" si="29"/>
        <v>125550.45</v>
      </c>
      <c r="BF29" s="69">
        <f t="shared" si="31"/>
        <v>125550.45</v>
      </c>
      <c r="BG29" s="15"/>
    </row>
    <row r="30" spans="1:59" ht="15.75" customHeight="1" hidden="1">
      <c r="A30" s="21" t="s">
        <v>19</v>
      </c>
      <c r="B30" s="21"/>
      <c r="C30" s="21"/>
      <c r="D30" s="21"/>
      <c r="E30" s="21"/>
      <c r="F30" s="22">
        <v>0</v>
      </c>
      <c r="G30" s="23">
        <v>0.05</v>
      </c>
      <c r="H30" s="23"/>
      <c r="I30" s="31">
        <v>0</v>
      </c>
      <c r="J30" s="30">
        <v>0</v>
      </c>
      <c r="K30" s="73">
        <f t="shared" si="14"/>
        <v>0</v>
      </c>
      <c r="L30" s="30">
        <v>0</v>
      </c>
      <c r="M30" s="30">
        <v>0</v>
      </c>
      <c r="N30" s="73">
        <f t="shared" si="15"/>
        <v>0</v>
      </c>
      <c r="O30" s="30">
        <v>0</v>
      </c>
      <c r="P30" s="30">
        <v>0</v>
      </c>
      <c r="Q30" s="73">
        <f t="shared" si="16"/>
        <v>0</v>
      </c>
      <c r="R30" s="30">
        <v>0</v>
      </c>
      <c r="S30" s="30">
        <v>0</v>
      </c>
      <c r="T30" s="73">
        <f t="shared" si="17"/>
        <v>0</v>
      </c>
      <c r="U30" s="30">
        <v>0</v>
      </c>
      <c r="V30" s="30">
        <v>0</v>
      </c>
      <c r="W30" s="73">
        <f t="shared" si="18"/>
        <v>0</v>
      </c>
      <c r="X30" s="30">
        <v>0</v>
      </c>
      <c r="Y30" s="30">
        <v>0</v>
      </c>
      <c r="Z30" s="73">
        <f t="shared" si="19"/>
        <v>0</v>
      </c>
      <c r="AA30" s="30">
        <v>0</v>
      </c>
      <c r="AB30" s="30">
        <v>0</v>
      </c>
      <c r="AC30" s="73">
        <f t="shared" si="20"/>
        <v>0</v>
      </c>
      <c r="AD30" s="30">
        <v>0</v>
      </c>
      <c r="AE30" s="30">
        <v>0</v>
      </c>
      <c r="AF30" s="73">
        <f t="shared" si="21"/>
        <v>0</v>
      </c>
      <c r="AG30" s="30">
        <v>0</v>
      </c>
      <c r="AH30" s="30">
        <v>0</v>
      </c>
      <c r="AI30" s="73">
        <f t="shared" si="22"/>
        <v>0</v>
      </c>
      <c r="AJ30" s="30">
        <v>0</v>
      </c>
      <c r="AK30" s="30">
        <v>0</v>
      </c>
      <c r="AL30" s="73">
        <f t="shared" si="23"/>
        <v>0</v>
      </c>
      <c r="AM30" s="30">
        <v>0</v>
      </c>
      <c r="AN30" s="30">
        <v>0</v>
      </c>
      <c r="AO30" s="73">
        <f t="shared" si="24"/>
        <v>0</v>
      </c>
      <c r="AP30" s="30">
        <v>0</v>
      </c>
      <c r="AQ30" s="30">
        <v>0</v>
      </c>
      <c r="AR30" s="73">
        <f t="shared" si="25"/>
        <v>0</v>
      </c>
      <c r="AS30" s="78">
        <f t="shared" si="32"/>
        <v>0</v>
      </c>
      <c r="AT30" s="22">
        <f t="shared" si="27"/>
        <v>0</v>
      </c>
      <c r="AU30" s="73">
        <f t="shared" si="28"/>
        <v>0</v>
      </c>
      <c r="AV30" s="72">
        <v>101931.89</v>
      </c>
      <c r="AW30" s="29">
        <v>114963.59</v>
      </c>
      <c r="AX30" s="29">
        <v>128658.88</v>
      </c>
      <c r="AY30" s="31">
        <v>143057.45</v>
      </c>
      <c r="AZ30" s="31">
        <v>158193.09</v>
      </c>
      <c r="BA30" s="31">
        <v>174102.99</v>
      </c>
      <c r="BB30" s="29">
        <v>190825.38</v>
      </c>
      <c r="BC30" s="29">
        <v>208404.33</v>
      </c>
      <c r="BD30" s="29">
        <v>226881.84</v>
      </c>
      <c r="BE30" s="29">
        <f t="shared" si="29"/>
        <v>226881.84</v>
      </c>
      <c r="BF30" s="69">
        <f t="shared" si="31"/>
        <v>226881.84</v>
      </c>
      <c r="BG30" s="15"/>
    </row>
    <row r="31" spans="1:59" ht="15" customHeight="1" hidden="1">
      <c r="A31" s="21" t="s">
        <v>20</v>
      </c>
      <c r="B31" s="21"/>
      <c r="C31" s="21"/>
      <c r="D31" s="21"/>
      <c r="E31" s="21"/>
      <c r="F31" s="22">
        <v>0</v>
      </c>
      <c r="G31" s="23">
        <v>0.05</v>
      </c>
      <c r="H31" s="23"/>
      <c r="I31" s="31">
        <v>0</v>
      </c>
      <c r="J31" s="30">
        <v>0</v>
      </c>
      <c r="K31" s="73">
        <f t="shared" si="14"/>
        <v>0</v>
      </c>
      <c r="L31" s="30">
        <v>0</v>
      </c>
      <c r="M31" s="30">
        <v>0</v>
      </c>
      <c r="N31" s="73">
        <f t="shared" si="15"/>
        <v>0</v>
      </c>
      <c r="O31" s="30">
        <v>0</v>
      </c>
      <c r="P31" s="30">
        <v>0</v>
      </c>
      <c r="Q31" s="73">
        <f t="shared" si="16"/>
        <v>0</v>
      </c>
      <c r="R31" s="30">
        <v>0</v>
      </c>
      <c r="S31" s="30">
        <v>0</v>
      </c>
      <c r="T31" s="73">
        <f t="shared" si="17"/>
        <v>0</v>
      </c>
      <c r="U31" s="30">
        <v>0</v>
      </c>
      <c r="V31" s="30">
        <v>0</v>
      </c>
      <c r="W31" s="73">
        <f t="shared" si="18"/>
        <v>0</v>
      </c>
      <c r="X31" s="30">
        <v>0</v>
      </c>
      <c r="Y31" s="30">
        <v>0</v>
      </c>
      <c r="Z31" s="73">
        <f t="shared" si="19"/>
        <v>0</v>
      </c>
      <c r="AA31" s="30">
        <v>0</v>
      </c>
      <c r="AB31" s="30">
        <v>0</v>
      </c>
      <c r="AC31" s="73">
        <f t="shared" si="20"/>
        <v>0</v>
      </c>
      <c r="AD31" s="30">
        <v>0</v>
      </c>
      <c r="AE31" s="30">
        <v>0</v>
      </c>
      <c r="AF31" s="73">
        <f t="shared" si="21"/>
        <v>0</v>
      </c>
      <c r="AG31" s="30">
        <v>0</v>
      </c>
      <c r="AH31" s="30">
        <v>0</v>
      </c>
      <c r="AI31" s="73">
        <f t="shared" si="22"/>
        <v>0</v>
      </c>
      <c r="AJ31" s="30">
        <v>0</v>
      </c>
      <c r="AK31" s="30">
        <v>0</v>
      </c>
      <c r="AL31" s="73">
        <f t="shared" si="23"/>
        <v>0</v>
      </c>
      <c r="AM31" s="30">
        <v>0</v>
      </c>
      <c r="AN31" s="30">
        <v>0</v>
      </c>
      <c r="AO31" s="73">
        <f t="shared" si="24"/>
        <v>0</v>
      </c>
      <c r="AP31" s="30">
        <v>0</v>
      </c>
      <c r="AQ31" s="30">
        <v>0</v>
      </c>
      <c r="AR31" s="73">
        <f t="shared" si="25"/>
        <v>0</v>
      </c>
      <c r="AS31" s="78">
        <f t="shared" si="32"/>
        <v>0</v>
      </c>
      <c r="AT31" s="22">
        <f t="shared" si="27"/>
        <v>0</v>
      </c>
      <c r="AU31" s="73">
        <f t="shared" si="28"/>
        <v>0</v>
      </c>
      <c r="AV31" s="72">
        <v>69.25</v>
      </c>
      <c r="AW31" s="29">
        <v>79.76</v>
      </c>
      <c r="AX31" s="29">
        <v>90.79</v>
      </c>
      <c r="AY31" s="31">
        <v>102.41</v>
      </c>
      <c r="AZ31" s="31">
        <v>114.59</v>
      </c>
      <c r="BA31" s="31">
        <v>127.41</v>
      </c>
      <c r="BB31" s="29">
        <v>140.87</v>
      </c>
      <c r="BC31" s="29">
        <v>155.04</v>
      </c>
      <c r="BD31" s="29">
        <v>169.93</v>
      </c>
      <c r="BE31" s="29">
        <f t="shared" si="29"/>
        <v>169.93</v>
      </c>
      <c r="BF31" s="69">
        <f t="shared" si="31"/>
        <v>169.93</v>
      </c>
      <c r="BG31" s="15"/>
    </row>
    <row r="32" spans="1:59" ht="15.75" customHeight="1" hidden="1">
      <c r="A32" s="21" t="s">
        <v>21</v>
      </c>
      <c r="B32" s="21"/>
      <c r="C32" s="21"/>
      <c r="D32" s="21"/>
      <c r="E32" s="21"/>
      <c r="F32" s="22">
        <v>0</v>
      </c>
      <c r="G32" s="23">
        <v>0.05</v>
      </c>
      <c r="H32" s="23"/>
      <c r="I32" s="31">
        <v>0</v>
      </c>
      <c r="J32" s="30">
        <v>0</v>
      </c>
      <c r="K32" s="73">
        <f t="shared" si="14"/>
        <v>0</v>
      </c>
      <c r="L32" s="30">
        <v>0</v>
      </c>
      <c r="M32" s="30">
        <v>0</v>
      </c>
      <c r="N32" s="73">
        <f t="shared" si="15"/>
        <v>0</v>
      </c>
      <c r="O32" s="30">
        <v>0</v>
      </c>
      <c r="P32" s="30">
        <v>0</v>
      </c>
      <c r="Q32" s="73">
        <f t="shared" si="16"/>
        <v>0</v>
      </c>
      <c r="R32" s="30">
        <v>0</v>
      </c>
      <c r="S32" s="30">
        <v>0</v>
      </c>
      <c r="T32" s="73">
        <f t="shared" si="17"/>
        <v>0</v>
      </c>
      <c r="U32" s="30">
        <v>0</v>
      </c>
      <c r="V32" s="30">
        <v>0</v>
      </c>
      <c r="W32" s="73">
        <f t="shared" si="18"/>
        <v>0</v>
      </c>
      <c r="X32" s="30">
        <v>0</v>
      </c>
      <c r="Y32" s="30">
        <v>0</v>
      </c>
      <c r="Z32" s="73">
        <f t="shared" si="19"/>
        <v>0</v>
      </c>
      <c r="AA32" s="30">
        <v>0</v>
      </c>
      <c r="AB32" s="30">
        <v>0</v>
      </c>
      <c r="AC32" s="73">
        <f t="shared" si="20"/>
        <v>0</v>
      </c>
      <c r="AD32" s="30">
        <v>0</v>
      </c>
      <c r="AE32" s="30">
        <v>0</v>
      </c>
      <c r="AF32" s="73">
        <f t="shared" si="21"/>
        <v>0</v>
      </c>
      <c r="AG32" s="30">
        <v>0</v>
      </c>
      <c r="AH32" s="30">
        <v>0</v>
      </c>
      <c r="AI32" s="73">
        <f t="shared" si="22"/>
        <v>0</v>
      </c>
      <c r="AJ32" s="30">
        <v>0</v>
      </c>
      <c r="AK32" s="30">
        <v>0</v>
      </c>
      <c r="AL32" s="73">
        <f t="shared" si="23"/>
        <v>0</v>
      </c>
      <c r="AM32" s="30">
        <v>0</v>
      </c>
      <c r="AN32" s="30">
        <v>0</v>
      </c>
      <c r="AO32" s="73">
        <f t="shared" si="24"/>
        <v>0</v>
      </c>
      <c r="AP32" s="30">
        <v>0</v>
      </c>
      <c r="AQ32" s="30">
        <v>0</v>
      </c>
      <c r="AR32" s="73">
        <f t="shared" si="25"/>
        <v>0</v>
      </c>
      <c r="AS32" s="78">
        <f t="shared" si="32"/>
        <v>0</v>
      </c>
      <c r="AT32" s="22">
        <f t="shared" si="27"/>
        <v>0</v>
      </c>
      <c r="AU32" s="73">
        <f t="shared" si="28"/>
        <v>0</v>
      </c>
      <c r="AV32" s="72">
        <v>87844.78</v>
      </c>
      <c r="AW32" s="29">
        <v>101174.89</v>
      </c>
      <c r="AX32" s="29">
        <v>115183.8</v>
      </c>
      <c r="AY32" s="31">
        <v>129912.08</v>
      </c>
      <c r="AZ32" s="31">
        <v>145394.3</v>
      </c>
      <c r="BA32" s="31">
        <v>161668.5</v>
      </c>
      <c r="BB32" s="29">
        <v>178773.84</v>
      </c>
      <c r="BC32" s="29">
        <v>196755.33</v>
      </c>
      <c r="BD32" s="29">
        <v>215655.95</v>
      </c>
      <c r="BE32" s="29">
        <f t="shared" si="29"/>
        <v>215655.95</v>
      </c>
      <c r="BF32" s="69">
        <f t="shared" si="31"/>
        <v>215655.95</v>
      </c>
      <c r="BG32" s="15"/>
    </row>
    <row r="33" spans="1:59" ht="15.75" customHeight="1" hidden="1">
      <c r="A33" s="21" t="s">
        <v>22</v>
      </c>
      <c r="B33" s="21"/>
      <c r="C33" s="21"/>
      <c r="D33" s="21"/>
      <c r="E33" s="21"/>
      <c r="F33" s="22">
        <v>0</v>
      </c>
      <c r="G33" s="23">
        <v>0.05</v>
      </c>
      <c r="H33" s="23"/>
      <c r="I33" s="31">
        <v>0</v>
      </c>
      <c r="J33" s="30">
        <v>0</v>
      </c>
      <c r="K33" s="73">
        <f t="shared" si="14"/>
        <v>0</v>
      </c>
      <c r="L33" s="30">
        <v>0</v>
      </c>
      <c r="M33" s="30">
        <v>0</v>
      </c>
      <c r="N33" s="73">
        <f t="shared" si="15"/>
        <v>0</v>
      </c>
      <c r="O33" s="30">
        <v>0</v>
      </c>
      <c r="P33" s="30">
        <v>0</v>
      </c>
      <c r="Q33" s="73">
        <f t="shared" si="16"/>
        <v>0</v>
      </c>
      <c r="R33" s="30">
        <v>0</v>
      </c>
      <c r="S33" s="30">
        <v>0</v>
      </c>
      <c r="T33" s="73">
        <f t="shared" si="17"/>
        <v>0</v>
      </c>
      <c r="U33" s="30">
        <v>0</v>
      </c>
      <c r="V33" s="30">
        <v>0</v>
      </c>
      <c r="W33" s="73">
        <f t="shared" si="18"/>
        <v>0</v>
      </c>
      <c r="X33" s="30">
        <v>0</v>
      </c>
      <c r="Y33" s="30">
        <v>0</v>
      </c>
      <c r="Z33" s="73">
        <f t="shared" si="19"/>
        <v>0</v>
      </c>
      <c r="AA33" s="30">
        <v>0</v>
      </c>
      <c r="AB33" s="30">
        <v>0</v>
      </c>
      <c r="AC33" s="73">
        <f t="shared" si="20"/>
        <v>0</v>
      </c>
      <c r="AD33" s="30">
        <v>0</v>
      </c>
      <c r="AE33" s="30">
        <v>0</v>
      </c>
      <c r="AF33" s="73">
        <f t="shared" si="21"/>
        <v>0</v>
      </c>
      <c r="AG33" s="30">
        <v>0</v>
      </c>
      <c r="AH33" s="30">
        <v>0</v>
      </c>
      <c r="AI33" s="73">
        <f t="shared" si="22"/>
        <v>0</v>
      </c>
      <c r="AJ33" s="30">
        <v>0</v>
      </c>
      <c r="AK33" s="30">
        <v>0</v>
      </c>
      <c r="AL33" s="73">
        <f t="shared" si="23"/>
        <v>0</v>
      </c>
      <c r="AM33" s="30">
        <v>0</v>
      </c>
      <c r="AN33" s="30">
        <v>0</v>
      </c>
      <c r="AO33" s="73">
        <f t="shared" si="24"/>
        <v>0</v>
      </c>
      <c r="AP33" s="30">
        <v>0</v>
      </c>
      <c r="AQ33" s="30">
        <v>0</v>
      </c>
      <c r="AR33" s="73">
        <f t="shared" si="25"/>
        <v>0</v>
      </c>
      <c r="AS33" s="78">
        <f t="shared" si="32"/>
        <v>0</v>
      </c>
      <c r="AT33" s="22">
        <f t="shared" si="27"/>
        <v>0</v>
      </c>
      <c r="AU33" s="73">
        <f t="shared" si="28"/>
        <v>0</v>
      </c>
      <c r="AV33" s="72">
        <v>63328.82</v>
      </c>
      <c r="AW33" s="29">
        <v>74668.83</v>
      </c>
      <c r="AX33" s="29">
        <v>86585.95</v>
      </c>
      <c r="AY33" s="31">
        <v>99115.39</v>
      </c>
      <c r="AZ33" s="31">
        <v>112286.21</v>
      </c>
      <c r="BA33" s="31">
        <v>126130.79</v>
      </c>
      <c r="BB33" s="29">
        <v>140682.06</v>
      </c>
      <c r="BC33" s="29">
        <v>155979</v>
      </c>
      <c r="BD33" s="29">
        <v>172057.88</v>
      </c>
      <c r="BE33" s="29">
        <f t="shared" si="29"/>
        <v>172057.88</v>
      </c>
      <c r="BF33" s="69">
        <f t="shared" si="31"/>
        <v>172057.88</v>
      </c>
      <c r="BG33" s="15"/>
    </row>
    <row r="34" spans="1:59" ht="15.75" customHeight="1" hidden="1">
      <c r="A34" s="21" t="s">
        <v>23</v>
      </c>
      <c r="B34" s="21"/>
      <c r="C34" s="21"/>
      <c r="D34" s="21"/>
      <c r="E34" s="21"/>
      <c r="F34" s="22">
        <v>0</v>
      </c>
      <c r="G34" s="23">
        <v>0.05</v>
      </c>
      <c r="H34" s="23"/>
      <c r="I34" s="31">
        <v>0</v>
      </c>
      <c r="J34" s="30">
        <v>0</v>
      </c>
      <c r="K34" s="73">
        <f t="shared" si="14"/>
        <v>0</v>
      </c>
      <c r="L34" s="30">
        <v>0</v>
      </c>
      <c r="M34" s="30">
        <v>0</v>
      </c>
      <c r="N34" s="73">
        <f t="shared" si="15"/>
        <v>0</v>
      </c>
      <c r="O34" s="30">
        <v>0</v>
      </c>
      <c r="P34" s="30">
        <v>0</v>
      </c>
      <c r="Q34" s="73">
        <f t="shared" si="16"/>
        <v>0</v>
      </c>
      <c r="R34" s="30">
        <v>0</v>
      </c>
      <c r="S34" s="30">
        <v>0</v>
      </c>
      <c r="T34" s="73">
        <f t="shared" si="17"/>
        <v>0</v>
      </c>
      <c r="U34" s="30">
        <v>0</v>
      </c>
      <c r="V34" s="30">
        <v>0</v>
      </c>
      <c r="W34" s="73">
        <f t="shared" si="18"/>
        <v>0</v>
      </c>
      <c r="X34" s="30">
        <v>0</v>
      </c>
      <c r="Y34" s="30">
        <v>0</v>
      </c>
      <c r="Z34" s="73">
        <f t="shared" si="19"/>
        <v>0</v>
      </c>
      <c r="AA34" s="30">
        <v>0</v>
      </c>
      <c r="AB34" s="30">
        <v>0</v>
      </c>
      <c r="AC34" s="73">
        <f t="shared" si="20"/>
        <v>0</v>
      </c>
      <c r="AD34" s="30">
        <v>0</v>
      </c>
      <c r="AE34" s="30">
        <v>0</v>
      </c>
      <c r="AF34" s="73">
        <f t="shared" si="21"/>
        <v>0</v>
      </c>
      <c r="AG34" s="30">
        <v>0</v>
      </c>
      <c r="AH34" s="30">
        <v>0</v>
      </c>
      <c r="AI34" s="73">
        <f t="shared" si="22"/>
        <v>0</v>
      </c>
      <c r="AJ34" s="30">
        <v>0</v>
      </c>
      <c r="AK34" s="30">
        <v>0</v>
      </c>
      <c r="AL34" s="73">
        <f t="shared" si="23"/>
        <v>0</v>
      </c>
      <c r="AM34" s="30">
        <v>0</v>
      </c>
      <c r="AN34" s="30">
        <v>0</v>
      </c>
      <c r="AO34" s="73">
        <f t="shared" si="24"/>
        <v>0</v>
      </c>
      <c r="AP34" s="30">
        <v>0</v>
      </c>
      <c r="AQ34" s="30">
        <v>0</v>
      </c>
      <c r="AR34" s="73">
        <f t="shared" si="25"/>
        <v>0</v>
      </c>
      <c r="AS34" s="78">
        <f t="shared" si="32"/>
        <v>0</v>
      </c>
      <c r="AT34" s="22">
        <f t="shared" si="27"/>
        <v>0</v>
      </c>
      <c r="AU34" s="73">
        <f t="shared" si="28"/>
        <v>0</v>
      </c>
      <c r="AV34" s="72">
        <v>63328.82</v>
      </c>
      <c r="AW34" s="29">
        <v>74668.83</v>
      </c>
      <c r="AX34" s="29">
        <v>86585.95</v>
      </c>
      <c r="AY34" s="31">
        <v>99115.39</v>
      </c>
      <c r="AZ34" s="31">
        <v>112286.21</v>
      </c>
      <c r="BA34" s="31">
        <v>126130.79</v>
      </c>
      <c r="BB34" s="29">
        <v>140682.06</v>
      </c>
      <c r="BC34" s="29">
        <v>155979</v>
      </c>
      <c r="BD34" s="29">
        <v>172057.88</v>
      </c>
      <c r="BE34" s="29">
        <f t="shared" si="29"/>
        <v>172057.88</v>
      </c>
      <c r="BF34" s="69">
        <f t="shared" si="31"/>
        <v>172057.88</v>
      </c>
      <c r="BG34" s="15"/>
    </row>
    <row r="35" spans="1:59" ht="15.75" customHeight="1" hidden="1">
      <c r="A35" s="21" t="s">
        <v>24</v>
      </c>
      <c r="B35" s="21"/>
      <c r="C35" s="21"/>
      <c r="D35" s="21"/>
      <c r="E35" s="21"/>
      <c r="F35" s="22">
        <v>0</v>
      </c>
      <c r="G35" s="23">
        <v>0.05</v>
      </c>
      <c r="H35" s="23"/>
      <c r="I35" s="31">
        <v>0</v>
      </c>
      <c r="J35" s="30">
        <v>0</v>
      </c>
      <c r="K35" s="73">
        <f t="shared" si="14"/>
        <v>0</v>
      </c>
      <c r="L35" s="30">
        <v>0</v>
      </c>
      <c r="M35" s="30">
        <v>0</v>
      </c>
      <c r="N35" s="73">
        <f t="shared" si="15"/>
        <v>0</v>
      </c>
      <c r="O35" s="30">
        <v>0</v>
      </c>
      <c r="P35" s="30">
        <v>0</v>
      </c>
      <c r="Q35" s="73">
        <f t="shared" si="16"/>
        <v>0</v>
      </c>
      <c r="R35" s="30">
        <v>0</v>
      </c>
      <c r="S35" s="30">
        <v>0</v>
      </c>
      <c r="T35" s="73">
        <f t="shared" si="17"/>
        <v>0</v>
      </c>
      <c r="U35" s="30">
        <v>0</v>
      </c>
      <c r="V35" s="30">
        <v>0</v>
      </c>
      <c r="W35" s="73">
        <f t="shared" si="18"/>
        <v>0</v>
      </c>
      <c r="X35" s="30">
        <v>0</v>
      </c>
      <c r="Y35" s="30">
        <v>0</v>
      </c>
      <c r="Z35" s="73">
        <f t="shared" si="19"/>
        <v>0</v>
      </c>
      <c r="AA35" s="30">
        <v>0</v>
      </c>
      <c r="AB35" s="30">
        <v>0</v>
      </c>
      <c r="AC35" s="73">
        <f t="shared" si="20"/>
        <v>0</v>
      </c>
      <c r="AD35" s="30">
        <v>0</v>
      </c>
      <c r="AE35" s="30">
        <v>0</v>
      </c>
      <c r="AF35" s="73">
        <f t="shared" si="21"/>
        <v>0</v>
      </c>
      <c r="AG35" s="30">
        <v>0</v>
      </c>
      <c r="AH35" s="30">
        <v>0</v>
      </c>
      <c r="AI35" s="73">
        <f t="shared" si="22"/>
        <v>0</v>
      </c>
      <c r="AJ35" s="30">
        <v>0</v>
      </c>
      <c r="AK35" s="30">
        <v>0</v>
      </c>
      <c r="AL35" s="73">
        <f t="shared" si="23"/>
        <v>0</v>
      </c>
      <c r="AM35" s="30">
        <v>0</v>
      </c>
      <c r="AN35" s="30">
        <v>0</v>
      </c>
      <c r="AO35" s="73">
        <f t="shared" si="24"/>
        <v>0</v>
      </c>
      <c r="AP35" s="30">
        <v>0</v>
      </c>
      <c r="AQ35" s="30">
        <v>0</v>
      </c>
      <c r="AR35" s="73">
        <f t="shared" si="25"/>
        <v>0</v>
      </c>
      <c r="AS35" s="78">
        <f t="shared" si="32"/>
        <v>0</v>
      </c>
      <c r="AT35" s="22">
        <f t="shared" si="27"/>
        <v>0</v>
      </c>
      <c r="AU35" s="73">
        <f t="shared" si="28"/>
        <v>0</v>
      </c>
      <c r="AV35" s="72">
        <v>29622.27</v>
      </c>
      <c r="AW35" s="29">
        <v>37302.07</v>
      </c>
      <c r="AX35" s="29">
        <v>45372.56</v>
      </c>
      <c r="AY35" s="31">
        <v>53857.87</v>
      </c>
      <c r="AZ35" s="31">
        <v>62777.56</v>
      </c>
      <c r="BA35" s="31">
        <v>72153.53</v>
      </c>
      <c r="BB35" s="29">
        <v>82007.9</v>
      </c>
      <c r="BC35" s="29">
        <v>92367.43</v>
      </c>
      <c r="BD35" s="29">
        <v>103256.5</v>
      </c>
      <c r="BE35" s="29">
        <f t="shared" si="29"/>
        <v>103256.5</v>
      </c>
      <c r="BF35" s="69">
        <f t="shared" si="31"/>
        <v>103256.5</v>
      </c>
      <c r="BG35" s="15"/>
    </row>
    <row r="36" spans="1:59" ht="15.75" customHeight="1" hidden="1">
      <c r="A36" s="21" t="s">
        <v>25</v>
      </c>
      <c r="B36" s="21"/>
      <c r="C36" s="21"/>
      <c r="D36" s="21"/>
      <c r="E36" s="21"/>
      <c r="F36" s="22">
        <v>0</v>
      </c>
      <c r="G36" s="23">
        <v>0.05</v>
      </c>
      <c r="H36" s="23"/>
      <c r="I36" s="31">
        <v>0</v>
      </c>
      <c r="J36" s="30">
        <v>0</v>
      </c>
      <c r="K36" s="73">
        <f t="shared" si="14"/>
        <v>0</v>
      </c>
      <c r="L36" s="30">
        <v>0</v>
      </c>
      <c r="M36" s="30">
        <v>0</v>
      </c>
      <c r="N36" s="73">
        <f t="shared" si="15"/>
        <v>0</v>
      </c>
      <c r="O36" s="30">
        <v>0</v>
      </c>
      <c r="P36" s="30">
        <v>0</v>
      </c>
      <c r="Q36" s="73">
        <f t="shared" si="16"/>
        <v>0</v>
      </c>
      <c r="R36" s="30">
        <v>0</v>
      </c>
      <c r="S36" s="30">
        <v>0</v>
      </c>
      <c r="T36" s="73">
        <f t="shared" si="17"/>
        <v>0</v>
      </c>
      <c r="U36" s="30">
        <v>0</v>
      </c>
      <c r="V36" s="30">
        <v>0</v>
      </c>
      <c r="W36" s="73">
        <f t="shared" si="18"/>
        <v>0</v>
      </c>
      <c r="X36" s="30">
        <v>0</v>
      </c>
      <c r="Y36" s="30">
        <v>0</v>
      </c>
      <c r="Z36" s="73">
        <f t="shared" si="19"/>
        <v>0</v>
      </c>
      <c r="AA36" s="30">
        <v>0</v>
      </c>
      <c r="AB36" s="30">
        <v>0</v>
      </c>
      <c r="AC36" s="73">
        <f t="shared" si="20"/>
        <v>0</v>
      </c>
      <c r="AD36" s="30">
        <v>0</v>
      </c>
      <c r="AE36" s="30">
        <v>0</v>
      </c>
      <c r="AF36" s="73">
        <f t="shared" si="21"/>
        <v>0</v>
      </c>
      <c r="AG36" s="30">
        <v>0</v>
      </c>
      <c r="AH36" s="30">
        <v>0</v>
      </c>
      <c r="AI36" s="73">
        <f t="shared" si="22"/>
        <v>0</v>
      </c>
      <c r="AJ36" s="30">
        <v>0</v>
      </c>
      <c r="AK36" s="30">
        <v>0</v>
      </c>
      <c r="AL36" s="73">
        <f t="shared" si="23"/>
        <v>0</v>
      </c>
      <c r="AM36" s="30">
        <v>0</v>
      </c>
      <c r="AN36" s="30">
        <v>0</v>
      </c>
      <c r="AO36" s="73">
        <f t="shared" si="24"/>
        <v>0</v>
      </c>
      <c r="AP36" s="30">
        <v>0</v>
      </c>
      <c r="AQ36" s="30">
        <v>0</v>
      </c>
      <c r="AR36" s="73">
        <f t="shared" si="25"/>
        <v>0</v>
      </c>
      <c r="AS36" s="78">
        <f t="shared" si="26"/>
        <v>0</v>
      </c>
      <c r="AT36" s="22">
        <f t="shared" si="27"/>
        <v>0</v>
      </c>
      <c r="AU36" s="73">
        <f t="shared" si="28"/>
        <v>0</v>
      </c>
      <c r="AV36" s="72">
        <v>23164.53</v>
      </c>
      <c r="AW36" s="29">
        <v>29170.14</v>
      </c>
      <c r="AX36" s="29">
        <v>35481.22</v>
      </c>
      <c r="AY36" s="31">
        <v>42116.72</v>
      </c>
      <c r="AZ36" s="31">
        <v>49091.91</v>
      </c>
      <c r="BA36" s="31">
        <v>56423.93</v>
      </c>
      <c r="BB36" s="29">
        <v>64130.01</v>
      </c>
      <c r="BC36" s="29">
        <v>72231.13</v>
      </c>
      <c r="BD36" s="29">
        <v>80746.35</v>
      </c>
      <c r="BE36" s="29">
        <f t="shared" si="29"/>
        <v>80746.35</v>
      </c>
      <c r="BF36" s="69">
        <f t="shared" si="31"/>
        <v>80746.35</v>
      </c>
      <c r="BG36" s="15"/>
    </row>
    <row r="37" spans="1:59" ht="15.75" customHeight="1" hidden="1">
      <c r="A37" s="21" t="s">
        <v>26</v>
      </c>
      <c r="B37" s="21"/>
      <c r="C37" s="21"/>
      <c r="D37" s="21"/>
      <c r="E37" s="21"/>
      <c r="F37" s="22">
        <v>0</v>
      </c>
      <c r="G37" s="23">
        <v>0.05</v>
      </c>
      <c r="H37" s="23"/>
      <c r="I37" s="31">
        <v>0</v>
      </c>
      <c r="J37" s="30">
        <v>0</v>
      </c>
      <c r="K37" s="73">
        <f t="shared" si="14"/>
        <v>0</v>
      </c>
      <c r="L37" s="30">
        <v>0</v>
      </c>
      <c r="M37" s="30">
        <v>0</v>
      </c>
      <c r="N37" s="73">
        <f t="shared" si="15"/>
        <v>0</v>
      </c>
      <c r="O37" s="30">
        <v>0</v>
      </c>
      <c r="P37" s="30">
        <v>0</v>
      </c>
      <c r="Q37" s="73">
        <f t="shared" si="16"/>
        <v>0</v>
      </c>
      <c r="R37" s="30">
        <v>0</v>
      </c>
      <c r="S37" s="30">
        <v>0</v>
      </c>
      <c r="T37" s="73">
        <f t="shared" si="17"/>
        <v>0</v>
      </c>
      <c r="U37" s="30">
        <v>0</v>
      </c>
      <c r="V37" s="30">
        <v>0</v>
      </c>
      <c r="W37" s="73">
        <f t="shared" si="18"/>
        <v>0</v>
      </c>
      <c r="X37" s="30">
        <v>0</v>
      </c>
      <c r="Y37" s="30">
        <v>0</v>
      </c>
      <c r="Z37" s="73">
        <f t="shared" si="19"/>
        <v>0</v>
      </c>
      <c r="AA37" s="30">
        <v>0</v>
      </c>
      <c r="AB37" s="30">
        <v>0</v>
      </c>
      <c r="AC37" s="73">
        <f t="shared" si="20"/>
        <v>0</v>
      </c>
      <c r="AD37" s="30">
        <v>0</v>
      </c>
      <c r="AE37" s="30">
        <v>0</v>
      </c>
      <c r="AF37" s="73">
        <f t="shared" si="21"/>
        <v>0</v>
      </c>
      <c r="AG37" s="30">
        <v>0</v>
      </c>
      <c r="AH37" s="30">
        <v>0</v>
      </c>
      <c r="AI37" s="73">
        <f t="shared" si="22"/>
        <v>0</v>
      </c>
      <c r="AJ37" s="30">
        <v>0</v>
      </c>
      <c r="AK37" s="30">
        <v>0</v>
      </c>
      <c r="AL37" s="73">
        <f t="shared" si="23"/>
        <v>0</v>
      </c>
      <c r="AM37" s="30">
        <v>0</v>
      </c>
      <c r="AN37" s="30">
        <v>0</v>
      </c>
      <c r="AO37" s="73">
        <f t="shared" si="24"/>
        <v>0</v>
      </c>
      <c r="AP37" s="30">
        <v>0</v>
      </c>
      <c r="AQ37" s="30">
        <v>0</v>
      </c>
      <c r="AR37" s="73">
        <f t="shared" si="25"/>
        <v>0</v>
      </c>
      <c r="AS37" s="78">
        <f t="shared" si="26"/>
        <v>0</v>
      </c>
      <c r="AT37" s="22">
        <f t="shared" si="27"/>
        <v>0</v>
      </c>
      <c r="AU37" s="73">
        <f t="shared" si="28"/>
        <v>0</v>
      </c>
      <c r="AV37" s="72">
        <v>29.93</v>
      </c>
      <c r="AW37" s="29">
        <v>37.69</v>
      </c>
      <c r="AX37" s="29">
        <v>45.83</v>
      </c>
      <c r="AY37" s="31">
        <v>54.42</v>
      </c>
      <c r="AZ37" s="31">
        <v>63.42</v>
      </c>
      <c r="BA37" s="31">
        <v>72.89</v>
      </c>
      <c r="BB37" s="29">
        <v>82.83</v>
      </c>
      <c r="BC37" s="29">
        <v>93.29</v>
      </c>
      <c r="BD37" s="29">
        <v>104.3</v>
      </c>
      <c r="BE37" s="29">
        <f t="shared" si="29"/>
        <v>104.3</v>
      </c>
      <c r="BF37" s="69">
        <f t="shared" si="31"/>
        <v>104.3</v>
      </c>
      <c r="BG37" s="15"/>
    </row>
    <row r="38" spans="1:59" ht="15.75" customHeight="1" hidden="1">
      <c r="A38" s="21" t="s">
        <v>27</v>
      </c>
      <c r="B38" s="21"/>
      <c r="C38" s="21"/>
      <c r="D38" s="21"/>
      <c r="E38" s="21"/>
      <c r="F38" s="32">
        <v>0</v>
      </c>
      <c r="G38" s="23">
        <v>0.05</v>
      </c>
      <c r="H38" s="23"/>
      <c r="I38" s="31">
        <v>0</v>
      </c>
      <c r="J38" s="30">
        <v>0</v>
      </c>
      <c r="K38" s="73">
        <f t="shared" si="14"/>
        <v>0</v>
      </c>
      <c r="L38" s="30">
        <v>0</v>
      </c>
      <c r="M38" s="30">
        <v>0</v>
      </c>
      <c r="N38" s="73">
        <f>K38-M38</f>
        <v>0</v>
      </c>
      <c r="O38" s="30">
        <v>0</v>
      </c>
      <c r="P38" s="30">
        <v>0</v>
      </c>
      <c r="Q38" s="73">
        <f t="shared" si="16"/>
        <v>0</v>
      </c>
      <c r="R38" s="30">
        <v>0</v>
      </c>
      <c r="S38" s="30">
        <v>0</v>
      </c>
      <c r="T38" s="73">
        <f t="shared" si="17"/>
        <v>0</v>
      </c>
      <c r="U38" s="30">
        <v>0</v>
      </c>
      <c r="V38" s="30">
        <v>0</v>
      </c>
      <c r="W38" s="73">
        <f t="shared" si="18"/>
        <v>0</v>
      </c>
      <c r="X38" s="30">
        <v>0</v>
      </c>
      <c r="Y38" s="30">
        <v>0</v>
      </c>
      <c r="Z38" s="73">
        <f t="shared" si="19"/>
        <v>0</v>
      </c>
      <c r="AA38" s="30">
        <v>0</v>
      </c>
      <c r="AB38" s="30">
        <v>0</v>
      </c>
      <c r="AC38" s="73">
        <f t="shared" si="20"/>
        <v>0</v>
      </c>
      <c r="AD38" s="30">
        <v>0</v>
      </c>
      <c r="AE38" s="30">
        <v>0</v>
      </c>
      <c r="AF38" s="73">
        <f t="shared" si="21"/>
        <v>0</v>
      </c>
      <c r="AG38" s="30">
        <v>0</v>
      </c>
      <c r="AH38" s="30">
        <v>0</v>
      </c>
      <c r="AI38" s="73">
        <f t="shared" si="22"/>
        <v>0</v>
      </c>
      <c r="AJ38" s="30">
        <v>0</v>
      </c>
      <c r="AK38" s="30">
        <v>0</v>
      </c>
      <c r="AL38" s="73">
        <f t="shared" si="23"/>
        <v>0</v>
      </c>
      <c r="AM38" s="30">
        <v>0</v>
      </c>
      <c r="AN38" s="30">
        <v>0</v>
      </c>
      <c r="AO38" s="73">
        <f t="shared" si="24"/>
        <v>0</v>
      </c>
      <c r="AP38" s="30">
        <v>0</v>
      </c>
      <c r="AQ38" s="30">
        <v>0</v>
      </c>
      <c r="AR38" s="73">
        <f t="shared" si="25"/>
        <v>0</v>
      </c>
      <c r="AS38" s="78">
        <f t="shared" si="26"/>
        <v>0</v>
      </c>
      <c r="AT38" s="22">
        <f t="shared" si="27"/>
        <v>0</v>
      </c>
      <c r="AU38" s="88">
        <f t="shared" si="28"/>
        <v>0</v>
      </c>
      <c r="AV38" s="72">
        <v>52816.71</v>
      </c>
      <c r="AW38" s="29">
        <v>66509.87</v>
      </c>
      <c r="AX38" s="29">
        <v>80899.57</v>
      </c>
      <c r="AY38" s="31">
        <v>96028.97</v>
      </c>
      <c r="AZ38" s="31">
        <v>111932.83</v>
      </c>
      <c r="BA38" s="31">
        <v>128650.26</v>
      </c>
      <c r="BB38" s="29">
        <v>146220.68</v>
      </c>
      <c r="BC38" s="29">
        <v>164691.8</v>
      </c>
      <c r="BD38" s="29">
        <v>184107.1</v>
      </c>
      <c r="BE38" s="29">
        <f t="shared" si="29"/>
        <v>184107.1</v>
      </c>
      <c r="BF38" s="69">
        <f t="shared" si="31"/>
        <v>184107.1</v>
      </c>
      <c r="BG38" s="15"/>
    </row>
    <row r="39" spans="1:59" ht="3" customHeight="1">
      <c r="A39" s="21"/>
      <c r="B39" s="21"/>
      <c r="C39" s="21"/>
      <c r="D39" s="21"/>
      <c r="E39" s="21"/>
      <c r="F39" s="33">
        <v>0</v>
      </c>
      <c r="G39" s="23"/>
      <c r="H39" s="23"/>
      <c r="I39" s="31"/>
      <c r="J39" s="30"/>
      <c r="K39" s="73"/>
      <c r="L39" s="30"/>
      <c r="M39" s="30"/>
      <c r="N39" s="73"/>
      <c r="O39" s="30"/>
      <c r="P39" s="30"/>
      <c r="Q39" s="73"/>
      <c r="R39" s="30"/>
      <c r="S39" s="30"/>
      <c r="T39" s="73"/>
      <c r="U39" s="30"/>
      <c r="V39" s="30"/>
      <c r="W39" s="73"/>
      <c r="X39" s="30"/>
      <c r="Y39" s="30"/>
      <c r="Z39" s="73"/>
      <c r="AA39" s="30"/>
      <c r="AB39" s="30"/>
      <c r="AC39" s="73"/>
      <c r="AD39" s="30"/>
      <c r="AE39" s="30"/>
      <c r="AF39" s="73"/>
      <c r="AG39" s="30"/>
      <c r="AH39" s="30"/>
      <c r="AI39" s="73"/>
      <c r="AJ39" s="30"/>
      <c r="AK39" s="30"/>
      <c r="AL39" s="73"/>
      <c r="AM39" s="30"/>
      <c r="AN39" s="30"/>
      <c r="AO39" s="73"/>
      <c r="AP39" s="30"/>
      <c r="AQ39" s="30"/>
      <c r="AR39" s="73"/>
      <c r="AS39" s="78"/>
      <c r="AT39" s="22"/>
      <c r="AU39" s="146">
        <f>SUM(AU16:AU38)</f>
        <v>0</v>
      </c>
      <c r="AV39" s="72"/>
      <c r="AW39" s="29"/>
      <c r="AX39" s="29"/>
      <c r="AY39" s="29"/>
      <c r="AZ39" s="29"/>
      <c r="BA39" s="31"/>
      <c r="BB39" s="31"/>
      <c r="BC39" s="31"/>
      <c r="BD39" s="31"/>
      <c r="BE39" s="31"/>
      <c r="BF39" s="69">
        <f>SUM(BF16:BF38)</f>
        <v>4431784.72</v>
      </c>
      <c r="BG39" s="15"/>
    </row>
    <row r="40" spans="1:59" ht="15.75" customHeight="1">
      <c r="A40" s="193" t="s">
        <v>28</v>
      </c>
      <c r="B40" s="193" t="s">
        <v>135</v>
      </c>
      <c r="C40" s="194">
        <v>34827</v>
      </c>
      <c r="D40" s="194">
        <v>47467</v>
      </c>
      <c r="E40" s="194"/>
      <c r="F40" s="191">
        <v>590816.19</v>
      </c>
      <c r="G40" s="195">
        <v>0.06</v>
      </c>
      <c r="H40" s="45"/>
      <c r="I40" s="31">
        <v>2808.800000000154</v>
      </c>
      <c r="J40" s="30">
        <v>2437.6299999998464</v>
      </c>
      <c r="K40" s="73">
        <f aca="true" t="shared" si="33" ref="K40:K51">F40-J40</f>
        <v>588378.56</v>
      </c>
      <c r="L40" s="30">
        <v>2990.12</v>
      </c>
      <c r="M40" s="30">
        <v>2256.31</v>
      </c>
      <c r="N40" s="73">
        <f>K40-M40</f>
        <v>586122.25</v>
      </c>
      <c r="O40" s="30">
        <v>2978.65</v>
      </c>
      <c r="P40" s="30">
        <v>2267.78</v>
      </c>
      <c r="Q40" s="73">
        <f aca="true" t="shared" si="34" ref="Q40:Q51">N40-P40</f>
        <v>583854.47</v>
      </c>
      <c r="R40" s="30">
        <v>2775.7</v>
      </c>
      <c r="S40" s="30">
        <v>2470.73</v>
      </c>
      <c r="T40" s="73">
        <f aca="true" t="shared" si="35" ref="T40:T51">Q40-S40</f>
        <v>581383.74</v>
      </c>
      <c r="U40" s="30">
        <v>3049.88</v>
      </c>
      <c r="V40" s="30">
        <v>2196.55</v>
      </c>
      <c r="W40" s="73">
        <f aca="true" t="shared" si="36" ref="W40:W51">T40-V40</f>
        <v>579187.19</v>
      </c>
      <c r="X40" s="79"/>
      <c r="Y40" s="79">
        <v>579187.19</v>
      </c>
      <c r="Z40" s="73">
        <f aca="true" t="shared" si="37" ref="Z40:Z49">W40-Y40</f>
        <v>0</v>
      </c>
      <c r="AA40" s="30"/>
      <c r="AB40" s="30"/>
      <c r="AC40" s="73">
        <f aca="true" t="shared" si="38" ref="AC40:AC51">Z40-AB40</f>
        <v>0</v>
      </c>
      <c r="AD40" s="30"/>
      <c r="AE40" s="30"/>
      <c r="AF40" s="73">
        <f aca="true" t="shared" si="39" ref="AF40:AF51">AC40-AE40</f>
        <v>0</v>
      </c>
      <c r="AG40" s="30"/>
      <c r="AH40" s="30"/>
      <c r="AI40" s="73">
        <f aca="true" t="shared" si="40" ref="AI40:AI51">AF40-AH40</f>
        <v>0</v>
      </c>
      <c r="AJ40" s="30"/>
      <c r="AK40" s="30"/>
      <c r="AL40" s="73">
        <f aca="true" t="shared" si="41" ref="AL40:AL51">AI40-AK40</f>
        <v>0</v>
      </c>
      <c r="AM40" s="30"/>
      <c r="AN40" s="30"/>
      <c r="AO40" s="73">
        <f aca="true" t="shared" si="42" ref="AO40:AO51">AL40-AN40</f>
        <v>0</v>
      </c>
      <c r="AP40" s="30"/>
      <c r="AQ40" s="30"/>
      <c r="AR40" s="73">
        <f>AO40-AQ40</f>
        <v>0</v>
      </c>
      <c r="AS40" s="78">
        <f aca="true" t="shared" si="43" ref="AS40:AS51">I40+L40+P68+R40+U40+X40+AA40+AD40+AG40+AJ40+AM40+AP40</f>
        <v>11624.500000000153</v>
      </c>
      <c r="AT40" s="22">
        <f aca="true" t="shared" si="44" ref="AT40:AT52">J40+M40+P40+S40+V40+Y40+AB40+AE40+AH40+AK40+AN40+AQ40</f>
        <v>590816.1899999998</v>
      </c>
      <c r="AU40" s="73">
        <f aca="true" t="shared" si="45" ref="AU40:AU51">F40-AT40</f>
        <v>0</v>
      </c>
      <c r="AV40" s="72">
        <v>19361.91</v>
      </c>
      <c r="AW40" s="29">
        <v>29588.7</v>
      </c>
      <c r="AX40" s="29">
        <v>40441.22</v>
      </c>
      <c r="AY40" s="31">
        <v>51967.65</v>
      </c>
      <c r="AZ40" s="31">
        <v>64205.41</v>
      </c>
      <c r="BA40" s="31">
        <v>77197.85</v>
      </c>
      <c r="BB40" s="29">
        <v>90988.2</v>
      </c>
      <c r="BC40" s="29">
        <v>105632.09</v>
      </c>
      <c r="BD40" s="29">
        <v>121178.37</v>
      </c>
      <c r="BE40" s="29">
        <f aca="true" t="shared" si="46" ref="BE40:BE46">BD40+AT40</f>
        <v>711994.5599999998</v>
      </c>
      <c r="BF40" s="69">
        <f aca="true" t="shared" si="47" ref="BF40:BF46">F40+BD40</f>
        <v>711994.5599999999</v>
      </c>
      <c r="BG40" s="15"/>
    </row>
    <row r="41" spans="1:59" ht="15.75" customHeight="1">
      <c r="A41" s="193" t="s">
        <v>29</v>
      </c>
      <c r="B41" s="193" t="s">
        <v>136</v>
      </c>
      <c r="C41" s="194">
        <v>35205</v>
      </c>
      <c r="D41" s="194">
        <v>47467</v>
      </c>
      <c r="E41" s="196">
        <v>42531</v>
      </c>
      <c r="F41" s="191">
        <v>509857.91</v>
      </c>
      <c r="G41" s="195">
        <v>0.00625</v>
      </c>
      <c r="H41" s="45" t="s">
        <v>113</v>
      </c>
      <c r="I41" s="31">
        <v>252.4900000000256</v>
      </c>
      <c r="J41" s="30">
        <v>2940.8299999999745</v>
      </c>
      <c r="K41" s="73">
        <f t="shared" si="33"/>
        <v>506917.08</v>
      </c>
      <c r="L41" s="30">
        <v>268.35</v>
      </c>
      <c r="M41" s="30">
        <v>2924.97</v>
      </c>
      <c r="N41" s="73">
        <f aca="true" t="shared" si="48" ref="N41:N51">K41-M41</f>
        <v>503992.11000000004</v>
      </c>
      <c r="O41" s="30">
        <v>266.8</v>
      </c>
      <c r="P41" s="30">
        <v>2926.52</v>
      </c>
      <c r="Q41" s="73">
        <f t="shared" si="34"/>
        <v>501065.59</v>
      </c>
      <c r="R41" s="30">
        <v>248.14</v>
      </c>
      <c r="S41" s="30">
        <v>2945.18</v>
      </c>
      <c r="T41" s="73">
        <f t="shared" si="35"/>
        <v>498120.41000000003</v>
      </c>
      <c r="U41" s="30">
        <v>272.2</v>
      </c>
      <c r="V41" s="30">
        <v>2921.12</v>
      </c>
      <c r="W41" s="73">
        <f t="shared" si="36"/>
        <v>495199.29000000004</v>
      </c>
      <c r="X41" s="79"/>
      <c r="Y41" s="79">
        <v>495199.29</v>
      </c>
      <c r="Z41" s="73">
        <f t="shared" si="37"/>
        <v>0</v>
      </c>
      <c r="AA41" s="30"/>
      <c r="AB41" s="30"/>
      <c r="AC41" s="73">
        <f t="shared" si="38"/>
        <v>0</v>
      </c>
      <c r="AD41" s="30"/>
      <c r="AE41" s="30"/>
      <c r="AF41" s="73">
        <f t="shared" si="39"/>
        <v>0</v>
      </c>
      <c r="AG41" s="30"/>
      <c r="AH41" s="30"/>
      <c r="AI41" s="73">
        <f t="shared" si="40"/>
        <v>0</v>
      </c>
      <c r="AJ41" s="30"/>
      <c r="AK41" s="30"/>
      <c r="AL41" s="73">
        <f t="shared" si="41"/>
        <v>0</v>
      </c>
      <c r="AM41" s="30"/>
      <c r="AN41" s="30"/>
      <c r="AO41" s="73">
        <f t="shared" si="42"/>
        <v>0</v>
      </c>
      <c r="AP41" s="30"/>
      <c r="AQ41" s="30"/>
      <c r="AR41" s="73">
        <f aca="true" t="shared" si="49" ref="AR41:AR51">AO41-AQ41</f>
        <v>0</v>
      </c>
      <c r="AS41" s="78">
        <f t="shared" si="43"/>
        <v>1041.1800000000255</v>
      </c>
      <c r="AT41" s="22">
        <f t="shared" si="44"/>
        <v>509857.91</v>
      </c>
      <c r="AU41" s="73">
        <f t="shared" si="45"/>
        <v>0</v>
      </c>
      <c r="AV41" s="72">
        <v>26170.72</v>
      </c>
      <c r="AW41" s="29">
        <v>39658.89</v>
      </c>
      <c r="AX41" s="29">
        <v>53763.22</v>
      </c>
      <c r="AY41" s="31">
        <v>68518.48</v>
      </c>
      <c r="AZ41" s="31">
        <v>83951.98</v>
      </c>
      <c r="BA41" s="31">
        <v>100094.36</v>
      </c>
      <c r="BB41" s="29">
        <v>116976.37</v>
      </c>
      <c r="BC41" s="29">
        <v>136157.21</v>
      </c>
      <c r="BD41" s="29">
        <v>157122.51</v>
      </c>
      <c r="BE41" s="29">
        <f t="shared" si="46"/>
        <v>666980.4199999999</v>
      </c>
      <c r="BF41" s="69">
        <f t="shared" si="47"/>
        <v>666980.4199999999</v>
      </c>
      <c r="BG41" s="15"/>
    </row>
    <row r="42" spans="1:59" ht="15.75" customHeight="1">
      <c r="A42" s="21" t="s">
        <v>94</v>
      </c>
      <c r="B42" s="21" t="s">
        <v>137</v>
      </c>
      <c r="C42" s="113">
        <v>35961</v>
      </c>
      <c r="D42" s="113">
        <v>48670</v>
      </c>
      <c r="E42" s="115">
        <v>42531</v>
      </c>
      <c r="F42" s="22">
        <v>1090111.83</v>
      </c>
      <c r="G42" s="45">
        <v>0.02125</v>
      </c>
      <c r="H42" s="45" t="s">
        <v>113</v>
      </c>
      <c r="I42" s="31">
        <v>1835.4699999999254</v>
      </c>
      <c r="J42" s="30">
        <v>4472.860000000074</v>
      </c>
      <c r="K42" s="73">
        <f t="shared" si="33"/>
        <v>1085638.97</v>
      </c>
      <c r="L42" s="30">
        <v>1954</v>
      </c>
      <c r="M42" s="30">
        <v>4354.33</v>
      </c>
      <c r="N42" s="73">
        <f t="shared" si="48"/>
        <v>1081284.64</v>
      </c>
      <c r="O42" s="30">
        <v>1946.16</v>
      </c>
      <c r="P42" s="30">
        <v>4362.17</v>
      </c>
      <c r="Q42" s="73">
        <f t="shared" si="34"/>
        <v>1076922.47</v>
      </c>
      <c r="R42" s="30">
        <v>1813.26</v>
      </c>
      <c r="S42" s="30">
        <v>4495.07</v>
      </c>
      <c r="T42" s="73">
        <f t="shared" si="35"/>
        <v>1072427.4</v>
      </c>
      <c r="U42" s="30">
        <v>1992.49</v>
      </c>
      <c r="V42" s="30">
        <v>4315.84</v>
      </c>
      <c r="W42" s="73">
        <f t="shared" si="36"/>
        <v>1068111.5599999998</v>
      </c>
      <c r="X42" s="30">
        <v>1860.44</v>
      </c>
      <c r="Y42" s="30">
        <v>4447.89</v>
      </c>
      <c r="Z42" s="73">
        <f>W42-Y42</f>
        <v>1063663.67</v>
      </c>
      <c r="AA42" s="30"/>
      <c r="AB42" s="30"/>
      <c r="AC42" s="73">
        <f t="shared" si="38"/>
        <v>1063663.67</v>
      </c>
      <c r="AD42" s="30"/>
      <c r="AE42" s="30"/>
      <c r="AF42" s="73">
        <f t="shared" si="39"/>
        <v>1063663.67</v>
      </c>
      <c r="AG42" s="30"/>
      <c r="AH42" s="30"/>
      <c r="AI42" s="73">
        <f t="shared" si="40"/>
        <v>1063663.67</v>
      </c>
      <c r="AJ42" s="30"/>
      <c r="AK42" s="30"/>
      <c r="AL42" s="73">
        <f t="shared" si="41"/>
        <v>1063663.67</v>
      </c>
      <c r="AM42" s="30"/>
      <c r="AN42" s="30"/>
      <c r="AO42" s="73">
        <f t="shared" si="42"/>
        <v>1063663.67</v>
      </c>
      <c r="AP42" s="30"/>
      <c r="AQ42" s="30"/>
      <c r="AR42" s="73">
        <f t="shared" si="49"/>
        <v>1063663.67</v>
      </c>
      <c r="AS42" s="78">
        <f t="shared" si="43"/>
        <v>9455.659999999925</v>
      </c>
      <c r="AT42" s="22">
        <f t="shared" si="44"/>
        <v>26448.160000000073</v>
      </c>
      <c r="AU42" s="73">
        <f t="shared" si="45"/>
        <v>1063663.67</v>
      </c>
      <c r="AV42" s="72">
        <v>0</v>
      </c>
      <c r="AW42" s="29">
        <v>0</v>
      </c>
      <c r="AX42" s="29">
        <v>18604.35</v>
      </c>
      <c r="AY42" s="31">
        <v>44458.83</v>
      </c>
      <c r="AZ42" s="31">
        <v>71400.8</v>
      </c>
      <c r="BA42" s="31">
        <v>99475.2</v>
      </c>
      <c r="BB42" s="29">
        <v>137843.19</v>
      </c>
      <c r="BC42" s="29">
        <v>179754.34</v>
      </c>
      <c r="BD42" s="29">
        <v>216858.5</v>
      </c>
      <c r="BE42" s="29">
        <f t="shared" si="46"/>
        <v>243306.66000000006</v>
      </c>
      <c r="BF42" s="69">
        <f t="shared" si="47"/>
        <v>1306970.33</v>
      </c>
      <c r="BG42" s="15"/>
    </row>
    <row r="43" spans="1:59" ht="15.75" customHeight="1">
      <c r="A43" s="21" t="s">
        <v>95</v>
      </c>
      <c r="B43" s="21" t="s">
        <v>138</v>
      </c>
      <c r="C43" s="113">
        <v>36180</v>
      </c>
      <c r="D43" s="113">
        <v>48670</v>
      </c>
      <c r="E43" s="115">
        <v>42531</v>
      </c>
      <c r="F43" s="22">
        <v>671455.88</v>
      </c>
      <c r="G43" s="45">
        <v>0.04125</v>
      </c>
      <c r="H43" s="45" t="s">
        <v>113</v>
      </c>
      <c r="I43" s="31">
        <v>2194.620000000023</v>
      </c>
      <c r="J43" s="30">
        <v>2354.149999999977</v>
      </c>
      <c r="K43" s="73">
        <f t="shared" si="33"/>
        <v>669101.73</v>
      </c>
      <c r="L43" s="30">
        <v>2337.74</v>
      </c>
      <c r="M43" s="30">
        <v>2211.03</v>
      </c>
      <c r="N43" s="73">
        <f t="shared" si="48"/>
        <v>666890.7</v>
      </c>
      <c r="O43" s="30">
        <v>2330.02</v>
      </c>
      <c r="P43" s="30">
        <v>2218.75</v>
      </c>
      <c r="Q43" s="73">
        <f t="shared" si="34"/>
        <v>664671.95</v>
      </c>
      <c r="R43" s="30">
        <v>2172.44</v>
      </c>
      <c r="S43" s="30">
        <v>2376.33</v>
      </c>
      <c r="T43" s="73">
        <f t="shared" si="35"/>
        <v>662295.62</v>
      </c>
      <c r="U43" s="30">
        <v>2388.61</v>
      </c>
      <c r="V43" s="30">
        <v>2160.16</v>
      </c>
      <c r="W43" s="73">
        <f t="shared" si="36"/>
        <v>660135.46</v>
      </c>
      <c r="X43" s="30">
        <v>2232.02</v>
      </c>
      <c r="Y43" s="30">
        <v>2316.75</v>
      </c>
      <c r="Z43" s="73">
        <f t="shared" si="37"/>
        <v>657818.71</v>
      </c>
      <c r="AA43" s="30"/>
      <c r="AB43" s="30"/>
      <c r="AC43" s="73">
        <f t="shared" si="38"/>
        <v>657818.71</v>
      </c>
      <c r="AD43" s="30"/>
      <c r="AE43" s="30"/>
      <c r="AF43" s="73">
        <f t="shared" si="39"/>
        <v>657818.71</v>
      </c>
      <c r="AG43" s="30"/>
      <c r="AH43" s="30"/>
      <c r="AI43" s="73">
        <f t="shared" si="40"/>
        <v>657818.71</v>
      </c>
      <c r="AJ43" s="30"/>
      <c r="AK43" s="30"/>
      <c r="AL43" s="73">
        <f t="shared" si="41"/>
        <v>657818.71</v>
      </c>
      <c r="AM43" s="30"/>
      <c r="AN43" s="30"/>
      <c r="AO43" s="73">
        <f t="shared" si="42"/>
        <v>657818.71</v>
      </c>
      <c r="AP43" s="30"/>
      <c r="AQ43" s="30"/>
      <c r="AR43" s="73">
        <f t="shared" si="49"/>
        <v>657818.71</v>
      </c>
      <c r="AS43" s="78">
        <f t="shared" si="43"/>
        <v>11325.430000000024</v>
      </c>
      <c r="AT43" s="22">
        <f t="shared" si="44"/>
        <v>13637.169999999976</v>
      </c>
      <c r="AU43" s="73">
        <f t="shared" si="45"/>
        <v>657818.7100000001</v>
      </c>
      <c r="AV43" s="72">
        <v>0</v>
      </c>
      <c r="AW43" s="29">
        <v>0</v>
      </c>
      <c r="AX43" s="29">
        <v>10395.98</v>
      </c>
      <c r="AY43" s="31">
        <v>24863.05</v>
      </c>
      <c r="AZ43" s="31">
        <v>39957.44</v>
      </c>
      <c r="BA43" s="31">
        <v>55705.88</v>
      </c>
      <c r="BB43" s="29">
        <v>72134.82</v>
      </c>
      <c r="BC43" s="29">
        <v>89277.34</v>
      </c>
      <c r="BD43" s="29">
        <v>107162.09</v>
      </c>
      <c r="BE43" s="29">
        <f t="shared" si="46"/>
        <v>120799.25999999998</v>
      </c>
      <c r="BF43" s="69">
        <f t="shared" si="47"/>
        <v>778617.97</v>
      </c>
      <c r="BG43" s="15"/>
    </row>
    <row r="44" spans="1:59" ht="15.75" customHeight="1">
      <c r="A44" s="21" t="s">
        <v>96</v>
      </c>
      <c r="B44" s="21" t="s">
        <v>138</v>
      </c>
      <c r="C44" s="113">
        <v>36222</v>
      </c>
      <c r="D44" s="113">
        <v>48670</v>
      </c>
      <c r="E44" s="113"/>
      <c r="F44" s="22">
        <v>455834.31</v>
      </c>
      <c r="G44" s="45">
        <v>0.045</v>
      </c>
      <c r="H44" s="45"/>
      <c r="I44" s="31">
        <v>1625.3099999999745</v>
      </c>
      <c r="J44" s="30">
        <v>1547.6300000000256</v>
      </c>
      <c r="K44" s="73">
        <f t="shared" si="33"/>
        <v>454286.68</v>
      </c>
      <c r="L44" s="30">
        <v>1731.5</v>
      </c>
      <c r="M44" s="30">
        <v>1441.44</v>
      </c>
      <c r="N44" s="73">
        <f t="shared" si="48"/>
        <v>452845.24</v>
      </c>
      <c r="O44" s="30">
        <v>1726.01</v>
      </c>
      <c r="P44" s="30">
        <v>1446.93</v>
      </c>
      <c r="Q44" s="73">
        <f t="shared" si="34"/>
        <v>451398.31</v>
      </c>
      <c r="R44" s="30">
        <v>1609.49</v>
      </c>
      <c r="S44" s="30">
        <v>1563.45</v>
      </c>
      <c r="T44" s="73">
        <f t="shared" si="35"/>
        <v>449834.86</v>
      </c>
      <c r="U44" s="30">
        <v>1769.84</v>
      </c>
      <c r="V44" s="30">
        <v>1403.1</v>
      </c>
      <c r="W44" s="73">
        <f t="shared" si="36"/>
        <v>448431.76</v>
      </c>
      <c r="X44" s="30">
        <v>1654.05</v>
      </c>
      <c r="Y44" s="30">
        <v>1518.89</v>
      </c>
      <c r="Z44" s="73">
        <f t="shared" si="37"/>
        <v>446912.87</v>
      </c>
      <c r="AA44" s="30"/>
      <c r="AB44" s="30"/>
      <c r="AC44" s="73">
        <f t="shared" si="38"/>
        <v>446912.87</v>
      </c>
      <c r="AD44" s="30"/>
      <c r="AE44" s="30"/>
      <c r="AF44" s="73">
        <f t="shared" si="39"/>
        <v>446912.87</v>
      </c>
      <c r="AG44" s="30"/>
      <c r="AH44" s="30"/>
      <c r="AI44" s="73">
        <f t="shared" si="40"/>
        <v>446912.87</v>
      </c>
      <c r="AJ44" s="30"/>
      <c r="AK44" s="30"/>
      <c r="AL44" s="73">
        <f t="shared" si="41"/>
        <v>446912.87</v>
      </c>
      <c r="AM44" s="30"/>
      <c r="AN44" s="30"/>
      <c r="AO44" s="73">
        <f t="shared" si="42"/>
        <v>446912.87</v>
      </c>
      <c r="AP44" s="30"/>
      <c r="AQ44" s="30"/>
      <c r="AR44" s="73">
        <f t="shared" si="49"/>
        <v>446912.87</v>
      </c>
      <c r="AS44" s="78">
        <f t="shared" si="43"/>
        <v>8390.189999999975</v>
      </c>
      <c r="AT44" s="22">
        <f t="shared" si="44"/>
        <v>8921.440000000024</v>
      </c>
      <c r="AU44" s="73">
        <f t="shared" si="45"/>
        <v>446912.87</v>
      </c>
      <c r="AV44" s="72"/>
      <c r="AW44" s="29"/>
      <c r="AX44" s="29">
        <v>7348.89</v>
      </c>
      <c r="AY44" s="31">
        <v>17547.39</v>
      </c>
      <c r="AZ44" s="31">
        <v>28161.61</v>
      </c>
      <c r="BA44" s="31">
        <v>39208.22</v>
      </c>
      <c r="BB44" s="29">
        <v>50703.67</v>
      </c>
      <c r="BC44" s="29">
        <v>62668.37</v>
      </c>
      <c r="BD44" s="29">
        <v>74355.88</v>
      </c>
      <c r="BE44" s="29">
        <f t="shared" si="46"/>
        <v>83277.32000000004</v>
      </c>
      <c r="BF44" s="69">
        <f t="shared" si="47"/>
        <v>530190.19</v>
      </c>
      <c r="BG44" s="15"/>
    </row>
    <row r="45" spans="1:59" ht="15.75" customHeight="1">
      <c r="A45" s="21" t="s">
        <v>97</v>
      </c>
      <c r="B45" s="21" t="s">
        <v>139</v>
      </c>
      <c r="C45" s="113">
        <v>36250</v>
      </c>
      <c r="D45" s="113">
        <v>48670</v>
      </c>
      <c r="E45" s="113"/>
      <c r="F45" s="22">
        <v>54216.3</v>
      </c>
      <c r="G45" s="45">
        <v>0.045</v>
      </c>
      <c r="H45" s="45"/>
      <c r="I45" s="31">
        <v>193.30999999999824</v>
      </c>
      <c r="J45" s="30">
        <v>184.08000000000175</v>
      </c>
      <c r="K45" s="73">
        <f t="shared" si="33"/>
        <v>54032.22</v>
      </c>
      <c r="L45" s="30">
        <v>205.94</v>
      </c>
      <c r="M45" s="30">
        <v>171.45</v>
      </c>
      <c r="N45" s="73">
        <f t="shared" si="48"/>
        <v>53860.770000000004</v>
      </c>
      <c r="O45" s="30">
        <v>205.29</v>
      </c>
      <c r="P45" s="30">
        <v>172.1</v>
      </c>
      <c r="Q45" s="73">
        <f t="shared" si="34"/>
        <v>53688.670000000006</v>
      </c>
      <c r="R45" s="30">
        <v>191.43</v>
      </c>
      <c r="S45" s="30">
        <v>185.96</v>
      </c>
      <c r="T45" s="73">
        <f t="shared" si="35"/>
        <v>53502.71000000001</v>
      </c>
      <c r="U45" s="30">
        <v>210.5</v>
      </c>
      <c r="V45" s="30">
        <v>166.89</v>
      </c>
      <c r="W45" s="73">
        <f t="shared" si="36"/>
        <v>53335.82000000001</v>
      </c>
      <c r="X45" s="30">
        <v>196.73</v>
      </c>
      <c r="Y45" s="30">
        <v>180.66</v>
      </c>
      <c r="Z45" s="73">
        <f t="shared" si="37"/>
        <v>53155.16</v>
      </c>
      <c r="AA45" s="30"/>
      <c r="AB45" s="30"/>
      <c r="AC45" s="73">
        <f t="shared" si="38"/>
        <v>53155.16</v>
      </c>
      <c r="AD45" s="30"/>
      <c r="AE45" s="30"/>
      <c r="AF45" s="73">
        <f t="shared" si="39"/>
        <v>53155.16</v>
      </c>
      <c r="AG45" s="30"/>
      <c r="AH45" s="30"/>
      <c r="AI45" s="73">
        <f t="shared" si="40"/>
        <v>53155.16</v>
      </c>
      <c r="AJ45" s="30"/>
      <c r="AK45" s="30"/>
      <c r="AL45" s="73">
        <f t="shared" si="41"/>
        <v>53155.16</v>
      </c>
      <c r="AM45" s="30"/>
      <c r="AN45" s="30"/>
      <c r="AO45" s="73">
        <f t="shared" si="42"/>
        <v>53155.16</v>
      </c>
      <c r="AP45" s="30"/>
      <c r="AQ45" s="30"/>
      <c r="AR45" s="73">
        <f t="shared" si="49"/>
        <v>53155.16</v>
      </c>
      <c r="AS45" s="78">
        <f t="shared" si="43"/>
        <v>997.9099999999983</v>
      </c>
      <c r="AT45" s="22">
        <f t="shared" si="44"/>
        <v>1061.1400000000017</v>
      </c>
      <c r="AU45" s="73">
        <f t="shared" si="45"/>
        <v>53155.16</v>
      </c>
      <c r="AV45" s="72"/>
      <c r="AW45" s="29"/>
      <c r="AX45" s="29">
        <v>874.09</v>
      </c>
      <c r="AY45" s="31">
        <v>2087.1</v>
      </c>
      <c r="AZ45" s="31">
        <v>3349.55</v>
      </c>
      <c r="BA45" s="31">
        <v>4663.43</v>
      </c>
      <c r="BB45" s="29">
        <v>6030.68</v>
      </c>
      <c r="BC45" s="29">
        <v>7453.76</v>
      </c>
      <c r="BD45" s="29">
        <v>8843.87</v>
      </c>
      <c r="BE45" s="29">
        <f t="shared" si="46"/>
        <v>9905.010000000002</v>
      </c>
      <c r="BF45" s="69">
        <f t="shared" si="47"/>
        <v>63060.170000000006</v>
      </c>
      <c r="BG45" s="15"/>
    </row>
    <row r="46" spans="1:59" ht="15">
      <c r="A46" s="193" t="s">
        <v>99</v>
      </c>
      <c r="B46" s="193" t="s">
        <v>140</v>
      </c>
      <c r="C46" s="194">
        <v>38800</v>
      </c>
      <c r="D46" s="194">
        <v>51441</v>
      </c>
      <c r="E46" s="194"/>
      <c r="F46" s="191">
        <v>4371759.76</v>
      </c>
      <c r="G46" s="195">
        <v>0.0475</v>
      </c>
      <c r="H46" s="45"/>
      <c r="I46" s="31">
        <v>16453.82</v>
      </c>
      <c r="J46" s="30">
        <v>8596.18</v>
      </c>
      <c r="K46" s="73">
        <f t="shared" si="33"/>
        <v>4363163.58</v>
      </c>
      <c r="L46" s="30">
        <v>17553.98</v>
      </c>
      <c r="M46" s="30">
        <v>7496.02</v>
      </c>
      <c r="N46" s="73">
        <f t="shared" si="48"/>
        <v>4355667.5600000005</v>
      </c>
      <c r="O46" s="30">
        <v>17523.83</v>
      </c>
      <c r="P46" s="30">
        <v>7526.17</v>
      </c>
      <c r="Q46" s="73">
        <f t="shared" si="34"/>
        <v>4348141.390000001</v>
      </c>
      <c r="R46" s="30">
        <v>16364.93</v>
      </c>
      <c r="S46" s="30">
        <v>8685.07</v>
      </c>
      <c r="T46" s="73">
        <f t="shared" si="35"/>
        <v>4339456.32</v>
      </c>
      <c r="U46" s="30">
        <v>18021.79</v>
      </c>
      <c r="V46" s="30">
        <v>7028.21</v>
      </c>
      <c r="W46" s="73">
        <f t="shared" si="36"/>
        <v>4332428.11</v>
      </c>
      <c r="X46" s="79"/>
      <c r="Y46" s="79">
        <v>4332428.11</v>
      </c>
      <c r="Z46" s="73">
        <f t="shared" si="37"/>
        <v>0</v>
      </c>
      <c r="AA46" s="30"/>
      <c r="AB46" s="30"/>
      <c r="AC46" s="73">
        <f t="shared" si="38"/>
        <v>0</v>
      </c>
      <c r="AD46" s="30"/>
      <c r="AE46" s="30"/>
      <c r="AF46" s="73">
        <f t="shared" si="39"/>
        <v>0</v>
      </c>
      <c r="AG46" s="30"/>
      <c r="AH46" s="30"/>
      <c r="AI46" s="73">
        <f t="shared" si="40"/>
        <v>0</v>
      </c>
      <c r="AJ46" s="30"/>
      <c r="AK46" s="30"/>
      <c r="AL46" s="73">
        <f t="shared" si="41"/>
        <v>0</v>
      </c>
      <c r="AM46" s="30"/>
      <c r="AN46" s="30"/>
      <c r="AO46" s="73">
        <f t="shared" si="42"/>
        <v>0</v>
      </c>
      <c r="AP46" s="30"/>
      <c r="AQ46" s="30"/>
      <c r="AR46" s="73">
        <f t="shared" si="49"/>
        <v>0</v>
      </c>
      <c r="AS46" s="78">
        <f t="shared" si="43"/>
        <v>68394.52</v>
      </c>
      <c r="AT46" s="22">
        <f t="shared" si="44"/>
        <v>4371759.760000001</v>
      </c>
      <c r="AU46" s="73">
        <f t="shared" si="45"/>
        <v>0</v>
      </c>
      <c r="AV46" s="72"/>
      <c r="AW46" s="29"/>
      <c r="AX46" s="29"/>
      <c r="AY46" s="31"/>
      <c r="AZ46" s="31"/>
      <c r="BA46" s="31"/>
      <c r="BB46" s="29"/>
      <c r="BC46" s="29"/>
      <c r="BD46" s="29">
        <v>0</v>
      </c>
      <c r="BE46" s="29">
        <f t="shared" si="46"/>
        <v>4371759.760000001</v>
      </c>
      <c r="BF46" s="69">
        <f t="shared" si="47"/>
        <v>4371759.76</v>
      </c>
      <c r="BG46" s="15"/>
    </row>
    <row r="47" spans="1:59" ht="15">
      <c r="A47" s="193" t="s">
        <v>98</v>
      </c>
      <c r="B47" s="193" t="s">
        <v>141</v>
      </c>
      <c r="C47" s="194">
        <v>39538</v>
      </c>
      <c r="D47" s="194">
        <v>51441</v>
      </c>
      <c r="E47" s="194"/>
      <c r="F47" s="191">
        <v>870425.33</v>
      </c>
      <c r="G47" s="195">
        <v>0.043</v>
      </c>
      <c r="H47" s="45"/>
      <c r="I47" s="31">
        <v>2965.629999999972</v>
      </c>
      <c r="J47" s="30">
        <v>1794.3700000000279</v>
      </c>
      <c r="K47" s="73">
        <f t="shared" si="33"/>
        <v>868630.96</v>
      </c>
      <c r="L47" s="30">
        <v>3163.62</v>
      </c>
      <c r="M47" s="30">
        <v>1596.38</v>
      </c>
      <c r="N47" s="73">
        <f t="shared" si="48"/>
        <v>867034.58</v>
      </c>
      <c r="O47" s="30">
        <v>3157.81</v>
      </c>
      <c r="P47" s="30">
        <v>1602.19</v>
      </c>
      <c r="Q47" s="73">
        <f t="shared" si="34"/>
        <v>865432.39</v>
      </c>
      <c r="R47" s="30">
        <v>2948.62</v>
      </c>
      <c r="S47" s="30">
        <v>1811.38</v>
      </c>
      <c r="T47" s="73">
        <f t="shared" si="35"/>
        <v>863621.01</v>
      </c>
      <c r="U47" s="30">
        <v>3246.84</v>
      </c>
      <c r="V47" s="30">
        <v>1513.16</v>
      </c>
      <c r="W47" s="73">
        <f t="shared" si="36"/>
        <v>862107.85</v>
      </c>
      <c r="X47" s="79"/>
      <c r="Y47" s="79">
        <v>862107.85</v>
      </c>
      <c r="Z47" s="73">
        <f t="shared" si="37"/>
        <v>0</v>
      </c>
      <c r="AA47" s="30"/>
      <c r="AB47" s="30"/>
      <c r="AC47" s="73">
        <f t="shared" si="38"/>
        <v>0</v>
      </c>
      <c r="AD47" s="30"/>
      <c r="AE47" s="30"/>
      <c r="AF47" s="73">
        <f t="shared" si="39"/>
        <v>0</v>
      </c>
      <c r="AG47" s="30"/>
      <c r="AH47" s="30"/>
      <c r="AI47" s="73">
        <f t="shared" si="40"/>
        <v>0</v>
      </c>
      <c r="AJ47" s="30"/>
      <c r="AK47" s="30"/>
      <c r="AL47" s="73">
        <f t="shared" si="41"/>
        <v>0</v>
      </c>
      <c r="AM47" s="30"/>
      <c r="AN47" s="30"/>
      <c r="AO47" s="73">
        <f t="shared" si="42"/>
        <v>0</v>
      </c>
      <c r="AP47" s="30"/>
      <c r="AQ47" s="30"/>
      <c r="AR47" s="73">
        <f t="shared" si="49"/>
        <v>0</v>
      </c>
      <c r="AS47" s="78">
        <f t="shared" si="43"/>
        <v>12324.709999999972</v>
      </c>
      <c r="AT47" s="22">
        <f t="shared" si="44"/>
        <v>870425.33</v>
      </c>
      <c r="AU47" s="73">
        <f t="shared" si="45"/>
        <v>0</v>
      </c>
      <c r="AV47" s="72"/>
      <c r="AW47" s="29"/>
      <c r="AX47" s="29"/>
      <c r="AY47" s="31"/>
      <c r="AZ47" s="31"/>
      <c r="BA47" s="31"/>
      <c r="BB47" s="29"/>
      <c r="BC47" s="29"/>
      <c r="BD47" s="29"/>
      <c r="BE47" s="29"/>
      <c r="BF47" s="70"/>
      <c r="BG47" s="15"/>
    </row>
    <row r="48" spans="1:59" ht="13.5" customHeight="1">
      <c r="A48" s="193" t="s">
        <v>100</v>
      </c>
      <c r="B48" s="193" t="s">
        <v>142</v>
      </c>
      <c r="C48" s="194">
        <v>39533</v>
      </c>
      <c r="D48" s="194">
        <v>51441</v>
      </c>
      <c r="E48" s="194"/>
      <c r="F48" s="191">
        <v>854975.12</v>
      </c>
      <c r="G48" s="195">
        <v>0.0306</v>
      </c>
      <c r="H48" s="45"/>
      <c r="I48" s="31">
        <v>2072.9599999999114</v>
      </c>
      <c r="J48" s="30">
        <v>2027.0400000000884</v>
      </c>
      <c r="K48" s="73">
        <f t="shared" si="33"/>
        <v>852948.08</v>
      </c>
      <c r="L48" s="30">
        <v>2210.67</v>
      </c>
      <c r="M48" s="30">
        <v>1889.33</v>
      </c>
      <c r="N48" s="73">
        <f t="shared" si="48"/>
        <v>851058.75</v>
      </c>
      <c r="O48" s="30">
        <v>2205.78</v>
      </c>
      <c r="P48" s="30">
        <v>1894.22</v>
      </c>
      <c r="Q48" s="73">
        <f t="shared" si="34"/>
        <v>849164.53</v>
      </c>
      <c r="R48" s="30">
        <v>2058.88</v>
      </c>
      <c r="S48" s="30">
        <v>2041.12</v>
      </c>
      <c r="T48" s="73">
        <f t="shared" si="35"/>
        <v>847123.41</v>
      </c>
      <c r="U48" s="30">
        <v>2266.4</v>
      </c>
      <c r="V48" s="30">
        <v>1833.6</v>
      </c>
      <c r="W48" s="73">
        <f t="shared" si="36"/>
        <v>845289.81</v>
      </c>
      <c r="X48" s="79"/>
      <c r="Y48" s="79">
        <v>845289.81</v>
      </c>
      <c r="Z48" s="73">
        <f t="shared" si="37"/>
        <v>0</v>
      </c>
      <c r="AA48" s="30"/>
      <c r="AB48" s="30"/>
      <c r="AC48" s="73">
        <f t="shared" si="38"/>
        <v>0</v>
      </c>
      <c r="AD48" s="76"/>
      <c r="AE48" s="30"/>
      <c r="AF48" s="73">
        <f t="shared" si="39"/>
        <v>0</v>
      </c>
      <c r="AG48" s="30"/>
      <c r="AH48" s="30"/>
      <c r="AI48" s="73">
        <f t="shared" si="40"/>
        <v>0</v>
      </c>
      <c r="AJ48" s="30"/>
      <c r="AK48" s="30"/>
      <c r="AL48" s="73">
        <f t="shared" si="41"/>
        <v>0</v>
      </c>
      <c r="AM48" s="30"/>
      <c r="AN48" s="30"/>
      <c r="AO48" s="73">
        <f t="shared" si="42"/>
        <v>0</v>
      </c>
      <c r="AP48" s="30"/>
      <c r="AQ48" s="30"/>
      <c r="AR48" s="73">
        <f t="shared" si="49"/>
        <v>0</v>
      </c>
      <c r="AS48" s="78">
        <f t="shared" si="43"/>
        <v>8608.909999999913</v>
      </c>
      <c r="AT48" s="22">
        <f t="shared" si="44"/>
        <v>854975.1200000001</v>
      </c>
      <c r="AU48" s="73">
        <f t="shared" si="45"/>
        <v>0</v>
      </c>
      <c r="AV48" s="72"/>
      <c r="AW48" s="29"/>
      <c r="AX48" s="29"/>
      <c r="AY48" s="29"/>
      <c r="AZ48" s="29"/>
      <c r="BA48" s="29"/>
      <c r="BB48" s="29"/>
      <c r="BC48" s="29"/>
      <c r="BD48" s="29"/>
      <c r="BE48" s="29"/>
      <c r="BF48" s="69">
        <f>SUM(BF40:BF46)</f>
        <v>8429573.4</v>
      </c>
      <c r="BG48" s="15"/>
    </row>
    <row r="49" spans="1:58" ht="13.5" customHeight="1">
      <c r="A49" s="193" t="s">
        <v>101</v>
      </c>
      <c r="B49" s="193" t="s">
        <v>143</v>
      </c>
      <c r="C49" s="194">
        <v>39792</v>
      </c>
      <c r="D49" s="194">
        <v>51441</v>
      </c>
      <c r="E49" s="194"/>
      <c r="F49" s="191">
        <v>892406.1</v>
      </c>
      <c r="G49" s="197">
        <v>0.0453</v>
      </c>
      <c r="H49" s="119"/>
      <c r="I49" s="22">
        <v>3203.1499999999673</v>
      </c>
      <c r="J49" s="72">
        <v>1796.8500000000327</v>
      </c>
      <c r="K49" s="73">
        <f t="shared" si="33"/>
        <v>890609.25</v>
      </c>
      <c r="L49" s="72">
        <v>3417.17</v>
      </c>
      <c r="M49" s="72">
        <v>1582.83</v>
      </c>
      <c r="N49" s="73">
        <f t="shared" si="48"/>
        <v>889026.42</v>
      </c>
      <c r="O49" s="72">
        <v>3411.09</v>
      </c>
      <c r="P49" s="72">
        <v>1588.91</v>
      </c>
      <c r="Q49" s="73">
        <f t="shared" si="34"/>
        <v>887437.51</v>
      </c>
      <c r="R49" s="72">
        <v>3185.32</v>
      </c>
      <c r="S49" s="72">
        <v>1814.68</v>
      </c>
      <c r="T49" s="73">
        <f t="shared" si="35"/>
        <v>885622.83</v>
      </c>
      <c r="U49" s="72">
        <v>3507.65</v>
      </c>
      <c r="V49" s="72">
        <v>1492.35</v>
      </c>
      <c r="W49" s="73">
        <f t="shared" si="36"/>
        <v>884130.48</v>
      </c>
      <c r="X49" s="190"/>
      <c r="Y49" s="190">
        <v>884130.48</v>
      </c>
      <c r="Z49" s="73">
        <f t="shared" si="37"/>
        <v>0</v>
      </c>
      <c r="AA49" s="72"/>
      <c r="AB49" s="72"/>
      <c r="AC49" s="73">
        <f t="shared" si="38"/>
        <v>0</v>
      </c>
      <c r="AD49" s="72"/>
      <c r="AE49" s="72"/>
      <c r="AF49" s="73">
        <f t="shared" si="39"/>
        <v>0</v>
      </c>
      <c r="AG49" s="72"/>
      <c r="AH49" s="72"/>
      <c r="AI49" s="73">
        <f t="shared" si="40"/>
        <v>0</v>
      </c>
      <c r="AJ49" s="72"/>
      <c r="AK49" s="72"/>
      <c r="AL49" s="73">
        <f t="shared" si="41"/>
        <v>0</v>
      </c>
      <c r="AM49" s="72"/>
      <c r="AN49" s="72"/>
      <c r="AO49" s="73">
        <f t="shared" si="42"/>
        <v>0</v>
      </c>
      <c r="AP49" s="72"/>
      <c r="AQ49" s="72"/>
      <c r="AR49" s="73">
        <f t="shared" si="49"/>
        <v>0</v>
      </c>
      <c r="AS49" s="78">
        <f t="shared" si="43"/>
        <v>13313.289999999966</v>
      </c>
      <c r="AT49" s="22">
        <f t="shared" si="44"/>
        <v>892406.1</v>
      </c>
      <c r="AU49" s="73">
        <f t="shared" si="45"/>
        <v>0</v>
      </c>
      <c r="AV49" s="72"/>
      <c r="AW49" s="22"/>
      <c r="AX49" s="22"/>
      <c r="BA49" s="22"/>
      <c r="BB49" s="22"/>
      <c r="BC49" s="22"/>
      <c r="BD49" s="22"/>
      <c r="BE49" s="22"/>
      <c r="BF49" s="36"/>
    </row>
    <row r="50" spans="1:58" ht="13.5" customHeight="1">
      <c r="A50" s="193" t="s">
        <v>102</v>
      </c>
      <c r="B50" s="193" t="s">
        <v>144</v>
      </c>
      <c r="C50" s="194">
        <v>40336</v>
      </c>
      <c r="D50" s="194">
        <v>51441</v>
      </c>
      <c r="E50" s="196">
        <v>42531</v>
      </c>
      <c r="F50" s="191">
        <v>2998443.79</v>
      </c>
      <c r="G50" s="197">
        <v>0.0028</v>
      </c>
      <c r="H50" s="119" t="s">
        <v>113</v>
      </c>
      <c r="I50" s="22">
        <v>665.2300000001118</v>
      </c>
      <c r="J50" s="22">
        <v>9758.129999999888</v>
      </c>
      <c r="K50" s="73">
        <f t="shared" si="33"/>
        <v>2988685.66</v>
      </c>
      <c r="L50" s="22">
        <v>708.79</v>
      </c>
      <c r="M50" s="22">
        <v>9714.57</v>
      </c>
      <c r="N50" s="73">
        <f t="shared" si="48"/>
        <v>2978971.0900000003</v>
      </c>
      <c r="O50" s="22">
        <v>706.49</v>
      </c>
      <c r="P50" s="22">
        <v>9716.87</v>
      </c>
      <c r="Q50" s="73">
        <f t="shared" si="34"/>
        <v>2969254.22</v>
      </c>
      <c r="R50" s="22">
        <v>658.75</v>
      </c>
      <c r="S50" s="22">
        <v>9764.61</v>
      </c>
      <c r="T50" s="73">
        <f t="shared" si="35"/>
        <v>2959489.6100000003</v>
      </c>
      <c r="U50" s="22">
        <v>724.51</v>
      </c>
      <c r="V50" s="22">
        <v>9698.85</v>
      </c>
      <c r="W50" s="73">
        <f t="shared" si="36"/>
        <v>2949790.7600000002</v>
      </c>
      <c r="X50" s="191"/>
      <c r="Y50" s="191">
        <v>2949790.76</v>
      </c>
      <c r="Z50" s="73">
        <f>W50-Y50</f>
        <v>0</v>
      </c>
      <c r="AA50" s="22"/>
      <c r="AB50" s="22"/>
      <c r="AC50" s="73">
        <f t="shared" si="38"/>
        <v>0</v>
      </c>
      <c r="AD50" s="72"/>
      <c r="AE50" s="22"/>
      <c r="AF50" s="73">
        <f t="shared" si="39"/>
        <v>0</v>
      </c>
      <c r="AG50" s="22"/>
      <c r="AH50" s="22"/>
      <c r="AI50" s="73">
        <f t="shared" si="40"/>
        <v>0</v>
      </c>
      <c r="AJ50" s="22"/>
      <c r="AK50" s="22"/>
      <c r="AL50" s="73">
        <f t="shared" si="41"/>
        <v>0</v>
      </c>
      <c r="AM50" s="22"/>
      <c r="AN50" s="22"/>
      <c r="AO50" s="73">
        <f t="shared" si="42"/>
        <v>0</v>
      </c>
      <c r="AP50" s="22"/>
      <c r="AQ50" s="22"/>
      <c r="AR50" s="73">
        <f t="shared" si="49"/>
        <v>0</v>
      </c>
      <c r="AS50" s="78">
        <f t="shared" si="43"/>
        <v>2757.2800000001116</v>
      </c>
      <c r="AT50" s="22">
        <f t="shared" si="44"/>
        <v>2998443.7899999996</v>
      </c>
      <c r="AU50" s="73">
        <f t="shared" si="45"/>
        <v>0</v>
      </c>
      <c r="AV50" s="72"/>
      <c r="AW50" s="22"/>
      <c r="AX50" s="22"/>
      <c r="BA50" s="22"/>
      <c r="BB50" s="22"/>
      <c r="BC50" s="22"/>
      <c r="BD50" s="22"/>
      <c r="BE50" s="22"/>
      <c r="BF50" s="36"/>
    </row>
    <row r="51" spans="1:58" ht="13.5" customHeight="1">
      <c r="A51" s="193" t="s">
        <v>103</v>
      </c>
      <c r="B51" s="193" t="s">
        <v>145</v>
      </c>
      <c r="C51" s="194">
        <v>40508</v>
      </c>
      <c r="D51" s="194">
        <v>51441</v>
      </c>
      <c r="E51" s="194"/>
      <c r="F51" s="191">
        <v>4783610.54</v>
      </c>
      <c r="G51" s="197">
        <v>0.0405</v>
      </c>
      <c r="H51" s="119"/>
      <c r="I51" s="32">
        <v>15350.680000000073</v>
      </c>
      <c r="J51" s="32">
        <v>10180.799999999925</v>
      </c>
      <c r="K51" s="73">
        <f t="shared" si="33"/>
        <v>4773429.74</v>
      </c>
      <c r="L51" s="32">
        <v>16374.43</v>
      </c>
      <c r="M51" s="32">
        <v>9157.05</v>
      </c>
      <c r="N51" s="73">
        <f t="shared" si="48"/>
        <v>4764272.69</v>
      </c>
      <c r="O51" s="32">
        <v>16343.02</v>
      </c>
      <c r="P51" s="32">
        <v>9188.46</v>
      </c>
      <c r="Q51" s="73">
        <f t="shared" si="34"/>
        <v>4755084.23</v>
      </c>
      <c r="R51" s="32">
        <v>15259.14</v>
      </c>
      <c r="S51" s="32">
        <v>10272.34</v>
      </c>
      <c r="T51" s="88">
        <f t="shared" si="35"/>
        <v>4744811.890000001</v>
      </c>
      <c r="U51" s="32">
        <v>16801.3</v>
      </c>
      <c r="V51" s="32">
        <v>8730.18</v>
      </c>
      <c r="W51" s="88">
        <f t="shared" si="36"/>
        <v>4736081.710000001</v>
      </c>
      <c r="X51" s="192"/>
      <c r="Y51" s="192">
        <v>4736081.71</v>
      </c>
      <c r="Z51" s="73">
        <f>W51-Y51</f>
        <v>0</v>
      </c>
      <c r="AA51" s="106"/>
      <c r="AB51" s="74"/>
      <c r="AC51" s="73">
        <f t="shared" si="38"/>
        <v>0</v>
      </c>
      <c r="AD51" s="74"/>
      <c r="AE51" s="32"/>
      <c r="AF51" s="73">
        <f t="shared" si="39"/>
        <v>0</v>
      </c>
      <c r="AG51" s="32"/>
      <c r="AH51" s="32"/>
      <c r="AI51" s="73">
        <f t="shared" si="40"/>
        <v>0</v>
      </c>
      <c r="AJ51" s="32"/>
      <c r="AK51" s="32"/>
      <c r="AL51" s="73">
        <f t="shared" si="41"/>
        <v>0</v>
      </c>
      <c r="AM51" s="32"/>
      <c r="AN51" s="32"/>
      <c r="AO51" s="73">
        <f t="shared" si="42"/>
        <v>0</v>
      </c>
      <c r="AP51" s="32"/>
      <c r="AQ51" s="32"/>
      <c r="AR51" s="73">
        <f t="shared" si="49"/>
        <v>0</v>
      </c>
      <c r="AS51" s="78">
        <f t="shared" si="43"/>
        <v>63785.550000000076</v>
      </c>
      <c r="AT51" s="22">
        <f t="shared" si="44"/>
        <v>4783610.54</v>
      </c>
      <c r="AU51" s="73">
        <f t="shared" si="45"/>
        <v>0</v>
      </c>
      <c r="AV51" s="72"/>
      <c r="AW51" s="22"/>
      <c r="AX51" s="22"/>
      <c r="BA51" s="22"/>
      <c r="BB51" s="22"/>
      <c r="BC51" s="22"/>
      <c r="BD51" s="22"/>
      <c r="BE51" s="22"/>
      <c r="BF51" s="36"/>
    </row>
    <row r="52" spans="1:58" ht="13.5" customHeight="1">
      <c r="A52" s="21"/>
      <c r="B52" s="21"/>
      <c r="C52" s="21"/>
      <c r="D52" s="21"/>
      <c r="E52" s="21"/>
      <c r="F52" s="72">
        <v>0</v>
      </c>
      <c r="G52" s="108"/>
      <c r="H52" s="108"/>
      <c r="I52" s="78">
        <f>SUM(I40:I51)</f>
        <v>49621.47000000014</v>
      </c>
      <c r="J52" s="22">
        <f>SUM(J40:J51)</f>
        <v>48090.54999999986</v>
      </c>
      <c r="K52" s="73"/>
      <c r="L52" s="22">
        <f>SUM(L40:L51)</f>
        <v>52916.31</v>
      </c>
      <c r="M52" s="22">
        <f>SUM(M40:M51)</f>
        <v>44795.71000000001</v>
      </c>
      <c r="N52" s="73"/>
      <c r="O52" s="22">
        <f>SUM(O40:O51)</f>
        <v>52800.95</v>
      </c>
      <c r="P52" s="22">
        <f>SUM(P40:P51)</f>
        <v>44911.07</v>
      </c>
      <c r="Q52" s="73"/>
      <c r="R52" s="22">
        <f>SUM(R40:R51)</f>
        <v>49286.1</v>
      </c>
      <c r="S52" s="22">
        <f>SUM(S40:S51)</f>
        <v>48425.92</v>
      </c>
      <c r="T52" s="73"/>
      <c r="U52" s="22">
        <f>SUM(U40:U51)</f>
        <v>54252.01000000001</v>
      </c>
      <c r="V52" s="22">
        <f>SUM(V40:V51)</f>
        <v>43460.009999999995</v>
      </c>
      <c r="W52" s="73"/>
      <c r="X52" s="22">
        <f>SUM(X40:X51)</f>
        <v>5943.24</v>
      </c>
      <c r="Y52" s="22">
        <f>SUM(Y40:Y51)</f>
        <v>15692679.39</v>
      </c>
      <c r="Z52" s="73"/>
      <c r="AA52" s="22">
        <f>SUM(AA40:AA51)</f>
        <v>0</v>
      </c>
      <c r="AB52" s="22">
        <f>SUM(AB40:AB51)</f>
        <v>0</v>
      </c>
      <c r="AC52" s="73"/>
      <c r="AD52" s="22">
        <f>SUM(AD40:AD51)</f>
        <v>0</v>
      </c>
      <c r="AE52" s="22">
        <f>SUM(AE40:AE51)</f>
        <v>0</v>
      </c>
      <c r="AF52" s="73"/>
      <c r="AG52" s="22">
        <f>SUM(AG40:AG51)</f>
        <v>0</v>
      </c>
      <c r="AH52" s="22">
        <f>SUM(AH40:AH51)</f>
        <v>0</v>
      </c>
      <c r="AI52" s="73"/>
      <c r="AJ52" s="22">
        <f>SUM(AJ40:AJ51)</f>
        <v>0</v>
      </c>
      <c r="AK52" s="22">
        <f>SUM(AK40:AK51)</f>
        <v>0</v>
      </c>
      <c r="AL52" s="73"/>
      <c r="AM52" s="22">
        <f>SUM(AM40:AM51)</f>
        <v>0</v>
      </c>
      <c r="AN52" s="22">
        <f>SUM(AN40:AN51)</f>
        <v>0</v>
      </c>
      <c r="AO52" s="73"/>
      <c r="AP52" s="22">
        <f>SUM(AP40:AP51)</f>
        <v>0</v>
      </c>
      <c r="AQ52" s="22">
        <f>SUM(AQ40:AQ51)</f>
        <v>0</v>
      </c>
      <c r="AR52" s="73"/>
      <c r="AS52" s="78">
        <f>I52+L52+O52+R52+U52+X52+AA52+AD52+AG52+AJ52+AM52+AP52</f>
        <v>264820.0800000002</v>
      </c>
      <c r="AT52" s="22">
        <f t="shared" si="44"/>
        <v>15922362.65</v>
      </c>
      <c r="AU52" s="73"/>
      <c r="AV52" s="72"/>
      <c r="AW52" s="22"/>
      <c r="AX52" s="22"/>
      <c r="BA52" s="22"/>
      <c r="BB52" s="22"/>
      <c r="BC52" s="22"/>
      <c r="BD52" s="22"/>
      <c r="BE52" s="22"/>
      <c r="BF52" s="36"/>
    </row>
    <row r="53" spans="1:58" ht="13.5" customHeight="1">
      <c r="A53" s="199" t="s">
        <v>159</v>
      </c>
      <c r="B53" s="200"/>
      <c r="C53" s="200"/>
      <c r="D53" s="34"/>
      <c r="E53" s="34"/>
      <c r="F53" s="33">
        <f>SUM(F40:F51)</f>
        <v>18143913.06</v>
      </c>
      <c r="G53" s="162"/>
      <c r="H53" s="163"/>
      <c r="I53" s="32"/>
      <c r="J53" s="32"/>
      <c r="K53" s="88"/>
      <c r="L53" s="32"/>
      <c r="M53" s="32"/>
      <c r="N53" s="88"/>
      <c r="O53" s="32"/>
      <c r="P53" s="32"/>
      <c r="Q53" s="88"/>
      <c r="R53" s="32"/>
      <c r="S53" s="32"/>
      <c r="T53" s="88"/>
      <c r="U53" s="32"/>
      <c r="V53" s="32"/>
      <c r="W53" s="88"/>
      <c r="X53" s="191">
        <v>25392.94</v>
      </c>
      <c r="Y53" s="32"/>
      <c r="Z53" s="88"/>
      <c r="AA53" s="32"/>
      <c r="AB53" s="32"/>
      <c r="AC53" s="88"/>
      <c r="AD53" s="32"/>
      <c r="AE53" s="32"/>
      <c r="AF53" s="88"/>
      <c r="AG53" s="32"/>
      <c r="AH53" s="32"/>
      <c r="AI53" s="88"/>
      <c r="AJ53" s="32"/>
      <c r="AK53" s="32"/>
      <c r="AL53" s="88"/>
      <c r="AM53" s="32"/>
      <c r="AN53" s="32"/>
      <c r="AO53" s="88"/>
      <c r="AP53" s="32"/>
      <c r="AQ53" s="32"/>
      <c r="AR53" s="88"/>
      <c r="AS53" s="72"/>
      <c r="AT53" s="22"/>
      <c r="AU53" s="122">
        <f>SUM(AU40:AU52)</f>
        <v>2221550.41</v>
      </c>
      <c r="AV53" s="72"/>
      <c r="AW53" s="22"/>
      <c r="AX53" s="22"/>
      <c r="BA53" s="22"/>
      <c r="BB53" s="22"/>
      <c r="BC53" s="22"/>
      <c r="BD53" s="22"/>
      <c r="BE53" s="22"/>
      <c r="BF53" s="36"/>
    </row>
    <row r="54" spans="1:58" ht="13.5" customHeight="1">
      <c r="A54" s="34"/>
      <c r="B54" s="34"/>
      <c r="C54" s="34"/>
      <c r="D54" s="34"/>
      <c r="E54" s="34"/>
      <c r="F54" s="33"/>
      <c r="G54" s="162"/>
      <c r="H54" s="163"/>
      <c r="I54" s="32"/>
      <c r="J54" s="32"/>
      <c r="K54" s="88"/>
      <c r="L54" s="32"/>
      <c r="M54" s="32"/>
      <c r="N54" s="88"/>
      <c r="O54" s="32"/>
      <c r="P54" s="32"/>
      <c r="Q54" s="88"/>
      <c r="R54" s="32"/>
      <c r="S54" s="32"/>
      <c r="T54" s="88"/>
      <c r="U54" s="32"/>
      <c r="V54" s="32"/>
      <c r="W54" s="88"/>
      <c r="X54" s="32"/>
      <c r="Y54" s="32"/>
      <c r="Z54" s="88"/>
      <c r="AA54" s="32"/>
      <c r="AB54" s="32"/>
      <c r="AC54" s="88"/>
      <c r="AD54" s="32"/>
      <c r="AE54" s="32"/>
      <c r="AF54" s="88"/>
      <c r="AG54" s="32"/>
      <c r="AH54" s="32"/>
      <c r="AI54" s="88"/>
      <c r="AJ54" s="32"/>
      <c r="AK54" s="32"/>
      <c r="AL54" s="88"/>
      <c r="AM54" s="32"/>
      <c r="AN54" s="32"/>
      <c r="AO54" s="88"/>
      <c r="AP54" s="32"/>
      <c r="AQ54" s="32"/>
      <c r="AR54" s="88"/>
      <c r="AS54" s="72"/>
      <c r="AT54" s="22"/>
      <c r="AU54" s="88"/>
      <c r="AV54" s="72"/>
      <c r="AW54" s="22"/>
      <c r="AX54" s="22"/>
      <c r="BA54" s="22"/>
      <c r="BB54" s="22"/>
      <c r="BC54" s="22"/>
      <c r="BD54" s="22"/>
      <c r="BE54" s="22"/>
      <c r="BF54" s="36"/>
    </row>
    <row r="55" spans="1:58" ht="13.5" customHeight="1">
      <c r="A55" s="34"/>
      <c r="B55" s="34"/>
      <c r="C55" s="34"/>
      <c r="D55" s="34"/>
      <c r="E55" s="34"/>
      <c r="F55" s="22">
        <f>F53</f>
        <v>18143913.06</v>
      </c>
      <c r="G55" s="72"/>
      <c r="H55" s="73"/>
      <c r="I55" s="22"/>
      <c r="J55" s="22"/>
      <c r="K55" s="73">
        <f>SUM(K5:K51)</f>
        <v>18095822.51</v>
      </c>
      <c r="L55" s="22"/>
      <c r="M55" s="22"/>
      <c r="N55" s="73">
        <f>SUM(N5:N51)</f>
        <v>18051026.8</v>
      </c>
      <c r="O55" s="22"/>
      <c r="P55" s="22"/>
      <c r="Q55" s="73">
        <f>SUM(Q5:Q51)</f>
        <v>18006115.730000004</v>
      </c>
      <c r="R55" s="22"/>
      <c r="S55" s="22"/>
      <c r="T55" s="73">
        <f>SUM(T5:T51)</f>
        <v>17957689.810000002</v>
      </c>
      <c r="U55" s="22"/>
      <c r="V55" s="22"/>
      <c r="W55" s="73">
        <f>SUM(W5:W51)</f>
        <v>17914229.8</v>
      </c>
      <c r="X55" s="22"/>
      <c r="Y55" s="22"/>
      <c r="Z55" s="73">
        <f>SUM(Z5:Z51)</f>
        <v>2221550.41</v>
      </c>
      <c r="AA55" s="22"/>
      <c r="AB55" s="22"/>
      <c r="AC55" s="73">
        <f>SUM(AC5:AC51)</f>
        <v>2221550.41</v>
      </c>
      <c r="AD55" s="22"/>
      <c r="AE55" s="22"/>
      <c r="AF55" s="73">
        <f>SUM(AF5:AF51)</f>
        <v>2221550.41</v>
      </c>
      <c r="AG55" s="22"/>
      <c r="AH55" s="22"/>
      <c r="AI55" s="73">
        <f>SUM(AI5:AI51)</f>
        <v>2221550.41</v>
      </c>
      <c r="AJ55" s="22"/>
      <c r="AK55" s="22"/>
      <c r="AL55" s="72">
        <f>SUM(AL5:AL51)</f>
        <v>2221550.41</v>
      </c>
      <c r="AM55" s="78"/>
      <c r="AN55" s="72"/>
      <c r="AO55" s="73">
        <f>SUM(AO5:AO51)</f>
        <v>2221550.41</v>
      </c>
      <c r="AP55" s="22"/>
      <c r="AQ55" s="22"/>
      <c r="AR55" s="73">
        <f>SUM(AR5:AR52)</f>
        <v>2221550.41</v>
      </c>
      <c r="AS55" s="22">
        <f>SUM(AS5:AS51)</f>
        <v>212019.13000000015</v>
      </c>
      <c r="AT55" s="22">
        <f>SUM(AT5:AT51)</f>
        <v>15922362.649999999</v>
      </c>
      <c r="AU55" s="73">
        <f>SUM(AU5:AU52)</f>
        <v>2221550.41</v>
      </c>
      <c r="AV55" s="22">
        <f aca="true" t="shared" si="50" ref="AV55:BE55">SUM(AV5:AV49)</f>
        <v>4690646.360000001</v>
      </c>
      <c r="AW55" s="22">
        <f t="shared" si="50"/>
        <v>5029847.139999999</v>
      </c>
      <c r="AX55" s="22">
        <f t="shared" si="50"/>
        <v>5420304.869999998</v>
      </c>
      <c r="AY55" s="22">
        <f t="shared" si="50"/>
        <v>5840833.329999998</v>
      </c>
      <c r="AZ55" s="22">
        <f t="shared" si="50"/>
        <v>6256830.220000002</v>
      </c>
      <c r="BA55" s="22">
        <f t="shared" si="50"/>
        <v>6684601.4799999995</v>
      </c>
      <c r="BB55" s="22">
        <f t="shared" si="50"/>
        <v>7140993.839999998</v>
      </c>
      <c r="BC55" s="22">
        <f t="shared" si="50"/>
        <v>7599907.309999999</v>
      </c>
      <c r="BD55" s="22">
        <f t="shared" si="50"/>
        <v>8066778.559999999</v>
      </c>
      <c r="BE55" s="22">
        <f t="shared" si="50"/>
        <v>13589280.329999998</v>
      </c>
      <c r="BF55" s="36">
        <f>BF15+BF39+BF48</f>
        <v>14338945.73</v>
      </c>
    </row>
    <row r="56" spans="1:47" ht="13.5" customHeight="1">
      <c r="A56" s="34" t="s">
        <v>30</v>
      </c>
      <c r="B56" s="34"/>
      <c r="C56" s="34"/>
      <c r="D56" s="34"/>
      <c r="E56" s="34"/>
      <c r="F56" s="32">
        <v>0</v>
      </c>
      <c r="G56" s="74"/>
      <c r="H56" s="88"/>
      <c r="I56" s="32"/>
      <c r="J56" s="32"/>
      <c r="K56" s="88">
        <f>SUM(F56:J56)</f>
        <v>0</v>
      </c>
      <c r="L56" s="32"/>
      <c r="M56" s="32"/>
      <c r="N56" s="88">
        <v>0</v>
      </c>
      <c r="O56" s="32"/>
      <c r="P56" s="32"/>
      <c r="Q56" s="100">
        <v>0</v>
      </c>
      <c r="R56" s="32"/>
      <c r="S56" s="32"/>
      <c r="T56" s="104">
        <v>0</v>
      </c>
      <c r="U56" s="32"/>
      <c r="V56" s="32"/>
      <c r="W56" s="104">
        <f>SUM(T56:V56)</f>
        <v>0</v>
      </c>
      <c r="X56" s="32"/>
      <c r="Y56" s="32"/>
      <c r="Z56" s="104">
        <f>SUM(W56:Y56)</f>
        <v>0</v>
      </c>
      <c r="AA56" s="32"/>
      <c r="AB56" s="32"/>
      <c r="AC56" s="88">
        <f>SUM(Z56:AB56)</f>
        <v>0</v>
      </c>
      <c r="AD56" s="32"/>
      <c r="AE56" s="32"/>
      <c r="AF56" s="88">
        <f>SUM(AC56:AE56)</f>
        <v>0</v>
      </c>
      <c r="AG56" s="32"/>
      <c r="AH56" s="32"/>
      <c r="AI56" s="88">
        <f>SUM(AF56:AH56)</f>
        <v>0</v>
      </c>
      <c r="AJ56" s="32"/>
      <c r="AK56" s="32"/>
      <c r="AL56" s="74">
        <f>SUM(AI56:AK56)</f>
        <v>0</v>
      </c>
      <c r="AM56" s="106"/>
      <c r="AN56" s="74"/>
      <c r="AO56" s="88">
        <f>SUM(AL56:AN56)</f>
        <v>0</v>
      </c>
      <c r="AP56" s="32"/>
      <c r="AQ56" s="32"/>
      <c r="AR56" s="88">
        <f>SUM(AO56:AQ56)</f>
        <v>0</v>
      </c>
      <c r="AT56" s="37"/>
      <c r="AU56" s="73"/>
    </row>
    <row r="57" spans="5:48" ht="15">
      <c r="E57" s="142" t="s">
        <v>128</v>
      </c>
      <c r="F57" s="38">
        <f>SUM(F55:F56)</f>
        <v>18143913.06</v>
      </c>
      <c r="G57" s="89"/>
      <c r="H57" s="102"/>
      <c r="K57" s="143">
        <f>SUM(K55:K56)</f>
        <v>18095822.51</v>
      </c>
      <c r="L57" s="75"/>
      <c r="N57" s="143">
        <f>SUM(N55:N56)</f>
        <v>18051026.8</v>
      </c>
      <c r="O57" s="75"/>
      <c r="Q57" s="143">
        <f>SUM(Q55:Q56)</f>
        <v>18006115.730000004</v>
      </c>
      <c r="R57" s="75"/>
      <c r="T57" s="143">
        <f>SUM(T55:T56)</f>
        <v>17957689.810000002</v>
      </c>
      <c r="U57" s="75"/>
      <c r="W57" s="143">
        <f>SUM(W55:W56)</f>
        <v>17914229.8</v>
      </c>
      <c r="X57" s="75"/>
      <c r="Z57" s="143">
        <f>SUM(Z55:Z56)</f>
        <v>2221550.41</v>
      </c>
      <c r="AA57" s="72"/>
      <c r="AC57" s="143">
        <f>SUM(AC55:AC56)</f>
        <v>2221550.41</v>
      </c>
      <c r="AD57" s="75"/>
      <c r="AE57" s="37"/>
      <c r="AF57" s="143">
        <f>SUM(AF55:AF56)</f>
        <v>2221550.41</v>
      </c>
      <c r="AG57" s="72"/>
      <c r="AH57" s="30"/>
      <c r="AI57" s="143">
        <f>SUM(AI55:AI56)</f>
        <v>2221550.41</v>
      </c>
      <c r="AJ57" s="75"/>
      <c r="AL57" s="144">
        <f>SUM(AL55:AL56)</f>
        <v>2221550.41</v>
      </c>
      <c r="AM57" s="78"/>
      <c r="AN57" s="72"/>
      <c r="AO57" s="143">
        <f>SUM(AO55:AO56)</f>
        <v>2221550.41</v>
      </c>
      <c r="AP57" s="75"/>
      <c r="AR57" s="143">
        <f>SUM(AR55:AR56)</f>
        <v>2221550.41</v>
      </c>
      <c r="AS57" s="75"/>
      <c r="AU57" s="169"/>
      <c r="AV57" s="75"/>
    </row>
    <row r="58" spans="7:47" ht="15">
      <c r="G58" s="89"/>
      <c r="H58" s="89"/>
      <c r="I58" s="89"/>
      <c r="J58" s="166" t="s">
        <v>132</v>
      </c>
      <c r="K58" s="164"/>
      <c r="L58" s="89"/>
      <c r="M58" s="166" t="s">
        <v>147</v>
      </c>
      <c r="N58" s="165"/>
      <c r="O58" s="89"/>
      <c r="P58" s="166" t="s">
        <v>151</v>
      </c>
      <c r="Q58" s="89"/>
      <c r="R58" s="75"/>
      <c r="S58" s="89" t="s">
        <v>154</v>
      </c>
      <c r="T58" s="89"/>
      <c r="U58" s="89"/>
      <c r="V58" s="89" t="s">
        <v>156</v>
      </c>
      <c r="W58" s="165"/>
      <c r="X58" s="89"/>
      <c r="Y58" s="89"/>
      <c r="Z58" s="165"/>
      <c r="AA58" s="75"/>
      <c r="AB58" s="89"/>
      <c r="AC58" s="165"/>
      <c r="AD58" s="89"/>
      <c r="AE58" s="89"/>
      <c r="AF58" s="165"/>
      <c r="AG58" s="72"/>
      <c r="AH58" s="89"/>
      <c r="AI58" s="165"/>
      <c r="AJ58" s="75"/>
      <c r="AK58" s="89"/>
      <c r="AL58" s="165"/>
      <c r="AM58" s="89"/>
      <c r="AN58" s="166"/>
      <c r="AO58" s="167"/>
      <c r="AP58" s="89"/>
      <c r="AQ58" s="89"/>
      <c r="AR58" s="90"/>
      <c r="AS58" s="75"/>
      <c r="AT58" s="89"/>
      <c r="AU58" s="89"/>
    </row>
    <row r="59" spans="7:47" ht="15">
      <c r="G59" s="89"/>
      <c r="H59" s="89"/>
      <c r="I59" s="89"/>
      <c r="J59" s="166" t="s">
        <v>133</v>
      </c>
      <c r="K59" s="134"/>
      <c r="L59" s="89"/>
      <c r="M59" s="166" t="s">
        <v>149</v>
      </c>
      <c r="N59" s="134"/>
      <c r="O59" s="89"/>
      <c r="P59" s="166" t="s">
        <v>152</v>
      </c>
      <c r="Q59" s="166"/>
      <c r="R59" s="75"/>
      <c r="S59" s="166" t="s">
        <v>155</v>
      </c>
      <c r="T59" s="89"/>
      <c r="U59" s="89"/>
      <c r="V59" s="89" t="s">
        <v>158</v>
      </c>
      <c r="W59" s="168"/>
      <c r="X59" s="89"/>
      <c r="Y59" s="166"/>
      <c r="Z59" s="89"/>
      <c r="AA59" s="75"/>
      <c r="AB59" s="166"/>
      <c r="AC59" s="89"/>
      <c r="AD59" s="89"/>
      <c r="AE59" s="166"/>
      <c r="AF59" s="89"/>
      <c r="AG59" s="89"/>
      <c r="AH59" s="166"/>
      <c r="AI59" s="89"/>
      <c r="AJ59" s="75"/>
      <c r="AK59" s="166"/>
      <c r="AL59" s="89"/>
      <c r="AM59" s="89"/>
      <c r="AN59" s="134"/>
      <c r="AO59" s="91"/>
      <c r="AP59" s="89"/>
      <c r="AQ59" s="166"/>
      <c r="AR59" s="91"/>
      <c r="AS59" s="75"/>
      <c r="AT59" s="89"/>
      <c r="AU59" s="89"/>
    </row>
    <row r="60" spans="2:44" ht="15">
      <c r="B60" s="198"/>
      <c r="C60" s="198"/>
      <c r="J60" s="110" t="s">
        <v>146</v>
      </c>
      <c r="S60" s="109" t="s">
        <v>153</v>
      </c>
      <c r="W60" s="112"/>
      <c r="Y60" s="109"/>
      <c r="AB60" s="109"/>
      <c r="AE60" s="109"/>
      <c r="AH60" s="109"/>
      <c r="AI60" s="109"/>
      <c r="AJ60" s="125"/>
      <c r="AK60" s="109"/>
      <c r="AN60" s="110"/>
      <c r="AR60" s="110"/>
    </row>
    <row r="61" spans="19:44" ht="15">
      <c r="S61" s="109"/>
      <c r="W61" s="112"/>
      <c r="Y61" s="109"/>
      <c r="AB61" s="109"/>
      <c r="AE61" s="109"/>
      <c r="AH61" s="109"/>
      <c r="AI61" s="109"/>
      <c r="AJ61" s="125"/>
      <c r="AK61" s="109"/>
      <c r="AN61" s="117" t="s">
        <v>126</v>
      </c>
      <c r="AR61" s="110"/>
    </row>
    <row r="62" spans="6:45" ht="15">
      <c r="F62" s="126" t="s">
        <v>118</v>
      </c>
      <c r="G62" s="126"/>
      <c r="H62" s="126"/>
      <c r="I62" s="126"/>
      <c r="J62" s="126"/>
      <c r="K62" s="126"/>
      <c r="L62" s="135">
        <f>I52+L52</f>
        <v>102537.78000000014</v>
      </c>
      <c r="M62" s="135"/>
      <c r="N62" s="135"/>
      <c r="O62" s="135">
        <f>L62+O52</f>
        <v>155338.73000000016</v>
      </c>
      <c r="P62" s="135"/>
      <c r="Q62" s="135"/>
      <c r="R62" s="136">
        <f>O62+R52</f>
        <v>204624.83000000016</v>
      </c>
      <c r="S62" s="135"/>
      <c r="T62" s="135"/>
      <c r="U62" s="135">
        <f>R62+U52</f>
        <v>258876.84000000017</v>
      </c>
      <c r="V62" s="135"/>
      <c r="W62" s="137" t="s">
        <v>109</v>
      </c>
      <c r="X62" s="135">
        <f>U62+X52+X53</f>
        <v>290213.0200000002</v>
      </c>
      <c r="Y62" s="135"/>
      <c r="Z62" s="135"/>
      <c r="AA62" s="136">
        <f>X62+AA52</f>
        <v>290213.0200000002</v>
      </c>
      <c r="AB62" s="135"/>
      <c r="AC62" s="135"/>
      <c r="AD62" s="135">
        <f>AA62+AD52</f>
        <v>290213.0200000002</v>
      </c>
      <c r="AE62" s="138" t="s">
        <v>110</v>
      </c>
      <c r="AF62" s="135"/>
      <c r="AG62" s="135">
        <f>AD62+AG52</f>
        <v>290213.0200000002</v>
      </c>
      <c r="AH62" s="135"/>
      <c r="AI62" s="135"/>
      <c r="AJ62" s="136">
        <f>AG62+AJ52</f>
        <v>290213.0200000002</v>
      </c>
      <c r="AK62" s="135"/>
      <c r="AL62" s="135"/>
      <c r="AM62" s="135">
        <f>AJ62+AM52</f>
        <v>290213.0200000002</v>
      </c>
      <c r="AO62" s="135"/>
      <c r="AP62" s="135">
        <f>AM62+AP52</f>
        <v>290213.0200000002</v>
      </c>
      <c r="AQ62" s="126"/>
      <c r="AR62" s="126"/>
      <c r="AS62" s="139"/>
    </row>
    <row r="64" ht="15">
      <c r="U64" s="89"/>
    </row>
    <row r="65" spans="5:6" ht="15">
      <c r="E65" s="188"/>
      <c r="F65" s="188"/>
    </row>
    <row r="66" spans="5:6" ht="15">
      <c r="E66" s="188"/>
      <c r="F66" s="188"/>
    </row>
    <row r="67" spans="5:14" ht="15">
      <c r="E67" s="188"/>
      <c r="F67" s="188"/>
      <c r="N67" s="80"/>
    </row>
    <row r="68" spans="5:16" ht="15">
      <c r="E68" s="188"/>
      <c r="F68" s="188"/>
      <c r="N68" s="80"/>
      <c r="P68" s="30"/>
    </row>
    <row r="69" spans="5:16" ht="15">
      <c r="E69" s="188"/>
      <c r="F69" s="188"/>
      <c r="P69" s="30"/>
    </row>
    <row r="70" spans="5:16" ht="15">
      <c r="E70" s="188"/>
      <c r="F70" s="188"/>
      <c r="P70" s="30"/>
    </row>
    <row r="71" spans="5:16" ht="15">
      <c r="E71" s="188"/>
      <c r="F71" s="188"/>
      <c r="P71" s="30"/>
    </row>
    <row r="72" spans="5:16" ht="15">
      <c r="E72" s="188"/>
      <c r="F72" s="188"/>
      <c r="P72" s="30"/>
    </row>
    <row r="73" spans="5:16" ht="15">
      <c r="E73" s="188"/>
      <c r="F73" s="188"/>
      <c r="P73" s="30"/>
    </row>
    <row r="74" spans="5:16" ht="15">
      <c r="E74" s="188"/>
      <c r="F74" s="188"/>
      <c r="P74" s="30"/>
    </row>
    <row r="75" spans="5:16" ht="15">
      <c r="E75" s="188"/>
      <c r="F75" s="188"/>
      <c r="P75" s="30"/>
    </row>
    <row r="76" spans="5:16" ht="15">
      <c r="E76" s="188"/>
      <c r="F76" s="188"/>
      <c r="P76" s="30"/>
    </row>
    <row r="77" ht="15">
      <c r="P77" s="72"/>
    </row>
    <row r="78" ht="15">
      <c r="P78" s="22"/>
    </row>
    <row r="79" ht="15">
      <c r="P79" s="32"/>
    </row>
  </sheetData>
  <sheetProtection/>
  <mergeCells count="4">
    <mergeCell ref="F1:T1"/>
    <mergeCell ref="U1:AF1"/>
    <mergeCell ref="AG1:AR1"/>
    <mergeCell ref="AS1:BF1"/>
  </mergeCells>
  <printOptions horizontalCentered="1"/>
  <pageMargins left="0.25" right="0.5" top="1" bottom="0.25" header="0" footer="0"/>
  <pageSetup horizontalDpi="600" verticalDpi="600" orientation="landscape" scale="57" r:id="rId1"/>
  <headerFooter alignWithMargins="0">
    <oddHeader>&amp;C&amp;"Arial,Bold"&amp;14RUS PRINCIPAL &amp; INTEREST PAYMENTS - 2016</oddHeader>
  </headerFooter>
  <colBreaks count="4" manualBreakCount="4">
    <brk id="17" min="1" max="58" man="1"/>
    <brk id="26" min="1" max="58" man="1"/>
    <brk id="35" min="1" max="58" man="1"/>
    <brk id="14037" min="1" max="147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1"/>
  <sheetViews>
    <sheetView zoomScale="80" zoomScaleNormal="80" workbookViewId="0" topLeftCell="AL1">
      <selection activeCell="AR5" sqref="AR5"/>
    </sheetView>
  </sheetViews>
  <sheetFormatPr defaultColWidth="9.6640625" defaultRowHeight="15" outlineLevelCol="1"/>
  <cols>
    <col min="1" max="2" width="8.5546875" style="289" customWidth="1"/>
    <col min="3" max="3" width="13.10546875" style="289" customWidth="1"/>
    <col min="4" max="4" width="8.5546875" style="289" customWidth="1"/>
    <col min="5" max="5" width="10.99609375" style="289" customWidth="1"/>
    <col min="6" max="6" width="12.21484375" style="289" hidden="1" customWidth="1"/>
    <col min="7" max="7" width="8.3359375" style="289" customWidth="1"/>
    <col min="8" max="8" width="3.6640625" style="289" customWidth="1"/>
    <col min="9" max="9" width="12.88671875" style="289" hidden="1" customWidth="1" outlineLevel="1"/>
    <col min="10" max="10" width="9.88671875" style="289" hidden="1" customWidth="1" outlineLevel="1"/>
    <col min="11" max="11" width="13.4453125" style="289" hidden="1" customWidth="1" outlineLevel="1"/>
    <col min="12" max="12" width="11.6640625" style="289" hidden="1" customWidth="1" outlineLevel="1"/>
    <col min="13" max="13" width="0.23046875" style="289" hidden="1" customWidth="1" outlineLevel="1"/>
    <col min="14" max="14" width="9.6640625" style="289" hidden="1" customWidth="1" outlineLevel="1"/>
    <col min="15" max="15" width="12.5546875" style="289" hidden="1" customWidth="1" outlineLevel="1"/>
    <col min="16" max="16" width="9.6640625" style="289" hidden="1" customWidth="1" outlineLevel="1"/>
    <col min="17" max="17" width="11.6640625" style="289" hidden="1" customWidth="1" outlineLevel="1"/>
    <col min="18" max="18" width="9.6640625" style="294" hidden="1" customWidth="1" outlineLevel="1"/>
    <col min="19" max="19" width="12.4453125" style="289" hidden="1" customWidth="1" outlineLevel="1"/>
    <col min="20" max="20" width="9.6640625" style="289" hidden="1" customWidth="1" outlineLevel="1"/>
    <col min="21" max="21" width="13.99609375" style="289" hidden="1" customWidth="1" outlineLevel="1"/>
    <col min="22" max="22" width="7.4453125" style="289" hidden="1" customWidth="1" outlineLevel="1"/>
    <col min="23" max="23" width="9.6640625" style="289" hidden="1" customWidth="1" outlineLevel="1"/>
    <col min="24" max="24" width="11.5546875" style="289" hidden="1" customWidth="1" outlineLevel="1"/>
    <col min="25" max="25" width="10.10546875" style="289" hidden="1" customWidth="1" outlineLevel="1"/>
    <col min="26" max="26" width="39.99609375" style="289" hidden="1" customWidth="1" outlineLevel="1"/>
    <col min="27" max="27" width="15.5546875" style="294" hidden="1" customWidth="1" outlineLevel="1"/>
    <col min="28" max="28" width="16.5546875" style="289" hidden="1" customWidth="1" outlineLevel="1"/>
    <col min="29" max="29" width="11.3359375" style="289" bestFit="1" customWidth="1" outlineLevel="1"/>
    <col min="30" max="64" width="16.99609375" style="474" customWidth="1"/>
    <col min="65" max="65" width="16.3359375" style="289" customWidth="1"/>
    <col min="66" max="66" width="17.77734375" style="289" customWidth="1"/>
    <col min="67" max="67" width="14.99609375" style="289" customWidth="1"/>
    <col min="68" max="16384" width="9.6640625" style="289" customWidth="1"/>
  </cols>
  <sheetData>
    <row r="1" spans="1:89" ht="18" customHeight="1">
      <c r="A1" s="288">
        <f ca="1">NOW()</f>
        <v>45234.445947685184</v>
      </c>
      <c r="B1" s="209" t="s">
        <v>254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581"/>
      <c r="X1" s="581"/>
      <c r="Y1" s="581"/>
      <c r="Z1" s="288"/>
      <c r="AA1" s="504"/>
      <c r="AB1" s="505"/>
      <c r="AC1" s="505"/>
      <c r="AD1" s="506"/>
      <c r="AE1" s="586" t="s">
        <v>303</v>
      </c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/>
      <c r="AS1" s="568"/>
      <c r="AT1" s="568"/>
      <c r="AU1" s="506"/>
      <c r="AV1" s="506"/>
      <c r="AW1" s="506"/>
      <c r="AX1" s="506"/>
      <c r="AY1" s="506"/>
      <c r="AZ1" s="506"/>
      <c r="BA1" s="506"/>
      <c r="BB1" s="506"/>
      <c r="BC1" s="506"/>
      <c r="BD1" s="506"/>
      <c r="BE1" s="506"/>
      <c r="BF1" s="506"/>
      <c r="BG1" s="506"/>
      <c r="BH1" s="506"/>
      <c r="BI1" s="506"/>
      <c r="BJ1" s="506"/>
      <c r="BK1" s="506"/>
      <c r="BL1" s="506"/>
      <c r="BM1" s="506"/>
      <c r="BN1" s="506"/>
      <c r="BO1" s="506"/>
      <c r="BP1" s="506"/>
      <c r="BQ1" s="506"/>
      <c r="BR1" s="506"/>
      <c r="BS1" s="506"/>
      <c r="BT1" s="506"/>
      <c r="BU1" s="506"/>
      <c r="BV1" s="506"/>
      <c r="BW1" s="506"/>
      <c r="BX1" s="506"/>
      <c r="BY1" s="506"/>
      <c r="BZ1" s="506"/>
      <c r="CA1" s="506"/>
      <c r="CB1" s="506"/>
      <c r="CC1" s="506"/>
      <c r="CD1" s="506"/>
      <c r="CE1" s="506"/>
      <c r="CF1" s="506"/>
      <c r="CG1" s="506"/>
      <c r="CH1" s="506"/>
      <c r="CI1" s="571" t="s">
        <v>181</v>
      </c>
      <c r="CJ1" s="571"/>
      <c r="CK1" s="571"/>
    </row>
    <row r="2" spans="1:43" ht="15">
      <c r="A2" s="290" t="s">
        <v>0</v>
      </c>
      <c r="B2" s="290"/>
      <c r="C2" s="291" t="s">
        <v>112</v>
      </c>
      <c r="D2" s="292" t="s">
        <v>111</v>
      </c>
      <c r="E2" s="292" t="s">
        <v>115</v>
      </c>
      <c r="I2" s="293"/>
      <c r="J2" s="293"/>
      <c r="K2" s="293"/>
      <c r="L2" s="293"/>
      <c r="N2" s="293"/>
      <c r="O2" s="456">
        <v>0.00031164383561643836</v>
      </c>
      <c r="P2" s="293"/>
      <c r="Q2" s="293"/>
      <c r="V2" s="393">
        <v>43756</v>
      </c>
      <c r="AE2" s="474">
        <v>87</v>
      </c>
      <c r="AI2" s="474">
        <v>91</v>
      </c>
      <c r="AM2" s="474">
        <v>94</v>
      </c>
      <c r="AQ2" s="474">
        <v>92</v>
      </c>
    </row>
    <row r="3" spans="1:64" ht="15.75">
      <c r="A3" s="292" t="s">
        <v>1</v>
      </c>
      <c r="B3" s="7" t="s">
        <v>134</v>
      </c>
      <c r="C3" s="292" t="s">
        <v>73</v>
      </c>
      <c r="D3" s="292" t="s">
        <v>73</v>
      </c>
      <c r="E3" s="292" t="s">
        <v>73</v>
      </c>
      <c r="F3" s="292" t="s">
        <v>31</v>
      </c>
      <c r="G3" s="292" t="s">
        <v>32</v>
      </c>
      <c r="H3" s="292"/>
      <c r="I3" s="295" t="s">
        <v>38</v>
      </c>
      <c r="J3" s="296"/>
      <c r="K3" s="297"/>
      <c r="L3" s="298"/>
      <c r="M3" s="457"/>
      <c r="N3" s="295" t="s">
        <v>41</v>
      </c>
      <c r="O3" s="296"/>
      <c r="P3" s="297"/>
      <c r="Q3" s="298"/>
      <c r="R3" s="295" t="s">
        <v>44</v>
      </c>
      <c r="S3" s="296"/>
      <c r="T3" s="300"/>
      <c r="U3" s="298"/>
      <c r="V3" s="298"/>
      <c r="W3" s="301" t="s">
        <v>47</v>
      </c>
      <c r="X3" s="296"/>
      <c r="Y3" s="300"/>
      <c r="Z3" s="302"/>
      <c r="AA3" s="303" t="s">
        <v>48</v>
      </c>
      <c r="AB3" s="300"/>
      <c r="AC3" s="509" t="s">
        <v>304</v>
      </c>
      <c r="AD3" s="493"/>
      <c r="AE3" s="583" t="s">
        <v>38</v>
      </c>
      <c r="AF3" s="584"/>
      <c r="AG3" s="584"/>
      <c r="AH3" s="585"/>
      <c r="AI3" s="582" t="s">
        <v>41</v>
      </c>
      <c r="AJ3" s="573"/>
      <c r="AK3" s="573"/>
      <c r="AL3" s="574"/>
      <c r="AM3" s="582" t="s">
        <v>44</v>
      </c>
      <c r="AN3" s="573"/>
      <c r="AO3" s="573"/>
      <c r="AP3" s="574"/>
      <c r="AQ3" s="582" t="s">
        <v>47</v>
      </c>
      <c r="AR3" s="573"/>
      <c r="AS3" s="573"/>
      <c r="AT3" s="574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  <c r="BK3" s="493"/>
      <c r="BL3" s="493"/>
    </row>
    <row r="4" spans="6:67" ht="20.25" customHeight="1">
      <c r="F4" s="305">
        <v>44561</v>
      </c>
      <c r="G4" s="306"/>
      <c r="H4" s="306"/>
      <c r="I4" s="307" t="s">
        <v>34</v>
      </c>
      <c r="J4" s="308" t="s">
        <v>74</v>
      </c>
      <c r="K4" s="308" t="s">
        <v>35</v>
      </c>
      <c r="L4" s="309" t="s">
        <v>36</v>
      </c>
      <c r="M4" s="308"/>
      <c r="N4" s="307" t="s">
        <v>34</v>
      </c>
      <c r="O4" s="308" t="s">
        <v>74</v>
      </c>
      <c r="P4" s="308" t="s">
        <v>35</v>
      </c>
      <c r="Q4" s="309" t="s">
        <v>36</v>
      </c>
      <c r="R4" s="307" t="s">
        <v>34</v>
      </c>
      <c r="S4" s="310" t="s">
        <v>75</v>
      </c>
      <c r="T4" s="310" t="s">
        <v>35</v>
      </c>
      <c r="U4" s="311" t="s">
        <v>36</v>
      </c>
      <c r="V4" s="312"/>
      <c r="W4" s="313" t="s">
        <v>34</v>
      </c>
      <c r="X4" s="310" t="s">
        <v>75</v>
      </c>
      <c r="Y4" s="310" t="s">
        <v>35</v>
      </c>
      <c r="Z4" s="314" t="s">
        <v>36</v>
      </c>
      <c r="AA4" s="313" t="s">
        <v>34</v>
      </c>
      <c r="AB4" s="308" t="s">
        <v>35</v>
      </c>
      <c r="AC4" s="508" t="s">
        <v>36</v>
      </c>
      <c r="AD4" s="507" t="s">
        <v>302</v>
      </c>
      <c r="AE4" s="307" t="s">
        <v>34</v>
      </c>
      <c r="AF4" s="308" t="s">
        <v>74</v>
      </c>
      <c r="AG4" s="308" t="s">
        <v>35</v>
      </c>
      <c r="AH4" s="309" t="s">
        <v>36</v>
      </c>
      <c r="AI4" s="307" t="s">
        <v>34</v>
      </c>
      <c r="AJ4" s="308" t="s">
        <v>74</v>
      </c>
      <c r="AK4" s="308" t="s">
        <v>35</v>
      </c>
      <c r="AL4" s="309" t="s">
        <v>36</v>
      </c>
      <c r="AM4" s="307" t="s">
        <v>34</v>
      </c>
      <c r="AN4" s="308" t="s">
        <v>74</v>
      </c>
      <c r="AO4" s="308" t="s">
        <v>35</v>
      </c>
      <c r="AP4" s="309" t="s">
        <v>36</v>
      </c>
      <c r="AQ4" s="307" t="s">
        <v>34</v>
      </c>
      <c r="AR4" s="308" t="s">
        <v>74</v>
      </c>
      <c r="AS4" s="308" t="s">
        <v>35</v>
      </c>
      <c r="AT4" s="309" t="s">
        <v>36</v>
      </c>
      <c r="AU4" s="494"/>
      <c r="AV4" s="494"/>
      <c r="AW4" s="494"/>
      <c r="AX4" s="494"/>
      <c r="AY4" s="494"/>
      <c r="AZ4" s="494"/>
      <c r="BA4" s="494"/>
      <c r="BB4" s="494"/>
      <c r="BC4" s="494"/>
      <c r="BD4" s="494"/>
      <c r="BE4" s="494"/>
      <c r="BF4" s="494"/>
      <c r="BG4" s="494"/>
      <c r="BH4" s="494"/>
      <c r="BI4" s="494"/>
      <c r="BJ4" s="494"/>
      <c r="BK4" s="494"/>
      <c r="BL4" s="494"/>
      <c r="BM4" s="480" t="s">
        <v>286</v>
      </c>
      <c r="BN4" s="478" t="s">
        <v>287</v>
      </c>
      <c r="BO4" s="478" t="s">
        <v>288</v>
      </c>
    </row>
    <row r="5" spans="1:68" ht="27" customHeight="1">
      <c r="A5" s="332" t="s">
        <v>60</v>
      </c>
      <c r="B5" s="390" t="s">
        <v>183</v>
      </c>
      <c r="C5" s="330">
        <v>38807</v>
      </c>
      <c r="D5" s="330">
        <v>48947</v>
      </c>
      <c r="E5" s="330"/>
      <c r="F5" s="422">
        <v>545777.7000000001</v>
      </c>
      <c r="G5" s="319">
        <v>0.04512</v>
      </c>
      <c r="H5" s="319" t="s">
        <v>164</v>
      </c>
      <c r="I5" s="449">
        <v>5869.64</v>
      </c>
      <c r="J5" s="450">
        <v>162.61</v>
      </c>
      <c r="K5" s="450">
        <v>8912.04</v>
      </c>
      <c r="L5" s="469">
        <f aca="true" t="shared" si="0" ref="L5:L27">F5-K5</f>
        <v>536865.66</v>
      </c>
      <c r="M5" s="510">
        <f aca="true" t="shared" si="1" ref="M5:M27">+I5+K5</f>
        <v>14781.68</v>
      </c>
      <c r="N5" s="449">
        <f>(L5*$G$5)*(91/365)</f>
        <v>6039.253289608768</v>
      </c>
      <c r="O5" s="450">
        <f aca="true" t="shared" si="2" ref="O5:O29">ROUND(L5*$O$2,2)</f>
        <v>167.31</v>
      </c>
      <c r="P5" s="450">
        <f>$M$5-N5</f>
        <v>8742.426710391232</v>
      </c>
      <c r="Q5" s="469">
        <f aca="true" t="shared" si="3" ref="Q5:Q29">L5-P5</f>
        <v>528123.2332896088</v>
      </c>
      <c r="R5" s="449">
        <f aca="true" t="shared" si="4" ref="R5:R29">(Q5*G5)*(92/365)</f>
        <v>6006.19360634109</v>
      </c>
      <c r="S5" s="450">
        <v>166.39</v>
      </c>
      <c r="T5" s="450">
        <f>M5-R5</f>
        <v>8775.48639365891</v>
      </c>
      <c r="U5" s="511">
        <f>Q5-T5</f>
        <v>519347.74689594994</v>
      </c>
      <c r="V5" s="510"/>
      <c r="W5" s="449">
        <v>6098.99</v>
      </c>
      <c r="X5" s="450">
        <v>168.97</v>
      </c>
      <c r="Y5" s="450">
        <v>8682.69</v>
      </c>
      <c r="Z5" s="511">
        <f>U5-Y5</f>
        <v>510665.05689594994</v>
      </c>
      <c r="AA5" s="512">
        <f aca="true" t="shared" si="5" ref="AA5:AA31">I5+J5+N5+O5+R5+S5+W5+X5</f>
        <v>24679.35689594986</v>
      </c>
      <c r="AB5" s="450">
        <f aca="true" t="shared" si="6" ref="AB5:AB31">K5+P5+T5+Y5</f>
        <v>35112.64310405014</v>
      </c>
      <c r="AC5" s="513">
        <f aca="true" t="shared" si="7" ref="AC5:AC31">F5-AB5</f>
        <v>510665.05689594994</v>
      </c>
      <c r="AD5" s="481">
        <f>W5+Y5</f>
        <v>14781.68</v>
      </c>
      <c r="AE5" s="449">
        <f>(AC5*G5)/365*$AE$2</f>
        <v>5492.013810799007</v>
      </c>
      <c r="AF5" s="450">
        <f>(AC5*0.00125)/365*$AE$2</f>
        <v>152.1502053080399</v>
      </c>
      <c r="AG5" s="450">
        <f>AD5-AE5</f>
        <v>9289.666189200994</v>
      </c>
      <c r="AH5" s="469">
        <f>AC5-AG5</f>
        <v>501375.39070674893</v>
      </c>
      <c r="AI5" s="449">
        <f>(AH5*G5)/365*$AI$2</f>
        <v>5640.019847152478</v>
      </c>
      <c r="AJ5" s="450">
        <f>(AH5*0.00125)/365*$AI$2</f>
        <v>156.25054984354162</v>
      </c>
      <c r="AK5" s="450">
        <f>AD5-AI5</f>
        <v>9141.660152847522</v>
      </c>
      <c r="AL5" s="503">
        <f>AH5-AK5</f>
        <v>492233.7305539014</v>
      </c>
      <c r="AM5" s="449">
        <f>(AL5*G5)/365*$AM$2</f>
        <v>5719.728977325071</v>
      </c>
      <c r="AN5" s="450">
        <f>(AL5*0.00125)/365*$AM$2</f>
        <v>158.4588036714614</v>
      </c>
      <c r="AO5" s="450">
        <f>AD5-AM5</f>
        <v>9061.95102267493</v>
      </c>
      <c r="AP5" s="503">
        <f>AL5-AO5</f>
        <v>483171.7795312265</v>
      </c>
      <c r="AQ5" s="449">
        <f>(AP5*G5)/365*$AQ$2</f>
        <v>5494.973653987129</v>
      </c>
      <c r="AR5" s="450">
        <f>(AP5*0.00125)/365*$AQ$2</f>
        <v>152.2322045098385</v>
      </c>
      <c r="AS5" s="450">
        <f>AD5-AQ5</f>
        <v>9286.70634601287</v>
      </c>
      <c r="AT5" s="516">
        <f>AP5-AS5</f>
        <v>473885.0731852136</v>
      </c>
      <c r="AU5" s="503"/>
      <c r="AV5" s="503"/>
      <c r="AW5" s="503"/>
      <c r="AX5" s="503"/>
      <c r="AY5" s="503"/>
      <c r="AZ5" s="503"/>
      <c r="BA5" s="503"/>
      <c r="BB5" s="503"/>
      <c r="BC5" s="495"/>
      <c r="BD5" s="495"/>
      <c r="BE5" s="495"/>
      <c r="BF5" s="495"/>
      <c r="BG5" s="495"/>
      <c r="BH5" s="495"/>
      <c r="BI5" s="495"/>
      <c r="BJ5" s="495"/>
      <c r="BK5" s="495"/>
      <c r="BL5" s="495"/>
      <c r="BM5" s="482"/>
      <c r="BN5" s="483"/>
      <c r="BO5" s="483"/>
      <c r="BP5" s="482"/>
    </row>
    <row r="6" spans="1:68" ht="27" customHeight="1">
      <c r="A6" s="332" t="s">
        <v>61</v>
      </c>
      <c r="B6" s="390" t="s">
        <v>185</v>
      </c>
      <c r="C6" s="330">
        <v>38807</v>
      </c>
      <c r="D6" s="330">
        <v>48947</v>
      </c>
      <c r="E6" s="330"/>
      <c r="F6" s="422">
        <v>709510.5199999998</v>
      </c>
      <c r="G6" s="319">
        <v>0.04512</v>
      </c>
      <c r="H6" s="319" t="s">
        <v>164</v>
      </c>
      <c r="I6" s="449">
        <v>7630.52</v>
      </c>
      <c r="J6" s="450">
        <v>211.4</v>
      </c>
      <c r="K6" s="450">
        <v>11585.67</v>
      </c>
      <c r="L6" s="469">
        <f t="shared" si="0"/>
        <v>697924.8499999997</v>
      </c>
      <c r="M6" s="510">
        <f t="shared" si="1"/>
        <v>19216.190000000002</v>
      </c>
      <c r="N6" s="449">
        <f aca="true" t="shared" si="8" ref="N6:N29">(L6*G6)*(91/365)</f>
        <v>7851.023561950683</v>
      </c>
      <c r="O6" s="450">
        <f t="shared" si="2"/>
        <v>217.5</v>
      </c>
      <c r="P6" s="450">
        <f aca="true" t="shared" si="9" ref="P6:P26">+M6-N6</f>
        <v>11365.16643804932</v>
      </c>
      <c r="Q6" s="469">
        <f t="shared" si="3"/>
        <v>686559.6835619505</v>
      </c>
      <c r="R6" s="449">
        <f t="shared" si="4"/>
        <v>7808.045777679449</v>
      </c>
      <c r="S6" s="450">
        <v>216.31</v>
      </c>
      <c r="T6" s="450">
        <f aca="true" t="shared" si="10" ref="T6:T29">M6-R6</f>
        <v>11408.144222320552</v>
      </c>
      <c r="U6" s="469">
        <f aca="true" t="shared" si="11" ref="U6:U27">Q6-T6</f>
        <v>675151.5393396299</v>
      </c>
      <c r="V6" s="510"/>
      <c r="W6" s="449">
        <v>7928.68</v>
      </c>
      <c r="X6" s="450">
        <v>219.66</v>
      </c>
      <c r="Y6" s="450">
        <v>11287.51</v>
      </c>
      <c r="Z6" s="469">
        <f aca="true" t="shared" si="12" ref="Z6:Z20">U6-Y6</f>
        <v>663864.0293396299</v>
      </c>
      <c r="AA6" s="449">
        <f t="shared" si="5"/>
        <v>32083.139339630136</v>
      </c>
      <c r="AB6" s="450">
        <f t="shared" si="6"/>
        <v>45646.49066036988</v>
      </c>
      <c r="AC6" s="510">
        <f t="shared" si="7"/>
        <v>663864.0293396299</v>
      </c>
      <c r="AD6" s="481">
        <f>W6+Y6</f>
        <v>19216.190000000002</v>
      </c>
      <c r="AE6" s="449">
        <f>(AC6*G6)/365*$AE$2</f>
        <v>7139.612096797142</v>
      </c>
      <c r="AF6" s="450">
        <f aca="true" t="shared" si="13" ref="AF6:AF31">(AC6*0.00125)/365*$AE$2</f>
        <v>197.79510463201302</v>
      </c>
      <c r="AG6" s="450">
        <f aca="true" t="shared" si="14" ref="AG6:AG31">AD6-AE6</f>
        <v>12076.57790320286</v>
      </c>
      <c r="AH6" s="469">
        <f aca="true" t="shared" si="15" ref="AH6:AH31">AC6-AG6</f>
        <v>651787.4514364271</v>
      </c>
      <c r="AI6" s="449">
        <f aca="true" t="shared" si="16" ref="AI6:AI31">(AH6*G6)/365*$AI$2</f>
        <v>7332.019541374944</v>
      </c>
      <c r="AJ6" s="450">
        <f aca="true" t="shared" si="17" ref="AJ6:AJ31">(AH6*0.00125)/365*$AI$2</f>
        <v>203.12554137231118</v>
      </c>
      <c r="AK6" s="450">
        <f>AD6-AI6</f>
        <v>11884.170458625058</v>
      </c>
      <c r="AL6" s="503">
        <f aca="true" t="shared" si="18" ref="AL6:AL31">AH6-AK6</f>
        <v>639903.280977802</v>
      </c>
      <c r="AM6" s="449">
        <f aca="true" t="shared" si="19" ref="AM6:AM31">(AL6*G6)/365*$AM$2</f>
        <v>7435.641061768582</v>
      </c>
      <c r="AN6" s="450">
        <f aca="true" t="shared" si="20" ref="AN6:AN31">(AL6*0.00125)/365*$AM$2</f>
        <v>205.99626168463487</v>
      </c>
      <c r="AO6" s="450">
        <f aca="true" t="shared" si="21" ref="AO6:AO31">AD6-AM6</f>
        <v>11780.548938231419</v>
      </c>
      <c r="AP6" s="503">
        <f aca="true" t="shared" si="22" ref="AP6:AP31">AL6-AO6</f>
        <v>628122.7320395706</v>
      </c>
      <c r="AQ6" s="449">
        <f aca="true" t="shared" si="23" ref="AQ6:AQ31">(AP6*G6)/365*$AQ$2</f>
        <v>7143.459138645312</v>
      </c>
      <c r="AR6" s="450">
        <f aca="true" t="shared" si="24" ref="AR6:AR31">(AP6*0.00125)/365*$AQ$2</f>
        <v>197.90168269739897</v>
      </c>
      <c r="AS6" s="450">
        <f aca="true" t="shared" si="25" ref="AS6:AS31">AD6-AQ6</f>
        <v>12072.73086135469</v>
      </c>
      <c r="AT6" s="517">
        <f aca="true" t="shared" si="26" ref="AT6:AT31">AP6-AS6</f>
        <v>616050.0011782158</v>
      </c>
      <c r="AU6" s="503"/>
      <c r="AV6" s="503"/>
      <c r="AW6" s="503"/>
      <c r="AX6" s="503"/>
      <c r="AY6" s="503"/>
      <c r="AZ6" s="503"/>
      <c r="BA6" s="503"/>
      <c r="BB6" s="503"/>
      <c r="BC6" s="495"/>
      <c r="BD6" s="495"/>
      <c r="BE6" s="495"/>
      <c r="BF6" s="495"/>
      <c r="BG6" s="495"/>
      <c r="BH6" s="495"/>
      <c r="BI6" s="495"/>
      <c r="BJ6" s="495"/>
      <c r="BK6" s="495"/>
      <c r="BL6" s="495"/>
      <c r="BM6" s="482"/>
      <c r="BN6" s="483"/>
      <c r="BO6" s="483"/>
      <c r="BP6" s="482"/>
    </row>
    <row r="7" spans="1:68" ht="27" customHeight="1">
      <c r="A7" s="332" t="s">
        <v>62</v>
      </c>
      <c r="B7" s="390" t="s">
        <v>186</v>
      </c>
      <c r="C7" s="330">
        <v>38720</v>
      </c>
      <c r="D7" s="330">
        <v>48947</v>
      </c>
      <c r="E7" s="330"/>
      <c r="F7" s="422">
        <v>548508.0000000001</v>
      </c>
      <c r="G7" s="319">
        <v>0.04472</v>
      </c>
      <c r="H7" s="319" t="s">
        <v>164</v>
      </c>
      <c r="I7" s="403">
        <v>5846.7</v>
      </c>
      <c r="J7" s="450">
        <v>163.43</v>
      </c>
      <c r="K7" s="450">
        <v>8976.18</v>
      </c>
      <c r="L7" s="469">
        <f t="shared" si="0"/>
        <v>539531.8200000001</v>
      </c>
      <c r="M7" s="510">
        <f t="shared" si="1"/>
        <v>14822.880000000001</v>
      </c>
      <c r="N7" s="449">
        <f t="shared" si="8"/>
        <v>6015.439814044933</v>
      </c>
      <c r="O7" s="450">
        <f t="shared" si="2"/>
        <v>168.14</v>
      </c>
      <c r="P7" s="450">
        <f t="shared" si="9"/>
        <v>8807.440185955067</v>
      </c>
      <c r="Q7" s="469">
        <f t="shared" si="3"/>
        <v>530724.379814045</v>
      </c>
      <c r="R7" s="449">
        <f t="shared" si="4"/>
        <v>5982.267047688047</v>
      </c>
      <c r="S7" s="450">
        <v>167.21</v>
      </c>
      <c r="T7" s="450">
        <f t="shared" si="10"/>
        <v>8840.612952311954</v>
      </c>
      <c r="U7" s="469">
        <f t="shared" si="11"/>
        <v>521883.7668617331</v>
      </c>
      <c r="V7" s="510"/>
      <c r="W7" s="449">
        <v>6074.44</v>
      </c>
      <c r="X7" s="450">
        <v>169.79</v>
      </c>
      <c r="Y7" s="450">
        <v>8748.44</v>
      </c>
      <c r="Z7" s="469">
        <f t="shared" si="12"/>
        <v>513135.3268617331</v>
      </c>
      <c r="AA7" s="449">
        <f t="shared" si="5"/>
        <v>24587.416861732978</v>
      </c>
      <c r="AB7" s="450">
        <f t="shared" si="6"/>
        <v>35372.673138267026</v>
      </c>
      <c r="AC7" s="510">
        <f t="shared" si="7"/>
        <v>513135.3268617331</v>
      </c>
      <c r="AD7" s="481">
        <f aca="true" t="shared" si="27" ref="AD7:AD31">W7+Y7</f>
        <v>14822.880000000001</v>
      </c>
      <c r="AE7" s="449">
        <f>(AC7*G7)/365*$AE$2</f>
        <v>5469.657063291325</v>
      </c>
      <c r="AF7" s="450">
        <f t="shared" si="13"/>
        <v>152.88621040058487</v>
      </c>
      <c r="AG7" s="450">
        <f t="shared" si="14"/>
        <v>9353.222936708677</v>
      </c>
      <c r="AH7" s="469">
        <f t="shared" si="15"/>
        <v>503782.10392502445</v>
      </c>
      <c r="AI7" s="449">
        <f t="shared" si="16"/>
        <v>5616.853007027303</v>
      </c>
      <c r="AJ7" s="450">
        <f t="shared" si="17"/>
        <v>157.00058718211378</v>
      </c>
      <c r="AK7" s="450">
        <f aca="true" t="shared" si="28" ref="AK7:AK31">AD7-AI7</f>
        <v>9206.026992972698</v>
      </c>
      <c r="AL7" s="503">
        <f t="shared" si="18"/>
        <v>494576.07693205174</v>
      </c>
      <c r="AM7" s="449">
        <f t="shared" si="19"/>
        <v>5695.998802952678</v>
      </c>
      <c r="AN7" s="450">
        <f t="shared" si="20"/>
        <v>159.21284668360568</v>
      </c>
      <c r="AO7" s="450">
        <f t="shared" si="21"/>
        <v>9126.881197047323</v>
      </c>
      <c r="AP7" s="503">
        <f t="shared" si="22"/>
        <v>485449.19573500444</v>
      </c>
      <c r="AQ7" s="449">
        <f t="shared" si="23"/>
        <v>5471.930134413109</v>
      </c>
      <c r="AR7" s="450">
        <f t="shared" si="24"/>
        <v>152.94974660143976</v>
      </c>
      <c r="AS7" s="450">
        <f t="shared" si="25"/>
        <v>9350.949865586892</v>
      </c>
      <c r="AT7" s="517">
        <f t="shared" si="26"/>
        <v>476098.24586941756</v>
      </c>
      <c r="AU7" s="503"/>
      <c r="AV7" s="503"/>
      <c r="AW7" s="503"/>
      <c r="AX7" s="503"/>
      <c r="AY7" s="503"/>
      <c r="AZ7" s="503"/>
      <c r="BA7" s="503"/>
      <c r="BB7" s="503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82">
        <v>2602203.78</v>
      </c>
      <c r="BN7" s="483">
        <f>+BM7+AD7</f>
        <v>2617026.6599999997</v>
      </c>
      <c r="BO7" s="483">
        <f>+AC5+AC6+AC7</f>
        <v>1687664.413097313</v>
      </c>
      <c r="BP7" s="482"/>
    </row>
    <row r="8" spans="1:68" ht="27" customHeight="1">
      <c r="A8" s="332" t="s">
        <v>64</v>
      </c>
      <c r="B8" s="390" t="s">
        <v>187</v>
      </c>
      <c r="C8" s="330">
        <v>39721</v>
      </c>
      <c r="D8" s="330">
        <v>49674</v>
      </c>
      <c r="E8" s="330"/>
      <c r="F8" s="422">
        <v>600331.0900000001</v>
      </c>
      <c r="G8" s="319">
        <v>0.04408</v>
      </c>
      <c r="H8" s="319" t="s">
        <v>164</v>
      </c>
      <c r="I8" s="403">
        <v>6307.52</v>
      </c>
      <c r="J8" s="384">
        <v>178.87</v>
      </c>
      <c r="K8" s="384">
        <v>8110.3</v>
      </c>
      <c r="L8" s="469">
        <f t="shared" si="0"/>
        <v>592220.79</v>
      </c>
      <c r="M8" s="510">
        <f t="shared" si="1"/>
        <v>14417.82</v>
      </c>
      <c r="N8" s="449">
        <f t="shared" si="8"/>
        <v>6508.392905510138</v>
      </c>
      <c r="O8" s="450">
        <f t="shared" si="2"/>
        <v>184.56</v>
      </c>
      <c r="P8" s="450">
        <f t="shared" si="9"/>
        <v>7909.427094489862</v>
      </c>
      <c r="Q8" s="469">
        <f t="shared" si="3"/>
        <v>584311.3629055101</v>
      </c>
      <c r="R8" s="449">
        <f t="shared" si="4"/>
        <v>6492.0354210205205</v>
      </c>
      <c r="S8" s="450">
        <v>184.1</v>
      </c>
      <c r="T8" s="450">
        <f t="shared" si="10"/>
        <v>7925.784578979479</v>
      </c>
      <c r="U8" s="469">
        <f t="shared" si="11"/>
        <v>576385.5783265306</v>
      </c>
      <c r="V8" s="510"/>
      <c r="W8" s="449">
        <v>6612.8</v>
      </c>
      <c r="X8" s="384">
        <v>187.52</v>
      </c>
      <c r="Y8" s="450">
        <v>7805.02</v>
      </c>
      <c r="Z8" s="469">
        <f t="shared" si="12"/>
        <v>568580.5583265306</v>
      </c>
      <c r="AA8" s="449">
        <f t="shared" si="5"/>
        <v>26655.798326530658</v>
      </c>
      <c r="AB8" s="450">
        <f t="shared" si="6"/>
        <v>31750.531673469344</v>
      </c>
      <c r="AC8" s="510">
        <f t="shared" si="7"/>
        <v>568580.5583265307</v>
      </c>
      <c r="AD8" s="481">
        <f t="shared" si="27"/>
        <v>14417.82</v>
      </c>
      <c r="AE8" s="449">
        <f>(AC8*G8)/365*$AE$2</f>
        <v>5973.927939616199</v>
      </c>
      <c r="AF8" s="450">
        <f t="shared" si="13"/>
        <v>169.40585128221977</v>
      </c>
      <c r="AG8" s="450">
        <f t="shared" si="14"/>
        <v>8443.892060383801</v>
      </c>
      <c r="AH8" s="469">
        <f t="shared" si="15"/>
        <v>560136.6662661469</v>
      </c>
      <c r="AI8" s="449">
        <f t="shared" si="16"/>
        <v>6155.794538794713</v>
      </c>
      <c r="AJ8" s="450">
        <f t="shared" si="17"/>
        <v>174.56313914458687</v>
      </c>
      <c r="AK8" s="450">
        <f t="shared" si="28"/>
        <v>8262.025461205287</v>
      </c>
      <c r="AL8" s="503">
        <f t="shared" si="18"/>
        <v>551874.6408049416</v>
      </c>
      <c r="AM8" s="449">
        <f t="shared" si="19"/>
        <v>6264.941401830389</v>
      </c>
      <c r="AN8" s="450">
        <f t="shared" si="20"/>
        <v>177.65827477967298</v>
      </c>
      <c r="AO8" s="450">
        <f t="shared" si="21"/>
        <v>8152.878598169611</v>
      </c>
      <c r="AP8" s="503">
        <f t="shared" si="22"/>
        <v>543721.762206772</v>
      </c>
      <c r="AQ8" s="449">
        <f t="shared" si="23"/>
        <v>6041.061604336588</v>
      </c>
      <c r="AR8" s="450">
        <f t="shared" si="24"/>
        <v>171.3095963117227</v>
      </c>
      <c r="AS8" s="450">
        <f t="shared" si="25"/>
        <v>8376.758395663412</v>
      </c>
      <c r="AT8" s="517">
        <f t="shared" si="26"/>
        <v>535345.0038111085</v>
      </c>
      <c r="AU8" s="503"/>
      <c r="AV8" s="503"/>
      <c r="AW8" s="503"/>
      <c r="AX8" s="503"/>
      <c r="AY8" s="503"/>
      <c r="AZ8" s="503"/>
      <c r="BA8" s="503"/>
      <c r="BB8" s="503"/>
      <c r="BC8" s="495"/>
      <c r="BD8" s="495"/>
      <c r="BE8" s="495"/>
      <c r="BF8" s="495"/>
      <c r="BG8" s="495"/>
      <c r="BH8" s="495"/>
      <c r="BI8" s="495"/>
      <c r="BJ8" s="495"/>
      <c r="BK8" s="495"/>
      <c r="BL8" s="495"/>
      <c r="BM8" s="482"/>
      <c r="BN8" s="483"/>
      <c r="BO8" s="483"/>
      <c r="BP8" s="482"/>
    </row>
    <row r="9" spans="1:68" ht="27" customHeight="1">
      <c r="A9" s="332" t="s">
        <v>67</v>
      </c>
      <c r="B9" s="390" t="s">
        <v>188</v>
      </c>
      <c r="C9" s="330">
        <v>37802</v>
      </c>
      <c r="D9" s="330">
        <v>49674</v>
      </c>
      <c r="E9" s="330"/>
      <c r="F9" s="422">
        <v>609728.1699999999</v>
      </c>
      <c r="G9" s="319">
        <v>0.04554</v>
      </c>
      <c r="H9" s="319" t="s">
        <v>164</v>
      </c>
      <c r="I9" s="403">
        <v>6618.44</v>
      </c>
      <c r="J9" s="384">
        <v>181.67</v>
      </c>
      <c r="K9" s="384">
        <v>8160.85</v>
      </c>
      <c r="L9" s="469">
        <f t="shared" si="0"/>
        <v>601567.32</v>
      </c>
      <c r="M9" s="510">
        <f t="shared" si="1"/>
        <v>14779.29</v>
      </c>
      <c r="N9" s="449">
        <f t="shared" si="8"/>
        <v>6830.07998220493</v>
      </c>
      <c r="O9" s="450">
        <f t="shared" si="2"/>
        <v>187.47</v>
      </c>
      <c r="P9" s="450">
        <f t="shared" si="9"/>
        <v>7949.210017795071</v>
      </c>
      <c r="Q9" s="469">
        <f t="shared" si="3"/>
        <v>593618.1099822049</v>
      </c>
      <c r="R9" s="449">
        <f t="shared" si="4"/>
        <v>6813.890200082861</v>
      </c>
      <c r="S9" s="450">
        <v>187.03</v>
      </c>
      <c r="T9" s="450">
        <f t="shared" si="10"/>
        <v>7965.39979991714</v>
      </c>
      <c r="U9" s="469">
        <f t="shared" si="11"/>
        <v>585652.7101822877</v>
      </c>
      <c r="V9" s="510"/>
      <c r="W9" s="449">
        <v>6941.67</v>
      </c>
      <c r="X9" s="384">
        <v>190.54</v>
      </c>
      <c r="Y9" s="450">
        <v>7837.62</v>
      </c>
      <c r="Z9" s="469">
        <f t="shared" si="12"/>
        <v>577815.0901822877</v>
      </c>
      <c r="AA9" s="449">
        <f t="shared" si="5"/>
        <v>27950.79018228779</v>
      </c>
      <c r="AB9" s="450">
        <f t="shared" si="6"/>
        <v>31913.07981771221</v>
      </c>
      <c r="AC9" s="510">
        <f t="shared" si="7"/>
        <v>577815.0901822877</v>
      </c>
      <c r="AD9" s="481">
        <f t="shared" si="27"/>
        <v>14779.29</v>
      </c>
      <c r="AE9" s="449">
        <f>(AC9*G9)/365*$AE$2</f>
        <v>6272.0324136997815</v>
      </c>
      <c r="AF9" s="450">
        <f t="shared" si="13"/>
        <v>172.15723577348982</v>
      </c>
      <c r="AG9" s="450">
        <f t="shared" si="14"/>
        <v>8507.25758630022</v>
      </c>
      <c r="AH9" s="469">
        <f t="shared" si="15"/>
        <v>569307.8325959875</v>
      </c>
      <c r="AI9" s="449">
        <f t="shared" si="16"/>
        <v>6463.8119489707815</v>
      </c>
      <c r="AJ9" s="450">
        <f t="shared" si="17"/>
        <v>177.42127659669472</v>
      </c>
      <c r="AK9" s="450">
        <f t="shared" si="28"/>
        <v>8315.478051029218</v>
      </c>
      <c r="AL9" s="503">
        <f t="shared" si="18"/>
        <v>560992.3545449582</v>
      </c>
      <c r="AM9" s="449">
        <f t="shared" si="19"/>
        <v>6579.379812717467</v>
      </c>
      <c r="AN9" s="450">
        <f t="shared" si="20"/>
        <v>180.59342920282901</v>
      </c>
      <c r="AO9" s="450">
        <f t="shared" si="21"/>
        <v>8199.910187282534</v>
      </c>
      <c r="AP9" s="503">
        <f t="shared" si="22"/>
        <v>552792.4443576757</v>
      </c>
      <c r="AQ9" s="449">
        <f t="shared" si="23"/>
        <v>6345.269721305388</v>
      </c>
      <c r="AR9" s="450">
        <f t="shared" si="24"/>
        <v>174.16748246885675</v>
      </c>
      <c r="AS9" s="450">
        <f t="shared" si="25"/>
        <v>8434.020278694614</v>
      </c>
      <c r="AT9" s="517">
        <f t="shared" si="26"/>
        <v>544358.4240789812</v>
      </c>
      <c r="AU9" s="503"/>
      <c r="AV9" s="503"/>
      <c r="AW9" s="503"/>
      <c r="AX9" s="503"/>
      <c r="AY9" s="503"/>
      <c r="AZ9" s="503"/>
      <c r="BA9" s="503"/>
      <c r="BB9" s="503"/>
      <c r="BC9" s="495"/>
      <c r="BD9" s="495"/>
      <c r="BE9" s="495"/>
      <c r="BF9" s="495"/>
      <c r="BG9" s="495"/>
      <c r="BH9" s="495"/>
      <c r="BI9" s="495"/>
      <c r="BJ9" s="495"/>
      <c r="BK9" s="495"/>
      <c r="BL9" s="495"/>
      <c r="BM9" s="482"/>
      <c r="BN9" s="483"/>
      <c r="BO9" s="483"/>
      <c r="BP9" s="482"/>
    </row>
    <row r="10" spans="1:68" ht="27" customHeight="1">
      <c r="A10" s="332" t="s">
        <v>68</v>
      </c>
      <c r="B10" s="390" t="s">
        <v>189</v>
      </c>
      <c r="C10" s="330">
        <v>38898</v>
      </c>
      <c r="D10" s="330">
        <v>49674</v>
      </c>
      <c r="E10" s="330"/>
      <c r="F10" s="422">
        <v>1536420.41</v>
      </c>
      <c r="G10" s="319">
        <v>0.04787</v>
      </c>
      <c r="H10" s="319" t="s">
        <v>164</v>
      </c>
      <c r="I10" s="403">
        <v>17530.73</v>
      </c>
      <c r="J10" s="384">
        <v>457.77</v>
      </c>
      <c r="K10" s="384">
        <v>20260.62</v>
      </c>
      <c r="L10" s="469">
        <f t="shared" si="0"/>
        <v>1516159.7899999998</v>
      </c>
      <c r="M10" s="510">
        <f t="shared" si="1"/>
        <v>37791.35</v>
      </c>
      <c r="N10" s="449">
        <f t="shared" si="8"/>
        <v>18094.93093809397</v>
      </c>
      <c r="O10" s="450">
        <f t="shared" si="2"/>
        <v>472.5</v>
      </c>
      <c r="P10" s="450">
        <f t="shared" si="9"/>
        <v>19696.41906190603</v>
      </c>
      <c r="Q10" s="469">
        <f t="shared" si="3"/>
        <v>1496463.3709380939</v>
      </c>
      <c r="R10" s="449">
        <f t="shared" si="4"/>
        <v>18056.122038756723</v>
      </c>
      <c r="S10" s="450">
        <v>471.49</v>
      </c>
      <c r="T10" s="450">
        <f t="shared" si="10"/>
        <v>19735.227961243276</v>
      </c>
      <c r="U10" s="469">
        <f t="shared" si="11"/>
        <v>1476728.1429768505</v>
      </c>
      <c r="V10" s="510"/>
      <c r="W10" s="449">
        <v>18399.02</v>
      </c>
      <c r="X10" s="384">
        <v>480.44</v>
      </c>
      <c r="Y10" s="450">
        <v>19392.33</v>
      </c>
      <c r="Z10" s="469">
        <f t="shared" si="12"/>
        <v>1457335.8129768504</v>
      </c>
      <c r="AA10" s="449">
        <f t="shared" si="5"/>
        <v>73963.0029768507</v>
      </c>
      <c r="AB10" s="450">
        <f t="shared" si="6"/>
        <v>79084.59702314931</v>
      </c>
      <c r="AC10" s="510">
        <f t="shared" si="7"/>
        <v>1457335.8129768507</v>
      </c>
      <c r="AD10" s="481">
        <f t="shared" si="27"/>
        <v>37791.350000000006</v>
      </c>
      <c r="AE10" s="449">
        <f aca="true" t="shared" si="29" ref="AE10:AE31">(AC10*G10)/365*$AE$2</f>
        <v>16628.361334100166</v>
      </c>
      <c r="AF10" s="450">
        <f t="shared" si="13"/>
        <v>434.2062182499521</v>
      </c>
      <c r="AG10" s="450">
        <f t="shared" si="14"/>
        <v>21162.98866589984</v>
      </c>
      <c r="AH10" s="469">
        <f t="shared" si="15"/>
        <v>1436172.824310951</v>
      </c>
      <c r="AI10" s="449">
        <f t="shared" si="16"/>
        <v>17140.30951254421</v>
      </c>
      <c r="AJ10" s="450">
        <f t="shared" si="17"/>
        <v>447.57440757635806</v>
      </c>
      <c r="AK10" s="450">
        <f t="shared" si="28"/>
        <v>20651.040487455797</v>
      </c>
      <c r="AL10" s="503">
        <f t="shared" si="18"/>
        <v>1415521.783823495</v>
      </c>
      <c r="AM10" s="449">
        <f t="shared" si="19"/>
        <v>17450.785239488458</v>
      </c>
      <c r="AN10" s="450">
        <f t="shared" si="20"/>
        <v>455.6816701349607</v>
      </c>
      <c r="AO10" s="450">
        <f t="shared" si="21"/>
        <v>20340.56476051155</v>
      </c>
      <c r="AP10" s="503">
        <f t="shared" si="22"/>
        <v>1395181.2190629835</v>
      </c>
      <c r="AQ10" s="449">
        <f t="shared" si="23"/>
        <v>16834.06546849902</v>
      </c>
      <c r="AR10" s="450">
        <f t="shared" si="24"/>
        <v>439.5776443623099</v>
      </c>
      <c r="AS10" s="450">
        <f t="shared" si="25"/>
        <v>20957.284531500987</v>
      </c>
      <c r="AT10" s="517">
        <f t="shared" si="26"/>
        <v>1374223.9345314826</v>
      </c>
      <c r="AU10" s="503"/>
      <c r="AV10" s="503"/>
      <c r="AW10" s="503"/>
      <c r="AX10" s="503"/>
      <c r="AY10" s="503"/>
      <c r="AZ10" s="503"/>
      <c r="BA10" s="503"/>
      <c r="BB10" s="503"/>
      <c r="BC10" s="495"/>
      <c r="BD10" s="495"/>
      <c r="BE10" s="495"/>
      <c r="BF10" s="495"/>
      <c r="BG10" s="495"/>
      <c r="BH10" s="495"/>
      <c r="BI10" s="495"/>
      <c r="BJ10" s="495"/>
      <c r="BK10" s="495"/>
      <c r="BL10" s="495"/>
      <c r="BM10" s="482"/>
      <c r="BN10" s="483"/>
      <c r="BO10" s="483"/>
      <c r="BP10" s="482"/>
    </row>
    <row r="11" spans="1:68" ht="27" customHeight="1">
      <c r="A11" s="332" t="s">
        <v>69</v>
      </c>
      <c r="B11" s="390" t="s">
        <v>190</v>
      </c>
      <c r="C11" s="330">
        <v>37894</v>
      </c>
      <c r="D11" s="330">
        <v>49674</v>
      </c>
      <c r="E11" s="330"/>
      <c r="F11" s="422">
        <v>787502.47</v>
      </c>
      <c r="G11" s="319">
        <v>0.04392</v>
      </c>
      <c r="H11" s="319" t="s">
        <v>164</v>
      </c>
      <c r="I11" s="403">
        <v>8244.05</v>
      </c>
      <c r="J11" s="384">
        <v>234.63</v>
      </c>
      <c r="K11" s="384">
        <v>10649.77</v>
      </c>
      <c r="L11" s="469">
        <f t="shared" si="0"/>
        <v>776852.7</v>
      </c>
      <c r="M11" s="510">
        <f t="shared" si="1"/>
        <v>18893.82</v>
      </c>
      <c r="N11" s="449">
        <f t="shared" si="8"/>
        <v>8506.47321409315</v>
      </c>
      <c r="O11" s="450">
        <f t="shared" si="2"/>
        <v>242.1</v>
      </c>
      <c r="P11" s="450">
        <f t="shared" si="9"/>
        <v>10387.34678590685</v>
      </c>
      <c r="Q11" s="469">
        <f t="shared" si="3"/>
        <v>766465.3532140931</v>
      </c>
      <c r="R11" s="449">
        <f t="shared" si="4"/>
        <v>8484.96045153697</v>
      </c>
      <c r="S11" s="450">
        <v>241.49</v>
      </c>
      <c r="T11" s="450">
        <f t="shared" si="10"/>
        <v>10408.85954846303</v>
      </c>
      <c r="U11" s="469">
        <f t="shared" si="11"/>
        <v>756056.4936656301</v>
      </c>
      <c r="V11" s="510"/>
      <c r="W11" s="449">
        <v>8642.66</v>
      </c>
      <c r="X11" s="384">
        <v>245.98</v>
      </c>
      <c r="Y11" s="450">
        <v>10251.16</v>
      </c>
      <c r="Z11" s="469">
        <f t="shared" si="12"/>
        <v>745805.3336656301</v>
      </c>
      <c r="AA11" s="449">
        <f t="shared" si="5"/>
        <v>34842.34366563012</v>
      </c>
      <c r="AB11" s="450">
        <f t="shared" si="6"/>
        <v>41697.136334369876</v>
      </c>
      <c r="AC11" s="510">
        <f t="shared" si="7"/>
        <v>745805.3336656301</v>
      </c>
      <c r="AD11" s="481">
        <f t="shared" si="27"/>
        <v>18893.82</v>
      </c>
      <c r="AE11" s="449">
        <f t="shared" si="29"/>
        <v>7807.5397593143</v>
      </c>
      <c r="AF11" s="450">
        <f t="shared" si="13"/>
        <v>222.20912338667748</v>
      </c>
      <c r="AG11" s="450">
        <f t="shared" si="14"/>
        <v>11086.2802406857</v>
      </c>
      <c r="AH11" s="469">
        <f t="shared" si="15"/>
        <v>734719.0534249444</v>
      </c>
      <c r="AI11" s="449">
        <f t="shared" si="16"/>
        <v>8045.113247135737</v>
      </c>
      <c r="AJ11" s="450">
        <f t="shared" si="17"/>
        <v>228.97066390982857</v>
      </c>
      <c r="AK11" s="450">
        <f t="shared" si="28"/>
        <v>10848.706752864262</v>
      </c>
      <c r="AL11" s="503">
        <f t="shared" si="18"/>
        <v>723870.3466720801</v>
      </c>
      <c r="AM11" s="449">
        <f t="shared" si="19"/>
        <v>8187.628078982875</v>
      </c>
      <c r="AN11" s="450">
        <f t="shared" si="20"/>
        <v>233.02675543553264</v>
      </c>
      <c r="AO11" s="450">
        <f t="shared" si="21"/>
        <v>10706.191921017125</v>
      </c>
      <c r="AP11" s="503">
        <f t="shared" si="22"/>
        <v>713164.154751063</v>
      </c>
      <c r="AQ11" s="449">
        <f t="shared" si="23"/>
        <v>7894.903041789959</v>
      </c>
      <c r="AR11" s="450">
        <f t="shared" si="24"/>
        <v>224.69555560649928</v>
      </c>
      <c r="AS11" s="450">
        <f t="shared" si="25"/>
        <v>10998.91695821004</v>
      </c>
      <c r="AT11" s="517">
        <f t="shared" si="26"/>
        <v>702165.2377928529</v>
      </c>
      <c r="AU11" s="503"/>
      <c r="AV11" s="503"/>
      <c r="AW11" s="503"/>
      <c r="AX11" s="503"/>
      <c r="AY11" s="503"/>
      <c r="AZ11" s="503"/>
      <c r="BA11" s="503"/>
      <c r="BB11" s="503"/>
      <c r="BC11" s="495"/>
      <c r="BD11" s="495"/>
      <c r="BE11" s="495"/>
      <c r="BF11" s="495"/>
      <c r="BG11" s="495"/>
      <c r="BH11" s="495"/>
      <c r="BI11" s="495"/>
      <c r="BJ11" s="495"/>
      <c r="BK11" s="495"/>
      <c r="BL11" s="495"/>
      <c r="BM11" s="482"/>
      <c r="BN11" s="483"/>
      <c r="BO11" s="483"/>
      <c r="BP11" s="482"/>
    </row>
    <row r="12" spans="1:68" ht="27" customHeight="1">
      <c r="A12" s="332" t="s">
        <v>70</v>
      </c>
      <c r="B12" s="390" t="s">
        <v>191</v>
      </c>
      <c r="C12" s="330">
        <v>38720</v>
      </c>
      <c r="D12" s="330">
        <v>49674</v>
      </c>
      <c r="E12" s="330"/>
      <c r="F12" s="422">
        <v>1034927.7999999998</v>
      </c>
      <c r="G12" s="319">
        <v>0.04474</v>
      </c>
      <c r="H12" s="319" t="s">
        <v>164</v>
      </c>
      <c r="I12" s="403">
        <v>11036.53</v>
      </c>
      <c r="J12" s="384">
        <v>308.35</v>
      </c>
      <c r="K12" s="384">
        <v>13922.81</v>
      </c>
      <c r="L12" s="469">
        <f t="shared" si="0"/>
        <v>1021004.9899999998</v>
      </c>
      <c r="M12" s="510">
        <f t="shared" si="1"/>
        <v>24959.34</v>
      </c>
      <c r="N12" s="449">
        <f t="shared" si="8"/>
        <v>11388.653304072875</v>
      </c>
      <c r="O12" s="450">
        <f t="shared" si="2"/>
        <v>318.19</v>
      </c>
      <c r="P12" s="450">
        <f t="shared" si="9"/>
        <v>13570.686695927125</v>
      </c>
      <c r="Q12" s="469">
        <f t="shared" si="3"/>
        <v>1007434.3033040726</v>
      </c>
      <c r="R12" s="449">
        <f t="shared" si="4"/>
        <v>11360.767636010485</v>
      </c>
      <c r="S12" s="450">
        <v>317.41</v>
      </c>
      <c r="T12" s="450">
        <f t="shared" si="10"/>
        <v>13598.572363989515</v>
      </c>
      <c r="U12" s="469">
        <f t="shared" si="11"/>
        <v>993835.730940083</v>
      </c>
      <c r="V12" s="510"/>
      <c r="W12" s="449">
        <v>11572.88</v>
      </c>
      <c r="X12" s="384">
        <v>323.34</v>
      </c>
      <c r="Y12" s="450">
        <v>13386.46</v>
      </c>
      <c r="Z12" s="469">
        <f t="shared" si="12"/>
        <v>980449.2709400831</v>
      </c>
      <c r="AA12" s="449">
        <f t="shared" si="5"/>
        <v>46626.120940083354</v>
      </c>
      <c r="AB12" s="450">
        <f t="shared" si="6"/>
        <v>54478.52905991664</v>
      </c>
      <c r="AC12" s="510">
        <f t="shared" si="7"/>
        <v>980449.2709400832</v>
      </c>
      <c r="AD12" s="481">
        <f t="shared" si="27"/>
        <v>24959.339999999997</v>
      </c>
      <c r="AE12" s="449">
        <f t="shared" si="29"/>
        <v>10455.56474855277</v>
      </c>
      <c r="AF12" s="450">
        <f t="shared" si="13"/>
        <v>292.1201594924221</v>
      </c>
      <c r="AG12" s="450">
        <f t="shared" si="14"/>
        <v>14503.775251447227</v>
      </c>
      <c r="AH12" s="469">
        <f t="shared" si="15"/>
        <v>965945.495688636</v>
      </c>
      <c r="AI12" s="449">
        <f t="shared" si="16"/>
        <v>10774.500094293071</v>
      </c>
      <c r="AJ12" s="450">
        <f t="shared" si="17"/>
        <v>301.0309592728284</v>
      </c>
      <c r="AK12" s="450">
        <f t="shared" si="28"/>
        <v>14184.839905706925</v>
      </c>
      <c r="AL12" s="503">
        <f t="shared" si="18"/>
        <v>951760.655782929</v>
      </c>
      <c r="AM12" s="449">
        <f t="shared" si="19"/>
        <v>10966.264502834123</v>
      </c>
      <c r="AN12" s="450">
        <f t="shared" si="20"/>
        <v>306.38870425888814</v>
      </c>
      <c r="AO12" s="450">
        <f t="shared" si="21"/>
        <v>13993.075497165873</v>
      </c>
      <c r="AP12" s="503">
        <f t="shared" si="22"/>
        <v>937767.5802857631</v>
      </c>
      <c r="AQ12" s="449">
        <f t="shared" si="23"/>
        <v>10575.140772226368</v>
      </c>
      <c r="AR12" s="450">
        <f t="shared" si="24"/>
        <v>295.4610184461994</v>
      </c>
      <c r="AS12" s="450">
        <f t="shared" si="25"/>
        <v>14384.199227773628</v>
      </c>
      <c r="AT12" s="517">
        <f t="shared" si="26"/>
        <v>923383.3810579896</v>
      </c>
      <c r="AU12" s="503"/>
      <c r="AV12" s="503"/>
      <c r="AW12" s="503"/>
      <c r="AX12" s="503"/>
      <c r="AY12" s="503"/>
      <c r="AZ12" s="503"/>
      <c r="BA12" s="503"/>
      <c r="BB12" s="503"/>
      <c r="BC12" s="495"/>
      <c r="BD12" s="495"/>
      <c r="BE12" s="495"/>
      <c r="BF12" s="495"/>
      <c r="BG12" s="495"/>
      <c r="BH12" s="495"/>
      <c r="BI12" s="495"/>
      <c r="BJ12" s="495"/>
      <c r="BK12" s="495"/>
      <c r="BL12" s="495"/>
      <c r="BM12" s="482"/>
      <c r="BN12" s="483"/>
      <c r="BO12" s="483"/>
      <c r="BP12" s="482"/>
    </row>
    <row r="13" spans="1:68" ht="27" customHeight="1">
      <c r="A13" s="332" t="s">
        <v>71</v>
      </c>
      <c r="B13" s="390" t="s">
        <v>192</v>
      </c>
      <c r="C13" s="330">
        <v>38394</v>
      </c>
      <c r="D13" s="330">
        <v>49674</v>
      </c>
      <c r="E13" s="330"/>
      <c r="F13" s="422">
        <v>1224136.24</v>
      </c>
      <c r="G13" s="319">
        <v>0.04207</v>
      </c>
      <c r="H13" s="319" t="s">
        <v>164</v>
      </c>
      <c r="I13" s="403">
        <v>12275.2</v>
      </c>
      <c r="J13" s="384">
        <v>364.73</v>
      </c>
      <c r="K13" s="384">
        <v>16751.18</v>
      </c>
      <c r="L13" s="469">
        <f t="shared" si="0"/>
        <v>1207385.06</v>
      </c>
      <c r="M13" s="510">
        <f t="shared" si="1"/>
        <v>29026.38</v>
      </c>
      <c r="N13" s="449">
        <f t="shared" si="8"/>
        <v>12663.881485348495</v>
      </c>
      <c r="O13" s="450">
        <f t="shared" si="2"/>
        <v>376.27</v>
      </c>
      <c r="P13" s="450">
        <f t="shared" si="9"/>
        <v>16362.498514651506</v>
      </c>
      <c r="Q13" s="469">
        <f t="shared" si="3"/>
        <v>1191022.5614853485</v>
      </c>
      <c r="R13" s="449">
        <f t="shared" si="4"/>
        <v>12629.53798048042</v>
      </c>
      <c r="S13" s="450">
        <v>375.25</v>
      </c>
      <c r="T13" s="450">
        <f t="shared" si="10"/>
        <v>16396.84201951958</v>
      </c>
      <c r="U13" s="469">
        <f t="shared" si="11"/>
        <v>1174625.719465829</v>
      </c>
      <c r="V13" s="510"/>
      <c r="W13" s="449">
        <v>12861.83</v>
      </c>
      <c r="X13" s="384">
        <v>382.16</v>
      </c>
      <c r="Y13" s="450">
        <v>16164.55</v>
      </c>
      <c r="Z13" s="469">
        <f t="shared" si="12"/>
        <v>1158461.169465829</v>
      </c>
      <c r="AA13" s="449">
        <f t="shared" si="5"/>
        <v>51928.85946582892</v>
      </c>
      <c r="AB13" s="450">
        <f t="shared" si="6"/>
        <v>65675.07053417109</v>
      </c>
      <c r="AC13" s="510">
        <f t="shared" si="7"/>
        <v>1158461.169465829</v>
      </c>
      <c r="AD13" s="481">
        <f t="shared" si="27"/>
        <v>29026.379999999997</v>
      </c>
      <c r="AE13" s="449">
        <f t="shared" si="29"/>
        <v>11616.63600479503</v>
      </c>
      <c r="AF13" s="450">
        <f t="shared" si="13"/>
        <v>345.15795117646275</v>
      </c>
      <c r="AG13" s="450">
        <f t="shared" si="14"/>
        <v>17409.743995204968</v>
      </c>
      <c r="AH13" s="469">
        <f t="shared" si="15"/>
        <v>1141051.425470624</v>
      </c>
      <c r="AI13" s="449">
        <f t="shared" si="16"/>
        <v>11968.128892408144</v>
      </c>
      <c r="AJ13" s="450">
        <f t="shared" si="17"/>
        <v>355.60164286926977</v>
      </c>
      <c r="AK13" s="450">
        <f t="shared" si="28"/>
        <v>17058.251107591852</v>
      </c>
      <c r="AL13" s="503">
        <f t="shared" si="18"/>
        <v>1123993.174363032</v>
      </c>
      <c r="AM13" s="449">
        <f t="shared" si="19"/>
        <v>12177.86555471934</v>
      </c>
      <c r="AN13" s="450">
        <f t="shared" si="20"/>
        <v>361.83341914426376</v>
      </c>
      <c r="AO13" s="450">
        <f t="shared" si="21"/>
        <v>16848.514445280656</v>
      </c>
      <c r="AP13" s="503">
        <f t="shared" si="22"/>
        <v>1107144.6599177513</v>
      </c>
      <c r="AQ13" s="449">
        <f t="shared" si="23"/>
        <v>11740.101308307017</v>
      </c>
      <c r="AR13" s="450">
        <f t="shared" si="24"/>
        <v>348.8263997001135</v>
      </c>
      <c r="AS13" s="450">
        <f t="shared" si="25"/>
        <v>17286.27869169298</v>
      </c>
      <c r="AT13" s="517">
        <f t="shared" si="26"/>
        <v>1089858.3812260584</v>
      </c>
      <c r="AU13" s="503"/>
      <c r="AV13" s="503"/>
      <c r="AW13" s="503"/>
      <c r="AX13" s="503"/>
      <c r="AY13" s="503"/>
      <c r="AZ13" s="503"/>
      <c r="BA13" s="503"/>
      <c r="BB13" s="503"/>
      <c r="BC13" s="495"/>
      <c r="BD13" s="495"/>
      <c r="BE13" s="495"/>
      <c r="BF13" s="495"/>
      <c r="BG13" s="495"/>
      <c r="BH13" s="495"/>
      <c r="BI13" s="495"/>
      <c r="BJ13" s="495"/>
      <c r="BK13" s="495"/>
      <c r="BL13" s="495"/>
      <c r="BM13" s="482"/>
      <c r="BN13" s="483"/>
      <c r="BO13" s="483"/>
      <c r="BP13" s="482"/>
    </row>
    <row r="14" spans="1:68" ht="27" customHeight="1">
      <c r="A14" s="332" t="s">
        <v>72</v>
      </c>
      <c r="B14" s="390" t="s">
        <v>193</v>
      </c>
      <c r="C14" s="330">
        <v>38533</v>
      </c>
      <c r="D14" s="330">
        <v>49674</v>
      </c>
      <c r="E14" s="330"/>
      <c r="F14" s="422">
        <v>872750.8799999999</v>
      </c>
      <c r="G14" s="319">
        <v>0.04463</v>
      </c>
      <c r="H14" s="319" t="s">
        <v>164</v>
      </c>
      <c r="I14" s="403">
        <v>9284.18</v>
      </c>
      <c r="J14" s="384">
        <v>260.03</v>
      </c>
      <c r="K14" s="384">
        <v>11749.29</v>
      </c>
      <c r="L14" s="469">
        <f t="shared" si="0"/>
        <v>861001.5899999999</v>
      </c>
      <c r="M14" s="510">
        <f t="shared" si="1"/>
        <v>21033.47</v>
      </c>
      <c r="N14" s="449">
        <f t="shared" si="8"/>
        <v>9580.305719218355</v>
      </c>
      <c r="O14" s="450">
        <f t="shared" si="2"/>
        <v>268.33</v>
      </c>
      <c r="P14" s="450">
        <f t="shared" si="9"/>
        <v>11453.164280781646</v>
      </c>
      <c r="Q14" s="469">
        <f t="shared" si="3"/>
        <v>849548.4257192182</v>
      </c>
      <c r="R14" s="449">
        <f t="shared" si="4"/>
        <v>9556.744805660497</v>
      </c>
      <c r="S14" s="450">
        <v>267.67</v>
      </c>
      <c r="T14" s="450">
        <f t="shared" si="10"/>
        <v>11476.725194339504</v>
      </c>
      <c r="U14" s="469">
        <f t="shared" si="11"/>
        <v>838071.7005248787</v>
      </c>
      <c r="V14" s="514" t="s">
        <v>32</v>
      </c>
      <c r="W14" s="449">
        <v>9735.06</v>
      </c>
      <c r="X14" s="384">
        <v>272.66</v>
      </c>
      <c r="Y14" s="450">
        <v>11298.41</v>
      </c>
      <c r="Z14" s="469">
        <f t="shared" si="12"/>
        <v>826773.2905248787</v>
      </c>
      <c r="AA14" s="449">
        <f t="shared" si="5"/>
        <v>39224.980524878854</v>
      </c>
      <c r="AB14" s="450">
        <f t="shared" si="6"/>
        <v>45977.589475121145</v>
      </c>
      <c r="AC14" s="510">
        <f t="shared" si="7"/>
        <v>826773.2905248788</v>
      </c>
      <c r="AD14" s="481">
        <f t="shared" si="27"/>
        <v>21033.47</v>
      </c>
      <c r="AE14" s="449">
        <f t="shared" si="29"/>
        <v>8795.078356665492</v>
      </c>
      <c r="AF14" s="450">
        <f t="shared" si="13"/>
        <v>246.3331379303577</v>
      </c>
      <c r="AG14" s="450">
        <f t="shared" si="14"/>
        <v>12238.39164333451</v>
      </c>
      <c r="AH14" s="469">
        <f t="shared" si="15"/>
        <v>814534.8988815442</v>
      </c>
      <c r="AI14" s="449">
        <f t="shared" si="16"/>
        <v>9063.274029793376</v>
      </c>
      <c r="AJ14" s="450">
        <f t="shared" si="17"/>
        <v>253.84478013089225</v>
      </c>
      <c r="AK14" s="450">
        <f t="shared" si="28"/>
        <v>11970.195970206625</v>
      </c>
      <c r="AL14" s="503">
        <f t="shared" si="18"/>
        <v>802564.7029113376</v>
      </c>
      <c r="AM14" s="449">
        <f t="shared" si="19"/>
        <v>9224.480802596443</v>
      </c>
      <c r="AN14" s="450">
        <f t="shared" si="20"/>
        <v>258.35987011529363</v>
      </c>
      <c r="AO14" s="450">
        <f t="shared" si="21"/>
        <v>11808.989197403558</v>
      </c>
      <c r="AP14" s="503">
        <f t="shared" si="22"/>
        <v>790755.7137139341</v>
      </c>
      <c r="AQ14" s="449">
        <f t="shared" si="23"/>
        <v>8895.373507618808</v>
      </c>
      <c r="AR14" s="450">
        <f t="shared" si="24"/>
        <v>249.1422111701436</v>
      </c>
      <c r="AS14" s="450">
        <f t="shared" si="25"/>
        <v>12138.096492381193</v>
      </c>
      <c r="AT14" s="517">
        <f t="shared" si="26"/>
        <v>778617.6172215529</v>
      </c>
      <c r="AU14" s="503"/>
      <c r="AV14" s="503"/>
      <c r="AW14" s="503"/>
      <c r="AX14" s="503"/>
      <c r="AY14" s="503"/>
      <c r="AZ14" s="503"/>
      <c r="BA14" s="503"/>
      <c r="BB14" s="503"/>
      <c r="BC14" s="495"/>
      <c r="BD14" s="495"/>
      <c r="BE14" s="495"/>
      <c r="BF14" s="495"/>
      <c r="BG14" s="495"/>
      <c r="BH14" s="495"/>
      <c r="BI14" s="495"/>
      <c r="BJ14" s="495"/>
      <c r="BK14" s="495"/>
      <c r="BL14" s="495"/>
      <c r="BM14" s="482">
        <v>6182376.81</v>
      </c>
      <c r="BN14" s="483">
        <f>+BM14+AD14</f>
        <v>6203410.279999999</v>
      </c>
      <c r="BO14" s="483">
        <f>+AC14+AC13+AC12+AC11+AC10+AC9+AC8</f>
        <v>6315220.526082091</v>
      </c>
      <c r="BP14" s="482"/>
    </row>
    <row r="15" spans="1:68" ht="23.25" customHeight="1">
      <c r="A15" s="332" t="s">
        <v>106</v>
      </c>
      <c r="B15" s="390" t="s">
        <v>194</v>
      </c>
      <c r="C15" s="330">
        <v>40990</v>
      </c>
      <c r="D15" s="330">
        <v>53327</v>
      </c>
      <c r="E15" s="330"/>
      <c r="F15" s="422">
        <v>2303765.4</v>
      </c>
      <c r="G15" s="319">
        <v>0.02549</v>
      </c>
      <c r="H15" s="319" t="s">
        <v>164</v>
      </c>
      <c r="I15" s="403">
        <v>13996.98</v>
      </c>
      <c r="J15" s="384">
        <v>686.4</v>
      </c>
      <c r="K15" s="384">
        <v>18151.69</v>
      </c>
      <c r="L15" s="469">
        <f t="shared" si="0"/>
        <v>2285613.71</v>
      </c>
      <c r="M15" s="510">
        <f t="shared" si="1"/>
        <v>32148.67</v>
      </c>
      <c r="N15" s="449">
        <f t="shared" si="8"/>
        <v>14525.169056380548</v>
      </c>
      <c r="O15" s="450">
        <f t="shared" si="2"/>
        <v>712.3</v>
      </c>
      <c r="P15" s="450">
        <f>+M15-N15</f>
        <v>17623.500943619452</v>
      </c>
      <c r="Q15" s="469">
        <f t="shared" si="3"/>
        <v>2267990.2090563807</v>
      </c>
      <c r="R15" s="449">
        <f t="shared" si="4"/>
        <v>14571.557477955992</v>
      </c>
      <c r="S15" s="450">
        <v>714.57</v>
      </c>
      <c r="T15" s="450">
        <f t="shared" si="10"/>
        <v>17577.112522044008</v>
      </c>
      <c r="U15" s="469">
        <f t="shared" si="11"/>
        <v>2250413.0965343365</v>
      </c>
      <c r="V15" s="510"/>
      <c r="W15" s="449">
        <v>14930.1</v>
      </c>
      <c r="X15" s="384">
        <v>732.15</v>
      </c>
      <c r="Y15" s="450">
        <v>17218.57</v>
      </c>
      <c r="Z15" s="469">
        <f t="shared" si="12"/>
        <v>2233194.5265343366</v>
      </c>
      <c r="AA15" s="449">
        <f t="shared" si="5"/>
        <v>60869.226534336536</v>
      </c>
      <c r="AB15" s="450">
        <f t="shared" si="6"/>
        <v>70570.87346566346</v>
      </c>
      <c r="AC15" s="510">
        <f t="shared" si="7"/>
        <v>2233194.5265343366</v>
      </c>
      <c r="AD15" s="481">
        <f t="shared" si="27"/>
        <v>32148.67</v>
      </c>
      <c r="AE15" s="449">
        <f t="shared" si="29"/>
        <v>13568.216925694085</v>
      </c>
      <c r="AF15" s="450">
        <f t="shared" si="13"/>
        <v>665.3696020838606</v>
      </c>
      <c r="AG15" s="450">
        <f t="shared" si="14"/>
        <v>18580.453074305915</v>
      </c>
      <c r="AH15" s="469">
        <f t="shared" si="15"/>
        <v>2214614.073460031</v>
      </c>
      <c r="AI15" s="449">
        <f t="shared" si="16"/>
        <v>14073.96344837576</v>
      </c>
      <c r="AJ15" s="450">
        <f t="shared" si="17"/>
        <v>690.1708242632287</v>
      </c>
      <c r="AK15" s="450">
        <f t="shared" si="28"/>
        <v>18074.706551624236</v>
      </c>
      <c r="AL15" s="503">
        <f t="shared" si="18"/>
        <v>2196539.3669084064</v>
      </c>
      <c r="AM15" s="449">
        <f t="shared" si="19"/>
        <v>14419.287987601523</v>
      </c>
      <c r="AN15" s="450">
        <f t="shared" si="20"/>
        <v>707.1051386622952</v>
      </c>
      <c r="AO15" s="450">
        <f t="shared" si="21"/>
        <v>17729.382012398477</v>
      </c>
      <c r="AP15" s="503">
        <f t="shared" si="22"/>
        <v>2178809.984896008</v>
      </c>
      <c r="AQ15" s="449">
        <f t="shared" si="23"/>
        <v>13998.585532547753</v>
      </c>
      <c r="AR15" s="450">
        <f t="shared" si="24"/>
        <v>686.4743788028518</v>
      </c>
      <c r="AS15" s="450">
        <f t="shared" si="25"/>
        <v>18150.084467452245</v>
      </c>
      <c r="AT15" s="517">
        <f t="shared" si="26"/>
        <v>2160659.900428556</v>
      </c>
      <c r="AU15" s="503"/>
      <c r="AV15" s="503"/>
      <c r="AW15" s="503"/>
      <c r="AX15" s="503"/>
      <c r="AY15" s="503"/>
      <c r="AZ15" s="503"/>
      <c r="BA15" s="503"/>
      <c r="BB15" s="503"/>
      <c r="BC15" s="495"/>
      <c r="BD15" s="495"/>
      <c r="BE15" s="495"/>
      <c r="BF15" s="495"/>
      <c r="BG15" s="495"/>
      <c r="BH15" s="495"/>
      <c r="BI15" s="495"/>
      <c r="BJ15" s="495"/>
      <c r="BK15" s="495"/>
      <c r="BL15" s="495"/>
      <c r="BM15" s="482"/>
      <c r="BN15" s="483"/>
      <c r="BO15" s="483"/>
      <c r="BP15" s="482"/>
    </row>
    <row r="16" spans="1:68" ht="23.25" customHeight="1">
      <c r="A16" s="332" t="s">
        <v>107</v>
      </c>
      <c r="B16" s="390" t="s">
        <v>195</v>
      </c>
      <c r="C16" s="330">
        <v>41341</v>
      </c>
      <c r="D16" s="330">
        <v>53329</v>
      </c>
      <c r="E16" s="330"/>
      <c r="F16" s="422">
        <v>3846686.27</v>
      </c>
      <c r="G16" s="319">
        <v>0.02588</v>
      </c>
      <c r="H16" s="394" t="s">
        <v>164</v>
      </c>
      <c r="I16" s="403">
        <v>23728.89</v>
      </c>
      <c r="J16" s="384">
        <v>1146.1</v>
      </c>
      <c r="K16" s="384">
        <v>30178.1</v>
      </c>
      <c r="L16" s="469">
        <f t="shared" si="0"/>
        <v>3816508.17</v>
      </c>
      <c r="M16" s="510">
        <f t="shared" si="1"/>
        <v>53906.99</v>
      </c>
      <c r="N16" s="449">
        <f t="shared" si="8"/>
        <v>24625.15633151671</v>
      </c>
      <c r="O16" s="450">
        <f t="shared" si="2"/>
        <v>1189.39</v>
      </c>
      <c r="P16" s="450">
        <f t="shared" si="9"/>
        <v>29281.833668483287</v>
      </c>
      <c r="Q16" s="469">
        <f t="shared" si="3"/>
        <v>3787226.3363315165</v>
      </c>
      <c r="R16" s="449">
        <f t="shared" si="4"/>
        <v>24704.75182945723</v>
      </c>
      <c r="S16" s="450">
        <v>1193.24</v>
      </c>
      <c r="T16" s="450">
        <f t="shared" si="10"/>
        <v>29202.23817054277</v>
      </c>
      <c r="U16" s="469">
        <f t="shared" si="11"/>
        <v>3758024.0981609738</v>
      </c>
      <c r="V16" s="515"/>
      <c r="W16" s="449">
        <v>25313.64</v>
      </c>
      <c r="X16" s="384">
        <v>1222.64</v>
      </c>
      <c r="Y16" s="450">
        <v>28593.35</v>
      </c>
      <c r="Z16" s="469">
        <f t="shared" si="12"/>
        <v>3729430.7481609737</v>
      </c>
      <c r="AA16" s="449">
        <f t="shared" si="5"/>
        <v>103123.80816097393</v>
      </c>
      <c r="AB16" s="450">
        <f t="shared" si="6"/>
        <v>117255.52183902604</v>
      </c>
      <c r="AC16" s="510">
        <f t="shared" si="7"/>
        <v>3729430.748160974</v>
      </c>
      <c r="AD16" s="481">
        <f t="shared" si="27"/>
        <v>53906.99</v>
      </c>
      <c r="AE16" s="449">
        <f t="shared" si="29"/>
        <v>23005.58108309403</v>
      </c>
      <c r="AF16" s="450">
        <f t="shared" si="13"/>
        <v>1111.1660105822082</v>
      </c>
      <c r="AG16" s="450">
        <f t="shared" si="14"/>
        <v>30901.408916905966</v>
      </c>
      <c r="AH16" s="469">
        <f t="shared" si="15"/>
        <v>3698529.339244068</v>
      </c>
      <c r="AI16" s="449">
        <f t="shared" si="16"/>
        <v>23863.92459251211</v>
      </c>
      <c r="AJ16" s="450">
        <f t="shared" si="17"/>
        <v>1152.6238694219528</v>
      </c>
      <c r="AK16" s="450">
        <f t="shared" si="28"/>
        <v>30043.065407487888</v>
      </c>
      <c r="AL16" s="503">
        <f t="shared" si="18"/>
        <v>3668486.27383658</v>
      </c>
      <c r="AM16" s="449">
        <f t="shared" si="19"/>
        <v>24450.41076188418</v>
      </c>
      <c r="AN16" s="450">
        <f t="shared" si="20"/>
        <v>1180.9510607556115</v>
      </c>
      <c r="AO16" s="450">
        <f t="shared" si="21"/>
        <v>29456.579238115817</v>
      </c>
      <c r="AP16" s="503">
        <f t="shared" si="22"/>
        <v>3639029.6945984643</v>
      </c>
      <c r="AQ16" s="449">
        <f t="shared" si="23"/>
        <v>23738.038744249752</v>
      </c>
      <c r="AR16" s="450">
        <f t="shared" si="24"/>
        <v>1146.5436024077353</v>
      </c>
      <c r="AS16" s="450">
        <f t="shared" si="25"/>
        <v>30168.951255750246</v>
      </c>
      <c r="AT16" s="517">
        <f t="shared" si="26"/>
        <v>3608860.743342714</v>
      </c>
      <c r="AU16" s="503"/>
      <c r="AV16" s="503"/>
      <c r="AW16" s="503"/>
      <c r="AX16" s="503"/>
      <c r="AY16" s="503"/>
      <c r="AZ16" s="503"/>
      <c r="BA16" s="503"/>
      <c r="BB16" s="503"/>
      <c r="BC16" s="495"/>
      <c r="BD16" s="495"/>
      <c r="BE16" s="495"/>
      <c r="BF16" s="495"/>
      <c r="BG16" s="495"/>
      <c r="BH16" s="495"/>
      <c r="BI16" s="495"/>
      <c r="BJ16" s="495"/>
      <c r="BK16" s="495"/>
      <c r="BL16" s="495"/>
      <c r="BM16" s="482"/>
      <c r="BN16" s="483"/>
      <c r="BO16" s="483"/>
      <c r="BP16" s="482"/>
    </row>
    <row r="17" spans="1:68" ht="23.25" customHeight="1">
      <c r="A17" s="332" t="s">
        <v>108</v>
      </c>
      <c r="B17" s="390" t="s">
        <v>196</v>
      </c>
      <c r="C17" s="330">
        <v>41740</v>
      </c>
      <c r="D17" s="330">
        <v>53329</v>
      </c>
      <c r="E17" s="330"/>
      <c r="F17" s="422">
        <v>1599134.89</v>
      </c>
      <c r="G17" s="319">
        <v>0.02588</v>
      </c>
      <c r="H17" s="394" t="s">
        <v>164</v>
      </c>
      <c r="I17" s="403">
        <v>9864.52</v>
      </c>
      <c r="J17" s="384">
        <v>476.45</v>
      </c>
      <c r="K17" s="384">
        <v>12545.56</v>
      </c>
      <c r="L17" s="469">
        <f t="shared" si="0"/>
        <v>1586589.3299999998</v>
      </c>
      <c r="M17" s="510">
        <f t="shared" si="1"/>
        <v>22410.08</v>
      </c>
      <c r="N17" s="449">
        <f t="shared" si="8"/>
        <v>10237.109039168217</v>
      </c>
      <c r="O17" s="450">
        <f t="shared" si="2"/>
        <v>494.45</v>
      </c>
      <c r="P17" s="450">
        <f t="shared" si="9"/>
        <v>12172.970960831784</v>
      </c>
      <c r="Q17" s="469">
        <f t="shared" si="3"/>
        <v>1574416.359039168</v>
      </c>
      <c r="R17" s="449">
        <f t="shared" si="4"/>
        <v>10270.198285528488</v>
      </c>
      <c r="S17" s="450">
        <v>496.05</v>
      </c>
      <c r="T17" s="450">
        <f t="shared" si="10"/>
        <v>12139.881714471514</v>
      </c>
      <c r="U17" s="469">
        <f t="shared" si="11"/>
        <v>1562276.4773246965</v>
      </c>
      <c r="V17" s="515"/>
      <c r="W17" s="449">
        <v>10523.32</v>
      </c>
      <c r="X17" s="384">
        <v>508.27</v>
      </c>
      <c r="Y17" s="450">
        <v>11886.76</v>
      </c>
      <c r="Z17" s="469">
        <f t="shared" si="12"/>
        <v>1550389.7173246965</v>
      </c>
      <c r="AA17" s="449">
        <f t="shared" si="5"/>
        <v>42870.3673246967</v>
      </c>
      <c r="AB17" s="450">
        <f t="shared" si="6"/>
        <v>48745.1726753033</v>
      </c>
      <c r="AC17" s="510">
        <f t="shared" si="7"/>
        <v>1550389.7173246965</v>
      </c>
      <c r="AD17" s="481">
        <f t="shared" si="27"/>
        <v>22410.08</v>
      </c>
      <c r="AE17" s="449">
        <f t="shared" si="29"/>
        <v>9563.823210793407</v>
      </c>
      <c r="AF17" s="450">
        <f t="shared" si="13"/>
        <v>461.9311829015363</v>
      </c>
      <c r="AG17" s="450">
        <f t="shared" si="14"/>
        <v>12846.256789206594</v>
      </c>
      <c r="AH17" s="469">
        <f t="shared" si="15"/>
        <v>1537543.46053549</v>
      </c>
      <c r="AI17" s="449">
        <f t="shared" si="16"/>
        <v>9920.65165215869</v>
      </c>
      <c r="AJ17" s="450">
        <f t="shared" si="17"/>
        <v>479.165941468252</v>
      </c>
      <c r="AK17" s="450">
        <f t="shared" si="28"/>
        <v>12489.428347841313</v>
      </c>
      <c r="AL17" s="503">
        <f t="shared" si="18"/>
        <v>1525054.0321876486</v>
      </c>
      <c r="AM17" s="449">
        <f t="shared" si="19"/>
        <v>10164.464233379553</v>
      </c>
      <c r="AN17" s="450">
        <f t="shared" si="20"/>
        <v>490.94205145766773</v>
      </c>
      <c r="AO17" s="450">
        <f t="shared" si="21"/>
        <v>12245.615766620449</v>
      </c>
      <c r="AP17" s="503">
        <f t="shared" si="22"/>
        <v>1512808.416421028</v>
      </c>
      <c r="AQ17" s="449">
        <f t="shared" si="23"/>
        <v>9868.318704552907</v>
      </c>
      <c r="AR17" s="450">
        <f t="shared" si="24"/>
        <v>476.6382681874472</v>
      </c>
      <c r="AS17" s="450">
        <f t="shared" si="25"/>
        <v>12541.761295447095</v>
      </c>
      <c r="AT17" s="517">
        <f t="shared" si="26"/>
        <v>1500266.655125581</v>
      </c>
      <c r="AU17" s="503"/>
      <c r="AV17" s="503"/>
      <c r="AW17" s="503"/>
      <c r="AX17" s="503"/>
      <c r="AY17" s="503"/>
      <c r="AZ17" s="503"/>
      <c r="BA17" s="503"/>
      <c r="BB17" s="503"/>
      <c r="BC17" s="495"/>
      <c r="BD17" s="495"/>
      <c r="BE17" s="495"/>
      <c r="BF17" s="495"/>
      <c r="BG17" s="495"/>
      <c r="BH17" s="495"/>
      <c r="BI17" s="495"/>
      <c r="BJ17" s="495"/>
      <c r="BK17" s="495"/>
      <c r="BL17" s="495"/>
      <c r="BM17" s="482">
        <v>2250413.44</v>
      </c>
      <c r="BN17" s="483">
        <f>+BM17+AD17</f>
        <v>2272823.52</v>
      </c>
      <c r="BO17" s="483">
        <f>+AC17+AC16+AC15</f>
        <v>7513014.992020007</v>
      </c>
      <c r="BP17" s="482"/>
    </row>
    <row r="18" spans="1:68" ht="27" customHeight="1">
      <c r="A18" s="332" t="s">
        <v>162</v>
      </c>
      <c r="B18" s="390" t="s">
        <v>197</v>
      </c>
      <c r="C18" s="330">
        <v>42038</v>
      </c>
      <c r="D18" s="330">
        <v>54423</v>
      </c>
      <c r="E18" s="330"/>
      <c r="F18" s="422">
        <v>1139415.56</v>
      </c>
      <c r="G18" s="319">
        <v>0.02602</v>
      </c>
      <c r="H18" s="319" t="s">
        <v>164</v>
      </c>
      <c r="I18" s="403">
        <v>7066.69</v>
      </c>
      <c r="J18" s="384">
        <v>339.48</v>
      </c>
      <c r="K18" s="384">
        <v>7649.39</v>
      </c>
      <c r="L18" s="469">
        <f t="shared" si="0"/>
        <v>1131766.1700000002</v>
      </c>
      <c r="M18" s="510">
        <f t="shared" si="1"/>
        <v>14716.08</v>
      </c>
      <c r="N18" s="449">
        <f t="shared" si="8"/>
        <v>7341.968692190139</v>
      </c>
      <c r="O18" s="450">
        <f t="shared" si="2"/>
        <v>352.71</v>
      </c>
      <c r="P18" s="450">
        <f t="shared" si="9"/>
        <v>7374.111307809861</v>
      </c>
      <c r="Q18" s="469">
        <f t="shared" si="3"/>
        <v>1124392.0586921903</v>
      </c>
      <c r="R18" s="449">
        <f t="shared" si="4"/>
        <v>7374.286810355378</v>
      </c>
      <c r="S18" s="450">
        <v>354.26</v>
      </c>
      <c r="T18" s="450">
        <f t="shared" si="10"/>
        <v>7341.793189644622</v>
      </c>
      <c r="U18" s="469">
        <f t="shared" si="11"/>
        <v>1117050.2655025457</v>
      </c>
      <c r="V18" s="515"/>
      <c r="W18" s="449">
        <v>7565.03</v>
      </c>
      <c r="X18" s="384">
        <v>363.42</v>
      </c>
      <c r="Y18" s="450">
        <v>7151.05</v>
      </c>
      <c r="Z18" s="469">
        <f t="shared" si="12"/>
        <v>1109899.2155025457</v>
      </c>
      <c r="AA18" s="449">
        <f t="shared" si="5"/>
        <v>30757.84550254551</v>
      </c>
      <c r="AB18" s="450">
        <f t="shared" si="6"/>
        <v>29516.34449745448</v>
      </c>
      <c r="AC18" s="510">
        <f t="shared" si="7"/>
        <v>1109899.2155025455</v>
      </c>
      <c r="AD18" s="481">
        <f t="shared" si="27"/>
        <v>14716.08</v>
      </c>
      <c r="AE18" s="449">
        <f t="shared" si="29"/>
        <v>6883.625342744473</v>
      </c>
      <c r="AF18" s="450">
        <f t="shared" si="13"/>
        <v>330.68914982438855</v>
      </c>
      <c r="AG18" s="450">
        <f t="shared" si="14"/>
        <v>7832.454657255527</v>
      </c>
      <c r="AH18" s="469">
        <f t="shared" si="15"/>
        <v>1102066.76084529</v>
      </c>
      <c r="AI18" s="449">
        <f t="shared" si="16"/>
        <v>7149.303336067657</v>
      </c>
      <c r="AJ18" s="450">
        <f t="shared" si="17"/>
        <v>343.4523124552103</v>
      </c>
      <c r="AK18" s="450">
        <f t="shared" si="28"/>
        <v>7566.776663932343</v>
      </c>
      <c r="AL18" s="503">
        <f t="shared" si="18"/>
        <v>1094499.9841813578</v>
      </c>
      <c r="AM18" s="449">
        <f t="shared" si="19"/>
        <v>7334.289373450684</v>
      </c>
      <c r="AN18" s="450">
        <f t="shared" si="20"/>
        <v>352.3390360035878</v>
      </c>
      <c r="AO18" s="450">
        <f t="shared" si="21"/>
        <v>7381.790626549316</v>
      </c>
      <c r="AP18" s="503">
        <f t="shared" si="22"/>
        <v>1087118.1935548084</v>
      </c>
      <c r="AQ18" s="449">
        <f t="shared" si="23"/>
        <v>7129.82744235409</v>
      </c>
      <c r="AR18" s="450">
        <f t="shared" si="24"/>
        <v>342.51669112000815</v>
      </c>
      <c r="AS18" s="450">
        <f t="shared" si="25"/>
        <v>7586.25255764591</v>
      </c>
      <c r="AT18" s="517">
        <f t="shared" si="26"/>
        <v>1079531.9409971624</v>
      </c>
      <c r="AU18" s="503"/>
      <c r="AV18" s="503"/>
      <c r="AW18" s="503"/>
      <c r="AX18" s="503"/>
      <c r="AY18" s="503"/>
      <c r="AZ18" s="503"/>
      <c r="BA18" s="503"/>
      <c r="BB18" s="503"/>
      <c r="BC18" s="495"/>
      <c r="BD18" s="495"/>
      <c r="BE18" s="495"/>
      <c r="BF18" s="495"/>
      <c r="BG18" s="495"/>
      <c r="BH18" s="495"/>
      <c r="BI18" s="495"/>
      <c r="BJ18" s="495"/>
      <c r="BK18" s="495"/>
      <c r="BL18" s="495"/>
      <c r="BM18" s="482"/>
      <c r="BN18" s="483"/>
      <c r="BO18" s="483"/>
      <c r="BP18" s="482"/>
    </row>
    <row r="19" spans="1:68" ht="27" customHeight="1">
      <c r="A19" s="332" t="s">
        <v>163</v>
      </c>
      <c r="B19" s="390" t="s">
        <v>198</v>
      </c>
      <c r="C19" s="330">
        <v>42282</v>
      </c>
      <c r="D19" s="330">
        <v>54423</v>
      </c>
      <c r="E19" s="330"/>
      <c r="F19" s="422">
        <v>4645309.539999999</v>
      </c>
      <c r="G19" s="319">
        <v>0.02602</v>
      </c>
      <c r="H19" s="319" t="s">
        <v>164</v>
      </c>
      <c r="I19" s="450">
        <v>28810.34</v>
      </c>
      <c r="J19" s="384">
        <v>1384.05</v>
      </c>
      <c r="K19" s="384">
        <v>31185.99</v>
      </c>
      <c r="L19" s="469">
        <f t="shared" si="0"/>
        <v>4614123.549999999</v>
      </c>
      <c r="M19" s="510">
        <f t="shared" si="1"/>
        <v>59996.33</v>
      </c>
      <c r="N19" s="449">
        <f t="shared" si="8"/>
        <v>29932.64116208493</v>
      </c>
      <c r="O19" s="450">
        <f t="shared" si="2"/>
        <v>1437.96</v>
      </c>
      <c r="P19" s="450">
        <f t="shared" si="9"/>
        <v>30063.688837915073</v>
      </c>
      <c r="Q19" s="469">
        <f t="shared" si="3"/>
        <v>4584059.861162084</v>
      </c>
      <c r="R19" s="449">
        <f t="shared" si="4"/>
        <v>30064.399611080124</v>
      </c>
      <c r="S19" s="450">
        <v>1444.29</v>
      </c>
      <c r="T19" s="450">
        <f t="shared" si="10"/>
        <v>29931.930388919878</v>
      </c>
      <c r="U19" s="469">
        <f t="shared" si="11"/>
        <v>4554127.930773164</v>
      </c>
      <c r="V19" s="515"/>
      <c r="W19" s="449">
        <v>30842.05</v>
      </c>
      <c r="X19" s="384">
        <v>1481.65</v>
      </c>
      <c r="Y19" s="450">
        <v>29154.28</v>
      </c>
      <c r="Z19" s="469">
        <f t="shared" si="12"/>
        <v>4524973.650773164</v>
      </c>
      <c r="AA19" s="449">
        <f t="shared" si="5"/>
        <v>125397.38077316503</v>
      </c>
      <c r="AB19" s="450">
        <f t="shared" si="6"/>
        <v>120335.88922683496</v>
      </c>
      <c r="AC19" s="510">
        <f t="shared" si="7"/>
        <v>4524973.650773164</v>
      </c>
      <c r="AD19" s="481">
        <f t="shared" si="27"/>
        <v>59996.33</v>
      </c>
      <c r="AE19" s="449">
        <f t="shared" si="29"/>
        <v>28064.010553976008</v>
      </c>
      <c r="AF19" s="450">
        <f t="shared" si="13"/>
        <v>1348.1942041687169</v>
      </c>
      <c r="AG19" s="450">
        <f t="shared" si="14"/>
        <v>31932.319446023994</v>
      </c>
      <c r="AH19" s="469">
        <f t="shared" si="15"/>
        <v>4493041.33132714</v>
      </c>
      <c r="AI19" s="449">
        <f t="shared" si="16"/>
        <v>29147.159246967207</v>
      </c>
      <c r="AJ19" s="450">
        <f t="shared" si="17"/>
        <v>1400.2286340779785</v>
      </c>
      <c r="AK19" s="450">
        <f t="shared" si="28"/>
        <v>30849.170753032795</v>
      </c>
      <c r="AL19" s="503">
        <f t="shared" si="18"/>
        <v>4462192.160574107</v>
      </c>
      <c r="AM19" s="449">
        <f t="shared" si="19"/>
        <v>29901.333045767118</v>
      </c>
      <c r="AN19" s="450">
        <f t="shared" si="20"/>
        <v>1436.4591201848154</v>
      </c>
      <c r="AO19" s="450">
        <f t="shared" si="21"/>
        <v>30094.996954232884</v>
      </c>
      <c r="AP19" s="503">
        <f t="shared" si="22"/>
        <v>4432097.163619875</v>
      </c>
      <c r="AQ19" s="449">
        <f t="shared" si="23"/>
        <v>29067.757463451515</v>
      </c>
      <c r="AR19" s="450">
        <f t="shared" si="24"/>
        <v>1396.4141748391387</v>
      </c>
      <c r="AS19" s="450">
        <f t="shared" si="25"/>
        <v>30928.572536548487</v>
      </c>
      <c r="AT19" s="517">
        <f t="shared" si="26"/>
        <v>4401168.591083326</v>
      </c>
      <c r="AU19" s="503"/>
      <c r="AV19" s="503"/>
      <c r="AW19" s="503"/>
      <c r="AX19" s="503"/>
      <c r="AY19" s="503"/>
      <c r="AZ19" s="503"/>
      <c r="BA19" s="503"/>
      <c r="BB19" s="503"/>
      <c r="BC19" s="495"/>
      <c r="BD19" s="495"/>
      <c r="BE19" s="495"/>
      <c r="BF19" s="495"/>
      <c r="BG19" s="495"/>
      <c r="BH19" s="495"/>
      <c r="BI19" s="495"/>
      <c r="BJ19" s="495"/>
      <c r="BK19" s="495"/>
      <c r="BL19" s="495"/>
      <c r="BM19" s="482"/>
      <c r="BN19" s="483"/>
      <c r="BO19" s="483"/>
      <c r="BP19" s="482"/>
    </row>
    <row r="20" spans="1:68" ht="27" customHeight="1">
      <c r="A20" s="332" t="s">
        <v>165</v>
      </c>
      <c r="B20" s="390" t="s">
        <v>199</v>
      </c>
      <c r="C20" s="330">
        <v>42632</v>
      </c>
      <c r="D20" s="330">
        <v>54423</v>
      </c>
      <c r="E20" s="330"/>
      <c r="F20" s="422">
        <v>3510805.11</v>
      </c>
      <c r="G20" s="319">
        <v>0.02631</v>
      </c>
      <c r="H20" s="394" t="s">
        <v>164</v>
      </c>
      <c r="I20" s="450">
        <v>22016.79</v>
      </c>
      <c r="J20" s="384">
        <v>1046.03</v>
      </c>
      <c r="K20" s="384">
        <v>23484.52</v>
      </c>
      <c r="L20" s="469">
        <f t="shared" si="0"/>
        <v>3487320.59</v>
      </c>
      <c r="M20" s="510">
        <f t="shared" si="1"/>
        <v>45501.31</v>
      </c>
      <c r="N20" s="449">
        <f t="shared" si="8"/>
        <v>22875.007752832604</v>
      </c>
      <c r="O20" s="450">
        <f t="shared" si="2"/>
        <v>1086.8</v>
      </c>
      <c r="P20" s="450">
        <f t="shared" si="9"/>
        <v>22626.302247167394</v>
      </c>
      <c r="Q20" s="469">
        <f t="shared" si="3"/>
        <v>3464694.2877528323</v>
      </c>
      <c r="R20" s="449">
        <f t="shared" si="4"/>
        <v>22976.333746278044</v>
      </c>
      <c r="S20" s="450">
        <v>1091.62</v>
      </c>
      <c r="T20" s="450">
        <f t="shared" si="10"/>
        <v>22524.976253721954</v>
      </c>
      <c r="U20" s="469">
        <f t="shared" si="11"/>
        <v>3442169.3114991104</v>
      </c>
      <c r="V20" s="515"/>
      <c r="W20" s="449">
        <v>23571.32</v>
      </c>
      <c r="X20" s="384">
        <v>1119.88</v>
      </c>
      <c r="Y20" s="450">
        <v>21929.99</v>
      </c>
      <c r="Z20" s="469">
        <f t="shared" si="12"/>
        <v>3420239.32149911</v>
      </c>
      <c r="AA20" s="449">
        <f t="shared" si="5"/>
        <v>95783.78149911066</v>
      </c>
      <c r="AB20" s="450">
        <f t="shared" si="6"/>
        <v>90565.78850088935</v>
      </c>
      <c r="AC20" s="510">
        <f t="shared" si="7"/>
        <v>3420239.3214991107</v>
      </c>
      <c r="AD20" s="481">
        <f t="shared" si="27"/>
        <v>45501.31</v>
      </c>
      <c r="AE20" s="449">
        <f t="shared" si="29"/>
        <v>21448.83616364882</v>
      </c>
      <c r="AF20" s="450">
        <f t="shared" si="13"/>
        <v>1019.0439074329541</v>
      </c>
      <c r="AG20" s="450">
        <f t="shared" si="14"/>
        <v>24052.47383635118</v>
      </c>
      <c r="AH20" s="469">
        <f t="shared" si="15"/>
        <v>3396186.8476627595</v>
      </c>
      <c r="AI20" s="449">
        <f t="shared" si="16"/>
        <v>22277.217842582617</v>
      </c>
      <c r="AJ20" s="450">
        <f t="shared" si="17"/>
        <v>1058.400695675723</v>
      </c>
      <c r="AK20" s="450">
        <f t="shared" si="28"/>
        <v>23224.09215741738</v>
      </c>
      <c r="AL20" s="503">
        <f t="shared" si="18"/>
        <v>3372962.755505342</v>
      </c>
      <c r="AM20" s="449">
        <f t="shared" si="19"/>
        <v>22854.271531919127</v>
      </c>
      <c r="AN20" s="450">
        <f t="shared" si="20"/>
        <v>1085.8167774571991</v>
      </c>
      <c r="AO20" s="450">
        <f t="shared" si="21"/>
        <v>22647.03846808087</v>
      </c>
      <c r="AP20" s="503">
        <f t="shared" si="22"/>
        <v>3350315.717037261</v>
      </c>
      <c r="AQ20" s="449">
        <f t="shared" si="23"/>
        <v>22217.82520384392</v>
      </c>
      <c r="AR20" s="450">
        <f t="shared" si="24"/>
        <v>1055.5789245459862</v>
      </c>
      <c r="AS20" s="450">
        <f t="shared" si="25"/>
        <v>23283.484796156077</v>
      </c>
      <c r="AT20" s="517">
        <f t="shared" si="26"/>
        <v>3327032.232241105</v>
      </c>
      <c r="AU20" s="503"/>
      <c r="AV20" s="503"/>
      <c r="AW20" s="503"/>
      <c r="AX20" s="503"/>
      <c r="AY20" s="503"/>
      <c r="AZ20" s="503"/>
      <c r="BA20" s="503"/>
      <c r="BB20" s="503"/>
      <c r="BC20" s="495"/>
      <c r="BD20" s="495"/>
      <c r="BE20" s="495"/>
      <c r="BF20" s="495"/>
      <c r="BG20" s="495"/>
      <c r="BH20" s="495"/>
      <c r="BI20" s="495"/>
      <c r="BJ20" s="495"/>
      <c r="BK20" s="495"/>
      <c r="BL20" s="495"/>
      <c r="BM20" s="482"/>
      <c r="BN20" s="483"/>
      <c r="BO20" s="483"/>
      <c r="BP20" s="482"/>
    </row>
    <row r="21" spans="1:68" ht="27" customHeight="1">
      <c r="A21" s="332" t="s">
        <v>172</v>
      </c>
      <c r="B21" s="390" t="s">
        <v>184</v>
      </c>
      <c r="C21" s="330">
        <v>42905</v>
      </c>
      <c r="D21" s="330">
        <v>54423</v>
      </c>
      <c r="E21" s="330"/>
      <c r="F21" s="422">
        <v>4127374.2599999993</v>
      </c>
      <c r="G21" s="319">
        <v>0.02631</v>
      </c>
      <c r="H21" s="394" t="s">
        <v>164</v>
      </c>
      <c r="I21" s="450">
        <v>25883.39</v>
      </c>
      <c r="J21" s="384">
        <v>1229.73</v>
      </c>
      <c r="K21" s="384">
        <v>27608.88</v>
      </c>
      <c r="L21" s="469">
        <f t="shared" si="0"/>
        <v>4099765.3799999994</v>
      </c>
      <c r="M21" s="510">
        <f t="shared" si="1"/>
        <v>53492.270000000004</v>
      </c>
      <c r="N21" s="449">
        <f t="shared" si="8"/>
        <v>26892.32676835561</v>
      </c>
      <c r="O21" s="450">
        <f t="shared" si="2"/>
        <v>1277.67</v>
      </c>
      <c r="P21" s="450">
        <f t="shared" si="9"/>
        <v>26599.943231644393</v>
      </c>
      <c r="Q21" s="469">
        <f t="shared" si="3"/>
        <v>4073165.436768355</v>
      </c>
      <c r="R21" s="449">
        <f t="shared" si="4"/>
        <v>27011.44767946997</v>
      </c>
      <c r="S21" s="450">
        <v>1283.33</v>
      </c>
      <c r="T21" s="450">
        <f t="shared" si="10"/>
        <v>26480.822320530035</v>
      </c>
      <c r="U21" s="469">
        <f t="shared" si="11"/>
        <v>4046684.6144478247</v>
      </c>
      <c r="V21" s="515"/>
      <c r="W21" s="449">
        <v>27710.92</v>
      </c>
      <c r="X21" s="384">
        <v>1316.56</v>
      </c>
      <c r="Y21" s="450">
        <v>25781.35</v>
      </c>
      <c r="Z21" s="469">
        <f aca="true" t="shared" si="30" ref="Z21:Z31">U21-Y21</f>
        <v>4020903.2644478246</v>
      </c>
      <c r="AA21" s="449">
        <f t="shared" si="5"/>
        <v>112605.37444782558</v>
      </c>
      <c r="AB21" s="450">
        <f t="shared" si="6"/>
        <v>106470.99555217443</v>
      </c>
      <c r="AC21" s="510">
        <f t="shared" si="7"/>
        <v>4020903.264447825</v>
      </c>
      <c r="AD21" s="481">
        <f t="shared" si="27"/>
        <v>53492.27</v>
      </c>
      <c r="AE21" s="449">
        <f t="shared" si="29"/>
        <v>25215.690260885312</v>
      </c>
      <c r="AF21" s="450">
        <f t="shared" si="13"/>
        <v>1198.0088493389067</v>
      </c>
      <c r="AG21" s="450">
        <f t="shared" si="14"/>
        <v>28276.579739114684</v>
      </c>
      <c r="AH21" s="469">
        <f t="shared" si="15"/>
        <v>3992626.6847087103</v>
      </c>
      <c r="AI21" s="449">
        <f t="shared" si="16"/>
        <v>26189.552698072443</v>
      </c>
      <c r="AJ21" s="450">
        <f t="shared" si="17"/>
        <v>1244.2774942071667</v>
      </c>
      <c r="AK21" s="450">
        <f t="shared" si="28"/>
        <v>27302.717301927554</v>
      </c>
      <c r="AL21" s="503">
        <f t="shared" si="18"/>
        <v>3965323.967406783</v>
      </c>
      <c r="AM21" s="449">
        <f t="shared" si="19"/>
        <v>26867.948813020303</v>
      </c>
      <c r="AN21" s="450">
        <f t="shared" si="20"/>
        <v>1276.508400466567</v>
      </c>
      <c r="AO21" s="450">
        <f t="shared" si="21"/>
        <v>26624.321186979694</v>
      </c>
      <c r="AP21" s="503">
        <f t="shared" si="22"/>
        <v>3938699.646219803</v>
      </c>
      <c r="AQ21" s="449">
        <f t="shared" si="23"/>
        <v>26119.72950046016</v>
      </c>
      <c r="AR21" s="450">
        <f t="shared" si="24"/>
        <v>1240.9601625076093</v>
      </c>
      <c r="AS21" s="450">
        <f t="shared" si="25"/>
        <v>27372.54049953984</v>
      </c>
      <c r="AT21" s="517">
        <f t="shared" si="26"/>
        <v>3911327.105720263</v>
      </c>
      <c r="AU21" s="503"/>
      <c r="AV21" s="503"/>
      <c r="AW21" s="503"/>
      <c r="AX21" s="503"/>
      <c r="AY21" s="503"/>
      <c r="AZ21" s="503"/>
      <c r="BA21" s="503"/>
      <c r="BB21" s="503"/>
      <c r="BC21" s="495"/>
      <c r="BD21" s="495"/>
      <c r="BE21" s="495"/>
      <c r="BF21" s="495"/>
      <c r="BG21" s="495"/>
      <c r="BH21" s="495"/>
      <c r="BI21" s="495"/>
      <c r="BJ21" s="495"/>
      <c r="BK21" s="495"/>
      <c r="BL21" s="495"/>
      <c r="BM21" s="482"/>
      <c r="BN21" s="483"/>
      <c r="BO21" s="483"/>
      <c r="BP21" s="482"/>
    </row>
    <row r="22" spans="1:68" ht="27" customHeight="1">
      <c r="A22" s="390" t="s">
        <v>177</v>
      </c>
      <c r="B22" s="390" t="s">
        <v>200</v>
      </c>
      <c r="C22" s="330">
        <v>43165</v>
      </c>
      <c r="D22" s="330">
        <v>54423</v>
      </c>
      <c r="E22" s="330"/>
      <c r="F22" s="422">
        <v>2099678.5700000003</v>
      </c>
      <c r="G22" s="319">
        <v>0.02301</v>
      </c>
      <c r="H22" s="394" t="s">
        <v>164</v>
      </c>
      <c r="I22" s="450">
        <v>11515.85</v>
      </c>
      <c r="J22" s="384">
        <v>625.59</v>
      </c>
      <c r="K22" s="384">
        <v>14635.05</v>
      </c>
      <c r="L22" s="469">
        <f t="shared" si="0"/>
        <v>2085043.5200000003</v>
      </c>
      <c r="M22" s="510">
        <f t="shared" si="1"/>
        <v>26150.9</v>
      </c>
      <c r="N22" s="449">
        <f t="shared" si="8"/>
        <v>11961.351991680001</v>
      </c>
      <c r="O22" s="450">
        <f t="shared" si="2"/>
        <v>649.79</v>
      </c>
      <c r="P22" s="450">
        <f t="shared" si="9"/>
        <v>14189.54800832</v>
      </c>
      <c r="Q22" s="469">
        <f t="shared" si="3"/>
        <v>2070853.9719916803</v>
      </c>
      <c r="R22" s="449">
        <f t="shared" si="4"/>
        <v>12010.499151749666</v>
      </c>
      <c r="S22" s="450">
        <v>652.46</v>
      </c>
      <c r="T22" s="450">
        <f t="shared" si="10"/>
        <v>14140.400848250336</v>
      </c>
      <c r="U22" s="469">
        <f t="shared" si="11"/>
        <v>2056713.57114343</v>
      </c>
      <c r="V22" s="515"/>
      <c r="W22" s="449">
        <v>12317.46</v>
      </c>
      <c r="X22" s="384">
        <v>669.14</v>
      </c>
      <c r="Y22" s="450">
        <v>13833.44</v>
      </c>
      <c r="Z22" s="469">
        <f t="shared" si="30"/>
        <v>2042880.13114343</v>
      </c>
      <c r="AA22" s="449">
        <f t="shared" si="5"/>
        <v>50402.14114342967</v>
      </c>
      <c r="AB22" s="450">
        <f t="shared" si="6"/>
        <v>56798.438856570334</v>
      </c>
      <c r="AC22" s="510">
        <f t="shared" si="7"/>
        <v>2042880.13114343</v>
      </c>
      <c r="AD22" s="481">
        <f t="shared" si="27"/>
        <v>26150.9</v>
      </c>
      <c r="AE22" s="449">
        <f t="shared" si="29"/>
        <v>11204.32999488246</v>
      </c>
      <c r="AF22" s="450">
        <f t="shared" si="13"/>
        <v>608.6663404434192</v>
      </c>
      <c r="AG22" s="450">
        <f t="shared" si="14"/>
        <v>14946.57000511754</v>
      </c>
      <c r="AH22" s="469">
        <f t="shared" si="15"/>
        <v>2027933.5611383126</v>
      </c>
      <c r="AI22" s="449">
        <f t="shared" si="16"/>
        <v>11633.727021926366</v>
      </c>
      <c r="AJ22" s="450">
        <f t="shared" si="17"/>
        <v>631.9929933684467</v>
      </c>
      <c r="AK22" s="450">
        <f t="shared" si="28"/>
        <v>14517.172978073635</v>
      </c>
      <c r="AL22" s="503">
        <f t="shared" si="18"/>
        <v>2013416.388160239</v>
      </c>
      <c r="AM22" s="449">
        <f t="shared" si="19"/>
        <v>11931.229705773445</v>
      </c>
      <c r="AN22" s="450">
        <f t="shared" si="20"/>
        <v>648.154590709118</v>
      </c>
      <c r="AO22" s="450">
        <f t="shared" si="21"/>
        <v>14219.670294226557</v>
      </c>
      <c r="AP22" s="503">
        <f t="shared" si="22"/>
        <v>1999196.7178660124</v>
      </c>
      <c r="AQ22" s="449">
        <f t="shared" si="23"/>
        <v>11594.902783520325</v>
      </c>
      <c r="AR22" s="450">
        <f t="shared" si="24"/>
        <v>629.8838974098395</v>
      </c>
      <c r="AS22" s="450">
        <f t="shared" si="25"/>
        <v>14555.997216479676</v>
      </c>
      <c r="AT22" s="517">
        <f t="shared" si="26"/>
        <v>1984640.7206495327</v>
      </c>
      <c r="AU22" s="503"/>
      <c r="AV22" s="503"/>
      <c r="AW22" s="503"/>
      <c r="AX22" s="503"/>
      <c r="AY22" s="503"/>
      <c r="AZ22" s="503"/>
      <c r="BA22" s="503"/>
      <c r="BB22" s="503"/>
      <c r="BC22" s="495"/>
      <c r="BD22" s="495"/>
      <c r="BE22" s="495"/>
      <c r="BF22" s="495"/>
      <c r="BG22" s="495"/>
      <c r="BH22" s="495"/>
      <c r="BI22" s="495"/>
      <c r="BJ22" s="495"/>
      <c r="BK22" s="495"/>
      <c r="BL22" s="495"/>
      <c r="BM22" s="482"/>
      <c r="BN22" s="483"/>
      <c r="BO22" s="483"/>
      <c r="BP22" s="482"/>
    </row>
    <row r="23" spans="1:68" ht="27" customHeight="1">
      <c r="A23" s="390" t="s">
        <v>178</v>
      </c>
      <c r="B23" s="390" t="s">
        <v>201</v>
      </c>
      <c r="C23" s="330">
        <v>43284</v>
      </c>
      <c r="D23" s="330">
        <v>54423</v>
      </c>
      <c r="E23" s="330"/>
      <c r="F23" s="422">
        <v>2307260.69</v>
      </c>
      <c r="G23" s="319">
        <v>0.02301</v>
      </c>
      <c r="H23" s="394" t="s">
        <v>164</v>
      </c>
      <c r="I23" s="450">
        <v>12654.35</v>
      </c>
      <c r="J23" s="384">
        <v>687.44</v>
      </c>
      <c r="K23" s="384">
        <v>16081.93</v>
      </c>
      <c r="L23" s="469">
        <f t="shared" si="0"/>
        <v>2291178.76</v>
      </c>
      <c r="M23" s="510">
        <f t="shared" si="1"/>
        <v>28736.28</v>
      </c>
      <c r="N23" s="449">
        <f t="shared" si="8"/>
        <v>13143.89621192219</v>
      </c>
      <c r="O23" s="450">
        <f t="shared" si="2"/>
        <v>714.03</v>
      </c>
      <c r="P23" s="450">
        <f t="shared" si="9"/>
        <v>15592.383788077808</v>
      </c>
      <c r="Q23" s="469">
        <f t="shared" si="3"/>
        <v>2275586.376211922</v>
      </c>
      <c r="R23" s="449">
        <f t="shared" si="4"/>
        <v>13197.90222337135</v>
      </c>
      <c r="S23" s="450">
        <v>716.97</v>
      </c>
      <c r="T23" s="450">
        <f t="shared" si="10"/>
        <v>15538.37777662865</v>
      </c>
      <c r="U23" s="469">
        <f t="shared" si="11"/>
        <v>2260047.9984352933</v>
      </c>
      <c r="V23" s="515"/>
      <c r="W23" s="449">
        <v>13535.21</v>
      </c>
      <c r="X23" s="384">
        <v>735.29</v>
      </c>
      <c r="Y23" s="450">
        <v>15201.07</v>
      </c>
      <c r="Z23" s="469">
        <f t="shared" si="30"/>
        <v>2244846.9284352935</v>
      </c>
      <c r="AA23" s="449">
        <f t="shared" si="5"/>
        <v>55385.08843529354</v>
      </c>
      <c r="AB23" s="450">
        <f t="shared" si="6"/>
        <v>62413.76156470646</v>
      </c>
      <c r="AC23" s="510">
        <f t="shared" si="7"/>
        <v>2244846.9284352935</v>
      </c>
      <c r="AD23" s="481">
        <f t="shared" si="27"/>
        <v>28736.28</v>
      </c>
      <c r="AE23" s="449">
        <f t="shared" si="29"/>
        <v>12312.032111306195</v>
      </c>
      <c r="AF23" s="450">
        <f t="shared" si="13"/>
        <v>668.8413793625703</v>
      </c>
      <c r="AG23" s="450">
        <f t="shared" si="14"/>
        <v>16424.247888693804</v>
      </c>
      <c r="AH23" s="469">
        <f t="shared" si="15"/>
        <v>2228422.6805466</v>
      </c>
      <c r="AI23" s="449">
        <f t="shared" si="16"/>
        <v>12783.88091787214</v>
      </c>
      <c r="AJ23" s="450">
        <f t="shared" si="17"/>
        <v>694.4741915402075</v>
      </c>
      <c r="AK23" s="450">
        <f t="shared" si="28"/>
        <v>15952.399082127858</v>
      </c>
      <c r="AL23" s="503">
        <f t="shared" si="18"/>
        <v>2212470.281464472</v>
      </c>
      <c r="AM23" s="449">
        <f t="shared" si="19"/>
        <v>13110.795809837713</v>
      </c>
      <c r="AN23" s="450">
        <f t="shared" si="20"/>
        <v>712.2335837591108</v>
      </c>
      <c r="AO23" s="450">
        <f t="shared" si="21"/>
        <v>15625.484190162286</v>
      </c>
      <c r="AP23" s="503">
        <f t="shared" si="22"/>
        <v>2196844.7972743097</v>
      </c>
      <c r="AQ23" s="449">
        <f t="shared" si="23"/>
        <v>12741.218323961455</v>
      </c>
      <c r="AR23" s="450">
        <f t="shared" si="24"/>
        <v>692.1565799631387</v>
      </c>
      <c r="AS23" s="450">
        <f t="shared" si="25"/>
        <v>15995.061676038544</v>
      </c>
      <c r="AT23" s="517">
        <f t="shared" si="26"/>
        <v>2180849.7355982712</v>
      </c>
      <c r="AU23" s="503"/>
      <c r="AV23" s="503"/>
      <c r="AW23" s="503"/>
      <c r="AX23" s="503"/>
      <c r="AY23" s="503"/>
      <c r="AZ23" s="503"/>
      <c r="BA23" s="503"/>
      <c r="BB23" s="503"/>
      <c r="BC23" s="495"/>
      <c r="BD23" s="495"/>
      <c r="BE23" s="495"/>
      <c r="BF23" s="495"/>
      <c r="BG23" s="495"/>
      <c r="BH23" s="495"/>
      <c r="BI23" s="495"/>
      <c r="BJ23" s="495"/>
      <c r="BK23" s="495"/>
      <c r="BL23" s="495"/>
      <c r="BM23" s="482">
        <v>2170156.27</v>
      </c>
      <c r="BN23" s="483">
        <f>+BM23+AD23</f>
        <v>2198892.55</v>
      </c>
      <c r="BO23" s="483">
        <f>+AC23+AC22+AC21+AC20+AC19+AC18</f>
        <v>17363742.51180137</v>
      </c>
      <c r="BP23" s="482"/>
    </row>
    <row r="24" spans="1:68" ht="27" customHeight="1">
      <c r="A24" s="390" t="s">
        <v>182</v>
      </c>
      <c r="B24" s="390" t="s">
        <v>202</v>
      </c>
      <c r="C24" s="330">
        <v>43441</v>
      </c>
      <c r="D24" s="330">
        <v>55884</v>
      </c>
      <c r="E24" s="330"/>
      <c r="F24" s="422">
        <v>3084492.08</v>
      </c>
      <c r="G24" s="319">
        <v>0.03046</v>
      </c>
      <c r="H24" s="394" t="s">
        <v>164</v>
      </c>
      <c r="I24" s="450">
        <v>22394.43</v>
      </c>
      <c r="J24" s="384">
        <v>919.01</v>
      </c>
      <c r="K24" s="384">
        <v>16123.83</v>
      </c>
      <c r="L24" s="469">
        <f t="shared" si="0"/>
        <v>3068368.25</v>
      </c>
      <c r="M24" s="510">
        <f t="shared" si="1"/>
        <v>38518.26</v>
      </c>
      <c r="N24" s="449">
        <f t="shared" si="8"/>
        <v>23301.60881491781</v>
      </c>
      <c r="O24" s="450">
        <f t="shared" si="2"/>
        <v>956.24</v>
      </c>
      <c r="P24" s="450">
        <f t="shared" si="9"/>
        <v>15216.651185082192</v>
      </c>
      <c r="Q24" s="469">
        <f t="shared" si="3"/>
        <v>3053151.5988149177</v>
      </c>
      <c r="R24" s="449">
        <f t="shared" si="4"/>
        <v>23440.84325586581</v>
      </c>
      <c r="S24" s="450">
        <v>961.95</v>
      </c>
      <c r="T24" s="450">
        <f t="shared" si="10"/>
        <v>15077.416744134192</v>
      </c>
      <c r="U24" s="469">
        <f t="shared" si="11"/>
        <v>3038074.1820707833</v>
      </c>
      <c r="V24" s="510"/>
      <c r="W24" s="449">
        <v>24085.69</v>
      </c>
      <c r="X24" s="384">
        <v>988.41</v>
      </c>
      <c r="Y24" s="450">
        <v>14432.57</v>
      </c>
      <c r="Z24" s="469">
        <f t="shared" si="30"/>
        <v>3023641.6120707835</v>
      </c>
      <c r="AA24" s="449">
        <f t="shared" si="5"/>
        <v>97048.18207078362</v>
      </c>
      <c r="AB24" s="450">
        <f t="shared" si="6"/>
        <v>60850.467929216386</v>
      </c>
      <c r="AC24" s="510">
        <f t="shared" si="7"/>
        <v>3023641.6120707835</v>
      </c>
      <c r="AD24" s="481">
        <f t="shared" si="27"/>
        <v>38518.259999999995</v>
      </c>
      <c r="AE24" s="449">
        <f t="shared" si="29"/>
        <v>21952.63217758854</v>
      </c>
      <c r="AF24" s="450">
        <f t="shared" si="13"/>
        <v>900.8795214046513</v>
      </c>
      <c r="AG24" s="450">
        <f t="shared" si="14"/>
        <v>16565.627822411454</v>
      </c>
      <c r="AH24" s="469">
        <f t="shared" si="15"/>
        <v>3007075.9842483723</v>
      </c>
      <c r="AI24" s="449">
        <f t="shared" si="16"/>
        <v>22836.14695259916</v>
      </c>
      <c r="AJ24" s="450">
        <f t="shared" si="17"/>
        <v>937.1366937212393</v>
      </c>
      <c r="AK24" s="450">
        <f t="shared" si="28"/>
        <v>15682.113047400835</v>
      </c>
      <c r="AL24" s="503">
        <f t="shared" si="18"/>
        <v>2991393.8712009713</v>
      </c>
      <c r="AM24" s="449">
        <f t="shared" si="19"/>
        <v>23465.968733636902</v>
      </c>
      <c r="AN24" s="450">
        <f t="shared" si="20"/>
        <v>962.9829585372989</v>
      </c>
      <c r="AO24" s="450">
        <f t="shared" si="21"/>
        <v>15052.291266363092</v>
      </c>
      <c r="AP24" s="503">
        <f t="shared" si="22"/>
        <v>2976341.579934608</v>
      </c>
      <c r="AQ24" s="449">
        <f t="shared" si="23"/>
        <v>22851.12749666398</v>
      </c>
      <c r="AR24" s="450">
        <f t="shared" si="24"/>
        <v>937.7514566917259</v>
      </c>
      <c r="AS24" s="450">
        <f t="shared" si="25"/>
        <v>15667.132503336015</v>
      </c>
      <c r="AT24" s="517">
        <f t="shared" si="26"/>
        <v>2960674.4474312724</v>
      </c>
      <c r="AU24" s="503"/>
      <c r="AV24" s="503"/>
      <c r="AW24" s="503"/>
      <c r="AX24" s="503"/>
      <c r="AY24" s="503"/>
      <c r="AZ24" s="503"/>
      <c r="BA24" s="503"/>
      <c r="BB24" s="503"/>
      <c r="BC24" s="495"/>
      <c r="BD24" s="495"/>
      <c r="BE24" s="495"/>
      <c r="BF24" s="495"/>
      <c r="BG24" s="495"/>
      <c r="BH24" s="495"/>
      <c r="BI24" s="495"/>
      <c r="BJ24" s="495"/>
      <c r="BK24" s="495"/>
      <c r="BL24" s="495"/>
      <c r="BM24" s="482"/>
      <c r="BN24" s="483"/>
      <c r="BO24" s="483"/>
      <c r="BP24" s="482"/>
    </row>
    <row r="25" spans="1:68" ht="27" customHeight="1">
      <c r="A25" s="390" t="s">
        <v>203</v>
      </c>
      <c r="B25" s="390" t="s">
        <v>204</v>
      </c>
      <c r="C25" s="330">
        <v>43662</v>
      </c>
      <c r="D25" s="330">
        <v>55884</v>
      </c>
      <c r="E25" s="330"/>
      <c r="F25" s="422">
        <v>3071082.9400000004</v>
      </c>
      <c r="G25" s="319">
        <v>0.0244</v>
      </c>
      <c r="H25" s="394" t="s">
        <v>164</v>
      </c>
      <c r="I25" s="450">
        <v>17861.08</v>
      </c>
      <c r="J25" s="384">
        <v>915.01</v>
      </c>
      <c r="K25" s="384">
        <v>17506.77</v>
      </c>
      <c r="L25" s="469">
        <f t="shared" si="0"/>
        <v>3053576.1700000004</v>
      </c>
      <c r="M25" s="510">
        <f t="shared" si="1"/>
        <v>35367.850000000006</v>
      </c>
      <c r="N25" s="449">
        <f t="shared" si="8"/>
        <v>18575.782268131512</v>
      </c>
      <c r="O25" s="450">
        <f t="shared" si="2"/>
        <v>951.63</v>
      </c>
      <c r="P25" s="450">
        <f t="shared" si="9"/>
        <v>16792.067731868494</v>
      </c>
      <c r="Q25" s="469">
        <f t="shared" si="3"/>
        <v>3036784.102268132</v>
      </c>
      <c r="R25" s="449">
        <f t="shared" si="4"/>
        <v>18676.638226771243</v>
      </c>
      <c r="S25" s="450">
        <v>956.79</v>
      </c>
      <c r="T25" s="450">
        <f t="shared" si="10"/>
        <v>16691.211773228762</v>
      </c>
      <c r="U25" s="469">
        <f t="shared" si="11"/>
        <v>3020092.890494903</v>
      </c>
      <c r="V25" s="510"/>
      <c r="W25" s="449">
        <v>19179.66</v>
      </c>
      <c r="X25" s="384">
        <v>982.56</v>
      </c>
      <c r="Y25" s="450">
        <v>16188.19</v>
      </c>
      <c r="Z25" s="469">
        <f t="shared" si="30"/>
        <v>3003904.700494903</v>
      </c>
      <c r="AA25" s="449">
        <f t="shared" si="5"/>
        <v>78099.15049490274</v>
      </c>
      <c r="AB25" s="450">
        <f t="shared" si="6"/>
        <v>67178.23950509726</v>
      </c>
      <c r="AC25" s="510">
        <f t="shared" si="7"/>
        <v>3003904.700494903</v>
      </c>
      <c r="AD25" s="481">
        <f t="shared" si="27"/>
        <v>35367.85</v>
      </c>
      <c r="AE25" s="449">
        <f t="shared" si="29"/>
        <v>17470.380543042687</v>
      </c>
      <c r="AF25" s="450">
        <f t="shared" si="13"/>
        <v>894.9990032296458</v>
      </c>
      <c r="AG25" s="450">
        <f t="shared" si="14"/>
        <v>17897.46945695731</v>
      </c>
      <c r="AH25" s="469">
        <f t="shared" si="15"/>
        <v>2986007.231037946</v>
      </c>
      <c r="AI25" s="449">
        <f t="shared" si="16"/>
        <v>18164.740974785356</v>
      </c>
      <c r="AJ25" s="450">
        <f t="shared" si="17"/>
        <v>930.5707466590858</v>
      </c>
      <c r="AK25" s="450">
        <f t="shared" si="28"/>
        <v>17203.109025214642</v>
      </c>
      <c r="AL25" s="503">
        <f t="shared" si="18"/>
        <v>2968804.122012731</v>
      </c>
      <c r="AM25" s="449">
        <f t="shared" si="19"/>
        <v>18655.477080132605</v>
      </c>
      <c r="AN25" s="450">
        <f t="shared" si="20"/>
        <v>955.7109159903998</v>
      </c>
      <c r="AO25" s="450">
        <f t="shared" si="21"/>
        <v>16712.372919867394</v>
      </c>
      <c r="AP25" s="503">
        <f t="shared" si="22"/>
        <v>2952091.749092864</v>
      </c>
      <c r="AQ25" s="449">
        <f t="shared" si="23"/>
        <v>18155.768653051127</v>
      </c>
      <c r="AR25" s="450">
        <f t="shared" si="24"/>
        <v>930.1110990292584</v>
      </c>
      <c r="AS25" s="450">
        <f t="shared" si="25"/>
        <v>17212.08134694887</v>
      </c>
      <c r="AT25" s="517">
        <f t="shared" si="26"/>
        <v>2934879.667745915</v>
      </c>
      <c r="AU25" s="503"/>
      <c r="AV25" s="503"/>
      <c r="AW25" s="503"/>
      <c r="AX25" s="503"/>
      <c r="AY25" s="503"/>
      <c r="AZ25" s="503"/>
      <c r="BA25" s="503"/>
      <c r="BB25" s="503"/>
      <c r="BC25" s="495"/>
      <c r="BD25" s="495"/>
      <c r="BE25" s="495"/>
      <c r="BF25" s="495"/>
      <c r="BG25" s="495"/>
      <c r="BH25" s="495"/>
      <c r="BI25" s="495"/>
      <c r="BJ25" s="495"/>
      <c r="BK25" s="495"/>
      <c r="BL25" s="495"/>
      <c r="BM25" s="482"/>
      <c r="BN25" s="483"/>
      <c r="BO25" s="483"/>
      <c r="BP25" s="482"/>
    </row>
    <row r="26" spans="1:68" ht="27" customHeight="1">
      <c r="A26" s="390" t="s">
        <v>215</v>
      </c>
      <c r="B26" s="390" t="s">
        <v>216</v>
      </c>
      <c r="C26" s="330">
        <v>43854</v>
      </c>
      <c r="D26" s="330">
        <v>55884</v>
      </c>
      <c r="E26" s="330"/>
      <c r="F26" s="422">
        <v>2293226.5100000002</v>
      </c>
      <c r="G26" s="394">
        <v>0.02043</v>
      </c>
      <c r="H26" s="394" t="s">
        <v>164</v>
      </c>
      <c r="I26" s="450">
        <v>11167.13</v>
      </c>
      <c r="J26" s="384">
        <v>683.26</v>
      </c>
      <c r="K26" s="384">
        <v>13838.26</v>
      </c>
      <c r="L26" s="469">
        <f t="shared" si="0"/>
        <v>2279388.2500000005</v>
      </c>
      <c r="M26" s="510">
        <f t="shared" si="1"/>
        <v>25005.39</v>
      </c>
      <c r="N26" s="449">
        <f t="shared" si="8"/>
        <v>11610.07966362329</v>
      </c>
      <c r="O26" s="450">
        <f t="shared" si="2"/>
        <v>710.36</v>
      </c>
      <c r="P26" s="450">
        <f t="shared" si="9"/>
        <v>13395.31033637671</v>
      </c>
      <c r="Q26" s="469">
        <f t="shared" si="3"/>
        <v>2265992.939663624</v>
      </c>
      <c r="R26" s="449">
        <f t="shared" si="4"/>
        <v>11668.684081299072</v>
      </c>
      <c r="S26" s="450">
        <v>713.94</v>
      </c>
      <c r="T26" s="450">
        <f>M26-R26</f>
        <v>13336.705918700927</v>
      </c>
      <c r="U26" s="469">
        <f t="shared" si="11"/>
        <v>2252656.233744923</v>
      </c>
      <c r="V26" s="510"/>
      <c r="W26" s="449">
        <v>11978.27</v>
      </c>
      <c r="X26" s="384">
        <v>732.88</v>
      </c>
      <c r="Y26" s="450">
        <v>13027.12</v>
      </c>
      <c r="Z26" s="469">
        <f t="shared" si="30"/>
        <v>2239629.113744923</v>
      </c>
      <c r="AA26" s="449">
        <f t="shared" si="5"/>
        <v>49264.60374492236</v>
      </c>
      <c r="AB26" s="450">
        <f t="shared" si="6"/>
        <v>53597.39625507764</v>
      </c>
      <c r="AC26" s="510">
        <f t="shared" si="7"/>
        <v>2239629.1137449224</v>
      </c>
      <c r="AD26" s="481">
        <f t="shared" si="27"/>
        <v>25005.39</v>
      </c>
      <c r="AE26" s="449">
        <f t="shared" si="29"/>
        <v>10906.134748113322</v>
      </c>
      <c r="AF26" s="450">
        <f t="shared" si="13"/>
        <v>667.286756492494</v>
      </c>
      <c r="AG26" s="450">
        <f t="shared" si="14"/>
        <v>14099.255251886678</v>
      </c>
      <c r="AH26" s="469">
        <f t="shared" si="15"/>
        <v>2225529.8584930357</v>
      </c>
      <c r="AI26" s="449">
        <f t="shared" si="16"/>
        <v>11335.751577589472</v>
      </c>
      <c r="AJ26" s="450">
        <f t="shared" si="17"/>
        <v>693.572661379679</v>
      </c>
      <c r="AK26" s="450">
        <f t="shared" si="28"/>
        <v>13669.638422410528</v>
      </c>
      <c r="AL26" s="503">
        <f t="shared" si="18"/>
        <v>2211860.220070625</v>
      </c>
      <c r="AM26" s="449">
        <f t="shared" si="19"/>
        <v>11637.535900898712</v>
      </c>
      <c r="AN26" s="450">
        <f t="shared" si="20"/>
        <v>712.0371941323245</v>
      </c>
      <c r="AO26" s="450">
        <f t="shared" si="21"/>
        <v>13367.854099101287</v>
      </c>
      <c r="AP26" s="503">
        <f t="shared" si="22"/>
        <v>2198492.365971524</v>
      </c>
      <c r="AQ26" s="449">
        <f t="shared" si="23"/>
        <v>11321.09126406969</v>
      </c>
      <c r="AR26" s="450">
        <f t="shared" si="24"/>
        <v>692.6756769499322</v>
      </c>
      <c r="AS26" s="450">
        <f t="shared" si="25"/>
        <v>13684.29873593031</v>
      </c>
      <c r="AT26" s="517">
        <f t="shared" si="26"/>
        <v>2184808.0672355937</v>
      </c>
      <c r="AU26" s="503"/>
      <c r="AV26" s="503"/>
      <c r="AW26" s="503"/>
      <c r="AX26" s="503"/>
      <c r="AY26" s="503"/>
      <c r="AZ26" s="503"/>
      <c r="BA26" s="503"/>
      <c r="BB26" s="503"/>
      <c r="BC26" s="495"/>
      <c r="BD26" s="495"/>
      <c r="BE26" s="495"/>
      <c r="BF26" s="495"/>
      <c r="BG26" s="495"/>
      <c r="BH26" s="495"/>
      <c r="BI26" s="495"/>
      <c r="BJ26" s="495"/>
      <c r="BK26" s="495"/>
      <c r="BL26" s="495"/>
      <c r="BM26" s="482"/>
      <c r="BN26" s="483"/>
      <c r="BO26" s="483"/>
      <c r="BP26" s="482"/>
    </row>
    <row r="27" spans="1:68" ht="27" customHeight="1">
      <c r="A27" s="390" t="s">
        <v>219</v>
      </c>
      <c r="B27" s="390" t="s">
        <v>220</v>
      </c>
      <c r="C27" s="330">
        <v>44011</v>
      </c>
      <c r="D27" s="330">
        <v>55884</v>
      </c>
      <c r="E27" s="330"/>
      <c r="F27" s="422">
        <v>2307925.3099999996</v>
      </c>
      <c r="G27" s="394">
        <v>0.01133</v>
      </c>
      <c r="H27" s="394" t="s">
        <v>164</v>
      </c>
      <c r="I27" s="450">
        <v>6232.73</v>
      </c>
      <c r="J27" s="384">
        <v>687.64</v>
      </c>
      <c r="K27" s="384">
        <v>15863.03</v>
      </c>
      <c r="L27" s="469">
        <f t="shared" si="0"/>
        <v>2292062.28</v>
      </c>
      <c r="M27" s="510">
        <f t="shared" si="1"/>
        <v>22095.760000000002</v>
      </c>
      <c r="N27" s="449">
        <f t="shared" si="8"/>
        <v>6474.479376844931</v>
      </c>
      <c r="O27" s="450">
        <f t="shared" si="2"/>
        <v>714.31</v>
      </c>
      <c r="P27" s="450">
        <f>+M27-N27</f>
        <v>15621.280623155071</v>
      </c>
      <c r="Q27" s="469">
        <f t="shared" si="3"/>
        <v>2276440.9993768446</v>
      </c>
      <c r="R27" s="449">
        <f t="shared" si="4"/>
        <v>6501.016548247802</v>
      </c>
      <c r="S27" s="450">
        <v>717.23</v>
      </c>
      <c r="T27" s="450">
        <f>M27-R27</f>
        <v>15594.7434517522</v>
      </c>
      <c r="U27" s="469">
        <f t="shared" si="11"/>
        <v>2260846.2559250924</v>
      </c>
      <c r="V27" s="510"/>
      <c r="W27" s="449">
        <v>6667.02</v>
      </c>
      <c r="X27" s="384">
        <v>735.55</v>
      </c>
      <c r="Y27" s="450">
        <v>15428.74</v>
      </c>
      <c r="Z27" s="469">
        <f t="shared" si="30"/>
        <v>2245417.515925092</v>
      </c>
      <c r="AA27" s="450">
        <f t="shared" si="5"/>
        <v>28729.97592509273</v>
      </c>
      <c r="AB27" s="450">
        <f t="shared" si="6"/>
        <v>62507.794074907266</v>
      </c>
      <c r="AC27" s="510">
        <f t="shared" si="7"/>
        <v>2245417.515925092</v>
      </c>
      <c r="AD27" s="481">
        <f t="shared" si="27"/>
        <v>22095.760000000002</v>
      </c>
      <c r="AE27" s="449">
        <f t="shared" si="29"/>
        <v>6063.919177048007</v>
      </c>
      <c r="AF27" s="450">
        <f t="shared" si="13"/>
        <v>669.0113831694623</v>
      </c>
      <c r="AG27" s="450">
        <f t="shared" si="14"/>
        <v>16031.840822951996</v>
      </c>
      <c r="AH27" s="469">
        <f t="shared" si="15"/>
        <v>2229385.6751021403</v>
      </c>
      <c r="AI27" s="449">
        <f t="shared" si="16"/>
        <v>6297.434281097424</v>
      </c>
      <c r="AJ27" s="450">
        <f t="shared" si="17"/>
        <v>694.7743028571738</v>
      </c>
      <c r="AK27" s="450">
        <f t="shared" si="28"/>
        <v>15798.325718902579</v>
      </c>
      <c r="AL27" s="503">
        <f t="shared" si="18"/>
        <v>2213587.349383238</v>
      </c>
      <c r="AM27" s="449">
        <f t="shared" si="19"/>
        <v>6458.944654356536</v>
      </c>
      <c r="AN27" s="450">
        <f t="shared" si="20"/>
        <v>712.593187815152</v>
      </c>
      <c r="AO27" s="450">
        <f t="shared" si="21"/>
        <v>15636.815345643467</v>
      </c>
      <c r="AP27" s="503">
        <f t="shared" si="22"/>
        <v>2197950.534037594</v>
      </c>
      <c r="AQ27" s="449">
        <f t="shared" si="23"/>
        <v>6276.8649826285655</v>
      </c>
      <c r="AR27" s="450">
        <f t="shared" si="24"/>
        <v>692.504962778968</v>
      </c>
      <c r="AS27" s="450">
        <f t="shared" si="25"/>
        <v>15818.895017371437</v>
      </c>
      <c r="AT27" s="517">
        <f t="shared" si="26"/>
        <v>2182131.6390202227</v>
      </c>
      <c r="AU27" s="503"/>
      <c r="AV27" s="503"/>
      <c r="AW27" s="503"/>
      <c r="AX27" s="503"/>
      <c r="AY27" s="503"/>
      <c r="AZ27" s="503"/>
      <c r="BA27" s="503"/>
      <c r="BB27" s="503"/>
      <c r="BC27" s="495"/>
      <c r="BD27" s="495"/>
      <c r="BE27" s="495"/>
      <c r="BF27" s="495"/>
      <c r="BG27" s="495"/>
      <c r="BH27" s="495"/>
      <c r="BI27" s="495"/>
      <c r="BJ27" s="495"/>
      <c r="BK27" s="495"/>
      <c r="BL27" s="495"/>
      <c r="BM27" s="482"/>
      <c r="BN27" s="483"/>
      <c r="BO27" s="483"/>
      <c r="BP27" s="482"/>
    </row>
    <row r="28" spans="1:68" ht="27" customHeight="1">
      <c r="A28" s="390" t="s">
        <v>244</v>
      </c>
      <c r="B28" s="390" t="s">
        <v>245</v>
      </c>
      <c r="C28" s="330">
        <v>44250</v>
      </c>
      <c r="D28" s="330">
        <v>55884</v>
      </c>
      <c r="E28" s="330"/>
      <c r="F28" s="422">
        <v>3027224.28</v>
      </c>
      <c r="G28" s="394">
        <v>0.02522</v>
      </c>
      <c r="H28" s="394" t="s">
        <v>164</v>
      </c>
      <c r="I28" s="450">
        <v>331.92</v>
      </c>
      <c r="J28" s="384">
        <v>901.95</v>
      </c>
      <c r="K28" s="384">
        <v>24256.96</v>
      </c>
      <c r="L28" s="469">
        <f>+F28-K28</f>
        <v>3002967.32</v>
      </c>
      <c r="M28" s="510">
        <f>16286.69+18881.84</f>
        <v>35168.53</v>
      </c>
      <c r="N28" s="449">
        <f t="shared" si="8"/>
        <v>18881.835777387394</v>
      </c>
      <c r="O28" s="450">
        <f t="shared" si="2"/>
        <v>935.86</v>
      </c>
      <c r="P28" s="450">
        <v>16286.69</v>
      </c>
      <c r="Q28" s="469">
        <f t="shared" si="3"/>
        <v>2986680.63</v>
      </c>
      <c r="R28" s="449">
        <f t="shared" si="4"/>
        <v>18985.796890277263</v>
      </c>
      <c r="S28" s="450">
        <v>941.01</v>
      </c>
      <c r="T28" s="450">
        <f t="shared" si="10"/>
        <v>16182.733109722736</v>
      </c>
      <c r="U28" s="469">
        <f>Q28-T28</f>
        <v>2970497.896890277</v>
      </c>
      <c r="V28" s="510"/>
      <c r="W28" s="449">
        <v>19498.67</v>
      </c>
      <c r="X28" s="384">
        <v>966.43</v>
      </c>
      <c r="Y28" s="450">
        <v>15669.86</v>
      </c>
      <c r="Z28" s="469">
        <f t="shared" si="30"/>
        <v>2954828.036890277</v>
      </c>
      <c r="AA28" s="450">
        <f t="shared" si="5"/>
        <v>61443.47266766465</v>
      </c>
      <c r="AB28" s="450">
        <f t="shared" si="6"/>
        <v>72396.24310972274</v>
      </c>
      <c r="AC28" s="510">
        <f t="shared" si="7"/>
        <v>2954828.036890277</v>
      </c>
      <c r="AD28" s="481">
        <f t="shared" si="27"/>
        <v>35168.53</v>
      </c>
      <c r="AE28" s="449">
        <f t="shared" si="29"/>
        <v>17762.48325715735</v>
      </c>
      <c r="AF28" s="450">
        <f t="shared" si="13"/>
        <v>880.3768466077196</v>
      </c>
      <c r="AG28" s="450">
        <f t="shared" si="14"/>
        <v>17406.04674284265</v>
      </c>
      <c r="AH28" s="469">
        <f t="shared" si="15"/>
        <v>2937421.9901474346</v>
      </c>
      <c r="AI28" s="449">
        <f t="shared" si="16"/>
        <v>18469.704700899085</v>
      </c>
      <c r="AJ28" s="450">
        <f t="shared" si="17"/>
        <v>915.4294558336182</v>
      </c>
      <c r="AK28" s="450">
        <f t="shared" si="28"/>
        <v>16698.825299100914</v>
      </c>
      <c r="AL28" s="503">
        <f t="shared" si="18"/>
        <v>2920723.1648483337</v>
      </c>
      <c r="AM28" s="449">
        <f t="shared" si="19"/>
        <v>18970.136965596295</v>
      </c>
      <c r="AN28" s="450">
        <f t="shared" si="20"/>
        <v>940.2327996429568</v>
      </c>
      <c r="AO28" s="450">
        <f t="shared" si="21"/>
        <v>16198.393034403703</v>
      </c>
      <c r="AP28" s="503">
        <f t="shared" si="22"/>
        <v>2904524.77181393</v>
      </c>
      <c r="AQ28" s="449">
        <f t="shared" si="23"/>
        <v>18463.546730283706</v>
      </c>
      <c r="AR28" s="450">
        <f t="shared" si="24"/>
        <v>915.1242431742519</v>
      </c>
      <c r="AS28" s="450">
        <f t="shared" si="25"/>
        <v>16704.983269716293</v>
      </c>
      <c r="AT28" s="517">
        <f t="shared" si="26"/>
        <v>2887819.788544214</v>
      </c>
      <c r="AU28" s="503"/>
      <c r="AV28" s="503"/>
      <c r="AW28" s="503"/>
      <c r="AX28" s="503"/>
      <c r="AY28" s="503"/>
      <c r="AZ28" s="503"/>
      <c r="BA28" s="503"/>
      <c r="BB28" s="503"/>
      <c r="BC28" s="495"/>
      <c r="BD28" s="495"/>
      <c r="BE28" s="495"/>
      <c r="BF28" s="495"/>
      <c r="BG28" s="495"/>
      <c r="BH28" s="495"/>
      <c r="BI28" s="495"/>
      <c r="BJ28" s="495"/>
      <c r="BK28" s="495"/>
      <c r="BL28" s="495"/>
      <c r="BM28" s="482"/>
      <c r="BN28" s="483"/>
      <c r="BO28" s="483"/>
      <c r="BP28" s="482"/>
    </row>
    <row r="29" spans="1:68" ht="27" customHeight="1">
      <c r="A29" s="390" t="s">
        <v>251</v>
      </c>
      <c r="B29" s="390" t="s">
        <v>252</v>
      </c>
      <c r="C29" s="330">
        <v>44529</v>
      </c>
      <c r="D29" s="330">
        <v>55884</v>
      </c>
      <c r="E29" s="330"/>
      <c r="F29" s="422">
        <v>2700000</v>
      </c>
      <c r="G29" s="394">
        <v>0.02522</v>
      </c>
      <c r="H29" s="394" t="s">
        <v>164</v>
      </c>
      <c r="I29" s="450">
        <v>489.11</v>
      </c>
      <c r="J29" s="384">
        <v>804.45</v>
      </c>
      <c r="K29" s="384">
        <v>21544.51</v>
      </c>
      <c r="L29" s="469">
        <f>+F29-K29</f>
        <v>2678455.49</v>
      </c>
      <c r="M29" s="510">
        <f>14526.7+16841.39</f>
        <v>31368.09</v>
      </c>
      <c r="N29" s="449">
        <f t="shared" si="8"/>
        <v>16841.394297698083</v>
      </c>
      <c r="O29" s="450">
        <f t="shared" si="2"/>
        <v>834.72</v>
      </c>
      <c r="P29" s="450">
        <v>14526.7</v>
      </c>
      <c r="Q29" s="469">
        <f t="shared" si="3"/>
        <v>2663928.79</v>
      </c>
      <c r="R29" s="449">
        <f t="shared" si="4"/>
        <v>16934.120919752328</v>
      </c>
      <c r="S29" s="450">
        <v>839.32</v>
      </c>
      <c r="T29" s="450">
        <f t="shared" si="10"/>
        <v>14433.969080247673</v>
      </c>
      <c r="U29" s="469">
        <f>+Q29-T29</f>
        <v>2649494.8209197526</v>
      </c>
      <c r="V29" s="510"/>
      <c r="W29" s="449">
        <v>17391.57</v>
      </c>
      <c r="X29" s="384">
        <v>861.99</v>
      </c>
      <c r="Y29" s="450">
        <v>13976.52</v>
      </c>
      <c r="Z29" s="469">
        <f>U29-Y29</f>
        <v>2635518.3009197526</v>
      </c>
      <c r="AA29" s="450">
        <f t="shared" si="5"/>
        <v>54996.675217450414</v>
      </c>
      <c r="AB29" s="450">
        <f t="shared" si="6"/>
        <v>64481.69908024768</v>
      </c>
      <c r="AC29" s="510">
        <f t="shared" si="7"/>
        <v>2635518.300919752</v>
      </c>
      <c r="AD29" s="481">
        <f t="shared" si="27"/>
        <v>31368.09</v>
      </c>
      <c r="AE29" s="449">
        <f t="shared" si="29"/>
        <v>15843.003081589217</v>
      </c>
      <c r="AF29" s="450">
        <f t="shared" si="13"/>
        <v>785.2400417123919</v>
      </c>
      <c r="AG29" s="450">
        <f t="shared" si="14"/>
        <v>15525.086918410783</v>
      </c>
      <c r="AH29" s="469">
        <f t="shared" si="15"/>
        <v>2619993.2140013413</v>
      </c>
      <c r="AI29" s="449">
        <f t="shared" si="16"/>
        <v>16473.79952328043</v>
      </c>
      <c r="AJ29" s="450">
        <f t="shared" si="17"/>
        <v>816.5047345004181</v>
      </c>
      <c r="AK29" s="450">
        <f t="shared" si="28"/>
        <v>14894.290476719569</v>
      </c>
      <c r="AL29" s="503">
        <f t="shared" si="18"/>
        <v>2605098.923524622</v>
      </c>
      <c r="AM29" s="449">
        <f t="shared" si="19"/>
        <v>16920.15319457904</v>
      </c>
      <c r="AN29" s="450">
        <f t="shared" si="20"/>
        <v>838.6277356551865</v>
      </c>
      <c r="AO29" s="450">
        <f t="shared" si="21"/>
        <v>14447.936805420959</v>
      </c>
      <c r="AP29" s="503">
        <f t="shared" si="22"/>
        <v>2590650.986719201</v>
      </c>
      <c r="AQ29" s="449">
        <f t="shared" si="23"/>
        <v>16468.306973768103</v>
      </c>
      <c r="AR29" s="450">
        <f t="shared" si="24"/>
        <v>816.2325026649538</v>
      </c>
      <c r="AS29" s="450">
        <f t="shared" si="25"/>
        <v>14899.783026231897</v>
      </c>
      <c r="AT29" s="517">
        <f t="shared" si="26"/>
        <v>2575751.203692969</v>
      </c>
      <c r="AU29" s="503"/>
      <c r="AV29" s="503"/>
      <c r="AW29" s="503"/>
      <c r="AX29" s="503"/>
      <c r="AY29" s="503"/>
      <c r="AZ29" s="503"/>
      <c r="BA29" s="503"/>
      <c r="BB29" s="503"/>
      <c r="BC29" s="495"/>
      <c r="BD29" s="495"/>
      <c r="BE29" s="495"/>
      <c r="BF29" s="495"/>
      <c r="BG29" s="495"/>
      <c r="BH29" s="495"/>
      <c r="BI29" s="495"/>
      <c r="BJ29" s="495"/>
      <c r="BK29" s="495"/>
      <c r="BL29" s="495"/>
      <c r="BM29" s="482"/>
      <c r="BN29" s="483"/>
      <c r="BO29" s="483"/>
      <c r="BP29" s="482"/>
    </row>
    <row r="30" spans="1:68" ht="27" customHeight="1">
      <c r="A30" s="390" t="s">
        <v>260</v>
      </c>
      <c r="B30" s="390" t="s">
        <v>261</v>
      </c>
      <c r="C30" s="330">
        <v>44700</v>
      </c>
      <c r="D30" s="330">
        <v>47391</v>
      </c>
      <c r="E30" s="330"/>
      <c r="F30" s="422">
        <v>3000000</v>
      </c>
      <c r="G30" s="394">
        <v>0.03879</v>
      </c>
      <c r="H30" s="394" t="s">
        <v>113</v>
      </c>
      <c r="I30" s="450"/>
      <c r="J30" s="384"/>
      <c r="K30" s="384"/>
      <c r="L30" s="469"/>
      <c r="M30" s="510"/>
      <c r="N30" s="449">
        <v>4501.48</v>
      </c>
      <c r="O30" s="450">
        <v>431.51</v>
      </c>
      <c r="P30" s="450">
        <v>0</v>
      </c>
      <c r="Q30" s="469">
        <f>+F30</f>
        <v>3000000</v>
      </c>
      <c r="R30" s="403">
        <v>9860.38</v>
      </c>
      <c r="S30" s="384">
        <v>945.21</v>
      </c>
      <c r="T30" s="384">
        <v>19984.06</v>
      </c>
      <c r="U30" s="469">
        <f>+Q30-T30</f>
        <v>2980015.94</v>
      </c>
      <c r="V30" s="510"/>
      <c r="W30" s="449">
        <v>30086.32</v>
      </c>
      <c r="X30" s="384">
        <v>969.53</v>
      </c>
      <c r="Y30" s="450">
        <v>11863.48</v>
      </c>
      <c r="Z30" s="469">
        <f t="shared" si="30"/>
        <v>2968152.46</v>
      </c>
      <c r="AA30" s="450">
        <f t="shared" si="5"/>
        <v>46794.42999999999</v>
      </c>
      <c r="AB30" s="450">
        <f t="shared" si="6"/>
        <v>31847.54</v>
      </c>
      <c r="AC30" s="510">
        <f t="shared" si="7"/>
        <v>2968152.46</v>
      </c>
      <c r="AD30" s="481">
        <f t="shared" si="27"/>
        <v>41949.8</v>
      </c>
      <c r="AE30" s="449">
        <f t="shared" si="29"/>
        <v>27443.04972968712</v>
      </c>
      <c r="AF30" s="450">
        <f t="shared" si="13"/>
        <v>884.346794589041</v>
      </c>
      <c r="AG30" s="450">
        <f t="shared" si="14"/>
        <v>14506.750270312881</v>
      </c>
      <c r="AH30" s="469">
        <f t="shared" si="15"/>
        <v>2953645.7097296873</v>
      </c>
      <c r="AI30" s="449">
        <f t="shared" si="16"/>
        <v>28564.505354295143</v>
      </c>
      <c r="AJ30" s="450">
        <f t="shared" si="17"/>
        <v>920.4854780321971</v>
      </c>
      <c r="AK30" s="450">
        <f t="shared" si="28"/>
        <v>13385.29464570486</v>
      </c>
      <c r="AL30" s="503">
        <f t="shared" si="18"/>
        <v>2940260.4150839825</v>
      </c>
      <c r="AM30" s="449">
        <f t="shared" si="19"/>
        <v>29372.476550970194</v>
      </c>
      <c r="AN30" s="450">
        <f t="shared" si="20"/>
        <v>946.5221884174465</v>
      </c>
      <c r="AO30" s="450">
        <f t="shared" si="21"/>
        <v>12577.32344902981</v>
      </c>
      <c r="AP30" s="503">
        <f t="shared" si="22"/>
        <v>2927683.091634953</v>
      </c>
      <c r="AQ30" s="449">
        <f t="shared" si="23"/>
        <v>28624.559165632392</v>
      </c>
      <c r="AR30" s="450">
        <f t="shared" si="24"/>
        <v>922.4207001041633</v>
      </c>
      <c r="AS30" s="450">
        <f t="shared" si="25"/>
        <v>13325.24083436761</v>
      </c>
      <c r="AT30" s="517">
        <f t="shared" si="26"/>
        <v>2914357.8508005855</v>
      </c>
      <c r="AU30" s="503"/>
      <c r="AV30" s="503"/>
      <c r="AW30" s="503"/>
      <c r="AX30" s="503"/>
      <c r="AY30" s="503"/>
      <c r="AZ30" s="503"/>
      <c r="BA30" s="503"/>
      <c r="BB30" s="503"/>
      <c r="BC30" s="495"/>
      <c r="BD30" s="495"/>
      <c r="BE30" s="495"/>
      <c r="BF30" s="495"/>
      <c r="BG30" s="495"/>
      <c r="BH30" s="495"/>
      <c r="BI30" s="495"/>
      <c r="BJ30" s="495"/>
      <c r="BK30" s="495"/>
      <c r="BL30" s="495"/>
      <c r="BM30" s="482"/>
      <c r="BN30" s="483"/>
      <c r="BO30" s="483"/>
      <c r="BP30" s="482"/>
    </row>
    <row r="31" spans="1:68" ht="27" customHeight="1">
      <c r="A31" s="390" t="s">
        <v>269</v>
      </c>
      <c r="B31" s="390" t="s">
        <v>270</v>
      </c>
      <c r="C31" s="330">
        <v>44812</v>
      </c>
      <c r="D31" s="330">
        <v>45930</v>
      </c>
      <c r="E31" s="330"/>
      <c r="F31" s="422">
        <v>2319000</v>
      </c>
      <c r="G31" s="394">
        <v>0.03532</v>
      </c>
      <c r="H31" s="394" t="s">
        <v>113</v>
      </c>
      <c r="I31" s="450"/>
      <c r="J31" s="384"/>
      <c r="K31" s="384"/>
      <c r="L31" s="469"/>
      <c r="M31" s="510"/>
      <c r="N31" s="449"/>
      <c r="O31" s="450"/>
      <c r="P31" s="450"/>
      <c r="Q31" s="469"/>
      <c r="R31" s="403"/>
      <c r="S31" s="384"/>
      <c r="T31" s="384"/>
      <c r="U31" s="469">
        <f>+F31</f>
        <v>2319000</v>
      </c>
      <c r="V31" s="510"/>
      <c r="W31" s="449">
        <v>26479.55</v>
      </c>
      <c r="X31" s="384">
        <v>937.13</v>
      </c>
      <c r="Y31" s="450">
        <v>4861.25</v>
      </c>
      <c r="Z31" s="469">
        <f t="shared" si="30"/>
        <v>2314138.75</v>
      </c>
      <c r="AA31" s="450">
        <f t="shared" si="5"/>
        <v>27416.68</v>
      </c>
      <c r="AB31" s="450">
        <f t="shared" si="6"/>
        <v>4861.25</v>
      </c>
      <c r="AC31" s="510">
        <f t="shared" si="7"/>
        <v>2314138.75</v>
      </c>
      <c r="AD31" s="481">
        <f t="shared" si="27"/>
        <v>31340.8</v>
      </c>
      <c r="AE31" s="449">
        <f t="shared" si="29"/>
        <v>19482.131826164383</v>
      </c>
      <c r="AF31" s="450">
        <f t="shared" si="13"/>
        <v>689.4865453767123</v>
      </c>
      <c r="AG31" s="450">
        <f t="shared" si="14"/>
        <v>11858.668173835616</v>
      </c>
      <c r="AH31" s="469">
        <f t="shared" si="15"/>
        <v>2302280.0818261644</v>
      </c>
      <c r="AI31" s="449">
        <f t="shared" si="16"/>
        <v>20273.436867394823</v>
      </c>
      <c r="AJ31" s="450">
        <f t="shared" si="17"/>
        <v>717.4913953636334</v>
      </c>
      <c r="AK31" s="450">
        <f t="shared" si="28"/>
        <v>11067.363132605176</v>
      </c>
      <c r="AL31" s="503">
        <f t="shared" si="18"/>
        <v>2291212.718693559</v>
      </c>
      <c r="AM31" s="449">
        <f t="shared" si="19"/>
        <v>20841.121981041397</v>
      </c>
      <c r="AN31" s="450">
        <f t="shared" si="20"/>
        <v>737.5821765657348</v>
      </c>
      <c r="AO31" s="450">
        <f t="shared" si="21"/>
        <v>10499.678018958602</v>
      </c>
      <c r="AP31" s="503">
        <f t="shared" si="22"/>
        <v>2280713.0406746003</v>
      </c>
      <c r="AQ31" s="449">
        <f t="shared" si="23"/>
        <v>20304.21967914979</v>
      </c>
      <c r="AR31" s="450">
        <f t="shared" si="24"/>
        <v>718.5808210344632</v>
      </c>
      <c r="AS31" s="450">
        <f t="shared" si="25"/>
        <v>11036.580320850207</v>
      </c>
      <c r="AT31" s="517">
        <f t="shared" si="26"/>
        <v>2269676.4603537503</v>
      </c>
      <c r="AU31" s="503"/>
      <c r="AV31" s="503"/>
      <c r="AW31" s="503"/>
      <c r="AX31" s="503"/>
      <c r="AY31" s="503"/>
      <c r="AZ31" s="503"/>
      <c r="BA31" s="503"/>
      <c r="BB31" s="503"/>
      <c r="BC31" s="495"/>
      <c r="BD31" s="495"/>
      <c r="BE31" s="495"/>
      <c r="BF31" s="495"/>
      <c r="BG31" s="495"/>
      <c r="BH31" s="495"/>
      <c r="BI31" s="495"/>
      <c r="BJ31" s="495"/>
      <c r="BK31" s="495"/>
      <c r="BL31" s="495"/>
      <c r="BM31" s="482">
        <v>516048.88</v>
      </c>
      <c r="BN31" s="483">
        <f>+BM31+AD31</f>
        <v>547389.68</v>
      </c>
      <c r="BO31" s="483">
        <f>+AC31+AC30+AC29+AC28+AC27+AC26+AC25+AC24</f>
        <v>21385230.49004573</v>
      </c>
      <c r="BP31" s="482"/>
    </row>
    <row r="32" spans="1:68" ht="27" customHeight="1">
      <c r="A32" s="390"/>
      <c r="B32" s="390"/>
      <c r="C32" s="330"/>
      <c r="D32" s="330"/>
      <c r="E32" s="330"/>
      <c r="F32" s="422"/>
      <c r="G32" s="394"/>
      <c r="H32" s="394"/>
      <c r="I32" s="450"/>
      <c r="J32" s="384"/>
      <c r="K32" s="384"/>
      <c r="L32" s="469"/>
      <c r="M32" s="510"/>
      <c r="N32" s="449"/>
      <c r="O32" s="450"/>
      <c r="P32" s="450"/>
      <c r="Q32" s="469"/>
      <c r="R32" s="403"/>
      <c r="S32" s="384"/>
      <c r="T32" s="384"/>
      <c r="U32" s="469"/>
      <c r="V32" s="510"/>
      <c r="W32" s="449"/>
      <c r="X32" s="384"/>
      <c r="Y32" s="450"/>
      <c r="Z32" s="469"/>
      <c r="AA32" s="450"/>
      <c r="AB32" s="450"/>
      <c r="AC32" s="510"/>
      <c r="AD32" s="495"/>
      <c r="AE32" s="450"/>
      <c r="AF32" s="450"/>
      <c r="AG32" s="450"/>
      <c r="AH32" s="469"/>
      <c r="AI32" s="450"/>
      <c r="AJ32" s="450"/>
      <c r="AK32" s="450"/>
      <c r="AL32" s="503"/>
      <c r="AM32" s="450"/>
      <c r="AN32" s="450"/>
      <c r="AO32" s="450"/>
      <c r="AP32" s="503"/>
      <c r="AQ32" s="450"/>
      <c r="AR32" s="450"/>
      <c r="AS32" s="450"/>
      <c r="AT32" s="503"/>
      <c r="AU32" s="503"/>
      <c r="AV32" s="503"/>
      <c r="AW32" s="503"/>
      <c r="AX32" s="503"/>
      <c r="AY32" s="503"/>
      <c r="AZ32" s="503"/>
      <c r="BA32" s="503"/>
      <c r="BB32" s="503"/>
      <c r="BC32" s="495"/>
      <c r="BD32" s="495"/>
      <c r="BE32" s="495"/>
      <c r="BF32" s="495"/>
      <c r="BG32" s="495"/>
      <c r="BH32" s="495"/>
      <c r="BI32" s="495"/>
      <c r="BJ32" s="495"/>
      <c r="BK32" s="495"/>
      <c r="BL32" s="495"/>
      <c r="BM32" s="482"/>
      <c r="BN32" s="483"/>
      <c r="BO32" s="483"/>
      <c r="BP32" s="482"/>
    </row>
    <row r="33" spans="1:68" ht="27" customHeight="1">
      <c r="A33" s="390"/>
      <c r="B33" s="390"/>
      <c r="C33" s="330"/>
      <c r="D33" s="330"/>
      <c r="E33" s="330"/>
      <c r="F33" s="422"/>
      <c r="G33" s="394"/>
      <c r="H33" s="394"/>
      <c r="I33" s="450"/>
      <c r="J33" s="384"/>
      <c r="K33" s="384"/>
      <c r="L33" s="469"/>
      <c r="M33" s="510"/>
      <c r="N33" s="449"/>
      <c r="O33" s="450"/>
      <c r="P33" s="450"/>
      <c r="Q33" s="469"/>
      <c r="R33" s="403"/>
      <c r="S33" s="384"/>
      <c r="T33" s="384"/>
      <c r="U33" s="469"/>
      <c r="V33" s="510"/>
      <c r="W33" s="449"/>
      <c r="X33" s="384"/>
      <c r="Y33" s="450"/>
      <c r="Z33" s="469"/>
      <c r="AA33" s="450"/>
      <c r="AB33" s="450"/>
      <c r="AC33" s="510"/>
      <c r="AD33" s="495"/>
      <c r="AE33" s="450"/>
      <c r="AF33" s="450"/>
      <c r="AG33" s="450"/>
      <c r="AH33" s="469"/>
      <c r="AI33" s="450"/>
      <c r="AJ33" s="450"/>
      <c r="AK33" s="450"/>
      <c r="AL33" s="503"/>
      <c r="AM33" s="450"/>
      <c r="AN33" s="450"/>
      <c r="AO33" s="450"/>
      <c r="AP33" s="503"/>
      <c r="AQ33" s="450"/>
      <c r="AR33" s="450"/>
      <c r="AS33" s="450"/>
      <c r="AT33" s="503"/>
      <c r="AU33" s="503"/>
      <c r="AV33" s="503"/>
      <c r="AW33" s="503"/>
      <c r="AX33" s="503"/>
      <c r="AY33" s="503"/>
      <c r="AZ33" s="503"/>
      <c r="BA33" s="503"/>
      <c r="BB33" s="503"/>
      <c r="BC33" s="495"/>
      <c r="BD33" s="495"/>
      <c r="BE33" s="495"/>
      <c r="BF33" s="495"/>
      <c r="BG33" s="495"/>
      <c r="BH33" s="495"/>
      <c r="BI33" s="495"/>
      <c r="BJ33" s="495"/>
      <c r="BK33" s="495"/>
      <c r="BL33" s="495"/>
      <c r="BM33" s="482"/>
      <c r="BN33" s="483"/>
      <c r="BO33" s="483"/>
      <c r="BP33" s="482"/>
    </row>
    <row r="34" spans="1:64" ht="27" customHeight="1">
      <c r="A34" s="390"/>
      <c r="B34" s="390"/>
      <c r="C34" s="330"/>
      <c r="D34" s="330"/>
      <c r="E34" s="330"/>
      <c r="F34" s="422"/>
      <c r="G34" s="394"/>
      <c r="H34" s="394"/>
      <c r="I34" s="450"/>
      <c r="J34" s="384"/>
      <c r="K34" s="384"/>
      <c r="L34" s="469"/>
      <c r="M34" s="323"/>
      <c r="N34" s="449"/>
      <c r="O34" s="450"/>
      <c r="P34" s="450"/>
      <c r="Q34" s="469"/>
      <c r="R34" s="403"/>
      <c r="S34" s="384"/>
      <c r="T34" s="384"/>
      <c r="U34" s="322"/>
      <c r="V34" s="323"/>
      <c r="W34" s="449"/>
      <c r="X34" s="384"/>
      <c r="Y34" s="450"/>
      <c r="Z34" s="322"/>
      <c r="AA34" s="321"/>
      <c r="AB34" s="321"/>
      <c r="AC34" s="323"/>
      <c r="AD34" s="493"/>
      <c r="AE34" s="450"/>
      <c r="AF34" s="384"/>
      <c r="AG34" s="384"/>
      <c r="AH34" s="469"/>
      <c r="AI34" s="493"/>
      <c r="AJ34" s="493"/>
      <c r="AK34" s="493"/>
      <c r="AL34" s="493"/>
      <c r="AM34" s="493"/>
      <c r="AN34" s="493"/>
      <c r="AO34" s="493"/>
      <c r="AP34" s="493"/>
      <c r="AQ34" s="493"/>
      <c r="AR34" s="493"/>
      <c r="AS34" s="493"/>
      <c r="AT34" s="493"/>
      <c r="AU34" s="493"/>
      <c r="AV34" s="493"/>
      <c r="AW34" s="493"/>
      <c r="AX34" s="493"/>
      <c r="AY34" s="493"/>
      <c r="AZ34" s="493"/>
      <c r="BA34" s="493"/>
      <c r="BB34" s="493"/>
      <c r="BC34" s="493"/>
      <c r="BD34" s="493"/>
      <c r="BE34" s="493"/>
      <c r="BF34" s="493"/>
      <c r="BG34" s="493"/>
      <c r="BH34" s="493"/>
      <c r="BI34" s="493"/>
      <c r="BJ34" s="493"/>
      <c r="BK34" s="493"/>
      <c r="BL34" s="493"/>
    </row>
    <row r="35" spans="1:83" ht="25.5" customHeight="1">
      <c r="A35" s="315"/>
      <c r="B35" s="315"/>
      <c r="C35" s="315"/>
      <c r="D35" s="315"/>
      <c r="E35" s="335"/>
      <c r="F35" s="336"/>
      <c r="G35" s="337"/>
      <c r="H35" s="337"/>
      <c r="I35" s="320">
        <f>SUM(I5:I29)</f>
        <v>304657.70999999996</v>
      </c>
      <c r="J35" s="321">
        <f>SUM(J5:J29)</f>
        <v>15056.080000000002</v>
      </c>
      <c r="K35" s="321">
        <f>SUM(K5:K29)</f>
        <v>409733.1800000001</v>
      </c>
      <c r="L35" s="338">
        <f>SUM(L5:L29)</f>
        <v>50123241.510000005</v>
      </c>
      <c r="M35" s="144"/>
      <c r="N35" s="320">
        <f aca="true" t="shared" si="31" ref="N35:T35">SUM(N5:N30)</f>
        <v>355199.72141888033</v>
      </c>
      <c r="O35" s="321">
        <f>SUM(O5:O30)</f>
        <v>16052.100000000002</v>
      </c>
      <c r="P35" s="321">
        <f t="shared" si="31"/>
        <v>383606.7686562052</v>
      </c>
      <c r="Q35" s="388">
        <f>SUM(Q5:Q31)</f>
        <v>52739634.741343796</v>
      </c>
      <c r="R35" s="339">
        <f t="shared" si="31"/>
        <v>361439.4217027168</v>
      </c>
      <c r="S35" s="323">
        <f t="shared" si="31"/>
        <v>16616.59</v>
      </c>
      <c r="T35" s="323">
        <f t="shared" si="31"/>
        <v>402710.0282972831</v>
      </c>
      <c r="U35" s="388">
        <f>SUM(U5:V31)</f>
        <v>54655924.7130465</v>
      </c>
      <c r="V35" s="323"/>
      <c r="W35" s="340">
        <f aca="true" t="shared" si="32" ref="W35:AB35">SUM(W5:W31)</f>
        <v>416543.83</v>
      </c>
      <c r="X35" s="323">
        <f t="shared" si="32"/>
        <v>17964.539999999997</v>
      </c>
      <c r="Y35" s="323">
        <f t="shared" si="32"/>
        <v>391051.77999999997</v>
      </c>
      <c r="Z35" s="338">
        <f t="shared" si="32"/>
        <v>54264872.9330465</v>
      </c>
      <c r="AA35" s="321">
        <f t="shared" si="32"/>
        <v>1503529.9931215972</v>
      </c>
      <c r="AB35" s="328">
        <f t="shared" si="32"/>
        <v>1587101.7569534883</v>
      </c>
      <c r="AC35" s="341"/>
      <c r="AD35" s="493"/>
      <c r="AE35" s="321">
        <f aca="true" t="shared" si="33" ref="AE35:AT35">SUM(AE5:AE31)</f>
        <v>373840.3037150466</v>
      </c>
      <c r="AF35" s="321">
        <f t="shared" si="33"/>
        <v>16167.958716352898</v>
      </c>
      <c r="AG35" s="321">
        <f t="shared" si="33"/>
        <v>433755.30628495343</v>
      </c>
      <c r="AH35" s="321">
        <f t="shared" si="33"/>
        <v>53831117.626761556</v>
      </c>
      <c r="AI35" s="321">
        <f t="shared" si="33"/>
        <v>387654.7256479706</v>
      </c>
      <c r="AJ35" s="321">
        <f t="shared" si="33"/>
        <v>16776.135972723638</v>
      </c>
      <c r="AK35" s="321">
        <f t="shared" si="33"/>
        <v>419940.88435202924</v>
      </c>
      <c r="AL35" s="321">
        <f t="shared" si="33"/>
        <v>53411176.74240953</v>
      </c>
      <c r="AM35" s="321">
        <f t="shared" si="33"/>
        <v>397058.56055906066</v>
      </c>
      <c r="AN35" s="321">
        <f t="shared" si="33"/>
        <v>17194.008951323616</v>
      </c>
      <c r="AO35" s="321">
        <f t="shared" si="33"/>
        <v>410537.0494409392</v>
      </c>
      <c r="AP35" s="321">
        <f t="shared" si="33"/>
        <v>53000639.69296858</v>
      </c>
      <c r="AQ35" s="321">
        <f t="shared" si="33"/>
        <v>385377.9669953179</v>
      </c>
      <c r="AR35" s="321">
        <f t="shared" si="33"/>
        <v>16698.831684085995</v>
      </c>
      <c r="AS35" s="321">
        <f t="shared" si="33"/>
        <v>422217.64300468203</v>
      </c>
      <c r="AT35" s="321">
        <f t="shared" si="33"/>
        <v>52578422.04996391</v>
      </c>
      <c r="AU35" s="493"/>
      <c r="AV35" s="518">
        <f>AE35+AF35+AI35+AJ35+AM35+AN35+AQ35+AR35</f>
        <v>1610768.4922418818</v>
      </c>
      <c r="AW35" s="493"/>
      <c r="AX35" s="493"/>
      <c r="AY35" s="493"/>
      <c r="AZ35" s="493"/>
      <c r="BA35" s="493"/>
      <c r="BB35" s="493"/>
      <c r="BC35" s="493"/>
      <c r="BD35" s="493"/>
      <c r="BE35" s="493"/>
      <c r="BF35" s="493"/>
      <c r="BG35" s="493"/>
      <c r="BH35" s="493"/>
      <c r="BI35" s="493"/>
      <c r="BJ35" s="493"/>
      <c r="BK35" s="493"/>
      <c r="BL35" s="493"/>
      <c r="BM35" s="496"/>
      <c r="BN35" s="496"/>
      <c r="BO35" s="496"/>
      <c r="BP35" s="496"/>
      <c r="BQ35" s="496"/>
      <c r="BR35" s="496"/>
      <c r="BS35" s="496"/>
      <c r="BT35" s="496"/>
      <c r="BU35" s="496"/>
      <c r="BV35" s="496"/>
      <c r="BW35" s="496"/>
      <c r="BX35" s="496"/>
      <c r="BY35" s="496"/>
      <c r="BZ35" s="496"/>
      <c r="CA35" s="496"/>
      <c r="CB35" s="496"/>
      <c r="CC35" s="496"/>
      <c r="CD35" s="496"/>
      <c r="CE35" s="496"/>
    </row>
    <row r="36" spans="1:83" ht="15" hidden="1">
      <c r="A36" s="315"/>
      <c r="B36" s="315"/>
      <c r="C36" s="315"/>
      <c r="D36" s="315"/>
      <c r="E36" s="335" t="s">
        <v>267</v>
      </c>
      <c r="F36" s="336">
        <f>+F35+F30</f>
        <v>3000000</v>
      </c>
      <c r="G36" s="337"/>
      <c r="H36" s="337"/>
      <c r="I36" s="339"/>
      <c r="J36" s="317"/>
      <c r="K36" s="328"/>
      <c r="L36" s="342"/>
      <c r="M36" s="4" t="s">
        <v>264</v>
      </c>
      <c r="N36" s="339"/>
      <c r="O36" s="317"/>
      <c r="P36" s="328"/>
      <c r="Q36" s="344"/>
      <c r="R36" s="339"/>
      <c r="S36" s="317"/>
      <c r="T36" s="328"/>
      <c r="U36" s="345"/>
      <c r="V36" s="345"/>
      <c r="W36" s="339"/>
      <c r="X36" s="317"/>
      <c r="Y36" s="328"/>
      <c r="Z36" s="345"/>
      <c r="AA36" s="340"/>
      <c r="AB36" s="317"/>
      <c r="AC36" s="345"/>
      <c r="AD36" s="493"/>
      <c r="AE36" s="323"/>
      <c r="AF36" s="323"/>
      <c r="AG36" s="321"/>
      <c r="AH36" s="497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3"/>
      <c r="BD36" s="493"/>
      <c r="BE36" s="493"/>
      <c r="BF36" s="493"/>
      <c r="BG36" s="493"/>
      <c r="BH36" s="493"/>
      <c r="BI36" s="493"/>
      <c r="BJ36" s="493"/>
      <c r="BK36" s="493"/>
      <c r="BL36" s="493"/>
      <c r="BM36" s="498" t="s">
        <v>227</v>
      </c>
      <c r="BN36" s="496"/>
      <c r="BO36" s="496"/>
      <c r="BP36" s="496"/>
      <c r="BQ36" s="496"/>
      <c r="BR36" s="496"/>
      <c r="BS36" s="496"/>
      <c r="BT36" s="496"/>
      <c r="BU36" s="496"/>
      <c r="BV36" s="496"/>
      <c r="BW36" s="496"/>
      <c r="BX36" s="496"/>
      <c r="BY36" s="496"/>
      <c r="BZ36" s="496"/>
      <c r="CA36" s="496"/>
      <c r="CB36" s="496"/>
      <c r="CC36" s="496"/>
      <c r="CD36" s="496"/>
      <c r="CE36" s="496"/>
    </row>
    <row r="37" spans="1:83" ht="15" hidden="1">
      <c r="A37" s="346"/>
      <c r="B37" s="346"/>
      <c r="C37" s="315"/>
      <c r="D37" s="315"/>
      <c r="E37" s="335" t="s">
        <v>268</v>
      </c>
      <c r="F37" s="336">
        <f>+F36+F31</f>
        <v>5319000</v>
      </c>
      <c r="G37" s="337"/>
      <c r="H37" s="337"/>
      <c r="I37" s="339">
        <f>+I35+J35</f>
        <v>319713.79</v>
      </c>
      <c r="J37" s="347"/>
      <c r="K37" s="328"/>
      <c r="L37" s="322"/>
      <c r="M37" s="323">
        <f>+L35+3000000</f>
        <v>53123241.510000005</v>
      </c>
      <c r="N37" s="339">
        <f>+N35+O35</f>
        <v>371251.8214188803</v>
      </c>
      <c r="O37" s="347"/>
      <c r="P37" s="328"/>
      <c r="Q37" s="322"/>
      <c r="R37" s="327">
        <f>+R35+S35</f>
        <v>378056.0117027168</v>
      </c>
      <c r="S37" s="109"/>
      <c r="T37" s="317"/>
      <c r="W37" s="339">
        <f>+W35+X35</f>
        <v>434508.37</v>
      </c>
      <c r="X37" s="347"/>
      <c r="Y37" s="328"/>
      <c r="Z37" s="348"/>
      <c r="AA37" s="340"/>
      <c r="AB37" s="343"/>
      <c r="AC37" s="349"/>
      <c r="AD37" s="493"/>
      <c r="AE37" s="323"/>
      <c r="AF37" s="499"/>
      <c r="AG37" s="321"/>
      <c r="AH37" s="323"/>
      <c r="AI37" s="493"/>
      <c r="AJ37" s="493"/>
      <c r="AK37" s="493"/>
      <c r="AL37" s="493"/>
      <c r="AM37" s="493"/>
      <c r="AN37" s="493"/>
      <c r="AO37" s="493"/>
      <c r="AP37" s="493"/>
      <c r="AQ37" s="493"/>
      <c r="AR37" s="493"/>
      <c r="AS37" s="493"/>
      <c r="AT37" s="493"/>
      <c r="AU37" s="493"/>
      <c r="AV37" s="493"/>
      <c r="AW37" s="493"/>
      <c r="AX37" s="493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  <c r="BJ37" s="493"/>
      <c r="BK37" s="493"/>
      <c r="BL37" s="493"/>
      <c r="BM37" s="496"/>
      <c r="BN37" s="496"/>
      <c r="BO37" s="496"/>
      <c r="BP37" s="496"/>
      <c r="BQ37" s="496"/>
      <c r="BR37" s="496"/>
      <c r="BS37" s="496"/>
      <c r="BT37" s="496"/>
      <c r="BU37" s="496"/>
      <c r="BV37" s="496"/>
      <c r="BW37" s="496"/>
      <c r="BX37" s="496"/>
      <c r="BY37" s="496"/>
      <c r="BZ37" s="496"/>
      <c r="CA37" s="496"/>
      <c r="CB37" s="496"/>
      <c r="CC37" s="496"/>
      <c r="CD37" s="496"/>
      <c r="CE37" s="496"/>
    </row>
    <row r="38" spans="1:83" ht="15" hidden="1">
      <c r="A38" s="350"/>
      <c r="B38" s="350"/>
      <c r="F38" s="317"/>
      <c r="G38" s="337"/>
      <c r="H38" s="337"/>
      <c r="I38" s="323">
        <f>111478+111478</f>
        <v>222956</v>
      </c>
      <c r="J38" s="347"/>
      <c r="K38" s="347"/>
      <c r="N38" s="464">
        <v>247501</v>
      </c>
      <c r="O38" s="347"/>
      <c r="P38" s="347"/>
      <c r="R38" s="321"/>
      <c r="S38" s="347"/>
      <c r="T38" s="347"/>
      <c r="W38" s="464">
        <v>252000</v>
      </c>
      <c r="Y38" s="351"/>
      <c r="Z38" s="351"/>
      <c r="AD38" s="493"/>
      <c r="AE38" s="323"/>
      <c r="AF38" s="499"/>
      <c r="AG38" s="499"/>
      <c r="AH38" s="496"/>
      <c r="AI38" s="493"/>
      <c r="AJ38" s="493"/>
      <c r="AK38" s="493"/>
      <c r="AL38" s="493"/>
      <c r="AM38" s="493"/>
      <c r="AN38" s="493"/>
      <c r="AO38" s="493"/>
      <c r="AP38" s="493"/>
      <c r="AQ38" s="493"/>
      <c r="AR38" s="493"/>
      <c r="AS38" s="493"/>
      <c r="AT38" s="493"/>
      <c r="AU38" s="493"/>
      <c r="AV38" s="493"/>
      <c r="AW38" s="493"/>
      <c r="AX38" s="493"/>
      <c r="AY38" s="493"/>
      <c r="AZ38" s="493"/>
      <c r="BA38" s="493"/>
      <c r="BB38" s="493"/>
      <c r="BC38" s="493"/>
      <c r="BD38" s="493"/>
      <c r="BE38" s="493"/>
      <c r="BF38" s="493"/>
      <c r="BG38" s="493"/>
      <c r="BH38" s="493"/>
      <c r="BI38" s="493"/>
      <c r="BJ38" s="493"/>
      <c r="BK38" s="493"/>
      <c r="BL38" s="493"/>
      <c r="BM38" s="500" t="s">
        <v>239</v>
      </c>
      <c r="BN38" s="496"/>
      <c r="BO38" s="496"/>
      <c r="BP38" s="496"/>
      <c r="BQ38" s="496"/>
      <c r="BR38" s="496"/>
      <c r="BS38" s="496"/>
      <c r="BT38" s="496"/>
      <c r="BU38" s="496"/>
      <c r="BV38" s="496"/>
      <c r="BW38" s="496"/>
      <c r="BX38" s="496"/>
      <c r="BY38" s="496"/>
      <c r="BZ38" s="496"/>
      <c r="CA38" s="496"/>
      <c r="CB38" s="496"/>
      <c r="CC38" s="496"/>
      <c r="CD38" s="496"/>
      <c r="CE38" s="496"/>
    </row>
    <row r="39" spans="1:83" ht="15" hidden="1">
      <c r="A39" s="350"/>
      <c r="B39" s="350"/>
      <c r="I39" s="323">
        <f>+I37-I38</f>
        <v>96757.78999999998</v>
      </c>
      <c r="J39" s="347"/>
      <c r="K39" s="347"/>
      <c r="L39" s="110" t="s">
        <v>262</v>
      </c>
      <c r="M39" s="351"/>
      <c r="N39" s="323">
        <f>+N37-N38</f>
        <v>123750.82141888031</v>
      </c>
      <c r="O39" s="347"/>
      <c r="Q39" s="351"/>
      <c r="R39" s="321"/>
      <c r="T39" s="347"/>
      <c r="U39" s="351"/>
      <c r="W39" s="323">
        <f>+W37-W38</f>
        <v>182508.37</v>
      </c>
      <c r="X39" s="1" t="s">
        <v>272</v>
      </c>
      <c r="Y39" s="352"/>
      <c r="Z39" s="351"/>
      <c r="AD39" s="493"/>
      <c r="AE39" s="323"/>
      <c r="AF39" s="499"/>
      <c r="AG39" s="499"/>
      <c r="AH39" s="134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U39" s="493"/>
      <c r="AV39" s="493"/>
      <c r="AW39" s="493"/>
      <c r="AX39" s="493"/>
      <c r="AY39" s="493"/>
      <c r="AZ39" s="493"/>
      <c r="BA39" s="493"/>
      <c r="BB39" s="493"/>
      <c r="BC39" s="493"/>
      <c r="BD39" s="493"/>
      <c r="BE39" s="493"/>
      <c r="BF39" s="493"/>
      <c r="BG39" s="493"/>
      <c r="BH39" s="493"/>
      <c r="BI39" s="493"/>
      <c r="BJ39" s="493"/>
      <c r="BK39" s="493"/>
      <c r="BL39" s="493"/>
      <c r="BM39" s="496"/>
      <c r="BN39" s="496"/>
      <c r="BO39" s="496"/>
      <c r="BP39" s="496"/>
      <c r="BQ39" s="496"/>
      <c r="BR39" s="496"/>
      <c r="BS39" s="496"/>
      <c r="BT39" s="496"/>
      <c r="BU39" s="496"/>
      <c r="BV39" s="496"/>
      <c r="BW39" s="496"/>
      <c r="BX39" s="496"/>
      <c r="BY39" s="496"/>
      <c r="BZ39" s="496"/>
      <c r="CA39" s="496"/>
      <c r="CB39" s="496"/>
      <c r="CC39" s="496"/>
      <c r="CD39" s="496"/>
      <c r="CE39" s="496"/>
    </row>
    <row r="40" spans="1:83" ht="15.75" hidden="1" thickBot="1">
      <c r="A40" s="350"/>
      <c r="B40" s="350"/>
      <c r="I40" s="323"/>
      <c r="J40" s="347"/>
      <c r="K40" s="347"/>
      <c r="N40" s="323"/>
      <c r="P40" s="353"/>
      <c r="R40" s="321"/>
      <c r="T40" s="353"/>
      <c r="W40" s="323"/>
      <c r="Y40" s="352"/>
      <c r="Z40" s="351"/>
      <c r="AD40" s="493"/>
      <c r="AE40" s="493"/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3"/>
      <c r="AQ40" s="493"/>
      <c r="AR40" s="493"/>
      <c r="AS40" s="493"/>
      <c r="AT40" s="493"/>
      <c r="AU40" s="493"/>
      <c r="AV40" s="493"/>
      <c r="AW40" s="493"/>
      <c r="AX40" s="493"/>
      <c r="AY40" s="493"/>
      <c r="AZ40" s="493"/>
      <c r="BA40" s="493"/>
      <c r="BB40" s="493"/>
      <c r="BC40" s="493"/>
      <c r="BD40" s="493"/>
      <c r="BE40" s="493"/>
      <c r="BF40" s="493"/>
      <c r="BG40" s="493"/>
      <c r="BH40" s="493"/>
      <c r="BI40" s="493"/>
      <c r="BJ40" s="493"/>
      <c r="BK40" s="493"/>
      <c r="BL40" s="493"/>
      <c r="BM40" s="501">
        <f>+AC35</f>
        <v>0</v>
      </c>
      <c r="BN40" s="496"/>
      <c r="BO40" s="496"/>
      <c r="BP40" s="496"/>
      <c r="BQ40" s="496"/>
      <c r="BR40" s="496"/>
      <c r="BS40" s="496"/>
      <c r="BT40" s="496"/>
      <c r="BU40" s="496"/>
      <c r="BV40" s="496"/>
      <c r="BW40" s="496"/>
      <c r="BX40" s="496"/>
      <c r="BY40" s="496"/>
      <c r="BZ40" s="496"/>
      <c r="CA40" s="496"/>
      <c r="CB40" s="496"/>
      <c r="CC40" s="496"/>
      <c r="CD40" s="496"/>
      <c r="CE40" s="496"/>
    </row>
    <row r="41" spans="1:83" ht="15" hidden="1">
      <c r="A41" s="350"/>
      <c r="B41" s="350"/>
      <c r="F41" s="354" t="s">
        <v>123</v>
      </c>
      <c r="I41" s="414"/>
      <c r="J41" s="356" t="s">
        <v>124</v>
      </c>
      <c r="K41" s="356" t="s">
        <v>125</v>
      </c>
      <c r="L41" s="357"/>
      <c r="M41" s="357"/>
      <c r="N41" s="358"/>
      <c r="O41" s="356" t="s">
        <v>124</v>
      </c>
      <c r="P41" s="356" t="s">
        <v>125</v>
      </c>
      <c r="Q41" s="357"/>
      <c r="R41" s="358"/>
      <c r="S41" s="356" t="s">
        <v>124</v>
      </c>
      <c r="T41" s="356" t="s">
        <v>125</v>
      </c>
      <c r="U41" s="357"/>
      <c r="V41" s="358"/>
      <c r="W41" s="358"/>
      <c r="X41" s="356" t="s">
        <v>124</v>
      </c>
      <c r="Y41" s="359" t="s">
        <v>125</v>
      </c>
      <c r="Z41" s="360"/>
      <c r="AA41" s="351"/>
      <c r="AB41" s="294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502">
        <f>+AB35</f>
        <v>1587101.7569534883</v>
      </c>
      <c r="BN41" s="496"/>
      <c r="BO41" s="496"/>
      <c r="BP41" s="496"/>
      <c r="BQ41" s="496"/>
      <c r="BR41" s="496"/>
      <c r="BS41" s="496"/>
      <c r="BT41" s="496"/>
      <c r="BU41" s="496"/>
      <c r="BV41" s="496"/>
      <c r="BW41" s="496"/>
      <c r="BX41" s="496"/>
      <c r="BY41" s="496"/>
      <c r="BZ41" s="496"/>
      <c r="CA41" s="496"/>
      <c r="CB41" s="496"/>
      <c r="CC41" s="496"/>
      <c r="CD41" s="496"/>
      <c r="CE41" s="496"/>
    </row>
    <row r="42" spans="6:83" ht="15" hidden="1">
      <c r="F42" s="361"/>
      <c r="I42" s="411" t="s">
        <v>33</v>
      </c>
      <c r="J42" s="363">
        <f>F43</f>
        <v>111478</v>
      </c>
      <c r="K42" s="364">
        <f>F43</f>
        <v>111478</v>
      </c>
      <c r="L42" s="365"/>
      <c r="M42" s="365"/>
      <c r="N42" s="416" t="s">
        <v>39</v>
      </c>
      <c r="O42" s="363">
        <f>J44+F43</f>
        <v>431191.79</v>
      </c>
      <c r="P42" s="364">
        <f>F43</f>
        <v>111478</v>
      </c>
      <c r="Q42" s="367"/>
      <c r="R42" s="416" t="s">
        <v>121</v>
      </c>
      <c r="S42" s="363">
        <f>O44+F43</f>
        <v>802443.6114188803</v>
      </c>
      <c r="T42" s="364">
        <f>F43</f>
        <v>111478</v>
      </c>
      <c r="U42" s="404"/>
      <c r="V42" s="405" t="s">
        <v>45</v>
      </c>
      <c r="W42" s="368" t="s">
        <v>45</v>
      </c>
      <c r="X42" s="363">
        <f>S44+F44</f>
        <v>1195021.623121597</v>
      </c>
      <c r="Y42" s="369">
        <f>F44</f>
        <v>126000</v>
      </c>
      <c r="Z42" s="370"/>
      <c r="AA42" s="289"/>
      <c r="AB42" s="294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3"/>
      <c r="AS42" s="493"/>
      <c r="AT42" s="493"/>
      <c r="AU42" s="493"/>
      <c r="AV42" s="493"/>
      <c r="AW42" s="493"/>
      <c r="AX42" s="493"/>
      <c r="AY42" s="493"/>
      <c r="AZ42" s="493"/>
      <c r="BA42" s="493"/>
      <c r="BB42" s="493"/>
      <c r="BC42" s="493"/>
      <c r="BD42" s="493"/>
      <c r="BE42" s="493"/>
      <c r="BF42" s="493"/>
      <c r="BG42" s="493"/>
      <c r="BH42" s="493"/>
      <c r="BI42" s="493"/>
      <c r="BJ42" s="493"/>
      <c r="BK42" s="493"/>
      <c r="BL42" s="493"/>
      <c r="BM42" s="502">
        <f>ROUND(BM40-BM41,2)</f>
        <v>-1587101.76</v>
      </c>
      <c r="BN42" s="496" t="s">
        <v>229</v>
      </c>
      <c r="BO42" s="496"/>
      <c r="BP42" s="496"/>
      <c r="BQ42" s="496"/>
      <c r="BR42" s="496"/>
      <c r="BS42" s="496"/>
      <c r="BT42" s="496"/>
      <c r="BU42" s="496"/>
      <c r="BV42" s="496"/>
      <c r="BW42" s="496"/>
      <c r="BX42" s="496"/>
      <c r="BY42" s="496"/>
      <c r="BZ42" s="496"/>
      <c r="CA42" s="496"/>
      <c r="CB42" s="496"/>
      <c r="CC42" s="496"/>
      <c r="CD42" s="496"/>
      <c r="CE42" s="496"/>
    </row>
    <row r="43" spans="5:83" ht="15" hidden="1">
      <c r="E43" s="371" t="s">
        <v>127</v>
      </c>
      <c r="F43" s="372">
        <v>111478</v>
      </c>
      <c r="I43" s="412" t="s">
        <v>37</v>
      </c>
      <c r="J43" s="374">
        <f>J42+F43</f>
        <v>222956</v>
      </c>
      <c r="K43" s="375">
        <f>F43*2</f>
        <v>222956</v>
      </c>
      <c r="L43" s="367"/>
      <c r="M43" s="367"/>
      <c r="N43" s="416" t="s">
        <v>40</v>
      </c>
      <c r="O43" s="374">
        <f>O42+F43+24545</f>
        <v>567214.79</v>
      </c>
      <c r="P43" s="375">
        <f>F43*2+24545</f>
        <v>247501</v>
      </c>
      <c r="Q43" s="370"/>
      <c r="R43" s="418" t="s">
        <v>43</v>
      </c>
      <c r="S43" s="374">
        <f>S42+F43</f>
        <v>913921.6114188803</v>
      </c>
      <c r="T43" s="375">
        <f>F43*2</f>
        <v>222956</v>
      </c>
      <c r="U43" s="370"/>
      <c r="V43" s="406" t="s">
        <v>46</v>
      </c>
      <c r="W43" s="376" t="s">
        <v>46</v>
      </c>
      <c r="X43" s="374">
        <f>X42+F44</f>
        <v>1321021.623121597</v>
      </c>
      <c r="Y43" s="377">
        <f>F44*2</f>
        <v>252000</v>
      </c>
      <c r="Z43" s="370"/>
      <c r="AA43" s="289"/>
      <c r="AB43" s="294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  <c r="BK43" s="493"/>
      <c r="BL43" s="493"/>
      <c r="BM43" s="89"/>
      <c r="BN43" s="496"/>
      <c r="BO43" s="496"/>
      <c r="BP43" s="496"/>
      <c r="BQ43" s="496"/>
      <c r="BR43" s="496"/>
      <c r="BS43" s="496"/>
      <c r="BT43" s="496"/>
      <c r="BU43" s="496"/>
      <c r="BV43" s="496"/>
      <c r="BW43" s="496"/>
      <c r="BX43" s="496"/>
      <c r="BY43" s="496"/>
      <c r="BZ43" s="496"/>
      <c r="CA43" s="496"/>
      <c r="CB43" s="496"/>
      <c r="CC43" s="496"/>
      <c r="CD43" s="496"/>
      <c r="CE43" s="496"/>
    </row>
    <row r="44" spans="5:83" ht="15.75" hidden="1" thickBot="1">
      <c r="E44" s="371" t="s">
        <v>263</v>
      </c>
      <c r="F44" s="372">
        <v>126000</v>
      </c>
      <c r="I44" s="413" t="s">
        <v>38</v>
      </c>
      <c r="J44" s="379">
        <f>I35+J35</f>
        <v>319713.79</v>
      </c>
      <c r="K44" s="380">
        <v>0</v>
      </c>
      <c r="L44" s="381"/>
      <c r="M44" s="381"/>
      <c r="N44" s="417" t="s">
        <v>120</v>
      </c>
      <c r="O44" s="379">
        <f>J44+N35+O35</f>
        <v>690965.6114188803</v>
      </c>
      <c r="P44" s="380">
        <v>0</v>
      </c>
      <c r="Q44" s="381"/>
      <c r="R44" s="417" t="s">
        <v>122</v>
      </c>
      <c r="S44" s="379">
        <f>O44+R35+S35</f>
        <v>1069021.623121597</v>
      </c>
      <c r="T44" s="380">
        <v>0</v>
      </c>
      <c r="U44" s="381"/>
      <c r="V44" s="381" t="s">
        <v>47</v>
      </c>
      <c r="W44" s="381" t="s">
        <v>47</v>
      </c>
      <c r="X44" s="379">
        <f>S44+W35+X35</f>
        <v>1503529.9931215972</v>
      </c>
      <c r="Y44" s="382">
        <v>0</v>
      </c>
      <c r="Z44" s="383" t="s">
        <v>150</v>
      </c>
      <c r="AA44" s="289"/>
      <c r="AB44" s="294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3"/>
      <c r="BG44" s="493"/>
      <c r="BH44" s="493"/>
      <c r="BI44" s="493"/>
      <c r="BJ44" s="493"/>
      <c r="BK44" s="493"/>
      <c r="BL44" s="493"/>
      <c r="BM44" s="496"/>
      <c r="BN44" s="496"/>
      <c r="BO44" s="496"/>
      <c r="BP44" s="496"/>
      <c r="BQ44" s="496"/>
      <c r="BR44" s="496"/>
      <c r="BS44" s="496"/>
      <c r="BT44" s="496"/>
      <c r="BU44" s="496"/>
      <c r="BV44" s="496"/>
      <c r="BW44" s="496"/>
      <c r="BX44" s="496"/>
      <c r="BY44" s="496"/>
      <c r="BZ44" s="496"/>
      <c r="CA44" s="496"/>
      <c r="CB44" s="496"/>
      <c r="CC44" s="496"/>
      <c r="CD44" s="496"/>
      <c r="CE44" s="496"/>
    </row>
    <row r="45" spans="5:83" ht="15" hidden="1">
      <c r="E45" s="371"/>
      <c r="F45" s="372"/>
      <c r="I45" s="370"/>
      <c r="J45" s="370"/>
      <c r="K45" s="370"/>
      <c r="L45" s="370"/>
      <c r="M45" s="370"/>
      <c r="N45" s="370"/>
      <c r="O45" s="370"/>
      <c r="P45" s="370"/>
      <c r="Q45" s="370"/>
      <c r="R45" s="384"/>
      <c r="S45" s="370"/>
      <c r="T45" s="370"/>
      <c r="U45" s="370"/>
      <c r="V45" s="370"/>
      <c r="W45" s="370"/>
      <c r="X45" s="370"/>
      <c r="Y45" s="370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3"/>
      <c r="BE45" s="493"/>
      <c r="BF45" s="493"/>
      <c r="BG45" s="493"/>
      <c r="BH45" s="493"/>
      <c r="BI45" s="493"/>
      <c r="BJ45" s="493"/>
      <c r="BK45" s="493"/>
      <c r="BL45" s="493"/>
      <c r="BM45" s="502">
        <f>+AA35</f>
        <v>1503529.9931215972</v>
      </c>
      <c r="BN45" s="496"/>
      <c r="BO45" s="496"/>
      <c r="BP45" s="496"/>
      <c r="BQ45" s="496"/>
      <c r="BR45" s="496"/>
      <c r="BS45" s="496"/>
      <c r="BT45" s="496"/>
      <c r="BU45" s="496"/>
      <c r="BV45" s="496"/>
      <c r="BW45" s="496"/>
      <c r="BX45" s="496"/>
      <c r="BY45" s="496"/>
      <c r="BZ45" s="496"/>
      <c r="CA45" s="496"/>
      <c r="CB45" s="496"/>
      <c r="CC45" s="496"/>
      <c r="CD45" s="496"/>
      <c r="CE45" s="496"/>
    </row>
    <row r="46" spans="18:83" ht="15">
      <c r="R46" s="328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3"/>
      <c r="BG46" s="493"/>
      <c r="BH46" s="493"/>
      <c r="BI46" s="493"/>
      <c r="BJ46" s="493"/>
      <c r="BK46" s="493"/>
      <c r="BL46" s="493"/>
      <c r="BM46" s="502">
        <f>+AB35</f>
        <v>1587101.7569534883</v>
      </c>
      <c r="BN46" s="496"/>
      <c r="BO46" s="496"/>
      <c r="BP46" s="496"/>
      <c r="BQ46" s="496"/>
      <c r="BR46" s="496"/>
      <c r="BS46" s="496"/>
      <c r="BT46" s="496"/>
      <c r="BU46" s="496"/>
      <c r="BV46" s="496"/>
      <c r="BW46" s="496"/>
      <c r="BX46" s="496"/>
      <c r="BY46" s="496"/>
      <c r="BZ46" s="496"/>
      <c r="CA46" s="496"/>
      <c r="CB46" s="496"/>
      <c r="CC46" s="496"/>
      <c r="CD46" s="496"/>
      <c r="CE46" s="496"/>
    </row>
    <row r="47" spans="18:83" ht="15">
      <c r="R47" s="328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3"/>
      <c r="AP47" s="493"/>
      <c r="AQ47" s="493"/>
      <c r="AR47" s="493"/>
      <c r="AS47" s="493"/>
      <c r="AT47" s="493"/>
      <c r="AU47" s="493"/>
      <c r="AV47" s="493"/>
      <c r="AW47" s="493"/>
      <c r="AX47" s="493"/>
      <c r="AY47" s="493"/>
      <c r="AZ47" s="493"/>
      <c r="BA47" s="493"/>
      <c r="BB47" s="493"/>
      <c r="BC47" s="493"/>
      <c r="BD47" s="493"/>
      <c r="BE47" s="493"/>
      <c r="BF47" s="493"/>
      <c r="BG47" s="493"/>
      <c r="BH47" s="493"/>
      <c r="BI47" s="493"/>
      <c r="BJ47" s="493"/>
      <c r="BK47" s="493"/>
      <c r="BL47" s="493"/>
      <c r="BM47" s="502">
        <f>+BM45+BM46</f>
        <v>3090631.7500750856</v>
      </c>
      <c r="BN47" s="496" t="s">
        <v>236</v>
      </c>
      <c r="BO47" s="496"/>
      <c r="BP47" s="496"/>
      <c r="BQ47" s="496"/>
      <c r="BR47" s="496"/>
      <c r="BS47" s="496"/>
      <c r="BT47" s="496"/>
      <c r="BU47" s="496"/>
      <c r="BV47" s="496"/>
      <c r="BW47" s="496"/>
      <c r="BX47" s="496"/>
      <c r="BY47" s="496"/>
      <c r="BZ47" s="496"/>
      <c r="CA47" s="496"/>
      <c r="CB47" s="496"/>
      <c r="CC47" s="496"/>
      <c r="CD47" s="496"/>
      <c r="CE47" s="496"/>
    </row>
    <row r="48" spans="10:83" ht="15">
      <c r="J48" s="385">
        <f>I35+J35+K35</f>
        <v>729446.9700000001</v>
      </c>
      <c r="O48" s="385">
        <f>J48+N35+O35+P35</f>
        <v>1484305.5600750856</v>
      </c>
      <c r="R48" s="328"/>
      <c r="S48" s="385">
        <f>O48+R35+S35+T35</f>
        <v>2265071.6000750856</v>
      </c>
      <c r="X48" s="385">
        <f>S48+W35+X35+Y35</f>
        <v>3090631.7500750856</v>
      </c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93"/>
      <c r="AS48" s="493"/>
      <c r="AT48" s="493"/>
      <c r="AU48" s="493"/>
      <c r="AV48" s="493"/>
      <c r="AW48" s="493"/>
      <c r="AX48" s="493"/>
      <c r="AY48" s="493"/>
      <c r="AZ48" s="493"/>
      <c r="BA48" s="493"/>
      <c r="BB48" s="493"/>
      <c r="BC48" s="493"/>
      <c r="BD48" s="493"/>
      <c r="BE48" s="493"/>
      <c r="BF48" s="493"/>
      <c r="BG48" s="493"/>
      <c r="BH48" s="493"/>
      <c r="BI48" s="493"/>
      <c r="BJ48" s="493"/>
      <c r="BK48" s="493"/>
      <c r="BL48" s="493"/>
      <c r="BM48" s="496"/>
      <c r="BN48" s="496"/>
      <c r="BO48" s="496"/>
      <c r="BP48" s="496"/>
      <c r="BQ48" s="496"/>
      <c r="BR48" s="496"/>
      <c r="BS48" s="496"/>
      <c r="BT48" s="496"/>
      <c r="BU48" s="496"/>
      <c r="BV48" s="496"/>
      <c r="BW48" s="496"/>
      <c r="BX48" s="496"/>
      <c r="BY48" s="496"/>
      <c r="BZ48" s="496"/>
      <c r="CA48" s="496"/>
      <c r="CB48" s="496"/>
      <c r="CC48" s="496"/>
      <c r="CD48" s="496"/>
      <c r="CE48" s="496"/>
    </row>
    <row r="49" spans="10:83" ht="15">
      <c r="J49" s="385"/>
      <c r="R49" s="328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93"/>
      <c r="AS49" s="493"/>
      <c r="AT49" s="493"/>
      <c r="AU49" s="493"/>
      <c r="AV49" s="493"/>
      <c r="AW49" s="493"/>
      <c r="AX49" s="493"/>
      <c r="AY49" s="493"/>
      <c r="AZ49" s="493"/>
      <c r="BA49" s="493"/>
      <c r="BB49" s="493"/>
      <c r="BC49" s="493"/>
      <c r="BD49" s="493"/>
      <c r="BE49" s="493"/>
      <c r="BF49" s="493"/>
      <c r="BG49" s="493"/>
      <c r="BH49" s="493"/>
      <c r="BI49" s="493"/>
      <c r="BJ49" s="493"/>
      <c r="BK49" s="493"/>
      <c r="BL49" s="493"/>
      <c r="BM49" s="496"/>
      <c r="BN49" s="496"/>
      <c r="BO49" s="496"/>
      <c r="BP49" s="496"/>
      <c r="BQ49" s="496"/>
      <c r="BR49" s="496"/>
      <c r="BS49" s="496"/>
      <c r="BT49" s="496"/>
      <c r="BU49" s="496"/>
      <c r="BV49" s="496"/>
      <c r="BW49" s="496"/>
      <c r="BX49" s="496"/>
      <c r="BY49" s="496"/>
      <c r="BZ49" s="496"/>
      <c r="CA49" s="496"/>
      <c r="CB49" s="496"/>
      <c r="CC49" s="496"/>
      <c r="CD49" s="496"/>
      <c r="CE49" s="496"/>
    </row>
    <row r="50" spans="18:23" ht="15">
      <c r="R50" s="328"/>
      <c r="W50" s="385"/>
    </row>
    <row r="51" ht="15">
      <c r="R51" s="328"/>
    </row>
  </sheetData>
  <sheetProtection/>
  <mergeCells count="7">
    <mergeCell ref="CI1:CK1"/>
    <mergeCell ref="W1:Y1"/>
    <mergeCell ref="AI3:AL3"/>
    <mergeCell ref="AE3:AH3"/>
    <mergeCell ref="AM3:AP3"/>
    <mergeCell ref="AQ3:AT3"/>
    <mergeCell ref="AE1:AT1"/>
  </mergeCells>
  <printOptions horizontalCentered="1" verticalCentered="1"/>
  <pageMargins left="0.25" right="0.25" top="0.75" bottom="0" header="0.3" footer="0.3"/>
  <pageSetup fitToHeight="1" fitToWidth="1" horizontalDpi="600" verticalDpi="600" orientation="portrait" scale="18" r:id="rId3"/>
  <colBreaks count="5" manualBreakCount="5">
    <brk id="13" max="46" man="1"/>
    <brk id="17" max="46" man="1"/>
    <brk id="22" max="46" man="1"/>
    <brk id="26" max="46" man="1"/>
    <brk id="64" max="46" man="1"/>
  </colBreaks>
  <ignoredErrors>
    <ignoredError sqref="AC3" twoDigitTextYear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8"/>
  <sheetViews>
    <sheetView zoomScale="80" zoomScaleNormal="80" workbookViewId="0" topLeftCell="A1">
      <pane xSplit="8" ySplit="5" topLeftCell="AA6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AU43" sqref="AU43"/>
    </sheetView>
  </sheetViews>
  <sheetFormatPr defaultColWidth="9.6640625" defaultRowHeight="15" outlineLevelRow="1" outlineLevelCol="1"/>
  <cols>
    <col min="1" max="1" width="8.88671875" style="1" bestFit="1" customWidth="1"/>
    <col min="2" max="2" width="8.5546875" style="1" bestFit="1" customWidth="1"/>
    <col min="3" max="3" width="8.5546875" style="1" customWidth="1"/>
    <col min="4" max="4" width="6.77734375" style="1" customWidth="1"/>
    <col min="5" max="5" width="7.3359375" style="1" customWidth="1"/>
    <col min="6" max="6" width="10.6640625" style="1" customWidth="1"/>
    <col min="7" max="7" width="6.77734375" style="1" customWidth="1"/>
    <col min="8" max="8" width="1.5625" style="1" bestFit="1" customWidth="1"/>
    <col min="9" max="9" width="6.21484375" style="1" hidden="1" customWidth="1" outlineLevel="1"/>
    <col min="10" max="10" width="11.88671875" style="1" hidden="1" customWidth="1" outlineLevel="1"/>
    <col min="11" max="11" width="12.10546875" style="1" hidden="1" customWidth="1" outlineLevel="1"/>
    <col min="12" max="12" width="14.99609375" style="1" hidden="1" customWidth="1" outlineLevel="1"/>
    <col min="13" max="13" width="3.77734375" style="1" hidden="1" customWidth="1" outlineLevel="1"/>
    <col min="14" max="15" width="11.88671875" style="1" hidden="1" customWidth="1" outlineLevel="1"/>
    <col min="16" max="16" width="14.99609375" style="1" hidden="1" customWidth="1" outlineLevel="1"/>
    <col min="17" max="17" width="4.4453125" style="1" hidden="1" customWidth="1" collapsed="1"/>
    <col min="18" max="18" width="13.10546875" style="1" hidden="1" customWidth="1"/>
    <col min="19" max="19" width="12.21484375" style="1" hidden="1" customWidth="1"/>
    <col min="20" max="20" width="14.99609375" style="1" hidden="1" customWidth="1"/>
    <col min="21" max="21" width="4.4453125" style="1" hidden="1" customWidth="1"/>
    <col min="22" max="22" width="11.88671875" style="6" hidden="1" customWidth="1"/>
    <col min="23" max="23" width="12.10546875" style="1" hidden="1" customWidth="1"/>
    <col min="24" max="24" width="14.99609375" style="1" hidden="1" customWidth="1"/>
    <col min="25" max="26" width="9.6640625" style="1" hidden="1" customWidth="1"/>
    <col min="27" max="27" width="12.3359375" style="1" bestFit="1" customWidth="1"/>
    <col min="28" max="28" width="20.6640625" style="1" hidden="1" customWidth="1"/>
    <col min="29" max="29" width="19.21484375" style="478" hidden="1" customWidth="1"/>
    <col min="30" max="30" width="13.88671875" style="478" hidden="1" customWidth="1"/>
    <col min="31" max="31" width="9.6640625" style="1" customWidth="1"/>
    <col min="32" max="32" width="9.88671875" style="1" bestFit="1" customWidth="1"/>
    <col min="33" max="33" width="9.6640625" style="1" customWidth="1"/>
    <col min="34" max="34" width="12.3359375" style="1" bestFit="1" customWidth="1"/>
    <col min="35" max="35" width="6.99609375" style="1" customWidth="1"/>
    <col min="36" max="37" width="9.6640625" style="1" customWidth="1"/>
    <col min="38" max="38" width="11.77734375" style="1" bestFit="1" customWidth="1"/>
    <col min="39" max="39" width="5.88671875" style="1" customWidth="1"/>
    <col min="40" max="41" width="9.6640625" style="1" customWidth="1"/>
    <col min="42" max="42" width="11.77734375" style="1" bestFit="1" customWidth="1"/>
    <col min="43" max="43" width="3.6640625" style="1" customWidth="1"/>
    <col min="44" max="45" width="9.6640625" style="1" customWidth="1"/>
    <col min="46" max="46" width="11.77734375" style="1" bestFit="1" customWidth="1"/>
    <col min="47" max="47" width="9.88671875" style="1" bestFit="1" customWidth="1"/>
    <col min="48" max="48" width="9.6640625" style="1" customWidth="1"/>
    <col min="49" max="49" width="12.3359375" style="1" bestFit="1" customWidth="1"/>
    <col min="50" max="16384" width="9.6640625" style="1" customWidth="1"/>
  </cols>
  <sheetData>
    <row r="1" spans="2:49" ht="18" customHeight="1">
      <c r="B1" s="2">
        <f ca="1">NOW()</f>
        <v>45234.445947685184</v>
      </c>
      <c r="C1" s="209" t="s">
        <v>255</v>
      </c>
      <c r="D1" s="2"/>
      <c r="E1" s="2"/>
      <c r="F1" s="209"/>
      <c r="J1" s="209"/>
      <c r="K1" s="209"/>
      <c r="L1" s="209"/>
      <c r="M1" s="209"/>
      <c r="N1" s="209"/>
      <c r="O1" s="209"/>
      <c r="P1" s="209"/>
      <c r="Q1" s="209"/>
      <c r="R1" s="209"/>
      <c r="T1" s="209"/>
      <c r="V1" s="209"/>
      <c r="W1" s="209"/>
      <c r="X1" s="209"/>
      <c r="Y1" s="209"/>
      <c r="Z1" s="209"/>
      <c r="AA1" s="209"/>
      <c r="AF1" s="578">
        <v>2023</v>
      </c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</row>
    <row r="2" spans="2:44" ht="15">
      <c r="B2" s="5" t="s">
        <v>0</v>
      </c>
      <c r="C2" s="7" t="s">
        <v>112</v>
      </c>
      <c r="D2" s="7" t="s">
        <v>114</v>
      </c>
      <c r="E2" s="7" t="s">
        <v>160</v>
      </c>
      <c r="J2" s="4"/>
      <c r="K2" s="4"/>
      <c r="L2" s="4"/>
      <c r="M2" s="4"/>
      <c r="N2" s="4"/>
      <c r="O2" s="4"/>
      <c r="P2" s="4"/>
      <c r="Q2" s="4"/>
      <c r="AJ2" s="1">
        <v>92</v>
      </c>
      <c r="AN2" s="1">
        <v>92</v>
      </c>
      <c r="AR2" s="1">
        <v>91</v>
      </c>
    </row>
    <row r="3" spans="2:49" ht="15.75">
      <c r="B3" s="7" t="s">
        <v>1</v>
      </c>
      <c r="C3" s="7" t="s">
        <v>73</v>
      </c>
      <c r="D3" s="7" t="s">
        <v>73</v>
      </c>
      <c r="E3" s="7" t="s">
        <v>73</v>
      </c>
      <c r="F3" s="7" t="s">
        <v>31</v>
      </c>
      <c r="G3" s="7" t="s">
        <v>32</v>
      </c>
      <c r="H3" s="7"/>
      <c r="I3" s="7"/>
      <c r="J3" s="572" t="s">
        <v>37</v>
      </c>
      <c r="K3" s="573"/>
      <c r="L3" s="574"/>
      <c r="M3" s="83"/>
      <c r="N3" s="573" t="s">
        <v>40</v>
      </c>
      <c r="O3" s="573"/>
      <c r="P3" s="574"/>
      <c r="Q3" s="213"/>
      <c r="R3" s="11" t="s">
        <v>43</v>
      </c>
      <c r="S3" s="12"/>
      <c r="T3" s="83"/>
      <c r="U3" s="148"/>
      <c r="V3" s="147" t="s">
        <v>46</v>
      </c>
      <c r="W3" s="12"/>
      <c r="X3" s="12"/>
      <c r="Y3" s="13" t="s">
        <v>48</v>
      </c>
      <c r="Z3" s="12"/>
      <c r="AA3" s="538" t="s">
        <v>304</v>
      </c>
      <c r="AB3" s="75" t="s">
        <v>289</v>
      </c>
      <c r="AC3" s="478" t="s">
        <v>290</v>
      </c>
      <c r="AD3" s="478" t="s">
        <v>291</v>
      </c>
      <c r="AF3" s="572" t="s">
        <v>37</v>
      </c>
      <c r="AG3" s="573"/>
      <c r="AH3" s="574"/>
      <c r="AI3" s="83"/>
      <c r="AJ3" s="573" t="s">
        <v>40</v>
      </c>
      <c r="AK3" s="573"/>
      <c r="AL3" s="574"/>
      <c r="AM3" s="213"/>
      <c r="AN3" s="11" t="s">
        <v>43</v>
      </c>
      <c r="AO3" s="12"/>
      <c r="AP3" s="83"/>
      <c r="AQ3" s="148"/>
      <c r="AR3" s="147" t="s">
        <v>46</v>
      </c>
      <c r="AS3" s="12"/>
      <c r="AT3" s="12"/>
      <c r="AU3" s="13" t="s">
        <v>48</v>
      </c>
      <c r="AV3" s="12"/>
      <c r="AW3" s="85"/>
    </row>
    <row r="4" spans="6:49" ht="15">
      <c r="F4" s="16">
        <v>44561</v>
      </c>
      <c r="G4" s="17"/>
      <c r="H4" s="17"/>
      <c r="I4" s="17"/>
      <c r="J4" s="18" t="s">
        <v>34</v>
      </c>
      <c r="K4" s="19" t="s">
        <v>35</v>
      </c>
      <c r="L4" s="87" t="s">
        <v>36</v>
      </c>
      <c r="M4" s="87"/>
      <c r="N4" s="101" t="s">
        <v>34</v>
      </c>
      <c r="O4" s="19" t="s">
        <v>35</v>
      </c>
      <c r="P4" s="87" t="s">
        <v>36</v>
      </c>
      <c r="Q4" s="214"/>
      <c r="R4" s="101" t="s">
        <v>34</v>
      </c>
      <c r="S4" s="19" t="s">
        <v>35</v>
      </c>
      <c r="T4" s="87" t="s">
        <v>36</v>
      </c>
      <c r="U4" s="149"/>
      <c r="V4" s="101" t="s">
        <v>34</v>
      </c>
      <c r="W4" s="19" t="s">
        <v>35</v>
      </c>
      <c r="X4" s="19" t="s">
        <v>36</v>
      </c>
      <c r="Y4" s="18" t="s">
        <v>34</v>
      </c>
      <c r="Z4" s="19" t="s">
        <v>35</v>
      </c>
      <c r="AA4" s="87" t="s">
        <v>36</v>
      </c>
      <c r="AB4" s="75"/>
      <c r="AF4" s="18" t="s">
        <v>34</v>
      </c>
      <c r="AG4" s="19" t="s">
        <v>35</v>
      </c>
      <c r="AH4" s="87" t="s">
        <v>36</v>
      </c>
      <c r="AI4" s="87"/>
      <c r="AJ4" s="101" t="s">
        <v>34</v>
      </c>
      <c r="AK4" s="19" t="s">
        <v>35</v>
      </c>
      <c r="AL4" s="87" t="s">
        <v>36</v>
      </c>
      <c r="AM4" s="214"/>
      <c r="AN4" s="101" t="s">
        <v>34</v>
      </c>
      <c r="AO4" s="19" t="s">
        <v>35</v>
      </c>
      <c r="AP4" s="87" t="s">
        <v>36</v>
      </c>
      <c r="AQ4" s="149"/>
      <c r="AR4" s="101" t="s">
        <v>34</v>
      </c>
      <c r="AS4" s="19" t="s">
        <v>35</v>
      </c>
      <c r="AT4" s="19" t="s">
        <v>36</v>
      </c>
      <c r="AU4" s="18" t="s">
        <v>34</v>
      </c>
      <c r="AV4" s="19" t="s">
        <v>35</v>
      </c>
      <c r="AW4" s="87" t="s">
        <v>36</v>
      </c>
    </row>
    <row r="5" spans="6:49" ht="18" customHeight="1">
      <c r="F5" s="16"/>
      <c r="G5" s="17"/>
      <c r="H5" s="17"/>
      <c r="I5" s="17"/>
      <c r="J5" s="24"/>
      <c r="K5" s="25"/>
      <c r="L5" s="124"/>
      <c r="M5" s="124"/>
      <c r="N5" s="25"/>
      <c r="O5" s="25"/>
      <c r="P5" s="124"/>
      <c r="Q5" s="215"/>
      <c r="R5" s="25"/>
      <c r="S5" s="25"/>
      <c r="T5" s="124"/>
      <c r="U5" s="150"/>
      <c r="V5" s="25"/>
      <c r="W5" s="25"/>
      <c r="X5" s="25"/>
      <c r="Y5" s="39"/>
      <c r="Z5" s="40"/>
      <c r="AA5" s="95"/>
      <c r="AB5" s="75"/>
      <c r="AF5" s="24"/>
      <c r="AG5" s="25"/>
      <c r="AH5" s="124"/>
      <c r="AI5" s="124"/>
      <c r="AJ5" s="25"/>
      <c r="AK5" s="25"/>
      <c r="AL5" s="124"/>
      <c r="AM5" s="215"/>
      <c r="AN5" s="25"/>
      <c r="AO5" s="25"/>
      <c r="AP5" s="124"/>
      <c r="AQ5" s="150"/>
      <c r="AR5" s="25"/>
      <c r="AS5" s="25"/>
      <c r="AT5" s="25"/>
      <c r="AU5" s="39"/>
      <c r="AV5" s="40"/>
      <c r="AW5" s="95"/>
    </row>
    <row r="6" spans="1:49" ht="15">
      <c r="A6" s="419"/>
      <c r="B6" s="21"/>
      <c r="C6" s="113"/>
      <c r="D6" s="210"/>
      <c r="E6" s="21"/>
      <c r="F6" s="420"/>
      <c r="G6" s="42"/>
      <c r="H6" s="42"/>
      <c r="I6" s="42"/>
      <c r="J6" s="439"/>
      <c r="K6" s="157"/>
      <c r="L6" s="73">
        <f aca="true" t="shared" si="0" ref="L6:L11">F6-K6</f>
        <v>0</v>
      </c>
      <c r="M6" s="73"/>
      <c r="N6" s="72"/>
      <c r="O6" s="72"/>
      <c r="P6" s="73">
        <f aca="true" t="shared" si="1" ref="P6:P20">L6-O6</f>
        <v>0</v>
      </c>
      <c r="Q6" s="216"/>
      <c r="R6" s="72"/>
      <c r="S6" s="72"/>
      <c r="T6" s="73">
        <f aca="true" t="shared" si="2" ref="T6:T11">P6-S6</f>
        <v>0</v>
      </c>
      <c r="U6" s="151"/>
      <c r="V6" s="72"/>
      <c r="W6" s="72"/>
      <c r="X6" s="22">
        <f aca="true" t="shared" si="3" ref="X6:X11">T6-W6</f>
        <v>0</v>
      </c>
      <c r="Y6" s="29">
        <f aca="true" t="shared" si="4" ref="Y6:Z11">J6+N6+R6+V6</f>
        <v>0</v>
      </c>
      <c r="Z6" s="22">
        <f t="shared" si="4"/>
        <v>0</v>
      </c>
      <c r="AA6" s="73">
        <f aca="true" t="shared" si="5" ref="AA6:AA11">F6-Z6</f>
        <v>0</v>
      </c>
      <c r="AB6" s="491"/>
      <c r="AC6" s="483"/>
      <c r="AD6" s="483"/>
      <c r="AF6" s="439"/>
      <c r="AG6" s="157"/>
      <c r="AH6" s="73">
        <f>AB6-AG6</f>
        <v>0</v>
      </c>
      <c r="AI6" s="73"/>
      <c r="AJ6" s="72"/>
      <c r="AK6" s="72"/>
      <c r="AL6" s="73">
        <f aca="true" t="shared" si="6" ref="AL6:AL11">AH6-AK6</f>
        <v>0</v>
      </c>
      <c r="AM6" s="216"/>
      <c r="AN6" s="72"/>
      <c r="AO6" s="72"/>
      <c r="AP6" s="73">
        <f aca="true" t="shared" si="7" ref="AP6:AP11">AL6-AO6</f>
        <v>0</v>
      </c>
      <c r="AQ6" s="151"/>
      <c r="AR6" s="72"/>
      <c r="AS6" s="72"/>
      <c r="AT6" s="22">
        <f aca="true" t="shared" si="8" ref="AT6:AT11">AP6-AS6</f>
        <v>0</v>
      </c>
      <c r="AU6" s="29">
        <f aca="true" t="shared" si="9" ref="AU6:AU11">AF6+AJ6+AN6+AR6</f>
        <v>0</v>
      </c>
      <c r="AV6" s="22">
        <f aca="true" t="shared" si="10" ref="AV6:AV11">AG6+AK6+AO6+AS6</f>
        <v>0</v>
      </c>
      <c r="AW6" s="73">
        <f>AB6-AV6</f>
        <v>0</v>
      </c>
    </row>
    <row r="7" spans="1:49" ht="15">
      <c r="A7" s="419" t="s">
        <v>213</v>
      </c>
      <c r="B7" s="390">
        <v>9012001</v>
      </c>
      <c r="C7" s="113">
        <v>36129</v>
      </c>
      <c r="D7" s="210">
        <v>45759</v>
      </c>
      <c r="E7" s="21"/>
      <c r="F7" s="420">
        <v>120233.37000000001</v>
      </c>
      <c r="G7" s="42">
        <v>0.0655</v>
      </c>
      <c r="H7" s="42"/>
      <c r="I7" s="42"/>
      <c r="J7" s="439">
        <v>1929.37</v>
      </c>
      <c r="K7" s="157">
        <v>8374.45</v>
      </c>
      <c r="L7" s="73">
        <f t="shared" si="0"/>
        <v>111858.92000000001</v>
      </c>
      <c r="M7" s="73"/>
      <c r="N7" s="72">
        <v>1796.73</v>
      </c>
      <c r="O7" s="72">
        <v>8511.58</v>
      </c>
      <c r="P7" s="73">
        <f t="shared" si="1"/>
        <v>103347.34000000001</v>
      </c>
      <c r="Q7" s="216"/>
      <c r="R7" s="72">
        <v>1660.01</v>
      </c>
      <c r="S7" s="72">
        <v>8650.96</v>
      </c>
      <c r="T7" s="73">
        <f t="shared" si="2"/>
        <v>94696.38</v>
      </c>
      <c r="U7" s="151"/>
      <c r="V7" s="72">
        <v>1521.06</v>
      </c>
      <c r="W7" s="72">
        <v>8792.62</v>
      </c>
      <c r="X7" s="420">
        <f t="shared" si="3"/>
        <v>85903.76000000001</v>
      </c>
      <c r="Y7" s="29">
        <f t="shared" si="4"/>
        <v>6907.17</v>
      </c>
      <c r="Z7" s="22">
        <f t="shared" si="4"/>
        <v>34329.61</v>
      </c>
      <c r="AA7" s="73">
        <f t="shared" si="5"/>
        <v>85903.76000000001</v>
      </c>
      <c r="AB7" s="491">
        <v>460178.63</v>
      </c>
      <c r="AC7" s="483">
        <f>+AB7+Z7</f>
        <v>494508.24</v>
      </c>
      <c r="AD7" s="483">
        <f>+AA7</f>
        <v>85903.76000000001</v>
      </c>
      <c r="AF7" s="439">
        <v>1379.83</v>
      </c>
      <c r="AG7" s="157">
        <v>8936.6</v>
      </c>
      <c r="AH7" s="73">
        <f>AA7-AG7</f>
        <v>76967.16</v>
      </c>
      <c r="AI7" s="73"/>
      <c r="AJ7" s="72">
        <v>1260.34</v>
      </c>
      <c r="AK7" s="72">
        <v>9082.93</v>
      </c>
      <c r="AL7" s="73">
        <f t="shared" si="6"/>
        <v>67884.23000000001</v>
      </c>
      <c r="AM7" s="216"/>
      <c r="AN7" s="72">
        <v>111.6</v>
      </c>
      <c r="AO7" s="72">
        <v>9231.67</v>
      </c>
      <c r="AP7" s="73">
        <f t="shared" si="7"/>
        <v>58652.56000000001</v>
      </c>
      <c r="AQ7" s="151"/>
      <c r="AR7" s="72">
        <v>960.44</v>
      </c>
      <c r="AS7" s="72">
        <v>9382.83</v>
      </c>
      <c r="AT7" s="420">
        <f t="shared" si="8"/>
        <v>49269.73000000001</v>
      </c>
      <c r="AU7" s="29">
        <f t="shared" si="9"/>
        <v>3712.21</v>
      </c>
      <c r="AV7" s="22">
        <f t="shared" si="10"/>
        <v>36634.03</v>
      </c>
      <c r="AW7" s="73">
        <f>AA7-AV7</f>
        <v>49269.73000000001</v>
      </c>
    </row>
    <row r="8" spans="1:49" ht="15">
      <c r="A8" s="419" t="s">
        <v>214</v>
      </c>
      <c r="B8" s="390">
        <v>9013001</v>
      </c>
      <c r="C8" s="113">
        <v>36129</v>
      </c>
      <c r="D8" s="210">
        <v>46626</v>
      </c>
      <c r="E8" s="21"/>
      <c r="F8" s="420">
        <v>263031.75</v>
      </c>
      <c r="G8" s="42">
        <v>0.066</v>
      </c>
      <c r="H8" s="42"/>
      <c r="I8" s="42"/>
      <c r="J8" s="439">
        <v>4253.72</v>
      </c>
      <c r="K8" s="157">
        <v>10014.32</v>
      </c>
      <c r="L8" s="73">
        <f t="shared" si="0"/>
        <v>253017.43</v>
      </c>
      <c r="M8" s="73"/>
      <c r="N8" s="72">
        <v>4095.72</v>
      </c>
      <c r="O8" s="72">
        <v>10179.55</v>
      </c>
      <c r="P8" s="73">
        <f t="shared" si="1"/>
        <v>242837.88</v>
      </c>
      <c r="Q8" s="216"/>
      <c r="R8" s="72">
        <v>3930.94</v>
      </c>
      <c r="S8" s="72">
        <v>10347.52</v>
      </c>
      <c r="T8" s="73">
        <f t="shared" si="2"/>
        <v>232490.36000000002</v>
      </c>
      <c r="U8" s="151"/>
      <c r="V8" s="72">
        <v>3763.44</v>
      </c>
      <c r="W8" s="72">
        <v>10518.25</v>
      </c>
      <c r="X8" s="420">
        <f t="shared" si="3"/>
        <v>221972.11000000002</v>
      </c>
      <c r="Y8" s="29">
        <f t="shared" si="4"/>
        <v>16043.820000000002</v>
      </c>
      <c r="Z8" s="22">
        <f t="shared" si="4"/>
        <v>41059.64</v>
      </c>
      <c r="AA8" s="73">
        <f t="shared" si="5"/>
        <v>221972.11</v>
      </c>
      <c r="AB8" s="491">
        <v>524597.25</v>
      </c>
      <c r="AC8" s="483">
        <f>+AB8+Z8</f>
        <v>565656.89</v>
      </c>
      <c r="AD8" s="483">
        <f>+AA8</f>
        <v>221972.11</v>
      </c>
      <c r="AF8" s="439">
        <v>3593.17</v>
      </c>
      <c r="AG8" s="157">
        <v>10691.8</v>
      </c>
      <c r="AH8" s="73">
        <f>AA8-AG8</f>
        <v>211280.31</v>
      </c>
      <c r="AI8" s="73"/>
      <c r="AJ8" s="72">
        <v>3486.13</v>
      </c>
      <c r="AK8" s="72">
        <v>10868.21</v>
      </c>
      <c r="AL8" s="73">
        <f t="shared" si="6"/>
        <v>200412.1</v>
      </c>
      <c r="AM8" s="216"/>
      <c r="AN8" s="72">
        <v>3306.8</v>
      </c>
      <c r="AO8" s="72">
        <v>11047.54</v>
      </c>
      <c r="AP8" s="73">
        <f t="shared" si="7"/>
        <v>189364.56</v>
      </c>
      <c r="AQ8" s="151"/>
      <c r="AR8" s="72">
        <v>3124.52</v>
      </c>
      <c r="AS8" s="72">
        <v>11229.82</v>
      </c>
      <c r="AT8" s="420">
        <f t="shared" si="8"/>
        <v>178134.74</v>
      </c>
      <c r="AU8" s="29">
        <f t="shared" si="9"/>
        <v>13510.62</v>
      </c>
      <c r="AV8" s="22">
        <f t="shared" si="10"/>
        <v>43837.369999999995</v>
      </c>
      <c r="AW8" s="73">
        <f>AA8-AV8</f>
        <v>178134.74</v>
      </c>
    </row>
    <row r="9" spans="2:49" ht="15">
      <c r="B9" s="390">
        <v>9014001</v>
      </c>
      <c r="C9" s="113">
        <v>36129</v>
      </c>
      <c r="D9" s="210">
        <v>47467</v>
      </c>
      <c r="E9" s="21"/>
      <c r="F9" s="420">
        <v>345312.14</v>
      </c>
      <c r="G9" s="42">
        <v>0.0665</v>
      </c>
      <c r="H9" s="42"/>
      <c r="I9" s="42"/>
      <c r="J9" s="439">
        <v>5627.51</v>
      </c>
      <c r="K9" s="157">
        <v>8261.33</v>
      </c>
      <c r="L9" s="73">
        <f t="shared" si="0"/>
        <v>337050.81</v>
      </c>
      <c r="M9" s="73"/>
      <c r="N9" s="72">
        <v>5498.14</v>
      </c>
      <c r="O9" s="72">
        <v>8398.67</v>
      </c>
      <c r="P9" s="73">
        <f t="shared" si="1"/>
        <v>328652.14</v>
      </c>
      <c r="Q9" s="216"/>
      <c r="R9" s="72">
        <v>5361.14</v>
      </c>
      <c r="S9" s="72">
        <v>8538.3</v>
      </c>
      <c r="T9" s="73">
        <f t="shared" si="2"/>
        <v>320113.84</v>
      </c>
      <c r="U9" s="151"/>
      <c r="V9" s="72">
        <v>5221.85</v>
      </c>
      <c r="W9" s="72">
        <v>8680.25</v>
      </c>
      <c r="X9" s="420">
        <f t="shared" si="3"/>
        <v>311433.59</v>
      </c>
      <c r="Y9" s="29">
        <f t="shared" si="4"/>
        <v>21708.64</v>
      </c>
      <c r="Z9" s="22">
        <f t="shared" si="4"/>
        <v>33878.55</v>
      </c>
      <c r="AA9" s="73">
        <f t="shared" si="5"/>
        <v>311433.59</v>
      </c>
      <c r="AB9" s="491">
        <v>428687.86</v>
      </c>
      <c r="AC9" s="483">
        <f>+AB9+Z9</f>
        <v>462566.41</v>
      </c>
      <c r="AD9" s="483">
        <f>+AA9</f>
        <v>311433.59</v>
      </c>
      <c r="AF9" s="439">
        <v>5080.26</v>
      </c>
      <c r="AG9" s="157">
        <v>8824.56</v>
      </c>
      <c r="AH9" s="73">
        <f>AA9-AG9</f>
        <v>302609.03</v>
      </c>
      <c r="AI9" s="73"/>
      <c r="AJ9" s="72">
        <v>5030.88</v>
      </c>
      <c r="AK9" s="72">
        <v>8971.27</v>
      </c>
      <c r="AL9" s="73">
        <f t="shared" si="6"/>
        <v>293637.76</v>
      </c>
      <c r="AM9" s="216"/>
      <c r="AN9" s="72">
        <v>4881.73</v>
      </c>
      <c r="AO9" s="72">
        <v>9120.41</v>
      </c>
      <c r="AP9" s="73">
        <f t="shared" si="7"/>
        <v>284517.35000000003</v>
      </c>
      <c r="AQ9" s="151"/>
      <c r="AR9" s="72">
        <v>4730.1</v>
      </c>
      <c r="AS9" s="72">
        <v>9272.04</v>
      </c>
      <c r="AT9" s="420">
        <f t="shared" si="8"/>
        <v>275245.31000000006</v>
      </c>
      <c r="AU9" s="29">
        <f t="shared" si="9"/>
        <v>19722.97</v>
      </c>
      <c r="AV9" s="22">
        <f t="shared" si="10"/>
        <v>36188.28</v>
      </c>
      <c r="AW9" s="73">
        <f>AA9-AV9</f>
        <v>275245.31000000006</v>
      </c>
    </row>
    <row r="10" spans="2:49" ht="18" customHeight="1">
      <c r="B10" s="390">
        <v>9015001</v>
      </c>
      <c r="C10" s="115">
        <v>35982</v>
      </c>
      <c r="D10" s="445">
        <v>48670</v>
      </c>
      <c r="E10" s="390"/>
      <c r="F10" s="420">
        <v>566741.77</v>
      </c>
      <c r="G10" s="446">
        <v>0.0665</v>
      </c>
      <c r="H10" s="446"/>
      <c r="I10" s="446"/>
      <c r="J10" s="439">
        <v>9236.13</v>
      </c>
      <c r="K10" s="157">
        <v>8564.79</v>
      </c>
      <c r="L10" s="398">
        <f t="shared" si="0"/>
        <v>558176.98</v>
      </c>
      <c r="M10" s="398"/>
      <c r="N10" s="157">
        <v>9105.26</v>
      </c>
      <c r="O10" s="157">
        <v>8707.18</v>
      </c>
      <c r="P10" s="398">
        <f t="shared" si="1"/>
        <v>549469.7999999999</v>
      </c>
      <c r="Q10" s="447"/>
      <c r="R10" s="157">
        <v>8963.23</v>
      </c>
      <c r="S10" s="157">
        <v>8851.93</v>
      </c>
      <c r="T10" s="398">
        <f t="shared" si="2"/>
        <v>540617.8699999999</v>
      </c>
      <c r="U10" s="448"/>
      <c r="V10" s="157">
        <v>8818.83</v>
      </c>
      <c r="W10" s="157">
        <v>8999.1</v>
      </c>
      <c r="X10" s="420">
        <f t="shared" si="3"/>
        <v>531618.7699999999</v>
      </c>
      <c r="Y10" s="29">
        <f t="shared" si="4"/>
        <v>36123.45</v>
      </c>
      <c r="Z10" s="22">
        <f t="shared" si="4"/>
        <v>35123</v>
      </c>
      <c r="AA10" s="73">
        <f t="shared" si="5"/>
        <v>531618.77</v>
      </c>
      <c r="AB10" s="491"/>
      <c r="AC10" s="483"/>
      <c r="AD10" s="483"/>
      <c r="AF10" s="439">
        <v>8672.03</v>
      </c>
      <c r="AG10" s="157">
        <v>9148.71</v>
      </c>
      <c r="AH10" s="73">
        <f>AA10-AG10</f>
        <v>522470.06</v>
      </c>
      <c r="AI10" s="398"/>
      <c r="AJ10" s="157">
        <v>8686.06</v>
      </c>
      <c r="AK10" s="157">
        <v>9300.81</v>
      </c>
      <c r="AL10" s="398">
        <f t="shared" si="6"/>
        <v>513169.25</v>
      </c>
      <c r="AM10" s="447"/>
      <c r="AN10" s="157">
        <v>8531.44</v>
      </c>
      <c r="AO10" s="157">
        <v>9455.43</v>
      </c>
      <c r="AP10" s="398">
        <f t="shared" si="7"/>
        <v>503713.82</v>
      </c>
      <c r="AQ10" s="448"/>
      <c r="AR10" s="157">
        <v>8374.24</v>
      </c>
      <c r="AS10" s="157">
        <v>9612.63</v>
      </c>
      <c r="AT10" s="420">
        <f t="shared" si="8"/>
        <v>494101.19</v>
      </c>
      <c r="AU10" s="29">
        <f t="shared" si="9"/>
        <v>34263.77</v>
      </c>
      <c r="AV10" s="22">
        <f t="shared" si="10"/>
        <v>37517.579999999994</v>
      </c>
      <c r="AW10" s="73">
        <f>AA10-AV10</f>
        <v>494101.19</v>
      </c>
    </row>
    <row r="11" spans="2:49" ht="15">
      <c r="B11" s="390">
        <v>9015002</v>
      </c>
      <c r="C11" s="115">
        <v>35796</v>
      </c>
      <c r="D11" s="445">
        <v>48670</v>
      </c>
      <c r="E11" s="445"/>
      <c r="F11" s="420">
        <v>238252.39</v>
      </c>
      <c r="G11" s="446">
        <v>0.0365</v>
      </c>
      <c r="H11" s="446"/>
      <c r="I11" s="446"/>
      <c r="J11" s="439">
        <v>2174.05</v>
      </c>
      <c r="K11" s="157">
        <v>4305.42</v>
      </c>
      <c r="L11" s="398">
        <f t="shared" si="0"/>
        <v>233946.97</v>
      </c>
      <c r="M11" s="398"/>
      <c r="N11" s="157">
        <v>2134.77</v>
      </c>
      <c r="O11" s="157">
        <v>4344.7</v>
      </c>
      <c r="P11" s="398">
        <f t="shared" si="1"/>
        <v>229602.27</v>
      </c>
      <c r="Q11" s="447"/>
      <c r="R11" s="157">
        <v>2095.12</v>
      </c>
      <c r="S11" s="157">
        <v>4384.35</v>
      </c>
      <c r="T11" s="398">
        <f t="shared" si="2"/>
        <v>225217.91999999998</v>
      </c>
      <c r="U11" s="448"/>
      <c r="V11" s="157">
        <v>2055.11</v>
      </c>
      <c r="W11" s="157">
        <v>4424.36</v>
      </c>
      <c r="X11" s="420">
        <f t="shared" si="3"/>
        <v>220793.56</v>
      </c>
      <c r="Y11" s="29">
        <f t="shared" si="4"/>
        <v>8459.05</v>
      </c>
      <c r="Z11" s="22">
        <f t="shared" si="4"/>
        <v>17458.829999999998</v>
      </c>
      <c r="AA11" s="73">
        <f t="shared" si="5"/>
        <v>220793.56000000003</v>
      </c>
      <c r="AB11" s="491">
        <v>651770.73</v>
      </c>
      <c r="AC11" s="483">
        <f>+AB11+Z10+Z11</f>
        <v>704352.5599999999</v>
      </c>
      <c r="AD11" s="483">
        <f>+AA10+AA11</f>
        <v>752412.3300000001</v>
      </c>
      <c r="AF11" s="439">
        <v>2014.74</v>
      </c>
      <c r="AG11" s="157">
        <v>4464.73</v>
      </c>
      <c r="AH11" s="73">
        <f>AA11-AG11</f>
        <v>216328.83000000002</v>
      </c>
      <c r="AI11" s="398"/>
      <c r="AJ11" s="157">
        <v>1974</v>
      </c>
      <c r="AK11" s="157">
        <v>4505.47</v>
      </c>
      <c r="AL11" s="398">
        <f t="shared" si="6"/>
        <v>211823.36000000002</v>
      </c>
      <c r="AM11" s="447"/>
      <c r="AN11" s="157">
        <v>1932.89</v>
      </c>
      <c r="AO11" s="157">
        <v>4546.58</v>
      </c>
      <c r="AP11" s="398">
        <f t="shared" si="7"/>
        <v>207276.78000000003</v>
      </c>
      <c r="AQ11" s="448"/>
      <c r="AR11" s="157">
        <v>1891.4</v>
      </c>
      <c r="AS11" s="157">
        <v>4588.07</v>
      </c>
      <c r="AT11" s="420">
        <f t="shared" si="8"/>
        <v>202688.71000000002</v>
      </c>
      <c r="AU11" s="29">
        <f t="shared" si="9"/>
        <v>7813.030000000001</v>
      </c>
      <c r="AV11" s="22">
        <f t="shared" si="10"/>
        <v>18104.85</v>
      </c>
      <c r="AW11" s="73">
        <f>AA11-AV11</f>
        <v>202688.71000000002</v>
      </c>
    </row>
    <row r="12" spans="1:49" ht="15">
      <c r="A12" s="211"/>
      <c r="B12" s="21"/>
      <c r="C12" s="113"/>
      <c r="D12" s="210"/>
      <c r="E12" s="210"/>
      <c r="F12" s="421">
        <f>SUM(F6:F11)</f>
        <v>1533571.42</v>
      </c>
      <c r="G12" s="42"/>
      <c r="H12" s="42"/>
      <c r="I12" s="42"/>
      <c r="J12" s="440">
        <f>SUM(J6:J11)</f>
        <v>23220.78</v>
      </c>
      <c r="K12" s="441">
        <f>SUM(K6:K11)</f>
        <v>39520.31</v>
      </c>
      <c r="L12" s="265">
        <f>SUM(L6:L11)</f>
        <v>1494051.1099999999</v>
      </c>
      <c r="M12" s="266"/>
      <c r="N12" s="265">
        <f>SUM(N6:N11)</f>
        <v>22630.62</v>
      </c>
      <c r="O12" s="265">
        <f>SUM(O6:O11)</f>
        <v>40141.67999999999</v>
      </c>
      <c r="P12" s="265">
        <f>SUM(P6:P11)</f>
        <v>1453909.4300000002</v>
      </c>
      <c r="Q12" s="267"/>
      <c r="R12" s="265">
        <f>SUM(R6:R11)</f>
        <v>22010.44</v>
      </c>
      <c r="S12" s="265">
        <f>SUM(S6:S11)</f>
        <v>40773.06</v>
      </c>
      <c r="T12" s="265">
        <f>SUM(T6:T11)</f>
        <v>1413136.3699999999</v>
      </c>
      <c r="U12" s="268"/>
      <c r="V12" s="265">
        <f aca="true" t="shared" si="11" ref="V12:AA12">SUM(V6:V11)</f>
        <v>21380.29</v>
      </c>
      <c r="W12" s="265">
        <f t="shared" si="11"/>
        <v>41414.58</v>
      </c>
      <c r="X12" s="265">
        <f t="shared" si="11"/>
        <v>1371721.79</v>
      </c>
      <c r="Y12" s="265">
        <f t="shared" si="11"/>
        <v>89242.13</v>
      </c>
      <c r="Z12" s="265">
        <f t="shared" si="11"/>
        <v>161849.62999999998</v>
      </c>
      <c r="AA12" s="269">
        <f t="shared" si="11"/>
        <v>1371721.79</v>
      </c>
      <c r="AB12" s="491"/>
      <c r="AC12" s="483"/>
      <c r="AD12" s="483"/>
      <c r="AF12" s="440">
        <f>SUM(AF6:AF11)</f>
        <v>20740.030000000002</v>
      </c>
      <c r="AG12" s="441">
        <f>SUM(AG6:AG11)</f>
        <v>42066.399999999994</v>
      </c>
      <c r="AH12" s="265">
        <f>SUM(AH6:AH11)</f>
        <v>1329655.3900000001</v>
      </c>
      <c r="AI12" s="266"/>
      <c r="AJ12" s="265">
        <f>SUM(AJ6:AJ11)</f>
        <v>20437.41</v>
      </c>
      <c r="AK12" s="265">
        <f>SUM(AK6:AK11)</f>
        <v>42728.69</v>
      </c>
      <c r="AL12" s="265">
        <f>SUM(AL6:AL11)</f>
        <v>1286926.7000000002</v>
      </c>
      <c r="AM12" s="267"/>
      <c r="AN12" s="265">
        <f>SUM(AN6:AN11)</f>
        <v>18764.46</v>
      </c>
      <c r="AO12" s="265">
        <f>SUM(AO6:AO11)</f>
        <v>43401.630000000005</v>
      </c>
      <c r="AP12" s="265">
        <f>SUM(AP6:AP11)</f>
        <v>1243525.07</v>
      </c>
      <c r="AQ12" s="268"/>
      <c r="AR12" s="265">
        <f aca="true" t="shared" si="12" ref="AR12:AW12">SUM(AR6:AR11)</f>
        <v>19080.700000000004</v>
      </c>
      <c r="AS12" s="265">
        <f t="shared" si="12"/>
        <v>44085.39</v>
      </c>
      <c r="AT12" s="265">
        <f t="shared" si="12"/>
        <v>1199439.68</v>
      </c>
      <c r="AU12" s="265">
        <f t="shared" si="12"/>
        <v>79022.6</v>
      </c>
      <c r="AV12" s="265">
        <f t="shared" si="12"/>
        <v>172282.11</v>
      </c>
      <c r="AW12" s="269">
        <f t="shared" si="12"/>
        <v>1199439.68</v>
      </c>
    </row>
    <row r="13" spans="1:49" ht="15" outlineLevel="1">
      <c r="A13" s="212">
        <v>40868</v>
      </c>
      <c r="B13" s="227"/>
      <c r="C13" s="115"/>
      <c r="D13" s="445"/>
      <c r="E13" s="239"/>
      <c r="F13" s="420"/>
      <c r="G13" s="451"/>
      <c r="H13" s="43"/>
      <c r="I13" s="94"/>
      <c r="J13" s="276"/>
      <c r="K13" s="276"/>
      <c r="L13" s="271">
        <f aca="true" t="shared" si="13" ref="L13:L20">F13-K13</f>
        <v>0</v>
      </c>
      <c r="M13" s="271"/>
      <c r="N13" s="270"/>
      <c r="O13" s="276"/>
      <c r="P13" s="271">
        <f t="shared" si="1"/>
        <v>0</v>
      </c>
      <c r="Q13" s="273"/>
      <c r="R13" s="270"/>
      <c r="S13" s="270"/>
      <c r="T13" s="271">
        <f aca="true" t="shared" si="14" ref="T13:T20">P13-S13</f>
        <v>0</v>
      </c>
      <c r="U13" s="274"/>
      <c r="V13" s="270"/>
      <c r="W13" s="270"/>
      <c r="X13" s="270">
        <f aca="true" t="shared" si="15" ref="X13:X20">T13-W13</f>
        <v>0</v>
      </c>
      <c r="Y13" s="275">
        <f aca="true" t="shared" si="16" ref="Y13:Z20">J13+N13+R13+V13</f>
        <v>0</v>
      </c>
      <c r="Z13" s="272">
        <f t="shared" si="16"/>
        <v>0</v>
      </c>
      <c r="AA13" s="271">
        <f aca="true" t="shared" si="17" ref="AA13:AA20">F13-Z13</f>
        <v>0</v>
      </c>
      <c r="AB13" s="391"/>
      <c r="AC13" s="483"/>
      <c r="AD13" s="483"/>
      <c r="AF13" s="276"/>
      <c r="AG13" s="276"/>
      <c r="AH13" s="271">
        <f>AB13-AG13</f>
        <v>0</v>
      </c>
      <c r="AI13" s="271"/>
      <c r="AJ13" s="270"/>
      <c r="AK13" s="276"/>
      <c r="AL13" s="271">
        <f aca="true" t="shared" si="18" ref="AL13:AL20">AH13-AK13</f>
        <v>0</v>
      </c>
      <c r="AM13" s="273"/>
      <c r="AN13" s="270"/>
      <c r="AO13" s="270"/>
      <c r="AP13" s="271">
        <f aca="true" t="shared" si="19" ref="AP13:AP20">AL13-AO13</f>
        <v>0</v>
      </c>
      <c r="AQ13" s="274"/>
      <c r="AR13" s="270"/>
      <c r="AS13" s="270"/>
      <c r="AT13" s="270">
        <f aca="true" t="shared" si="20" ref="AT13:AT20">AP13-AS13</f>
        <v>0</v>
      </c>
      <c r="AU13" s="275">
        <f aca="true" t="shared" si="21" ref="AU13:AU20">AF13+AJ13+AN13+AR13</f>
        <v>0</v>
      </c>
      <c r="AV13" s="272">
        <f aca="true" t="shared" si="22" ref="AV13:AV20">AG13+AK13+AO13+AS13</f>
        <v>0</v>
      </c>
      <c r="AW13" s="271">
        <f>AB13-AV13</f>
        <v>0</v>
      </c>
    </row>
    <row r="14" spans="2:49" ht="15" outlineLevel="1">
      <c r="B14" s="19"/>
      <c r="C14" s="113"/>
      <c r="D14" s="210"/>
      <c r="E14" s="34"/>
      <c r="F14" s="420"/>
      <c r="G14" s="207"/>
      <c r="H14" s="43"/>
      <c r="I14" s="94"/>
      <c r="J14" s="276"/>
      <c r="K14" s="276"/>
      <c r="L14" s="271">
        <f t="shared" si="13"/>
        <v>0</v>
      </c>
      <c r="M14" s="271"/>
      <c r="N14" s="270"/>
      <c r="O14" s="276"/>
      <c r="P14" s="271">
        <f t="shared" si="1"/>
        <v>0</v>
      </c>
      <c r="Q14" s="273"/>
      <c r="R14" s="270"/>
      <c r="S14" s="270"/>
      <c r="T14" s="271">
        <f t="shared" si="14"/>
        <v>0</v>
      </c>
      <c r="U14" s="274"/>
      <c r="V14" s="270"/>
      <c r="W14" s="270"/>
      <c r="X14" s="270">
        <f t="shared" si="15"/>
        <v>0</v>
      </c>
      <c r="Y14" s="275">
        <f t="shared" si="16"/>
        <v>0</v>
      </c>
      <c r="Z14" s="272">
        <f t="shared" si="16"/>
        <v>0</v>
      </c>
      <c r="AA14" s="271">
        <f t="shared" si="17"/>
        <v>0</v>
      </c>
      <c r="AB14" s="391"/>
      <c r="AC14" s="483"/>
      <c r="AD14" s="483"/>
      <c r="AF14" s="276"/>
      <c r="AG14" s="276"/>
      <c r="AH14" s="271">
        <f>AB14-AG14</f>
        <v>0</v>
      </c>
      <c r="AI14" s="271"/>
      <c r="AJ14" s="270"/>
      <c r="AK14" s="276"/>
      <c r="AL14" s="271">
        <f t="shared" si="18"/>
        <v>0</v>
      </c>
      <c r="AM14" s="273"/>
      <c r="AN14" s="270"/>
      <c r="AO14" s="270"/>
      <c r="AP14" s="271">
        <f t="shared" si="19"/>
        <v>0</v>
      </c>
      <c r="AQ14" s="274"/>
      <c r="AR14" s="270"/>
      <c r="AS14" s="270"/>
      <c r="AT14" s="270">
        <f t="shared" si="20"/>
        <v>0</v>
      </c>
      <c r="AU14" s="275">
        <f t="shared" si="21"/>
        <v>0</v>
      </c>
      <c r="AV14" s="272">
        <f t="shared" si="22"/>
        <v>0</v>
      </c>
      <c r="AW14" s="271">
        <f>AB14-AV14</f>
        <v>0</v>
      </c>
    </row>
    <row r="15" spans="2:49" ht="15" hidden="1" outlineLevel="1">
      <c r="B15" s="19">
        <v>9016011</v>
      </c>
      <c r="C15" s="113"/>
      <c r="D15" s="210">
        <v>44804</v>
      </c>
      <c r="E15" s="34"/>
      <c r="F15" s="420">
        <v>128546.31000000001</v>
      </c>
      <c r="G15" s="207">
        <v>0.046</v>
      </c>
      <c r="H15" s="43"/>
      <c r="I15" s="94"/>
      <c r="J15" s="276">
        <v>1478.28</v>
      </c>
      <c r="K15" s="276">
        <v>42359.77</v>
      </c>
      <c r="L15" s="271">
        <f t="shared" si="13"/>
        <v>86186.54000000001</v>
      </c>
      <c r="M15" s="271"/>
      <c r="N15" s="270">
        <v>991.15</v>
      </c>
      <c r="O15" s="276">
        <v>42846.9</v>
      </c>
      <c r="P15" s="271">
        <f t="shared" si="1"/>
        <v>43339.64000000001</v>
      </c>
      <c r="Q15" s="273"/>
      <c r="R15" s="270">
        <v>498.41</v>
      </c>
      <c r="S15" s="270">
        <v>43339.64</v>
      </c>
      <c r="T15" s="271">
        <f t="shared" si="14"/>
        <v>0</v>
      </c>
      <c r="U15" s="274"/>
      <c r="V15" s="270"/>
      <c r="W15" s="270"/>
      <c r="X15" s="270">
        <f t="shared" si="15"/>
        <v>0</v>
      </c>
      <c r="Y15" s="275">
        <f t="shared" si="16"/>
        <v>2967.8399999999997</v>
      </c>
      <c r="Z15" s="272">
        <f t="shared" si="16"/>
        <v>128546.31</v>
      </c>
      <c r="AA15" s="271">
        <f t="shared" si="17"/>
        <v>0</v>
      </c>
      <c r="AB15" s="391"/>
      <c r="AC15" s="483"/>
      <c r="AD15" s="483"/>
      <c r="AF15" s="276">
        <v>0</v>
      </c>
      <c r="AG15" s="276">
        <v>0</v>
      </c>
      <c r="AH15" s="271">
        <f>AB15-AG15</f>
        <v>0</v>
      </c>
      <c r="AI15" s="271"/>
      <c r="AJ15" s="270">
        <v>991.15</v>
      </c>
      <c r="AK15" s="276">
        <v>42846.9</v>
      </c>
      <c r="AL15" s="271">
        <f t="shared" si="18"/>
        <v>-42846.9</v>
      </c>
      <c r="AM15" s="273"/>
      <c r="AN15" s="270">
        <v>498.41</v>
      </c>
      <c r="AO15" s="270">
        <v>43339.64</v>
      </c>
      <c r="AP15" s="271">
        <f t="shared" si="19"/>
        <v>-86186.54000000001</v>
      </c>
      <c r="AQ15" s="274"/>
      <c r="AR15" s="270"/>
      <c r="AS15" s="270"/>
      <c r="AT15" s="270">
        <f t="shared" si="20"/>
        <v>-86186.54000000001</v>
      </c>
      <c r="AU15" s="275">
        <f t="shared" si="21"/>
        <v>1489.56</v>
      </c>
      <c r="AV15" s="272">
        <f t="shared" si="22"/>
        <v>86186.54000000001</v>
      </c>
      <c r="AW15" s="271">
        <f>AB15-AV15</f>
        <v>-86186.54000000001</v>
      </c>
    </row>
    <row r="16" spans="2:49" ht="15" outlineLevel="1">
      <c r="B16" s="19">
        <v>9016012</v>
      </c>
      <c r="C16" s="113"/>
      <c r="D16" s="210">
        <v>45169</v>
      </c>
      <c r="E16" s="34"/>
      <c r="F16" s="420">
        <v>161013.87</v>
      </c>
      <c r="G16" s="207">
        <v>0.047</v>
      </c>
      <c r="H16" s="43"/>
      <c r="I16" s="94"/>
      <c r="J16" s="276">
        <v>1866</v>
      </c>
      <c r="K16" s="276"/>
      <c r="L16" s="271">
        <f t="shared" si="13"/>
        <v>161013.87</v>
      </c>
      <c r="M16" s="271"/>
      <c r="N16" s="270">
        <v>1907.46</v>
      </c>
      <c r="O16" s="276"/>
      <c r="P16" s="271">
        <f t="shared" si="1"/>
        <v>161013.87</v>
      </c>
      <c r="Q16" s="273"/>
      <c r="R16" s="270">
        <v>1907.46</v>
      </c>
      <c r="S16" s="270"/>
      <c r="T16" s="271">
        <f t="shared" si="14"/>
        <v>161013.87</v>
      </c>
      <c r="U16" s="274"/>
      <c r="V16" s="270">
        <v>1891.91</v>
      </c>
      <c r="W16" s="270">
        <v>39550.91</v>
      </c>
      <c r="X16" s="270">
        <f t="shared" si="15"/>
        <v>121462.95999999999</v>
      </c>
      <c r="Y16" s="275">
        <f t="shared" si="16"/>
        <v>7572.83</v>
      </c>
      <c r="Z16" s="272">
        <f t="shared" si="16"/>
        <v>39550.91</v>
      </c>
      <c r="AA16" s="271">
        <f t="shared" si="17"/>
        <v>121462.95999999999</v>
      </c>
      <c r="AB16" s="391"/>
      <c r="AC16" s="483"/>
      <c r="AD16" s="483"/>
      <c r="AF16" s="276">
        <v>1427.19</v>
      </c>
      <c r="AG16" s="276">
        <v>40015.63</v>
      </c>
      <c r="AH16" s="271">
        <f>AA16-AG16</f>
        <v>81447.32999999999</v>
      </c>
      <c r="AI16" s="271"/>
      <c r="AJ16" s="270">
        <v>957.01</v>
      </c>
      <c r="AK16" s="276">
        <v>40485.81</v>
      </c>
      <c r="AL16" s="271">
        <f t="shared" si="18"/>
        <v>40961.51999999999</v>
      </c>
      <c r="AM16" s="273"/>
      <c r="AN16" s="270">
        <v>481.3</v>
      </c>
      <c r="AO16" s="270">
        <v>40961.52</v>
      </c>
      <c r="AP16" s="271">
        <f t="shared" si="19"/>
        <v>0</v>
      </c>
      <c r="AQ16" s="274"/>
      <c r="AR16" s="270">
        <v>0</v>
      </c>
      <c r="AS16" s="270">
        <v>0</v>
      </c>
      <c r="AT16" s="270">
        <f t="shared" si="20"/>
        <v>0</v>
      </c>
      <c r="AU16" s="275">
        <f t="shared" si="21"/>
        <v>2865.5</v>
      </c>
      <c r="AV16" s="272">
        <f t="shared" si="22"/>
        <v>121462.95999999999</v>
      </c>
      <c r="AW16" s="271">
        <v>0</v>
      </c>
    </row>
    <row r="17" spans="2:49" ht="15" outlineLevel="1">
      <c r="B17" s="19">
        <v>9016013</v>
      </c>
      <c r="C17" s="113"/>
      <c r="D17" s="210">
        <v>45535</v>
      </c>
      <c r="E17" s="34"/>
      <c r="F17" s="420">
        <v>169216.41</v>
      </c>
      <c r="G17" s="207">
        <v>0.048</v>
      </c>
      <c r="H17" s="43"/>
      <c r="I17" s="94"/>
      <c r="J17" s="276">
        <v>2002.78</v>
      </c>
      <c r="K17" s="276"/>
      <c r="L17" s="271">
        <f t="shared" si="13"/>
        <v>169216.41</v>
      </c>
      <c r="M17" s="271"/>
      <c r="N17" s="270">
        <v>2047.29</v>
      </c>
      <c r="O17" s="276"/>
      <c r="P17" s="271">
        <f t="shared" si="1"/>
        <v>169216.41</v>
      </c>
      <c r="Q17" s="273"/>
      <c r="R17" s="270">
        <v>2047.29</v>
      </c>
      <c r="S17" s="270"/>
      <c r="T17" s="271">
        <f t="shared" si="14"/>
        <v>169216.41</v>
      </c>
      <c r="U17" s="274"/>
      <c r="V17" s="270">
        <v>2025.03</v>
      </c>
      <c r="W17" s="270"/>
      <c r="X17" s="270">
        <f t="shared" si="15"/>
        <v>169216.41</v>
      </c>
      <c r="Y17" s="275">
        <f t="shared" si="16"/>
        <v>8122.389999999999</v>
      </c>
      <c r="Z17" s="272">
        <f t="shared" si="16"/>
        <v>0</v>
      </c>
      <c r="AA17" s="271">
        <f t="shared" si="17"/>
        <v>169216.41</v>
      </c>
      <c r="AB17" s="391"/>
      <c r="AC17" s="483"/>
      <c r="AD17" s="483"/>
      <c r="AF17" s="276">
        <v>2002.78</v>
      </c>
      <c r="AG17" s="276">
        <v>0</v>
      </c>
      <c r="AH17" s="271">
        <f>AA17-AG17</f>
        <v>169216.41</v>
      </c>
      <c r="AI17" s="271"/>
      <c r="AJ17" s="270">
        <v>2047.29</v>
      </c>
      <c r="AK17" s="276"/>
      <c r="AL17" s="271">
        <f t="shared" si="18"/>
        <v>169216.41</v>
      </c>
      <c r="AM17" s="273"/>
      <c r="AN17" s="270">
        <v>2047.29</v>
      </c>
      <c r="AO17" s="270"/>
      <c r="AP17" s="271">
        <f t="shared" si="19"/>
        <v>169216.41</v>
      </c>
      <c r="AQ17" s="274"/>
      <c r="AR17" s="270">
        <v>2025.03</v>
      </c>
      <c r="AS17" s="270"/>
      <c r="AT17" s="270">
        <f t="shared" si="20"/>
        <v>169216.41</v>
      </c>
      <c r="AU17" s="275">
        <f t="shared" si="21"/>
        <v>8122.389999999999</v>
      </c>
      <c r="AV17" s="272">
        <f t="shared" si="22"/>
        <v>0</v>
      </c>
      <c r="AW17" s="271">
        <f>AT17-AV17</f>
        <v>169216.41</v>
      </c>
    </row>
    <row r="18" spans="2:49" ht="15" outlineLevel="1">
      <c r="B18" s="19">
        <v>9016014</v>
      </c>
      <c r="C18" s="113"/>
      <c r="D18" s="210">
        <v>45900</v>
      </c>
      <c r="E18" s="34"/>
      <c r="F18" s="420">
        <v>152424.06</v>
      </c>
      <c r="G18" s="207">
        <v>0.049</v>
      </c>
      <c r="H18" s="43"/>
      <c r="I18" s="94"/>
      <c r="J18" s="276">
        <v>1841.62</v>
      </c>
      <c r="K18" s="276"/>
      <c r="L18" s="271">
        <f t="shared" si="13"/>
        <v>152424.06</v>
      </c>
      <c r="M18" s="271"/>
      <c r="N18" s="270">
        <v>1882.54</v>
      </c>
      <c r="O18" s="276"/>
      <c r="P18" s="271">
        <f t="shared" si="1"/>
        <v>152424.06</v>
      </c>
      <c r="Q18" s="273"/>
      <c r="R18" s="270">
        <v>1882.54</v>
      </c>
      <c r="S18" s="270"/>
      <c r="T18" s="271">
        <f t="shared" si="14"/>
        <v>152424.06</v>
      </c>
      <c r="U18" s="274"/>
      <c r="V18" s="270">
        <v>1862.08</v>
      </c>
      <c r="W18" s="270"/>
      <c r="X18" s="270">
        <f t="shared" si="15"/>
        <v>152424.06</v>
      </c>
      <c r="Y18" s="275">
        <f t="shared" si="16"/>
        <v>7468.78</v>
      </c>
      <c r="Z18" s="272">
        <f t="shared" si="16"/>
        <v>0</v>
      </c>
      <c r="AA18" s="271">
        <f t="shared" si="17"/>
        <v>152424.06</v>
      </c>
      <c r="AB18" s="391"/>
      <c r="AC18" s="483"/>
      <c r="AD18" s="483"/>
      <c r="AF18" s="276">
        <v>1841.62</v>
      </c>
      <c r="AG18" s="276">
        <v>0</v>
      </c>
      <c r="AH18" s="271">
        <f>AA18-AG18</f>
        <v>152424.06</v>
      </c>
      <c r="AI18" s="271"/>
      <c r="AJ18" s="270">
        <v>1882.54</v>
      </c>
      <c r="AK18" s="276"/>
      <c r="AL18" s="271">
        <f t="shared" si="18"/>
        <v>152424.06</v>
      </c>
      <c r="AM18" s="273"/>
      <c r="AN18" s="270">
        <v>1882.54</v>
      </c>
      <c r="AO18" s="270"/>
      <c r="AP18" s="271">
        <f t="shared" si="19"/>
        <v>152424.06</v>
      </c>
      <c r="AQ18" s="274"/>
      <c r="AR18" s="270">
        <v>1862.08</v>
      </c>
      <c r="AS18" s="270"/>
      <c r="AT18" s="270">
        <f t="shared" si="20"/>
        <v>152424.06</v>
      </c>
      <c r="AU18" s="275">
        <f t="shared" si="21"/>
        <v>7468.78</v>
      </c>
      <c r="AV18" s="272">
        <f t="shared" si="22"/>
        <v>0</v>
      </c>
      <c r="AW18" s="271">
        <f>AT18-AV18</f>
        <v>152424.06</v>
      </c>
    </row>
    <row r="19" spans="2:49" ht="15" outlineLevel="1">
      <c r="B19" s="19">
        <v>9016015</v>
      </c>
      <c r="C19" s="113"/>
      <c r="D19" s="210">
        <v>46265</v>
      </c>
      <c r="E19" s="34"/>
      <c r="F19" s="420">
        <v>102295.74</v>
      </c>
      <c r="G19" s="207">
        <v>0.0495</v>
      </c>
      <c r="H19" s="43"/>
      <c r="I19" s="94"/>
      <c r="J19" s="276">
        <v>1248.57</v>
      </c>
      <c r="K19" s="276"/>
      <c r="L19" s="271">
        <f t="shared" si="13"/>
        <v>102295.74</v>
      </c>
      <c r="M19" s="271"/>
      <c r="N19" s="270">
        <v>1276.31</v>
      </c>
      <c r="O19" s="276"/>
      <c r="P19" s="271">
        <f t="shared" si="1"/>
        <v>102295.74</v>
      </c>
      <c r="Q19" s="273"/>
      <c r="R19" s="270">
        <v>1276.31</v>
      </c>
      <c r="S19" s="270"/>
      <c r="T19" s="271">
        <f t="shared" si="14"/>
        <v>102295.74</v>
      </c>
      <c r="U19" s="274"/>
      <c r="V19" s="270">
        <v>1262.44</v>
      </c>
      <c r="W19" s="270"/>
      <c r="X19" s="270">
        <f t="shared" si="15"/>
        <v>102295.74</v>
      </c>
      <c r="Y19" s="275">
        <f t="shared" si="16"/>
        <v>5063.63</v>
      </c>
      <c r="Z19" s="272">
        <f t="shared" si="16"/>
        <v>0</v>
      </c>
      <c r="AA19" s="271">
        <f t="shared" si="17"/>
        <v>102295.74</v>
      </c>
      <c r="AB19" s="391"/>
      <c r="AC19" s="483"/>
      <c r="AD19" s="483"/>
      <c r="AF19" s="276">
        <v>1248.57</v>
      </c>
      <c r="AG19" s="276">
        <v>0</v>
      </c>
      <c r="AH19" s="271">
        <f>AA19-AG19</f>
        <v>102295.74</v>
      </c>
      <c r="AI19" s="271"/>
      <c r="AJ19" s="270">
        <v>1276.31</v>
      </c>
      <c r="AK19" s="276"/>
      <c r="AL19" s="271">
        <f t="shared" si="18"/>
        <v>102295.74</v>
      </c>
      <c r="AM19" s="273"/>
      <c r="AN19" s="270">
        <v>1276.31</v>
      </c>
      <c r="AO19" s="270"/>
      <c r="AP19" s="271">
        <f t="shared" si="19"/>
        <v>102295.74</v>
      </c>
      <c r="AQ19" s="274"/>
      <c r="AR19" s="270">
        <v>1262.44</v>
      </c>
      <c r="AS19" s="270"/>
      <c r="AT19" s="270">
        <f t="shared" si="20"/>
        <v>102295.74</v>
      </c>
      <c r="AU19" s="275">
        <f t="shared" si="21"/>
        <v>5063.63</v>
      </c>
      <c r="AV19" s="272">
        <f t="shared" si="22"/>
        <v>0</v>
      </c>
      <c r="AW19" s="271">
        <f>AT19-AV19</f>
        <v>102295.74</v>
      </c>
    </row>
    <row r="20" spans="1:49" ht="15" outlineLevel="1">
      <c r="A20" s="211"/>
      <c r="B20" s="19">
        <v>9016016</v>
      </c>
      <c r="C20" s="113"/>
      <c r="D20" s="210">
        <v>46630</v>
      </c>
      <c r="E20" s="34"/>
      <c r="F20" s="420">
        <v>96918.96</v>
      </c>
      <c r="G20" s="207">
        <v>0.0505</v>
      </c>
      <c r="H20" s="43"/>
      <c r="I20" s="94"/>
      <c r="J20" s="276">
        <v>1206.84</v>
      </c>
      <c r="K20" s="276"/>
      <c r="L20" s="271">
        <f t="shared" si="13"/>
        <v>96918.96</v>
      </c>
      <c r="M20" s="271"/>
      <c r="N20" s="270">
        <v>1233.66</v>
      </c>
      <c r="O20" s="276"/>
      <c r="P20" s="271">
        <f t="shared" si="1"/>
        <v>96918.96</v>
      </c>
      <c r="Q20" s="273"/>
      <c r="R20" s="270">
        <v>1233.66</v>
      </c>
      <c r="S20" s="270"/>
      <c r="T20" s="271">
        <f t="shared" si="14"/>
        <v>96918.96</v>
      </c>
      <c r="U20" s="274"/>
      <c r="V20" s="270">
        <v>1220.25</v>
      </c>
      <c r="W20" s="270"/>
      <c r="X20" s="270">
        <f t="shared" si="15"/>
        <v>96918.96</v>
      </c>
      <c r="Y20" s="275">
        <f t="shared" si="16"/>
        <v>4894.41</v>
      </c>
      <c r="Z20" s="272">
        <f t="shared" si="16"/>
        <v>0</v>
      </c>
      <c r="AA20" s="271">
        <f t="shared" si="17"/>
        <v>96918.96</v>
      </c>
      <c r="AB20" s="391"/>
      <c r="AC20" s="483"/>
      <c r="AD20" s="483"/>
      <c r="AF20" s="276">
        <v>1206.84</v>
      </c>
      <c r="AG20" s="276">
        <v>0</v>
      </c>
      <c r="AH20" s="271">
        <f>AA20-AG20</f>
        <v>96918.96</v>
      </c>
      <c r="AI20" s="271"/>
      <c r="AJ20" s="270">
        <v>1233.66</v>
      </c>
      <c r="AK20" s="276"/>
      <c r="AL20" s="271">
        <f t="shared" si="18"/>
        <v>96918.96</v>
      </c>
      <c r="AM20" s="273"/>
      <c r="AN20" s="270">
        <v>1233.66</v>
      </c>
      <c r="AO20" s="270"/>
      <c r="AP20" s="271">
        <f t="shared" si="19"/>
        <v>96918.96</v>
      </c>
      <c r="AQ20" s="274"/>
      <c r="AR20" s="270">
        <v>1220.25</v>
      </c>
      <c r="AS20" s="270"/>
      <c r="AT20" s="270">
        <f t="shared" si="20"/>
        <v>96918.96</v>
      </c>
      <c r="AU20" s="275">
        <f t="shared" si="21"/>
        <v>4894.41</v>
      </c>
      <c r="AV20" s="272">
        <f t="shared" si="22"/>
        <v>0</v>
      </c>
      <c r="AW20" s="271">
        <f>AT20-AV20</f>
        <v>96918.96</v>
      </c>
    </row>
    <row r="21" spans="1:49" ht="15">
      <c r="A21" s="212" t="s">
        <v>105</v>
      </c>
      <c r="B21" s="19">
        <v>9016</v>
      </c>
      <c r="C21" s="231">
        <v>40868</v>
      </c>
      <c r="D21" s="232">
        <v>11636</v>
      </c>
      <c r="E21" s="233"/>
      <c r="F21" s="421">
        <f>SUM(F13:F20)</f>
        <v>810415.3499999999</v>
      </c>
      <c r="G21" s="207"/>
      <c r="H21" s="43"/>
      <c r="I21" s="94"/>
      <c r="J21" s="264">
        <f>SUM(J13:J20)</f>
        <v>9644.09</v>
      </c>
      <c r="K21" s="265">
        <f>SUM(K13:K20)</f>
        <v>42359.77</v>
      </c>
      <c r="L21" s="269">
        <f>SUM(L13:L20)</f>
        <v>768055.58</v>
      </c>
      <c r="M21" s="266"/>
      <c r="N21" s="265">
        <f>SUM(N13:N20)</f>
        <v>9338.41</v>
      </c>
      <c r="O21" s="265">
        <f>SUM(O13:O20)</f>
        <v>42846.9</v>
      </c>
      <c r="P21" s="269">
        <f>SUM(P13:P20)</f>
        <v>725208.6799999999</v>
      </c>
      <c r="Q21" s="267"/>
      <c r="R21" s="265">
        <f>SUM(R13:R20)</f>
        <v>8845.67</v>
      </c>
      <c r="S21" s="265">
        <f>SUM(S13:S20)</f>
        <v>43339.64</v>
      </c>
      <c r="T21" s="269">
        <f>SUM(T13:T20)</f>
        <v>681869.04</v>
      </c>
      <c r="U21" s="268"/>
      <c r="V21" s="265">
        <f aca="true" t="shared" si="23" ref="V21:AA21">SUM(V13:V20)</f>
        <v>8261.710000000001</v>
      </c>
      <c r="W21" s="265">
        <f t="shared" si="23"/>
        <v>39550.91</v>
      </c>
      <c r="X21" s="269">
        <f t="shared" si="23"/>
        <v>642318.13</v>
      </c>
      <c r="Y21" s="265">
        <f t="shared" si="23"/>
        <v>36089.88</v>
      </c>
      <c r="Z21" s="265">
        <f t="shared" si="23"/>
        <v>168097.22</v>
      </c>
      <c r="AA21" s="269">
        <f t="shared" si="23"/>
        <v>642318.13</v>
      </c>
      <c r="AB21" s="391">
        <v>2291586.32</v>
      </c>
      <c r="AC21" s="483">
        <f>+AB21+Z21</f>
        <v>2459683.54</v>
      </c>
      <c r="AD21" s="483">
        <f>+AA21</f>
        <v>642318.13</v>
      </c>
      <c r="AF21" s="264">
        <f>SUM(AF13:AF20)</f>
        <v>7727</v>
      </c>
      <c r="AG21" s="265">
        <f>SUM(AG13:AG20)</f>
        <v>40015.63</v>
      </c>
      <c r="AH21" s="269">
        <f>SUM(AH13:AH20)</f>
        <v>602302.5</v>
      </c>
      <c r="AI21" s="266"/>
      <c r="AJ21" s="265">
        <f>SUM(AJ13:AJ20)</f>
        <v>8387.96</v>
      </c>
      <c r="AK21" s="265">
        <f>SUM(AK13:AK20)</f>
        <v>83332.70999999999</v>
      </c>
      <c r="AL21" s="269">
        <f>SUM(AL13:AL20)</f>
        <v>518969.79</v>
      </c>
      <c r="AM21" s="267"/>
      <c r="AN21" s="265">
        <f>SUM(AN13:AN20)</f>
        <v>7419.51</v>
      </c>
      <c r="AO21" s="265">
        <f>SUM(AO13:AO20)</f>
        <v>84301.16</v>
      </c>
      <c r="AP21" s="269">
        <f>SUM(AP13:AP20)</f>
        <v>434668.63</v>
      </c>
      <c r="AQ21" s="268"/>
      <c r="AR21" s="265">
        <f aca="true" t="shared" si="24" ref="AR21:AW21">SUM(AR13:AR20)</f>
        <v>6369.799999999999</v>
      </c>
      <c r="AS21" s="265">
        <f t="shared" si="24"/>
        <v>0</v>
      </c>
      <c r="AT21" s="269">
        <f t="shared" si="24"/>
        <v>434668.63</v>
      </c>
      <c r="AU21" s="265">
        <f t="shared" si="24"/>
        <v>29904.27</v>
      </c>
      <c r="AV21" s="265">
        <f t="shared" si="24"/>
        <v>207649.5</v>
      </c>
      <c r="AW21" s="269">
        <f t="shared" si="24"/>
        <v>434668.63</v>
      </c>
    </row>
    <row r="22" spans="1:49" ht="15" customHeight="1" outlineLevel="1">
      <c r="A22" s="116">
        <v>42538</v>
      </c>
      <c r="B22" s="227"/>
      <c r="C22" s="231"/>
      <c r="D22" s="210"/>
      <c r="E22" s="240"/>
      <c r="F22" s="157"/>
      <c r="G22" s="217"/>
      <c r="H22" s="43"/>
      <c r="I22" s="94"/>
      <c r="J22" s="276"/>
      <c r="K22" s="276"/>
      <c r="L22" s="277">
        <f aca="true" t="shared" si="25" ref="L22:L40">F22-K22</f>
        <v>0</v>
      </c>
      <c r="M22" s="278"/>
      <c r="N22" s="276"/>
      <c r="O22" s="276"/>
      <c r="P22" s="277">
        <f aca="true" t="shared" si="26" ref="P22:P40">L22-O22</f>
        <v>0</v>
      </c>
      <c r="Q22" s="273"/>
      <c r="R22" s="270"/>
      <c r="S22" s="270"/>
      <c r="T22" s="271">
        <f aca="true" t="shared" si="27" ref="T22:T40">P22-S22</f>
        <v>0</v>
      </c>
      <c r="U22" s="274"/>
      <c r="V22" s="270"/>
      <c r="W22" s="270"/>
      <c r="X22" s="270">
        <f aca="true" t="shared" si="28" ref="X22:X40">T22-W22</f>
        <v>0</v>
      </c>
      <c r="Y22" s="275">
        <f aca="true" t="shared" si="29" ref="Y22:Y40">J22+N22+R22+V22</f>
        <v>0</v>
      </c>
      <c r="Z22" s="272">
        <f aca="true" t="shared" si="30" ref="Z22:Z40">K22+O22+S22+W22</f>
        <v>0</v>
      </c>
      <c r="AA22" s="271">
        <f aca="true" t="shared" si="31" ref="AA22:AA40">F22-Z22</f>
        <v>0</v>
      </c>
      <c r="AB22" s="391"/>
      <c r="AC22" s="483"/>
      <c r="AD22" s="483"/>
      <c r="AF22" s="276"/>
      <c r="AG22" s="276"/>
      <c r="AH22" s="277">
        <f>AB22-AG22</f>
        <v>0</v>
      </c>
      <c r="AI22" s="278"/>
      <c r="AJ22" s="276"/>
      <c r="AK22" s="276"/>
      <c r="AL22" s="277">
        <f aca="true" t="shared" si="32" ref="AL22:AL40">AH22-AK22</f>
        <v>0</v>
      </c>
      <c r="AM22" s="273"/>
      <c r="AN22" s="270"/>
      <c r="AO22" s="270"/>
      <c r="AP22" s="271">
        <f aca="true" t="shared" si="33" ref="AP22:AP40">AL22-AO22</f>
        <v>0</v>
      </c>
      <c r="AQ22" s="274"/>
      <c r="AR22" s="270"/>
      <c r="AS22" s="270"/>
      <c r="AT22" s="270">
        <f aca="true" t="shared" si="34" ref="AT22:AT40">AP22-AS22</f>
        <v>0</v>
      </c>
      <c r="AU22" s="275">
        <f aca="true" t="shared" si="35" ref="AU22:AU40">AF22+AJ22+AN22+AR22</f>
        <v>0</v>
      </c>
      <c r="AV22" s="272">
        <f aca="true" t="shared" si="36" ref="AV22:AV40">AG22+AK22+AO22+AS22</f>
        <v>0</v>
      </c>
      <c r="AW22" s="271">
        <f>AB22-AV22</f>
        <v>0</v>
      </c>
    </row>
    <row r="23" spans="2:49" ht="15" customHeight="1" outlineLevel="1">
      <c r="B23" s="227">
        <v>9019007</v>
      </c>
      <c r="C23" s="231"/>
      <c r="D23" s="210">
        <v>44895</v>
      </c>
      <c r="E23" s="240"/>
      <c r="F23" s="157">
        <v>586254.55</v>
      </c>
      <c r="G23" s="217">
        <v>0.034</v>
      </c>
      <c r="H23" s="43"/>
      <c r="I23" s="94"/>
      <c r="J23" s="276">
        <v>4983.16</v>
      </c>
      <c r="K23" s="276">
        <v>144704.68</v>
      </c>
      <c r="L23" s="277">
        <f t="shared" si="25"/>
        <v>441549.87000000005</v>
      </c>
      <c r="M23" s="278"/>
      <c r="N23" s="276">
        <v>3753.17</v>
      </c>
      <c r="O23" s="276">
        <v>145934.67</v>
      </c>
      <c r="P23" s="277">
        <f t="shared" si="26"/>
        <v>295615.20000000007</v>
      </c>
      <c r="Q23" s="273"/>
      <c r="R23" s="270">
        <v>2512.73</v>
      </c>
      <c r="S23" s="270">
        <v>147175.11</v>
      </c>
      <c r="T23" s="271">
        <f t="shared" si="27"/>
        <v>148440.09000000008</v>
      </c>
      <c r="U23" s="274"/>
      <c r="V23" s="270">
        <v>1247.72</v>
      </c>
      <c r="W23" s="270">
        <v>148440.09</v>
      </c>
      <c r="X23" s="270">
        <f t="shared" si="28"/>
        <v>0</v>
      </c>
      <c r="Y23" s="275">
        <f t="shared" si="29"/>
        <v>12496.779999999999</v>
      </c>
      <c r="Z23" s="272">
        <f t="shared" si="30"/>
        <v>586254.5499999999</v>
      </c>
      <c r="AA23" s="271">
        <f t="shared" si="31"/>
        <v>0</v>
      </c>
      <c r="AB23" s="391"/>
      <c r="AC23" s="483"/>
      <c r="AD23" s="483"/>
      <c r="AF23" s="276">
        <v>0</v>
      </c>
      <c r="AG23" s="276">
        <v>0</v>
      </c>
      <c r="AH23" s="277">
        <f>AA23-AG23</f>
        <v>0</v>
      </c>
      <c r="AI23" s="278"/>
      <c r="AJ23" s="276">
        <v>0</v>
      </c>
      <c r="AK23" s="276">
        <v>0</v>
      </c>
      <c r="AL23" s="277">
        <f t="shared" si="32"/>
        <v>0</v>
      </c>
      <c r="AM23" s="273"/>
      <c r="AN23" s="270">
        <v>0</v>
      </c>
      <c r="AO23" s="270">
        <v>0</v>
      </c>
      <c r="AP23" s="271">
        <f t="shared" si="33"/>
        <v>0</v>
      </c>
      <c r="AQ23" s="274"/>
      <c r="AR23" s="270">
        <v>0</v>
      </c>
      <c r="AS23" s="270">
        <v>0</v>
      </c>
      <c r="AT23" s="270">
        <f t="shared" si="34"/>
        <v>0</v>
      </c>
      <c r="AU23" s="275">
        <f t="shared" si="35"/>
        <v>0</v>
      </c>
      <c r="AV23" s="272">
        <f t="shared" si="36"/>
        <v>0</v>
      </c>
      <c r="AW23" s="271">
        <f>AB23-AV23</f>
        <v>0</v>
      </c>
    </row>
    <row r="24" spans="2:49" ht="15" customHeight="1" outlineLevel="1">
      <c r="B24" s="227">
        <v>9019008</v>
      </c>
      <c r="C24" s="231"/>
      <c r="D24" s="210">
        <v>45260</v>
      </c>
      <c r="E24" s="240"/>
      <c r="F24" s="157">
        <v>605596.63</v>
      </c>
      <c r="G24" s="217">
        <v>0.0345</v>
      </c>
      <c r="H24" s="43"/>
      <c r="I24" s="94"/>
      <c r="J24" s="276">
        <v>5151.72</v>
      </c>
      <c r="K24" s="276"/>
      <c r="L24" s="277">
        <f t="shared" si="25"/>
        <v>605596.63</v>
      </c>
      <c r="M24" s="278"/>
      <c r="N24" s="276">
        <v>5266.2</v>
      </c>
      <c r="O24" s="276"/>
      <c r="P24" s="277">
        <f t="shared" si="26"/>
        <v>605596.63</v>
      </c>
      <c r="Q24" s="273"/>
      <c r="R24" s="270">
        <v>5266.2</v>
      </c>
      <c r="S24" s="270"/>
      <c r="T24" s="271">
        <f t="shared" si="27"/>
        <v>605596.63</v>
      </c>
      <c r="U24" s="274"/>
      <c r="V24" s="270">
        <v>5208.96</v>
      </c>
      <c r="W24" s="270"/>
      <c r="X24" s="270">
        <f t="shared" si="28"/>
        <v>605596.63</v>
      </c>
      <c r="Y24" s="275">
        <f t="shared" si="29"/>
        <v>20893.079999999998</v>
      </c>
      <c r="Z24" s="272">
        <f t="shared" si="30"/>
        <v>0</v>
      </c>
      <c r="AA24" s="271">
        <f t="shared" si="31"/>
        <v>605596.63</v>
      </c>
      <c r="AB24" s="391"/>
      <c r="AC24" s="483"/>
      <c r="AD24" s="483"/>
      <c r="AF24" s="276">
        <v>5223.27</v>
      </c>
      <c r="AG24" s="276">
        <v>149450.83</v>
      </c>
      <c r="AH24" s="277">
        <f aca="true" t="shared" si="37" ref="AH24:AH40">AA24-AG24</f>
        <v>456145.80000000005</v>
      </c>
      <c r="AI24" s="278"/>
      <c r="AJ24" s="276">
        <v>3934.26</v>
      </c>
      <c r="AK24" s="276">
        <v>150739.84</v>
      </c>
      <c r="AL24" s="277">
        <f t="shared" si="32"/>
        <v>305405.9600000001</v>
      </c>
      <c r="AM24" s="273"/>
      <c r="AN24" s="270">
        <v>2634.13</v>
      </c>
      <c r="AO24" s="270">
        <v>152039.97</v>
      </c>
      <c r="AP24" s="271">
        <f t="shared" si="33"/>
        <v>153365.99000000008</v>
      </c>
      <c r="AQ24" s="274"/>
      <c r="AR24" s="270">
        <v>1308.08</v>
      </c>
      <c r="AS24" s="270">
        <v>153365.99</v>
      </c>
      <c r="AT24" s="270">
        <f t="shared" si="34"/>
        <v>0</v>
      </c>
      <c r="AU24" s="275">
        <f t="shared" si="35"/>
        <v>13099.74</v>
      </c>
      <c r="AV24" s="272">
        <f t="shared" si="36"/>
        <v>605596.63</v>
      </c>
      <c r="AW24" s="271">
        <v>0</v>
      </c>
    </row>
    <row r="25" spans="2:49" ht="15" customHeight="1" outlineLevel="1">
      <c r="B25" s="227">
        <v>9019009</v>
      </c>
      <c r="C25" s="231"/>
      <c r="D25" s="210">
        <v>45626</v>
      </c>
      <c r="E25" s="240"/>
      <c r="F25" s="157">
        <v>624807.27</v>
      </c>
      <c r="G25" s="217">
        <v>0.0355</v>
      </c>
      <c r="H25" s="43"/>
      <c r="I25" s="94"/>
      <c r="J25" s="276">
        <v>5469.2</v>
      </c>
      <c r="K25" s="276"/>
      <c r="L25" s="277">
        <f t="shared" si="25"/>
        <v>624807.27</v>
      </c>
      <c r="M25" s="278"/>
      <c r="N25" s="276">
        <v>5590.74</v>
      </c>
      <c r="O25" s="276"/>
      <c r="P25" s="277">
        <f t="shared" si="26"/>
        <v>624807.27</v>
      </c>
      <c r="Q25" s="273"/>
      <c r="R25" s="270">
        <v>5590.74</v>
      </c>
      <c r="S25" s="270"/>
      <c r="T25" s="271">
        <f t="shared" si="27"/>
        <v>624807.27</v>
      </c>
      <c r="U25" s="274"/>
      <c r="V25" s="270">
        <v>5529.97</v>
      </c>
      <c r="W25" s="270"/>
      <c r="X25" s="270">
        <f t="shared" si="28"/>
        <v>624807.27</v>
      </c>
      <c r="Y25" s="275">
        <f t="shared" si="29"/>
        <v>22180.65</v>
      </c>
      <c r="Z25" s="272">
        <f t="shared" si="30"/>
        <v>0</v>
      </c>
      <c r="AA25" s="271">
        <f t="shared" si="31"/>
        <v>624807.27</v>
      </c>
      <c r="AB25" s="391"/>
      <c r="AC25" s="483"/>
      <c r="AD25" s="483"/>
      <c r="AF25" s="276">
        <v>5469.2</v>
      </c>
      <c r="AG25" s="276"/>
      <c r="AH25" s="277">
        <f t="shared" si="37"/>
        <v>624807.27</v>
      </c>
      <c r="AI25" s="278"/>
      <c r="AJ25" s="276">
        <f>(AH25*G25)/365*$AJ$2</f>
        <v>5590.741215945205</v>
      </c>
      <c r="AK25" s="276"/>
      <c r="AL25" s="277">
        <f t="shared" si="32"/>
        <v>624807.27</v>
      </c>
      <c r="AM25" s="273"/>
      <c r="AN25" s="276">
        <f>(AL25*G25)/365*$AN$2</f>
        <v>5590.741215945205</v>
      </c>
      <c r="AO25" s="270"/>
      <c r="AP25" s="271">
        <f t="shared" si="33"/>
        <v>624807.27</v>
      </c>
      <c r="AQ25" s="274"/>
      <c r="AR25" s="276">
        <f>(AP25*G25)/365*$AR$2</f>
        <v>5529.972289684932</v>
      </c>
      <c r="AS25" s="270"/>
      <c r="AT25" s="270">
        <f t="shared" si="34"/>
        <v>624807.27</v>
      </c>
      <c r="AU25" s="275">
        <f t="shared" si="35"/>
        <v>22180.65472157534</v>
      </c>
      <c r="AV25" s="272">
        <f t="shared" si="36"/>
        <v>0</v>
      </c>
      <c r="AW25" s="271">
        <f>AT25-AV25</f>
        <v>624807.27</v>
      </c>
    </row>
    <row r="26" spans="2:49" ht="15" customHeight="1" outlineLevel="1">
      <c r="B26" s="227">
        <v>9019010</v>
      </c>
      <c r="C26" s="231"/>
      <c r="D26" s="210">
        <v>45991</v>
      </c>
      <c r="E26" s="240"/>
      <c r="F26" s="157">
        <v>647507.16</v>
      </c>
      <c r="G26" s="217">
        <v>0.036</v>
      </c>
      <c r="H26" s="43"/>
      <c r="I26" s="94"/>
      <c r="J26" s="276">
        <v>5747.73</v>
      </c>
      <c r="K26" s="276"/>
      <c r="L26" s="277">
        <f t="shared" si="25"/>
        <v>647507.16</v>
      </c>
      <c r="M26" s="278"/>
      <c r="N26" s="276">
        <v>5875.46</v>
      </c>
      <c r="O26" s="276"/>
      <c r="P26" s="277">
        <f t="shared" si="26"/>
        <v>647507.16</v>
      </c>
      <c r="Q26" s="273"/>
      <c r="R26" s="270">
        <v>5875.46</v>
      </c>
      <c r="S26" s="270"/>
      <c r="T26" s="271">
        <f t="shared" si="27"/>
        <v>647507.16</v>
      </c>
      <c r="U26" s="274"/>
      <c r="V26" s="270">
        <v>5811.6</v>
      </c>
      <c r="W26" s="270"/>
      <c r="X26" s="270">
        <f t="shared" si="28"/>
        <v>647507.16</v>
      </c>
      <c r="Y26" s="275">
        <f t="shared" si="29"/>
        <v>23310.25</v>
      </c>
      <c r="Z26" s="272">
        <f t="shared" si="30"/>
        <v>0</v>
      </c>
      <c r="AA26" s="271">
        <f t="shared" si="31"/>
        <v>647507.16</v>
      </c>
      <c r="AB26" s="391"/>
      <c r="AC26" s="483"/>
      <c r="AD26" s="483"/>
      <c r="AF26" s="276">
        <v>5747.73</v>
      </c>
      <c r="AG26" s="276"/>
      <c r="AH26" s="277">
        <f t="shared" si="37"/>
        <v>647507.16</v>
      </c>
      <c r="AI26" s="278"/>
      <c r="AJ26" s="276">
        <f aca="true" t="shared" si="38" ref="AJ26:AJ40">(AH26*G26)/365*$AJ$2</f>
        <v>5875.462229917808</v>
      </c>
      <c r="AK26" s="276"/>
      <c r="AL26" s="277">
        <f t="shared" si="32"/>
        <v>647507.16</v>
      </c>
      <c r="AM26" s="273"/>
      <c r="AN26" s="276">
        <f aca="true" t="shared" si="39" ref="AN26:AN40">(AL26*G26)/365*$AN$2</f>
        <v>5875.462229917808</v>
      </c>
      <c r="AO26" s="270"/>
      <c r="AP26" s="271">
        <f t="shared" si="33"/>
        <v>647507.16</v>
      </c>
      <c r="AQ26" s="274"/>
      <c r="AR26" s="276">
        <f aca="true" t="shared" si="40" ref="AR26:AR40">(AP26*G26)/365*$AR$2</f>
        <v>5811.598510027397</v>
      </c>
      <c r="AS26" s="270"/>
      <c r="AT26" s="270">
        <f t="shared" si="34"/>
        <v>647507.16</v>
      </c>
      <c r="AU26" s="275">
        <f t="shared" si="35"/>
        <v>23310.252969863013</v>
      </c>
      <c r="AV26" s="272">
        <f t="shared" si="36"/>
        <v>0</v>
      </c>
      <c r="AW26" s="271">
        <f aca="true" t="shared" si="41" ref="AW26:AW40">AT26-AV26</f>
        <v>647507.16</v>
      </c>
    </row>
    <row r="27" spans="2:49" ht="15" customHeight="1" outlineLevel="1">
      <c r="B27" s="227">
        <v>9019011</v>
      </c>
      <c r="C27" s="231"/>
      <c r="D27" s="210">
        <v>46356</v>
      </c>
      <c r="E27" s="240"/>
      <c r="F27" s="157">
        <v>670123.3</v>
      </c>
      <c r="G27" s="217">
        <v>0.0365</v>
      </c>
      <c r="H27" s="43"/>
      <c r="I27" s="94"/>
      <c r="J27" s="276">
        <v>6031.11</v>
      </c>
      <c r="K27" s="276"/>
      <c r="L27" s="277">
        <f t="shared" si="25"/>
        <v>670123.3</v>
      </c>
      <c r="M27" s="278"/>
      <c r="N27" s="276">
        <v>6165.13</v>
      </c>
      <c r="O27" s="276"/>
      <c r="P27" s="277">
        <f t="shared" si="26"/>
        <v>670123.3</v>
      </c>
      <c r="Q27" s="273"/>
      <c r="R27" s="270">
        <v>6165.13</v>
      </c>
      <c r="S27" s="270"/>
      <c r="T27" s="271">
        <f t="shared" si="27"/>
        <v>670123.3</v>
      </c>
      <c r="U27" s="274"/>
      <c r="V27" s="270">
        <v>6098.12</v>
      </c>
      <c r="W27" s="270"/>
      <c r="X27" s="270">
        <f t="shared" si="28"/>
        <v>670123.3</v>
      </c>
      <c r="Y27" s="275">
        <f t="shared" si="29"/>
        <v>24459.489999999998</v>
      </c>
      <c r="Z27" s="272">
        <f t="shared" si="30"/>
        <v>0</v>
      </c>
      <c r="AA27" s="271">
        <f t="shared" si="31"/>
        <v>670123.3</v>
      </c>
      <c r="AB27" s="391"/>
      <c r="AC27" s="483"/>
      <c r="AD27" s="483"/>
      <c r="AF27" s="276">
        <v>6031.11</v>
      </c>
      <c r="AG27" s="276"/>
      <c r="AH27" s="277">
        <f t="shared" si="37"/>
        <v>670123.3</v>
      </c>
      <c r="AI27" s="278"/>
      <c r="AJ27" s="276">
        <f t="shared" si="38"/>
        <v>6165.134360000001</v>
      </c>
      <c r="AK27" s="276"/>
      <c r="AL27" s="277">
        <f t="shared" si="32"/>
        <v>670123.3</v>
      </c>
      <c r="AM27" s="273"/>
      <c r="AN27" s="276">
        <f t="shared" si="39"/>
        <v>6165.134360000001</v>
      </c>
      <c r="AO27" s="270"/>
      <c r="AP27" s="271">
        <f t="shared" si="33"/>
        <v>670123.3</v>
      </c>
      <c r="AQ27" s="274"/>
      <c r="AR27" s="276">
        <f t="shared" si="40"/>
        <v>6098.12203</v>
      </c>
      <c r="AS27" s="270"/>
      <c r="AT27" s="270">
        <f t="shared" si="34"/>
        <v>670123.3</v>
      </c>
      <c r="AU27" s="275">
        <f t="shared" si="35"/>
        <v>24459.50075</v>
      </c>
      <c r="AV27" s="272">
        <f t="shared" si="36"/>
        <v>0</v>
      </c>
      <c r="AW27" s="271">
        <f t="shared" si="41"/>
        <v>670123.3</v>
      </c>
    </row>
    <row r="28" spans="2:49" ht="15" customHeight="1" outlineLevel="1">
      <c r="B28" s="227">
        <v>9019012</v>
      </c>
      <c r="C28" s="231"/>
      <c r="D28" s="210">
        <v>46721</v>
      </c>
      <c r="E28" s="240"/>
      <c r="F28" s="157">
        <v>693852.08</v>
      </c>
      <c r="G28" s="217">
        <v>0.037</v>
      </c>
      <c r="H28" s="43"/>
      <c r="I28" s="94"/>
      <c r="J28" s="276">
        <v>6330.21</v>
      </c>
      <c r="K28" s="276"/>
      <c r="L28" s="277">
        <f t="shared" si="25"/>
        <v>693852.08</v>
      </c>
      <c r="M28" s="278"/>
      <c r="N28" s="276">
        <v>6470.88</v>
      </c>
      <c r="O28" s="276"/>
      <c r="P28" s="277">
        <f t="shared" si="26"/>
        <v>693852.08</v>
      </c>
      <c r="Q28" s="273"/>
      <c r="R28" s="270">
        <v>6470.88</v>
      </c>
      <c r="S28" s="270"/>
      <c r="T28" s="271">
        <f t="shared" si="27"/>
        <v>693852.08</v>
      </c>
      <c r="U28" s="274"/>
      <c r="V28" s="270">
        <v>6400.55</v>
      </c>
      <c r="W28" s="270"/>
      <c r="X28" s="270">
        <f t="shared" si="28"/>
        <v>693852.08</v>
      </c>
      <c r="Y28" s="275">
        <f t="shared" si="29"/>
        <v>25672.52</v>
      </c>
      <c r="Z28" s="272">
        <f t="shared" si="30"/>
        <v>0</v>
      </c>
      <c r="AA28" s="271">
        <f t="shared" si="31"/>
        <v>693852.08</v>
      </c>
      <c r="AB28" s="391"/>
      <c r="AC28" s="483"/>
      <c r="AD28" s="483"/>
      <c r="AF28" s="276">
        <v>6330.21</v>
      </c>
      <c r="AG28" s="276"/>
      <c r="AH28" s="277">
        <f t="shared" si="37"/>
        <v>693852.08</v>
      </c>
      <c r="AI28" s="278"/>
      <c r="AJ28" s="276">
        <f t="shared" si="38"/>
        <v>6470.883507726026</v>
      </c>
      <c r="AK28" s="276"/>
      <c r="AL28" s="277">
        <f t="shared" si="32"/>
        <v>693852.08</v>
      </c>
      <c r="AM28" s="273"/>
      <c r="AN28" s="276">
        <f t="shared" si="39"/>
        <v>6470.883507726026</v>
      </c>
      <c r="AO28" s="270"/>
      <c r="AP28" s="271">
        <f t="shared" si="33"/>
        <v>693852.08</v>
      </c>
      <c r="AQ28" s="274"/>
      <c r="AR28" s="276">
        <f t="shared" si="40"/>
        <v>6400.547817424656</v>
      </c>
      <c r="AS28" s="270"/>
      <c r="AT28" s="270">
        <f t="shared" si="34"/>
        <v>693852.08</v>
      </c>
      <c r="AU28" s="275">
        <f t="shared" si="35"/>
        <v>25672.52483287671</v>
      </c>
      <c r="AV28" s="272">
        <f t="shared" si="36"/>
        <v>0</v>
      </c>
      <c r="AW28" s="271">
        <f t="shared" si="41"/>
        <v>693852.08</v>
      </c>
    </row>
    <row r="29" spans="2:49" ht="15" customHeight="1" outlineLevel="1">
      <c r="B29" s="227">
        <v>9019013</v>
      </c>
      <c r="C29" s="231"/>
      <c r="D29" s="210">
        <v>47087</v>
      </c>
      <c r="E29" s="240"/>
      <c r="F29" s="157">
        <v>717856.35</v>
      </c>
      <c r="G29" s="217">
        <v>0.0375</v>
      </c>
      <c r="H29" s="43"/>
      <c r="I29" s="94"/>
      <c r="J29" s="276">
        <v>6637.71</v>
      </c>
      <c r="K29" s="276"/>
      <c r="L29" s="277">
        <f t="shared" si="25"/>
        <v>717856.35</v>
      </c>
      <c r="M29" s="278"/>
      <c r="N29" s="276">
        <v>6785.22</v>
      </c>
      <c r="O29" s="276"/>
      <c r="P29" s="277">
        <f t="shared" si="26"/>
        <v>717856.35</v>
      </c>
      <c r="Q29" s="273"/>
      <c r="R29" s="270">
        <v>6785.22</v>
      </c>
      <c r="S29" s="270"/>
      <c r="T29" s="271">
        <f t="shared" si="27"/>
        <v>717856.35</v>
      </c>
      <c r="U29" s="274"/>
      <c r="V29" s="270">
        <v>6711.47</v>
      </c>
      <c r="W29" s="270"/>
      <c r="X29" s="270">
        <f t="shared" si="28"/>
        <v>717856.35</v>
      </c>
      <c r="Y29" s="275">
        <f t="shared" si="29"/>
        <v>26919.620000000003</v>
      </c>
      <c r="Z29" s="272">
        <f t="shared" si="30"/>
        <v>0</v>
      </c>
      <c r="AA29" s="271">
        <f t="shared" si="31"/>
        <v>717856.35</v>
      </c>
      <c r="AB29" s="391"/>
      <c r="AC29" s="483"/>
      <c r="AD29" s="483"/>
      <c r="AF29" s="276">
        <v>6637.71</v>
      </c>
      <c r="AG29" s="276"/>
      <c r="AH29" s="277">
        <f t="shared" si="37"/>
        <v>717856.35</v>
      </c>
      <c r="AI29" s="278"/>
      <c r="AJ29" s="276">
        <f t="shared" si="38"/>
        <v>6785.217554794521</v>
      </c>
      <c r="AK29" s="276"/>
      <c r="AL29" s="277">
        <f t="shared" si="32"/>
        <v>717856.35</v>
      </c>
      <c r="AM29" s="273"/>
      <c r="AN29" s="276">
        <f t="shared" si="39"/>
        <v>6785.217554794521</v>
      </c>
      <c r="AO29" s="270"/>
      <c r="AP29" s="271">
        <f t="shared" si="33"/>
        <v>717856.35</v>
      </c>
      <c r="AQ29" s="274"/>
      <c r="AR29" s="276">
        <f t="shared" si="40"/>
        <v>6711.465190068493</v>
      </c>
      <c r="AS29" s="270"/>
      <c r="AT29" s="270">
        <f t="shared" si="34"/>
        <v>717856.35</v>
      </c>
      <c r="AU29" s="275">
        <f t="shared" si="35"/>
        <v>26919.610299657536</v>
      </c>
      <c r="AV29" s="272">
        <f t="shared" si="36"/>
        <v>0</v>
      </c>
      <c r="AW29" s="271">
        <f t="shared" si="41"/>
        <v>717856.35</v>
      </c>
    </row>
    <row r="30" spans="2:49" ht="15" customHeight="1" outlineLevel="1">
      <c r="B30" s="227">
        <v>9019014</v>
      </c>
      <c r="C30" s="231"/>
      <c r="D30" s="210">
        <v>47452</v>
      </c>
      <c r="E30" s="240"/>
      <c r="F30" s="157">
        <v>738073.55</v>
      </c>
      <c r="G30" s="217">
        <v>0.038</v>
      </c>
      <c r="H30" s="43"/>
      <c r="I30" s="94"/>
      <c r="J30" s="276">
        <v>6915.65</v>
      </c>
      <c r="K30" s="276"/>
      <c r="L30" s="277">
        <f t="shared" si="25"/>
        <v>738073.55</v>
      </c>
      <c r="M30" s="278"/>
      <c r="N30" s="276">
        <v>7069.33</v>
      </c>
      <c r="O30" s="276"/>
      <c r="P30" s="277">
        <f t="shared" si="26"/>
        <v>738073.55</v>
      </c>
      <c r="Q30" s="273"/>
      <c r="R30" s="270">
        <v>7069.33</v>
      </c>
      <c r="S30" s="270"/>
      <c r="T30" s="271">
        <f t="shared" si="27"/>
        <v>738073.55</v>
      </c>
      <c r="U30" s="274"/>
      <c r="V30" s="270">
        <v>6992.49</v>
      </c>
      <c r="W30" s="270"/>
      <c r="X30" s="270">
        <f t="shared" si="28"/>
        <v>738073.55</v>
      </c>
      <c r="Y30" s="275">
        <f t="shared" si="29"/>
        <v>28046.799999999996</v>
      </c>
      <c r="Z30" s="272">
        <f t="shared" si="30"/>
        <v>0</v>
      </c>
      <c r="AA30" s="271">
        <f t="shared" si="31"/>
        <v>738073.55</v>
      </c>
      <c r="AB30" s="391"/>
      <c r="AC30" s="483"/>
      <c r="AD30" s="483"/>
      <c r="AF30" s="276">
        <v>6915.65</v>
      </c>
      <c r="AG30" s="276"/>
      <c r="AH30" s="277">
        <f t="shared" si="37"/>
        <v>738073.55</v>
      </c>
      <c r="AI30" s="278"/>
      <c r="AJ30" s="276">
        <f t="shared" si="38"/>
        <v>7069.329125479452</v>
      </c>
      <c r="AK30" s="276"/>
      <c r="AL30" s="277">
        <f t="shared" si="32"/>
        <v>738073.55</v>
      </c>
      <c r="AM30" s="273"/>
      <c r="AN30" s="276">
        <f t="shared" si="39"/>
        <v>7069.329125479452</v>
      </c>
      <c r="AO30" s="270"/>
      <c r="AP30" s="271">
        <f t="shared" si="33"/>
        <v>738073.55</v>
      </c>
      <c r="AQ30" s="274"/>
      <c r="AR30" s="276">
        <f t="shared" si="40"/>
        <v>6992.48859150685</v>
      </c>
      <c r="AS30" s="270"/>
      <c r="AT30" s="270">
        <f t="shared" si="34"/>
        <v>738073.55</v>
      </c>
      <c r="AU30" s="275">
        <f t="shared" si="35"/>
        <v>28046.796842465752</v>
      </c>
      <c r="AV30" s="272">
        <f t="shared" si="36"/>
        <v>0</v>
      </c>
      <c r="AW30" s="271">
        <f t="shared" si="41"/>
        <v>738073.55</v>
      </c>
    </row>
    <row r="31" spans="2:49" ht="15" customHeight="1" outlineLevel="1">
      <c r="B31" s="227">
        <v>9019015</v>
      </c>
      <c r="C31" s="231"/>
      <c r="D31" s="210">
        <v>47817</v>
      </c>
      <c r="E31" s="240"/>
      <c r="F31" s="157">
        <v>665482.38</v>
      </c>
      <c r="G31" s="217">
        <v>0.0385</v>
      </c>
      <c r="H31" s="43"/>
      <c r="I31" s="94"/>
      <c r="J31" s="276">
        <v>6317.52</v>
      </c>
      <c r="K31" s="276"/>
      <c r="L31" s="277">
        <f t="shared" si="25"/>
        <v>665482.38</v>
      </c>
      <c r="M31" s="278"/>
      <c r="N31" s="276">
        <v>6457.91</v>
      </c>
      <c r="O31" s="276"/>
      <c r="P31" s="277">
        <f t="shared" si="26"/>
        <v>665482.38</v>
      </c>
      <c r="Q31" s="273"/>
      <c r="R31" s="270">
        <v>6457.91</v>
      </c>
      <c r="S31" s="270"/>
      <c r="T31" s="271">
        <f t="shared" si="27"/>
        <v>665482.38</v>
      </c>
      <c r="U31" s="274"/>
      <c r="V31" s="270">
        <v>6387.72</v>
      </c>
      <c r="W31" s="270"/>
      <c r="X31" s="270">
        <f t="shared" si="28"/>
        <v>665482.38</v>
      </c>
      <c r="Y31" s="275">
        <f t="shared" si="29"/>
        <v>25621.06</v>
      </c>
      <c r="Z31" s="272">
        <f t="shared" si="30"/>
        <v>0</v>
      </c>
      <c r="AA31" s="271">
        <f t="shared" si="31"/>
        <v>665482.38</v>
      </c>
      <c r="AB31" s="391"/>
      <c r="AC31" s="483"/>
      <c r="AD31" s="483"/>
      <c r="AF31" s="276">
        <v>6317.52</v>
      </c>
      <c r="AG31" s="276"/>
      <c r="AH31" s="277">
        <f t="shared" si="37"/>
        <v>665482.38</v>
      </c>
      <c r="AI31" s="278"/>
      <c r="AJ31" s="276">
        <f t="shared" si="38"/>
        <v>6457.91394509589</v>
      </c>
      <c r="AK31" s="276"/>
      <c r="AL31" s="277">
        <f t="shared" si="32"/>
        <v>665482.38</v>
      </c>
      <c r="AM31" s="273"/>
      <c r="AN31" s="276">
        <f t="shared" si="39"/>
        <v>6457.91394509589</v>
      </c>
      <c r="AO31" s="270"/>
      <c r="AP31" s="271">
        <f t="shared" si="33"/>
        <v>665482.38</v>
      </c>
      <c r="AQ31" s="274"/>
      <c r="AR31" s="276">
        <f t="shared" si="40"/>
        <v>6387.719228301369</v>
      </c>
      <c r="AS31" s="270"/>
      <c r="AT31" s="270">
        <f t="shared" si="34"/>
        <v>665482.38</v>
      </c>
      <c r="AU31" s="275">
        <f t="shared" si="35"/>
        <v>25621.06711849315</v>
      </c>
      <c r="AV31" s="272">
        <f t="shared" si="36"/>
        <v>0</v>
      </c>
      <c r="AW31" s="271">
        <f t="shared" si="41"/>
        <v>665482.38</v>
      </c>
    </row>
    <row r="32" spans="2:49" ht="15" customHeight="1" outlineLevel="1">
      <c r="B32" s="227">
        <v>9019016</v>
      </c>
      <c r="C32" s="231"/>
      <c r="D32" s="210">
        <v>48182</v>
      </c>
      <c r="E32" s="240"/>
      <c r="F32" s="157">
        <v>690285.68</v>
      </c>
      <c r="G32" s="217">
        <v>0.039</v>
      </c>
      <c r="H32" s="43"/>
      <c r="I32" s="94"/>
      <c r="J32" s="276">
        <v>6638.09</v>
      </c>
      <c r="K32" s="276"/>
      <c r="L32" s="277">
        <f t="shared" si="25"/>
        <v>690285.68</v>
      </c>
      <c r="M32" s="278"/>
      <c r="N32" s="276">
        <v>6785.6</v>
      </c>
      <c r="O32" s="276"/>
      <c r="P32" s="277">
        <f t="shared" si="26"/>
        <v>690285.68</v>
      </c>
      <c r="Q32" s="273"/>
      <c r="R32" s="270">
        <v>6785.6</v>
      </c>
      <c r="S32" s="270"/>
      <c r="T32" s="271">
        <f t="shared" si="27"/>
        <v>690285.68</v>
      </c>
      <c r="U32" s="274"/>
      <c r="V32" s="270">
        <v>6711.85</v>
      </c>
      <c r="W32" s="270"/>
      <c r="X32" s="270">
        <f t="shared" si="28"/>
        <v>690285.68</v>
      </c>
      <c r="Y32" s="275">
        <f t="shared" si="29"/>
        <v>26921.14</v>
      </c>
      <c r="Z32" s="272">
        <f t="shared" si="30"/>
        <v>0</v>
      </c>
      <c r="AA32" s="271">
        <f t="shared" si="31"/>
        <v>690285.68</v>
      </c>
      <c r="AB32" s="391"/>
      <c r="AC32" s="483"/>
      <c r="AD32" s="483"/>
      <c r="AF32" s="276">
        <v>6638.09</v>
      </c>
      <c r="AG32" s="276"/>
      <c r="AH32" s="277">
        <f t="shared" si="37"/>
        <v>690285.68</v>
      </c>
      <c r="AI32" s="278"/>
      <c r="AJ32" s="276">
        <f t="shared" si="38"/>
        <v>6785.602794082191</v>
      </c>
      <c r="AK32" s="276"/>
      <c r="AL32" s="277">
        <f t="shared" si="32"/>
        <v>690285.68</v>
      </c>
      <c r="AM32" s="273"/>
      <c r="AN32" s="276">
        <f t="shared" si="39"/>
        <v>6785.602794082191</v>
      </c>
      <c r="AO32" s="270"/>
      <c r="AP32" s="271">
        <f t="shared" si="33"/>
        <v>690285.68</v>
      </c>
      <c r="AQ32" s="274"/>
      <c r="AR32" s="276">
        <f t="shared" si="40"/>
        <v>6711.846241972602</v>
      </c>
      <c r="AS32" s="270"/>
      <c r="AT32" s="270">
        <f t="shared" si="34"/>
        <v>690285.68</v>
      </c>
      <c r="AU32" s="275">
        <f t="shared" si="35"/>
        <v>26921.141830136985</v>
      </c>
      <c r="AV32" s="272">
        <f t="shared" si="36"/>
        <v>0</v>
      </c>
      <c r="AW32" s="271">
        <f t="shared" si="41"/>
        <v>690285.68</v>
      </c>
    </row>
    <row r="33" spans="2:49" ht="15" customHeight="1" outlineLevel="1">
      <c r="B33" s="227">
        <v>9019017</v>
      </c>
      <c r="C33" s="231"/>
      <c r="D33" s="210">
        <v>48548</v>
      </c>
      <c r="E33" s="240"/>
      <c r="F33" s="157">
        <v>715641.43</v>
      </c>
      <c r="G33" s="217">
        <v>0.039</v>
      </c>
      <c r="H33" s="43"/>
      <c r="I33" s="94"/>
      <c r="J33" s="276">
        <v>6881.92</v>
      </c>
      <c r="K33" s="276"/>
      <c r="L33" s="277">
        <f t="shared" si="25"/>
        <v>715641.43</v>
      </c>
      <c r="M33" s="278"/>
      <c r="N33" s="276">
        <v>7034.85</v>
      </c>
      <c r="O33" s="276"/>
      <c r="P33" s="277">
        <f t="shared" si="26"/>
        <v>715641.43</v>
      </c>
      <c r="Q33" s="273"/>
      <c r="R33" s="270">
        <v>7034.85</v>
      </c>
      <c r="S33" s="270"/>
      <c r="T33" s="271">
        <f t="shared" si="27"/>
        <v>715641.43</v>
      </c>
      <c r="U33" s="274"/>
      <c r="V33" s="270">
        <v>6958.39</v>
      </c>
      <c r="W33" s="270"/>
      <c r="X33" s="270">
        <f t="shared" si="28"/>
        <v>715641.43</v>
      </c>
      <c r="Y33" s="275">
        <f t="shared" si="29"/>
        <v>27910.010000000002</v>
      </c>
      <c r="Z33" s="272">
        <f t="shared" si="30"/>
        <v>0</v>
      </c>
      <c r="AA33" s="271">
        <f t="shared" si="31"/>
        <v>715641.43</v>
      </c>
      <c r="AB33" s="391"/>
      <c r="AC33" s="483"/>
      <c r="AD33" s="483"/>
      <c r="AF33" s="276">
        <v>6881.92</v>
      </c>
      <c r="AG33" s="276"/>
      <c r="AH33" s="277">
        <f t="shared" si="37"/>
        <v>715641.43</v>
      </c>
      <c r="AI33" s="278"/>
      <c r="AJ33" s="276">
        <f t="shared" si="38"/>
        <v>7034.853289972603</v>
      </c>
      <c r="AK33" s="276"/>
      <c r="AL33" s="277">
        <f t="shared" si="32"/>
        <v>715641.43</v>
      </c>
      <c r="AM33" s="273"/>
      <c r="AN33" s="276">
        <f t="shared" si="39"/>
        <v>7034.853289972603</v>
      </c>
      <c r="AO33" s="270"/>
      <c r="AP33" s="271">
        <f t="shared" si="33"/>
        <v>715641.43</v>
      </c>
      <c r="AQ33" s="274"/>
      <c r="AR33" s="276">
        <f t="shared" si="40"/>
        <v>6958.387493342467</v>
      </c>
      <c r="AS33" s="270"/>
      <c r="AT33" s="270">
        <f t="shared" si="34"/>
        <v>715641.43</v>
      </c>
      <c r="AU33" s="275">
        <f t="shared" si="35"/>
        <v>27910.014073287675</v>
      </c>
      <c r="AV33" s="272">
        <f t="shared" si="36"/>
        <v>0</v>
      </c>
      <c r="AW33" s="271">
        <f t="shared" si="41"/>
        <v>715641.43</v>
      </c>
    </row>
    <row r="34" spans="2:49" ht="15" customHeight="1" outlineLevel="1">
      <c r="B34" s="227">
        <v>9019018</v>
      </c>
      <c r="C34" s="231"/>
      <c r="D34" s="210">
        <v>48913</v>
      </c>
      <c r="E34" s="240"/>
      <c r="F34" s="157">
        <v>743272.23</v>
      </c>
      <c r="G34" s="217">
        <v>0.0395</v>
      </c>
      <c r="H34" s="43"/>
      <c r="I34" s="94"/>
      <c r="J34" s="276">
        <v>7239.27</v>
      </c>
      <c r="K34" s="276"/>
      <c r="L34" s="277">
        <f t="shared" si="25"/>
        <v>743272.23</v>
      </c>
      <c r="M34" s="278"/>
      <c r="N34" s="276">
        <v>7400.14</v>
      </c>
      <c r="O34" s="276"/>
      <c r="P34" s="277">
        <f t="shared" si="26"/>
        <v>743272.23</v>
      </c>
      <c r="Q34" s="273"/>
      <c r="R34" s="270">
        <v>7400.14</v>
      </c>
      <c r="S34" s="270"/>
      <c r="T34" s="271">
        <f t="shared" si="27"/>
        <v>743272.23</v>
      </c>
      <c r="U34" s="274"/>
      <c r="V34" s="270">
        <v>7319.7</v>
      </c>
      <c r="W34" s="270"/>
      <c r="X34" s="270">
        <f t="shared" si="28"/>
        <v>743272.23</v>
      </c>
      <c r="Y34" s="275">
        <f t="shared" si="29"/>
        <v>29359.25</v>
      </c>
      <c r="Z34" s="272">
        <f t="shared" si="30"/>
        <v>0</v>
      </c>
      <c r="AA34" s="271">
        <f t="shared" si="31"/>
        <v>743272.23</v>
      </c>
      <c r="AB34" s="391"/>
      <c r="AC34" s="483"/>
      <c r="AD34" s="483"/>
      <c r="AF34" s="276">
        <v>7239.27</v>
      </c>
      <c r="AG34" s="276"/>
      <c r="AH34" s="277">
        <f t="shared" si="37"/>
        <v>743272.23</v>
      </c>
      <c r="AI34" s="278"/>
      <c r="AJ34" s="276">
        <f t="shared" si="38"/>
        <v>7400.140503616438</v>
      </c>
      <c r="AK34" s="276"/>
      <c r="AL34" s="277">
        <f t="shared" si="32"/>
        <v>743272.23</v>
      </c>
      <c r="AM34" s="273"/>
      <c r="AN34" s="276">
        <f t="shared" si="39"/>
        <v>7400.140503616438</v>
      </c>
      <c r="AO34" s="270"/>
      <c r="AP34" s="271">
        <f t="shared" si="33"/>
        <v>743272.23</v>
      </c>
      <c r="AQ34" s="274"/>
      <c r="AR34" s="276">
        <f t="shared" si="40"/>
        <v>7319.70419379452</v>
      </c>
      <c r="AS34" s="270"/>
      <c r="AT34" s="270">
        <f t="shared" si="34"/>
        <v>743272.23</v>
      </c>
      <c r="AU34" s="275">
        <f t="shared" si="35"/>
        <v>29359.255201027394</v>
      </c>
      <c r="AV34" s="272">
        <f t="shared" si="36"/>
        <v>0</v>
      </c>
      <c r="AW34" s="271">
        <f t="shared" si="41"/>
        <v>743272.23</v>
      </c>
    </row>
    <row r="35" spans="2:49" ht="15" customHeight="1" outlineLevel="1">
      <c r="B35" s="227">
        <v>9019019</v>
      </c>
      <c r="C35" s="231"/>
      <c r="D35" s="210">
        <v>49278</v>
      </c>
      <c r="E35" s="240"/>
      <c r="F35" s="157">
        <v>771562.48</v>
      </c>
      <c r="G35" s="217">
        <v>0.0395</v>
      </c>
      <c r="H35" s="43"/>
      <c r="I35" s="94"/>
      <c r="J35" s="276">
        <v>7514.81</v>
      </c>
      <c r="K35" s="276"/>
      <c r="L35" s="277">
        <f t="shared" si="25"/>
        <v>771562.48</v>
      </c>
      <c r="M35" s="278"/>
      <c r="N35" s="276">
        <v>7681.8</v>
      </c>
      <c r="O35" s="276"/>
      <c r="P35" s="277">
        <f t="shared" si="26"/>
        <v>771562.48</v>
      </c>
      <c r="Q35" s="273"/>
      <c r="R35" s="270">
        <v>7681.8</v>
      </c>
      <c r="S35" s="270"/>
      <c r="T35" s="271">
        <f t="shared" si="27"/>
        <v>771562.48</v>
      </c>
      <c r="U35" s="274"/>
      <c r="V35" s="270">
        <v>7598.31</v>
      </c>
      <c r="W35" s="270"/>
      <c r="X35" s="270">
        <f t="shared" si="28"/>
        <v>771562.48</v>
      </c>
      <c r="Y35" s="275">
        <f t="shared" si="29"/>
        <v>30476.72</v>
      </c>
      <c r="Z35" s="272">
        <f t="shared" si="30"/>
        <v>0</v>
      </c>
      <c r="AA35" s="271">
        <f t="shared" si="31"/>
        <v>771562.48</v>
      </c>
      <c r="AB35" s="391"/>
      <c r="AC35" s="483"/>
      <c r="AD35" s="483"/>
      <c r="AF35" s="276">
        <v>7514.81</v>
      </c>
      <c r="AG35" s="276"/>
      <c r="AH35" s="277">
        <f t="shared" si="37"/>
        <v>771562.48</v>
      </c>
      <c r="AI35" s="278"/>
      <c r="AJ35" s="276">
        <f t="shared" si="38"/>
        <v>7681.8028830684925</v>
      </c>
      <c r="AK35" s="276"/>
      <c r="AL35" s="277">
        <f t="shared" si="32"/>
        <v>771562.48</v>
      </c>
      <c r="AM35" s="273"/>
      <c r="AN35" s="276">
        <f t="shared" si="39"/>
        <v>7681.8028830684925</v>
      </c>
      <c r="AO35" s="270"/>
      <c r="AP35" s="271">
        <f t="shared" si="33"/>
        <v>771562.48</v>
      </c>
      <c r="AQ35" s="274"/>
      <c r="AR35" s="276">
        <f t="shared" si="40"/>
        <v>7598.305025643835</v>
      </c>
      <c r="AS35" s="270"/>
      <c r="AT35" s="270">
        <f t="shared" si="34"/>
        <v>771562.48</v>
      </c>
      <c r="AU35" s="275">
        <f t="shared" si="35"/>
        <v>30476.72079178082</v>
      </c>
      <c r="AV35" s="272">
        <f t="shared" si="36"/>
        <v>0</v>
      </c>
      <c r="AW35" s="271">
        <f t="shared" si="41"/>
        <v>771562.48</v>
      </c>
    </row>
    <row r="36" spans="2:49" ht="15" customHeight="1" outlineLevel="1">
      <c r="B36" s="227">
        <v>9019020</v>
      </c>
      <c r="C36" s="231"/>
      <c r="D36" s="210">
        <v>49643</v>
      </c>
      <c r="E36" s="240"/>
      <c r="F36" s="157">
        <v>801063.06</v>
      </c>
      <c r="G36" s="217">
        <v>0.04</v>
      </c>
      <c r="H36" s="43"/>
      <c r="I36" s="94"/>
      <c r="J36" s="276">
        <v>7900.9</v>
      </c>
      <c r="K36" s="276"/>
      <c r="L36" s="277">
        <f t="shared" si="25"/>
        <v>801063.06</v>
      </c>
      <c r="M36" s="278"/>
      <c r="N36" s="276">
        <v>8076.47</v>
      </c>
      <c r="O36" s="276"/>
      <c r="P36" s="277">
        <f t="shared" si="26"/>
        <v>801063.06</v>
      </c>
      <c r="Q36" s="273"/>
      <c r="R36" s="270">
        <v>8076.47</v>
      </c>
      <c r="S36" s="270"/>
      <c r="T36" s="271">
        <f t="shared" si="27"/>
        <v>801063.06</v>
      </c>
      <c r="U36" s="274"/>
      <c r="V36" s="270">
        <v>7988.68</v>
      </c>
      <c r="W36" s="270"/>
      <c r="X36" s="270">
        <f t="shared" si="28"/>
        <v>801063.06</v>
      </c>
      <c r="Y36" s="275">
        <f t="shared" si="29"/>
        <v>32042.52</v>
      </c>
      <c r="Z36" s="272">
        <f t="shared" si="30"/>
        <v>0</v>
      </c>
      <c r="AA36" s="271">
        <f t="shared" si="31"/>
        <v>801063.06</v>
      </c>
      <c r="AB36" s="391"/>
      <c r="AC36" s="483"/>
      <c r="AD36" s="483"/>
      <c r="AF36" s="276">
        <v>7900.9</v>
      </c>
      <c r="AG36" s="276"/>
      <c r="AH36" s="277">
        <f t="shared" si="37"/>
        <v>801063.06</v>
      </c>
      <c r="AI36" s="278"/>
      <c r="AJ36" s="276">
        <f t="shared" si="38"/>
        <v>8076.471399452056</v>
      </c>
      <c r="AK36" s="276"/>
      <c r="AL36" s="277">
        <f t="shared" si="32"/>
        <v>801063.06</v>
      </c>
      <c r="AM36" s="273"/>
      <c r="AN36" s="276">
        <f t="shared" si="39"/>
        <v>8076.471399452056</v>
      </c>
      <c r="AO36" s="270"/>
      <c r="AP36" s="271">
        <f t="shared" si="33"/>
        <v>801063.06</v>
      </c>
      <c r="AQ36" s="274"/>
      <c r="AR36" s="276">
        <f t="shared" si="40"/>
        <v>7988.683666849316</v>
      </c>
      <c r="AS36" s="270"/>
      <c r="AT36" s="270">
        <f t="shared" si="34"/>
        <v>801063.06</v>
      </c>
      <c r="AU36" s="275">
        <f t="shared" si="35"/>
        <v>32042.526465753428</v>
      </c>
      <c r="AV36" s="272">
        <f t="shared" si="36"/>
        <v>0</v>
      </c>
      <c r="AW36" s="271">
        <f t="shared" si="41"/>
        <v>801063.06</v>
      </c>
    </row>
    <row r="37" spans="2:49" ht="15" customHeight="1" outlineLevel="1">
      <c r="B37" s="227">
        <v>9019021</v>
      </c>
      <c r="C37" s="231"/>
      <c r="D37" s="210">
        <v>50009</v>
      </c>
      <c r="E37" s="240"/>
      <c r="F37" s="157">
        <v>831668.48</v>
      </c>
      <c r="G37" s="217">
        <v>0.04</v>
      </c>
      <c r="H37" s="43"/>
      <c r="I37" s="94"/>
      <c r="J37" s="276">
        <v>8202.76</v>
      </c>
      <c r="K37" s="276"/>
      <c r="L37" s="277">
        <f t="shared" si="25"/>
        <v>831668.48</v>
      </c>
      <c r="M37" s="278"/>
      <c r="N37" s="276">
        <v>8385.04</v>
      </c>
      <c r="O37" s="276"/>
      <c r="P37" s="277">
        <f t="shared" si="26"/>
        <v>831668.48</v>
      </c>
      <c r="Q37" s="273"/>
      <c r="R37" s="270">
        <v>8385.04</v>
      </c>
      <c r="S37" s="270"/>
      <c r="T37" s="271">
        <f t="shared" si="27"/>
        <v>831668.48</v>
      </c>
      <c r="U37" s="274"/>
      <c r="V37" s="270">
        <v>8293.9</v>
      </c>
      <c r="W37" s="270"/>
      <c r="X37" s="270">
        <f t="shared" si="28"/>
        <v>831668.48</v>
      </c>
      <c r="Y37" s="275">
        <f t="shared" si="29"/>
        <v>33266.740000000005</v>
      </c>
      <c r="Z37" s="272">
        <f t="shared" si="30"/>
        <v>0</v>
      </c>
      <c r="AA37" s="271">
        <f t="shared" si="31"/>
        <v>831668.48</v>
      </c>
      <c r="AB37" s="391"/>
      <c r="AC37" s="483"/>
      <c r="AD37" s="483"/>
      <c r="AF37" s="276">
        <v>8202.76</v>
      </c>
      <c r="AG37" s="276"/>
      <c r="AH37" s="277">
        <f t="shared" si="37"/>
        <v>831668.48</v>
      </c>
      <c r="AI37" s="278"/>
      <c r="AJ37" s="276">
        <f t="shared" si="38"/>
        <v>8385.041113424657</v>
      </c>
      <c r="AK37" s="276"/>
      <c r="AL37" s="277">
        <f t="shared" si="32"/>
        <v>831668.48</v>
      </c>
      <c r="AM37" s="273"/>
      <c r="AN37" s="276">
        <f t="shared" si="39"/>
        <v>8385.041113424657</v>
      </c>
      <c r="AO37" s="270"/>
      <c r="AP37" s="271">
        <f t="shared" si="33"/>
        <v>831668.48</v>
      </c>
      <c r="AQ37" s="274"/>
      <c r="AR37" s="276">
        <f t="shared" si="40"/>
        <v>8293.89936219178</v>
      </c>
      <c r="AS37" s="270"/>
      <c r="AT37" s="270">
        <f t="shared" si="34"/>
        <v>831668.48</v>
      </c>
      <c r="AU37" s="275">
        <f t="shared" si="35"/>
        <v>33266.74158904109</v>
      </c>
      <c r="AV37" s="272">
        <f t="shared" si="36"/>
        <v>0</v>
      </c>
      <c r="AW37" s="271">
        <f t="shared" si="41"/>
        <v>831668.48</v>
      </c>
    </row>
    <row r="38" spans="2:49" ht="15" customHeight="1" outlineLevel="1">
      <c r="B38" s="227">
        <v>9019022</v>
      </c>
      <c r="C38" s="231"/>
      <c r="D38" s="210">
        <v>50374</v>
      </c>
      <c r="E38" s="240"/>
      <c r="F38" s="157">
        <v>863941.13</v>
      </c>
      <c r="G38" s="217">
        <v>0.04</v>
      </c>
      <c r="H38" s="43"/>
      <c r="I38" s="94"/>
      <c r="J38" s="276">
        <v>8521.06</v>
      </c>
      <c r="K38" s="276"/>
      <c r="L38" s="277">
        <f t="shared" si="25"/>
        <v>863941.13</v>
      </c>
      <c r="M38" s="278"/>
      <c r="N38" s="276">
        <v>8710.42</v>
      </c>
      <c r="O38" s="276"/>
      <c r="P38" s="277">
        <f t="shared" si="26"/>
        <v>863941.13</v>
      </c>
      <c r="Q38" s="273"/>
      <c r="R38" s="270">
        <v>8710.42</v>
      </c>
      <c r="S38" s="270"/>
      <c r="T38" s="271">
        <f t="shared" si="27"/>
        <v>863941.13</v>
      </c>
      <c r="U38" s="274"/>
      <c r="V38" s="270">
        <v>8615.74</v>
      </c>
      <c r="W38" s="270"/>
      <c r="X38" s="270">
        <f t="shared" si="28"/>
        <v>863941.13</v>
      </c>
      <c r="Y38" s="275">
        <f t="shared" si="29"/>
        <v>34557.64</v>
      </c>
      <c r="Z38" s="272">
        <f t="shared" si="30"/>
        <v>0</v>
      </c>
      <c r="AA38" s="271">
        <f t="shared" si="31"/>
        <v>863941.13</v>
      </c>
      <c r="AB38" s="391"/>
      <c r="AC38" s="483"/>
      <c r="AD38" s="483"/>
      <c r="AF38" s="276">
        <v>8521.06</v>
      </c>
      <c r="AG38" s="276"/>
      <c r="AH38" s="277">
        <f t="shared" si="37"/>
        <v>863941.13</v>
      </c>
      <c r="AI38" s="278"/>
      <c r="AJ38" s="276">
        <f t="shared" si="38"/>
        <v>8710.42016</v>
      </c>
      <c r="AK38" s="276"/>
      <c r="AL38" s="277">
        <f t="shared" si="32"/>
        <v>863941.13</v>
      </c>
      <c r="AM38" s="273"/>
      <c r="AN38" s="276">
        <f t="shared" si="39"/>
        <v>8710.42016</v>
      </c>
      <c r="AO38" s="270"/>
      <c r="AP38" s="271">
        <f t="shared" si="33"/>
        <v>863941.13</v>
      </c>
      <c r="AQ38" s="274"/>
      <c r="AR38" s="276">
        <f t="shared" si="40"/>
        <v>8615.74168</v>
      </c>
      <c r="AS38" s="270"/>
      <c r="AT38" s="270">
        <f t="shared" si="34"/>
        <v>863941.13</v>
      </c>
      <c r="AU38" s="275">
        <f t="shared" si="35"/>
        <v>34557.642</v>
      </c>
      <c r="AV38" s="272">
        <f t="shared" si="36"/>
        <v>0</v>
      </c>
      <c r="AW38" s="271">
        <f t="shared" si="41"/>
        <v>863941.13</v>
      </c>
    </row>
    <row r="39" spans="2:49" ht="15" customHeight="1" outlineLevel="1">
      <c r="B39" s="227">
        <v>9019023</v>
      </c>
      <c r="C39" s="231"/>
      <c r="D39" s="210">
        <v>50739</v>
      </c>
      <c r="E39" s="240"/>
      <c r="F39" s="157">
        <v>897191.42</v>
      </c>
      <c r="G39" s="217">
        <v>0.04</v>
      </c>
      <c r="H39" s="43"/>
      <c r="I39" s="94"/>
      <c r="J39" s="276">
        <v>8849.01</v>
      </c>
      <c r="K39" s="276"/>
      <c r="L39" s="277">
        <f t="shared" si="25"/>
        <v>897191.42</v>
      </c>
      <c r="M39" s="278"/>
      <c r="N39" s="276">
        <v>9045.66</v>
      </c>
      <c r="O39" s="276"/>
      <c r="P39" s="277">
        <f t="shared" si="26"/>
        <v>897191.42</v>
      </c>
      <c r="Q39" s="273"/>
      <c r="R39" s="270">
        <v>9045.66</v>
      </c>
      <c r="S39" s="270"/>
      <c r="T39" s="271">
        <f t="shared" si="27"/>
        <v>897191.42</v>
      </c>
      <c r="U39" s="274"/>
      <c r="V39" s="270">
        <v>8947.33</v>
      </c>
      <c r="W39" s="270"/>
      <c r="X39" s="270">
        <f t="shared" si="28"/>
        <v>897191.42</v>
      </c>
      <c r="Y39" s="275">
        <f t="shared" si="29"/>
        <v>35887.659999999996</v>
      </c>
      <c r="Z39" s="272">
        <f t="shared" si="30"/>
        <v>0</v>
      </c>
      <c r="AA39" s="271">
        <f t="shared" si="31"/>
        <v>897191.42</v>
      </c>
      <c r="AB39" s="391"/>
      <c r="AC39" s="483"/>
      <c r="AD39" s="483"/>
      <c r="AF39" s="276">
        <v>8849.01</v>
      </c>
      <c r="AG39" s="276"/>
      <c r="AH39" s="277">
        <f t="shared" si="37"/>
        <v>897191.42</v>
      </c>
      <c r="AI39" s="278"/>
      <c r="AJ39" s="276">
        <f t="shared" si="38"/>
        <v>9045.655960547947</v>
      </c>
      <c r="AK39" s="276"/>
      <c r="AL39" s="277">
        <f t="shared" si="32"/>
        <v>897191.42</v>
      </c>
      <c r="AM39" s="273"/>
      <c r="AN39" s="276">
        <f t="shared" si="39"/>
        <v>9045.655960547947</v>
      </c>
      <c r="AO39" s="270"/>
      <c r="AP39" s="271">
        <f t="shared" si="33"/>
        <v>897191.42</v>
      </c>
      <c r="AQ39" s="274"/>
      <c r="AR39" s="276">
        <f t="shared" si="40"/>
        <v>8947.333613150686</v>
      </c>
      <c r="AS39" s="270"/>
      <c r="AT39" s="270">
        <f t="shared" si="34"/>
        <v>897191.42</v>
      </c>
      <c r="AU39" s="275">
        <f t="shared" si="35"/>
        <v>35887.65553424658</v>
      </c>
      <c r="AV39" s="272">
        <f t="shared" si="36"/>
        <v>0</v>
      </c>
      <c r="AW39" s="271">
        <f t="shared" si="41"/>
        <v>897191.42</v>
      </c>
    </row>
    <row r="40" spans="2:49" ht="15" customHeight="1" outlineLevel="1">
      <c r="B40" s="227">
        <v>9019024</v>
      </c>
      <c r="C40" s="231"/>
      <c r="D40" s="210">
        <v>51104</v>
      </c>
      <c r="E40" s="240"/>
      <c r="F40" s="157">
        <v>468387</v>
      </c>
      <c r="G40" s="217">
        <v>0.04</v>
      </c>
      <c r="H40" s="43"/>
      <c r="I40" s="94"/>
      <c r="J40" s="276">
        <v>4619.71</v>
      </c>
      <c r="K40" s="276"/>
      <c r="L40" s="277">
        <f t="shared" si="25"/>
        <v>468387</v>
      </c>
      <c r="M40" s="278"/>
      <c r="N40" s="276">
        <v>4722.37</v>
      </c>
      <c r="O40" s="276"/>
      <c r="P40" s="277">
        <f t="shared" si="26"/>
        <v>468387</v>
      </c>
      <c r="Q40" s="273"/>
      <c r="R40" s="270">
        <v>4722.37</v>
      </c>
      <c r="S40" s="270"/>
      <c r="T40" s="271">
        <f t="shared" si="27"/>
        <v>468387</v>
      </c>
      <c r="U40" s="274"/>
      <c r="V40" s="270">
        <v>4671.04</v>
      </c>
      <c r="W40" s="270"/>
      <c r="X40" s="270">
        <f t="shared" si="28"/>
        <v>468387</v>
      </c>
      <c r="Y40" s="280">
        <f t="shared" si="29"/>
        <v>18735.49</v>
      </c>
      <c r="Z40" s="281">
        <f t="shared" si="30"/>
        <v>0</v>
      </c>
      <c r="AA40" s="282">
        <f t="shared" si="31"/>
        <v>468387</v>
      </c>
      <c r="AB40" s="391"/>
      <c r="AC40" s="483"/>
      <c r="AD40" s="483"/>
      <c r="AF40" s="276">
        <v>4619.71</v>
      </c>
      <c r="AG40" s="276"/>
      <c r="AH40" s="277">
        <f t="shared" si="37"/>
        <v>468387</v>
      </c>
      <c r="AI40" s="278"/>
      <c r="AJ40" s="276">
        <f t="shared" si="38"/>
        <v>4722.367561643835</v>
      </c>
      <c r="AK40" s="276"/>
      <c r="AL40" s="277">
        <f t="shared" si="32"/>
        <v>468387</v>
      </c>
      <c r="AM40" s="273"/>
      <c r="AN40" s="276">
        <f t="shared" si="39"/>
        <v>4722.367561643835</v>
      </c>
      <c r="AO40" s="270"/>
      <c r="AP40" s="271">
        <f t="shared" si="33"/>
        <v>468387</v>
      </c>
      <c r="AQ40" s="274"/>
      <c r="AR40" s="276">
        <f t="shared" si="40"/>
        <v>4671.037479452055</v>
      </c>
      <c r="AS40" s="270"/>
      <c r="AT40" s="270">
        <f t="shared" si="34"/>
        <v>468387</v>
      </c>
      <c r="AU40" s="280">
        <f t="shared" si="35"/>
        <v>18735.482602739725</v>
      </c>
      <c r="AV40" s="281">
        <f t="shared" si="36"/>
        <v>0</v>
      </c>
      <c r="AW40" s="271">
        <f t="shared" si="41"/>
        <v>468387</v>
      </c>
    </row>
    <row r="41" spans="1:49" ht="15">
      <c r="A41" s="211" t="s">
        <v>105</v>
      </c>
      <c r="B41" s="227">
        <v>9019</v>
      </c>
      <c r="C41" s="231">
        <v>42538</v>
      </c>
      <c r="D41" s="232">
        <v>51644</v>
      </c>
      <c r="E41" s="234"/>
      <c r="F41" s="421">
        <f>SUM(F22:F40)</f>
        <v>12732566.180000002</v>
      </c>
      <c r="G41" s="217"/>
      <c r="H41" s="43"/>
      <c r="I41" s="94"/>
      <c r="J41" s="283">
        <f>SUM(J22:J40)</f>
        <v>119951.54</v>
      </c>
      <c r="K41" s="283">
        <f>SUM(K22:K40)</f>
        <v>144704.68</v>
      </c>
      <c r="L41" s="284">
        <f>SUM(L22:L40)</f>
        <v>12587861.500000002</v>
      </c>
      <c r="M41" s="279"/>
      <c r="N41" s="283">
        <f>SUM(N22:N40)</f>
        <v>121276.39</v>
      </c>
      <c r="O41" s="283">
        <f>SUM(O22:O40)</f>
        <v>145934.67</v>
      </c>
      <c r="P41" s="284">
        <f>SUM(P22:P40)</f>
        <v>12441926.830000002</v>
      </c>
      <c r="Q41" s="272"/>
      <c r="R41" s="229">
        <f>SUM(R22:R40)</f>
        <v>120035.95</v>
      </c>
      <c r="S41" s="229">
        <f>SUM(S22:S40)</f>
        <v>147175.11</v>
      </c>
      <c r="T41" s="285">
        <f>SUM(T22:T40)</f>
        <v>12294751.720000003</v>
      </c>
      <c r="U41" s="272"/>
      <c r="V41" s="229">
        <f aca="true" t="shared" si="42" ref="V41:AA41">SUM(V22:V40)</f>
        <v>117493.54</v>
      </c>
      <c r="W41" s="229">
        <f t="shared" si="42"/>
        <v>148440.09</v>
      </c>
      <c r="X41" s="230">
        <f t="shared" si="42"/>
        <v>12146311.630000003</v>
      </c>
      <c r="Y41" s="229">
        <f t="shared" si="42"/>
        <v>478757.42</v>
      </c>
      <c r="Z41" s="229">
        <f t="shared" si="42"/>
        <v>586254.5499999999</v>
      </c>
      <c r="AA41" s="230">
        <f t="shared" si="42"/>
        <v>12146311.630000003</v>
      </c>
      <c r="AB41" s="391">
        <v>2728425.33</v>
      </c>
      <c r="AC41" s="483">
        <f>+AB41+Z41</f>
        <v>3314679.88</v>
      </c>
      <c r="AD41" s="483">
        <f>+AA41</f>
        <v>12146311.630000003</v>
      </c>
      <c r="AF41" s="283">
        <f>SUM(AF22:AF40)</f>
        <v>115039.93</v>
      </c>
      <c r="AG41" s="283">
        <f>SUM(AG22:AG40)</f>
        <v>149450.83</v>
      </c>
      <c r="AH41" s="284">
        <f>SUM(AH22:AH40)</f>
        <v>11996860.800000003</v>
      </c>
      <c r="AI41" s="279"/>
      <c r="AJ41" s="283">
        <f>SUM(AJ22:AJ40)</f>
        <v>116191.29760476713</v>
      </c>
      <c r="AK41" s="283">
        <f>SUM(AK22:AK40)</f>
        <v>150739.84</v>
      </c>
      <c r="AL41" s="284">
        <f>SUM(AL22:AL40)</f>
        <v>11846120.960000003</v>
      </c>
      <c r="AM41" s="272"/>
      <c r="AN41" s="229">
        <f>SUM(AN22:AN40)</f>
        <v>114891.16760476712</v>
      </c>
      <c r="AO41" s="229">
        <f>SUM(AO22:AO40)</f>
        <v>152039.97</v>
      </c>
      <c r="AP41" s="285">
        <f>SUM(AP22:AP40)</f>
        <v>11694080.990000002</v>
      </c>
      <c r="AQ41" s="272"/>
      <c r="AR41" s="229">
        <f aca="true" t="shared" si="43" ref="AR41:AW41">SUM(AR22:AR40)</f>
        <v>112344.93241341096</v>
      </c>
      <c r="AS41" s="229">
        <f t="shared" si="43"/>
        <v>153365.99</v>
      </c>
      <c r="AT41" s="230">
        <f t="shared" si="43"/>
        <v>11540715.000000002</v>
      </c>
      <c r="AU41" s="229">
        <f t="shared" si="43"/>
        <v>458467.32762294513</v>
      </c>
      <c r="AV41" s="229">
        <f t="shared" si="43"/>
        <v>605596.63</v>
      </c>
      <c r="AW41" s="230">
        <f t="shared" si="43"/>
        <v>11540715.000000002</v>
      </c>
    </row>
    <row r="42" spans="2:27" ht="15">
      <c r="B42" s="34"/>
      <c r="C42" s="34"/>
      <c r="D42" s="34"/>
      <c r="E42" s="34"/>
      <c r="F42" s="208"/>
      <c r="G42" s="35"/>
      <c r="H42" s="43"/>
      <c r="I42" s="228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22"/>
      <c r="Z42" s="22"/>
      <c r="AA42" s="22"/>
    </row>
    <row r="43" spans="1:49" ht="18">
      <c r="A43" s="211"/>
      <c r="B43" s="34"/>
      <c r="C43" s="34"/>
      <c r="D43" s="34"/>
      <c r="E43" s="140"/>
      <c r="F43" s="141"/>
      <c r="G43" s="22"/>
      <c r="H43" s="35"/>
      <c r="I43" s="35"/>
      <c r="J43" s="242">
        <f>J12+J21+J41</f>
        <v>152816.40999999997</v>
      </c>
      <c r="K43" s="242">
        <f>K12+K21+K41</f>
        <v>226584.75999999998</v>
      </c>
      <c r="L43" s="243">
        <f>L12+L21+L41</f>
        <v>14849968.190000001</v>
      </c>
      <c r="M43" s="242"/>
      <c r="N43" s="242">
        <f>N12+N21+N41</f>
        <v>153245.41999999998</v>
      </c>
      <c r="O43" s="242">
        <f>O12+O21+O41</f>
        <v>228923.25</v>
      </c>
      <c r="P43" s="243">
        <f>P12+P21+P41</f>
        <v>14621044.940000001</v>
      </c>
      <c r="Q43" s="242"/>
      <c r="R43" s="242">
        <f>R12+R21+R41</f>
        <v>150892.06</v>
      </c>
      <c r="S43" s="242">
        <f>S12+S21+S41</f>
        <v>231287.81</v>
      </c>
      <c r="T43" s="243">
        <f>T12+T21+T41</f>
        <v>14389757.130000003</v>
      </c>
      <c r="U43" s="242"/>
      <c r="V43" s="242">
        <f>V12+V21+V41</f>
        <v>147135.53999999998</v>
      </c>
      <c r="W43" s="242">
        <f>W12+W21+W41</f>
        <v>229405.58000000002</v>
      </c>
      <c r="X43" s="243">
        <f>X12+X21+X41</f>
        <v>14160351.550000003</v>
      </c>
      <c r="Y43" s="33">
        <f>Y12+Y21+Y41</f>
        <v>604089.4299999999</v>
      </c>
      <c r="Z43" s="33">
        <f>Z12+Z21+Z41</f>
        <v>916201.3999999999</v>
      </c>
      <c r="AA43" s="80">
        <f>AA41+AA12+AA21</f>
        <v>14160351.550000003</v>
      </c>
      <c r="AF43" s="80"/>
      <c r="AG43" s="80"/>
      <c r="AH43" s="80"/>
      <c r="AU43" s="80">
        <f>AU41+AU12+AU21</f>
        <v>567394.1976229452</v>
      </c>
      <c r="AV43" s="80">
        <f>AV41+AV12+AV21</f>
        <v>985528.24</v>
      </c>
      <c r="AW43" s="80">
        <f>AW41+AW12+AW21</f>
        <v>13174823.310000002</v>
      </c>
    </row>
    <row r="44" spans="8:31" ht="15">
      <c r="H44" s="22"/>
      <c r="I44" s="22"/>
      <c r="J44" s="391">
        <f>50202+53411</f>
        <v>103613</v>
      </c>
      <c r="L44" s="109"/>
      <c r="P44" s="189"/>
      <c r="Q44" s="44"/>
      <c r="R44" s="467">
        <v>100404</v>
      </c>
      <c r="S44" s="1" t="s">
        <v>265</v>
      </c>
      <c r="T44" s="189"/>
      <c r="U44" s="44"/>
      <c r="V44" s="22">
        <v>100404</v>
      </c>
      <c r="W44" s="1" t="s">
        <v>265</v>
      </c>
      <c r="X44" s="44"/>
      <c r="Y44" s="80"/>
      <c r="AC44" s="484"/>
      <c r="AD44" s="485" t="s">
        <v>227</v>
      </c>
      <c r="AE44" s="289"/>
    </row>
    <row r="45" spans="10:31" ht="15">
      <c r="J45" s="80">
        <f>+J43-J44</f>
        <v>49203.409999999974</v>
      </c>
      <c r="K45" s="166"/>
      <c r="L45" s="109"/>
      <c r="M45" s="110"/>
      <c r="O45" s="166"/>
      <c r="P45" s="111"/>
      <c r="Q45" s="111"/>
      <c r="R45" s="468">
        <f>+R43-R44</f>
        <v>50488.06</v>
      </c>
      <c r="S45" s="110" t="s">
        <v>266</v>
      </c>
      <c r="T45" s="189"/>
      <c r="U45" s="111"/>
      <c r="V45" s="470">
        <f>+V43-V44</f>
        <v>46731.53999999998</v>
      </c>
      <c r="W45" s="110" t="s">
        <v>271</v>
      </c>
      <c r="X45" s="118"/>
      <c r="AC45" s="484"/>
      <c r="AE45" s="289"/>
    </row>
    <row r="46" spans="4:31" ht="17.25" customHeight="1">
      <c r="D46" s="116"/>
      <c r="K46" s="166"/>
      <c r="L46" s="109"/>
      <c r="M46" s="110"/>
      <c r="O46" s="110"/>
      <c r="P46" s="111"/>
      <c r="Q46" s="111"/>
      <c r="S46" s="110"/>
      <c r="T46" s="189"/>
      <c r="U46" s="111"/>
      <c r="W46" s="110"/>
      <c r="X46" s="118"/>
      <c r="AA46" s="89"/>
      <c r="AC46" s="486"/>
      <c r="AD46" s="487" t="s">
        <v>241</v>
      </c>
      <c r="AE46" s="289"/>
    </row>
    <row r="47" spans="4:31" ht="15.75" thickBot="1">
      <c r="D47" s="116"/>
      <c r="T47" s="109"/>
      <c r="U47" s="109"/>
      <c r="W47" s="79"/>
      <c r="X47" s="110"/>
      <c r="AA47" s="89"/>
      <c r="AC47" s="486"/>
      <c r="AE47" s="289"/>
    </row>
    <row r="48" spans="4:31" ht="15">
      <c r="D48" s="126"/>
      <c r="F48" s="126"/>
      <c r="I48" s="127"/>
      <c r="J48" s="128" t="s">
        <v>124</v>
      </c>
      <c r="K48" s="128" t="s">
        <v>125</v>
      </c>
      <c r="L48" s="128"/>
      <c r="M48" s="128"/>
      <c r="N48" s="128" t="s">
        <v>124</v>
      </c>
      <c r="O48" s="128" t="s">
        <v>125</v>
      </c>
      <c r="P48" s="128"/>
      <c r="Q48" s="128"/>
      <c r="R48" s="128" t="s">
        <v>124</v>
      </c>
      <c r="S48" s="128" t="s">
        <v>125</v>
      </c>
      <c r="T48" s="128"/>
      <c r="U48" s="128"/>
      <c r="V48" s="128" t="s">
        <v>124</v>
      </c>
      <c r="W48" s="129" t="s">
        <v>125</v>
      </c>
      <c r="X48" s="219"/>
      <c r="Y48" s="218"/>
      <c r="Z48" s="128" t="s">
        <v>124</v>
      </c>
      <c r="AA48" s="540"/>
      <c r="AC48" s="486" t="s">
        <v>240</v>
      </c>
      <c r="AD48" s="488">
        <f>+AA43</f>
        <v>14160351.550000003</v>
      </c>
      <c r="AE48" s="289"/>
    </row>
    <row r="49" spans="5:31" ht="15">
      <c r="E49" s="133"/>
      <c r="I49" s="130" t="s">
        <v>256</v>
      </c>
      <c r="J49" s="170">
        <v>53411</v>
      </c>
      <c r="K49" s="171">
        <f>J49</f>
        <v>53411</v>
      </c>
      <c r="L49" s="172"/>
      <c r="M49" s="173" t="s">
        <v>38</v>
      </c>
      <c r="N49" s="170" t="e">
        <f>#REF!+#REF!</f>
        <v>#REF!</v>
      </c>
      <c r="O49" s="171" t="e">
        <f>#REF!</f>
        <v>#REF!</v>
      </c>
      <c r="P49" s="172"/>
      <c r="Q49" s="173" t="s">
        <v>120</v>
      </c>
      <c r="R49" s="170" t="e">
        <f>#REF!+#REF!</f>
        <v>#REF!</v>
      </c>
      <c r="S49" s="171" t="e">
        <f>#REF!</f>
        <v>#REF!</v>
      </c>
      <c r="T49" s="172"/>
      <c r="U49" s="173" t="s">
        <v>122</v>
      </c>
      <c r="V49" s="170" t="e">
        <f>#REF!+#REF!</f>
        <v>#REF!</v>
      </c>
      <c r="W49" s="174" t="e">
        <f>#REF!</f>
        <v>#REF!</v>
      </c>
      <c r="X49" s="221"/>
      <c r="Y49" s="222" t="s">
        <v>47</v>
      </c>
      <c r="Z49" s="539" t="e">
        <f>#REF!+#REF!</f>
        <v>#REF!</v>
      </c>
      <c r="AA49" s="160"/>
      <c r="AC49" s="489" t="s">
        <v>280</v>
      </c>
      <c r="AD49" s="490">
        <f>+Z43</f>
        <v>916201.3999999999</v>
      </c>
      <c r="AE49" s="289"/>
    </row>
    <row r="50" spans="9:31" ht="15">
      <c r="I50" s="123"/>
      <c r="J50" s="157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W50" s="79"/>
      <c r="AA50" s="89"/>
      <c r="AC50" s="486" t="s">
        <v>278</v>
      </c>
      <c r="AD50" s="479">
        <f>+Y43</f>
        <v>604089.4299999999</v>
      </c>
      <c r="AE50" s="289"/>
    </row>
    <row r="51" spans="9:31" ht="15">
      <c r="I51" s="111"/>
      <c r="J51" s="158"/>
      <c r="K51" s="257">
        <f>J43+K43</f>
        <v>379401.1699999999</v>
      </c>
      <c r="L51" s="156"/>
      <c r="M51" s="156"/>
      <c r="N51" s="156"/>
      <c r="O51" s="257">
        <f>K51+N43+O43</f>
        <v>761569.8399999999</v>
      </c>
      <c r="P51" s="156"/>
      <c r="Q51" s="156"/>
      <c r="R51" s="156"/>
      <c r="S51" s="257">
        <f>O51+R43+S43</f>
        <v>1143749.71</v>
      </c>
      <c r="T51" s="156"/>
      <c r="W51" s="257">
        <f>S51+V43+W43</f>
        <v>1520290.83</v>
      </c>
      <c r="AC51" s="489" t="s">
        <v>279</v>
      </c>
      <c r="AD51" s="490">
        <f>+Z43</f>
        <v>916201.3999999999</v>
      </c>
      <c r="AE51" s="289"/>
    </row>
    <row r="52" spans="23:31" ht="15">
      <c r="W52" s="79"/>
      <c r="Z52" s="80"/>
      <c r="AC52" s="486"/>
      <c r="AD52" s="479">
        <f>+AD50+AD51</f>
        <v>1520290.8299999998</v>
      </c>
      <c r="AE52" s="289"/>
    </row>
    <row r="53" spans="18:26" ht="15">
      <c r="R53" s="587" t="s">
        <v>249</v>
      </c>
      <c r="S53" s="587"/>
      <c r="T53" s="587"/>
      <c r="W53" s="79"/>
      <c r="Z53" s="80"/>
    </row>
    <row r="54" spans="18:23" ht="15">
      <c r="R54" s="444" t="s">
        <v>246</v>
      </c>
      <c r="S54" s="444" t="s">
        <v>247</v>
      </c>
      <c r="T54" s="444" t="s">
        <v>248</v>
      </c>
      <c r="W54" s="79"/>
    </row>
    <row r="55" spans="18:23" ht="15">
      <c r="R55" s="442" t="e">
        <f aca="true" t="shared" si="44" ref="R55:R60">(R6/P6)*(365/92)</f>
        <v>#DIV/0!</v>
      </c>
      <c r="S55" s="443">
        <f aca="true" t="shared" si="45" ref="S55:S60">$G6</f>
        <v>0</v>
      </c>
      <c r="T55" s="443" t="e">
        <f aca="true" t="shared" si="46" ref="T55:T60">S55-R55</f>
        <v>#DIV/0!</v>
      </c>
      <c r="W55" s="79"/>
    </row>
    <row r="56" spans="18:23" ht="15">
      <c r="R56" s="442">
        <f t="shared" si="44"/>
        <v>0.06372596758784922</v>
      </c>
      <c r="S56" s="443">
        <f t="shared" si="45"/>
        <v>0.0655</v>
      </c>
      <c r="T56" s="443">
        <f t="shared" si="46"/>
        <v>0.0017740324121507806</v>
      </c>
      <c r="W56" s="79"/>
    </row>
    <row r="57" spans="18:23" ht="15">
      <c r="R57" s="442">
        <f t="shared" si="44"/>
        <v>0.06422217643274206</v>
      </c>
      <c r="S57" s="443">
        <f t="shared" si="45"/>
        <v>0.066</v>
      </c>
      <c r="T57" s="443">
        <f t="shared" si="46"/>
        <v>0.0017778235672579468</v>
      </c>
      <c r="W57" s="79"/>
    </row>
    <row r="58" spans="18:23" ht="15">
      <c r="R58" s="442">
        <f t="shared" si="44"/>
        <v>0.06471809438816162</v>
      </c>
      <c r="S58" s="443">
        <f t="shared" si="45"/>
        <v>0.0665</v>
      </c>
      <c r="T58" s="443">
        <f t="shared" si="46"/>
        <v>0.0017819056118383858</v>
      </c>
      <c r="W58" s="79"/>
    </row>
    <row r="59" spans="18:23" ht="15">
      <c r="R59" s="442">
        <f t="shared" si="44"/>
        <v>0.06471809872147581</v>
      </c>
      <c r="S59" s="443">
        <f t="shared" si="45"/>
        <v>0.0665</v>
      </c>
      <c r="T59" s="443">
        <f t="shared" si="46"/>
        <v>0.0017819012785241922</v>
      </c>
      <c r="W59" s="79"/>
    </row>
    <row r="60" spans="18:20" ht="15">
      <c r="R60" s="442">
        <f t="shared" si="44"/>
        <v>0.03620243331899644</v>
      </c>
      <c r="S60" s="443">
        <f t="shared" si="45"/>
        <v>0.0365</v>
      </c>
      <c r="T60" s="443">
        <f t="shared" si="46"/>
        <v>0.0002975666810035582</v>
      </c>
    </row>
    <row r="61" spans="18:19" ht="15">
      <c r="R61" s="442"/>
      <c r="S61" s="443"/>
    </row>
    <row r="62" spans="18:19" ht="15">
      <c r="R62" s="442"/>
      <c r="S62" s="443"/>
    </row>
    <row r="63" spans="18:20" ht="15">
      <c r="R63" s="442" t="e">
        <f aca="true" t="shared" si="47" ref="R63:R69">(R14/P14)*(365/92)</f>
        <v>#DIV/0!</v>
      </c>
      <c r="S63" s="443">
        <f aca="true" t="shared" si="48" ref="S63:S69">$G14</f>
        <v>0</v>
      </c>
      <c r="T63" s="443" t="e">
        <f aca="true" t="shared" si="49" ref="T63:T69">S63-R63</f>
        <v>#DIV/0!</v>
      </c>
    </row>
    <row r="64" spans="18:20" ht="15">
      <c r="R64" s="442">
        <f t="shared" si="47"/>
        <v>0.04562537898330489</v>
      </c>
      <c r="S64" s="443">
        <f t="shared" si="48"/>
        <v>0.046</v>
      </c>
      <c r="T64" s="443">
        <f t="shared" si="49"/>
        <v>0.00037462101669510917</v>
      </c>
    </row>
    <row r="65" spans="18:20" ht="15">
      <c r="R65" s="442">
        <f t="shared" si="47"/>
        <v>0.0469999275055702</v>
      </c>
      <c r="S65" s="443">
        <f t="shared" si="48"/>
        <v>0.047</v>
      </c>
      <c r="T65" s="443">
        <f t="shared" si="49"/>
        <v>7.249442979945231E-08</v>
      </c>
    </row>
    <row r="66" spans="18:20" ht="15">
      <c r="R66" s="442">
        <f t="shared" si="47"/>
        <v>0.04800007601791257</v>
      </c>
      <c r="S66" s="443">
        <f t="shared" si="48"/>
        <v>0.048</v>
      </c>
      <c r="T66" s="443">
        <f t="shared" si="49"/>
        <v>-7.601791256889312E-08</v>
      </c>
    </row>
    <row r="67" spans="18:20" ht="15">
      <c r="R67" s="442">
        <f t="shared" si="47"/>
        <v>0.04899995988879286</v>
      </c>
      <c r="S67" s="443">
        <f t="shared" si="48"/>
        <v>0.049</v>
      </c>
      <c r="T67" s="443">
        <f t="shared" si="49"/>
        <v>4.0111207140480776E-08</v>
      </c>
    </row>
    <row r="68" spans="18:20" ht="15">
      <c r="R68" s="442">
        <f t="shared" si="47"/>
        <v>0.049499824681381394</v>
      </c>
      <c r="S68" s="443">
        <f t="shared" si="48"/>
        <v>0.0495</v>
      </c>
      <c r="T68" s="443">
        <f t="shared" si="49"/>
        <v>1.753186186087552E-07</v>
      </c>
    </row>
    <row r="69" spans="18:20" ht="15">
      <c r="R69" s="442">
        <f t="shared" si="47"/>
        <v>0.05050004618829731</v>
      </c>
      <c r="S69" s="443">
        <f t="shared" si="48"/>
        <v>0.0505</v>
      </c>
      <c r="T69" s="443">
        <f t="shared" si="49"/>
        <v>-4.618829730490548E-08</v>
      </c>
    </row>
    <row r="70" spans="18:19" ht="15">
      <c r="R70" s="442"/>
      <c r="S70" s="443"/>
    </row>
    <row r="71" spans="18:20" ht="15">
      <c r="R71" s="442" t="e">
        <f aca="true" t="shared" si="50" ref="R71:R89">(R22/P22)*(365/92)</f>
        <v>#DIV/0!</v>
      </c>
      <c r="S71" s="443">
        <f aca="true" t="shared" si="51" ref="S71:S89">$G22</f>
        <v>0</v>
      </c>
      <c r="T71" s="443" t="e">
        <f aca="true" t="shared" si="52" ref="T71:T89">S71-R71</f>
        <v>#DIV/0!</v>
      </c>
    </row>
    <row r="72" spans="18:20" ht="15">
      <c r="R72" s="442">
        <f t="shared" si="50"/>
        <v>0.033722836823593345</v>
      </c>
      <c r="S72" s="443">
        <f t="shared" si="51"/>
        <v>0.034</v>
      </c>
      <c r="T72" s="443">
        <f t="shared" si="52"/>
        <v>0.00027716317640665705</v>
      </c>
    </row>
    <row r="73" spans="18:20" ht="15">
      <c r="R73" s="442">
        <f t="shared" si="50"/>
        <v>0.03449998737106005</v>
      </c>
      <c r="S73" s="443">
        <f t="shared" si="51"/>
        <v>0.0345</v>
      </c>
      <c r="T73" s="443">
        <f t="shared" si="52"/>
        <v>1.2628939956293994E-08</v>
      </c>
    </row>
    <row r="74" spans="18:20" ht="15">
      <c r="R74" s="442">
        <f t="shared" si="50"/>
        <v>0.03549999227901039</v>
      </c>
      <c r="S74" s="443">
        <f t="shared" si="51"/>
        <v>0.0355</v>
      </c>
      <c r="T74" s="443">
        <f t="shared" si="52"/>
        <v>7.720989604609318E-09</v>
      </c>
    </row>
    <row r="75" spans="18:20" ht="15">
      <c r="R75" s="442">
        <f t="shared" si="50"/>
        <v>0.03599998633689777</v>
      </c>
      <c r="S75" s="443">
        <f t="shared" si="51"/>
        <v>0.036</v>
      </c>
      <c r="T75" s="443">
        <f t="shared" si="52"/>
        <v>1.3663102226002533E-08</v>
      </c>
    </row>
    <row r="76" spans="18:20" ht="15">
      <c r="R76" s="442">
        <f t="shared" si="50"/>
        <v>0.03649997418709947</v>
      </c>
      <c r="S76" s="443">
        <f t="shared" si="51"/>
        <v>0.0365</v>
      </c>
      <c r="T76" s="443">
        <f t="shared" si="52"/>
        <v>2.5812900525390425E-08</v>
      </c>
    </row>
    <row r="77" spans="18:20" ht="15">
      <c r="R77" s="442">
        <f t="shared" si="50"/>
        <v>0.03699997994310007</v>
      </c>
      <c r="S77" s="443">
        <f t="shared" si="51"/>
        <v>0.037</v>
      </c>
      <c r="T77" s="443">
        <f t="shared" si="52"/>
        <v>2.005689992562454E-08</v>
      </c>
    </row>
    <row r="78" spans="18:20" ht="15">
      <c r="R78" s="442">
        <f t="shared" si="50"/>
        <v>0.03750001351396691</v>
      </c>
      <c r="S78" s="443">
        <f t="shared" si="51"/>
        <v>0.0375</v>
      </c>
      <c r="T78" s="443">
        <f t="shared" si="52"/>
        <v>-1.3513966910794206E-08</v>
      </c>
    </row>
    <row r="79" spans="18:20" ht="15">
      <c r="R79" s="442">
        <f t="shared" si="50"/>
        <v>0.03800000470083939</v>
      </c>
      <c r="S79" s="443">
        <f t="shared" si="51"/>
        <v>0.038</v>
      </c>
      <c r="T79" s="443">
        <f t="shared" si="52"/>
        <v>-4.700839391358347E-09</v>
      </c>
    </row>
    <row r="80" spans="18:20" ht="15">
      <c r="R80" s="442">
        <f t="shared" si="50"/>
        <v>0.03849997648061075</v>
      </c>
      <c r="S80" s="443">
        <f t="shared" si="51"/>
        <v>0.0385</v>
      </c>
      <c r="T80" s="443">
        <f t="shared" si="52"/>
        <v>2.3519389248660705E-08</v>
      </c>
    </row>
    <row r="81" spans="18:20" ht="15">
      <c r="R81" s="442">
        <f t="shared" si="50"/>
        <v>0.038999983941116395</v>
      </c>
      <c r="S81" s="443">
        <f t="shared" si="51"/>
        <v>0.039</v>
      </c>
      <c r="T81" s="443">
        <f t="shared" si="52"/>
        <v>1.6058883604841423E-08</v>
      </c>
    </row>
    <row r="82" spans="18:20" ht="15">
      <c r="R82" s="442">
        <f t="shared" si="50"/>
        <v>0.03899998176096555</v>
      </c>
      <c r="S82" s="443">
        <f t="shared" si="51"/>
        <v>0.039</v>
      </c>
      <c r="T82" s="443">
        <f t="shared" si="52"/>
        <v>1.8239034449418767E-08</v>
      </c>
    </row>
    <row r="83" spans="18:20" ht="15">
      <c r="R83" s="442">
        <f t="shared" si="50"/>
        <v>0.03949999731182816</v>
      </c>
      <c r="S83" s="443">
        <f t="shared" si="51"/>
        <v>0.0395</v>
      </c>
      <c r="T83" s="443">
        <f t="shared" si="52"/>
        <v>2.6881718379057062E-09</v>
      </c>
    </row>
    <row r="84" spans="18:20" ht="15">
      <c r="R84" s="442">
        <f t="shared" si="50"/>
        <v>0.03949998517519817</v>
      </c>
      <c r="S84" s="443">
        <f t="shared" si="51"/>
        <v>0.0395</v>
      </c>
      <c r="T84" s="443">
        <f t="shared" si="52"/>
        <v>1.4824801830570777E-08</v>
      </c>
    </row>
    <row r="85" spans="18:20" ht="15">
      <c r="R85" s="442">
        <f t="shared" si="50"/>
        <v>0.039999993068992705</v>
      </c>
      <c r="S85" s="443">
        <f t="shared" si="51"/>
        <v>0.04</v>
      </c>
      <c r="T85" s="443">
        <f t="shared" si="52"/>
        <v>6.9310072958739255E-09</v>
      </c>
    </row>
    <row r="86" spans="18:20" ht="15">
      <c r="R86" s="442">
        <f t="shared" si="50"/>
        <v>0.03999999468851904</v>
      </c>
      <c r="S86" s="443">
        <f t="shared" si="51"/>
        <v>0.04</v>
      </c>
      <c r="T86" s="443">
        <f t="shared" si="52"/>
        <v>5.311480963388071E-09</v>
      </c>
    </row>
    <row r="87" spans="18:20" ht="15">
      <c r="R87" s="442">
        <f t="shared" si="50"/>
        <v>0.03999999926524784</v>
      </c>
      <c r="S87" s="443">
        <f t="shared" si="51"/>
        <v>0.04</v>
      </c>
      <c r="T87" s="443">
        <f t="shared" si="52"/>
        <v>7.347521618905617E-10</v>
      </c>
    </row>
    <row r="88" spans="18:20" ht="15">
      <c r="R88" s="442">
        <f t="shared" si="50"/>
        <v>0.04000001786250581</v>
      </c>
      <c r="S88" s="443">
        <f t="shared" si="51"/>
        <v>0.04</v>
      </c>
      <c r="T88" s="443">
        <f t="shared" si="52"/>
        <v>-1.7862505807819673E-08</v>
      </c>
    </row>
    <row r="89" spans="18:20" ht="15">
      <c r="R89" s="442">
        <f t="shared" si="50"/>
        <v>0.04000002065367536</v>
      </c>
      <c r="S89" s="443">
        <f t="shared" si="51"/>
        <v>0.04</v>
      </c>
      <c r="T89" s="443">
        <f t="shared" si="52"/>
        <v>-2.0653675360249313E-08</v>
      </c>
    </row>
    <row r="90" spans="18:19" ht="15">
      <c r="R90" s="442"/>
      <c r="S90" s="443"/>
    </row>
    <row r="91" ht="15">
      <c r="R91" s="442" t="s">
        <v>250</v>
      </c>
    </row>
    <row r="92" ht="15">
      <c r="R92" s="442"/>
    </row>
    <row r="93" ht="15">
      <c r="R93" s="442"/>
    </row>
    <row r="94" ht="15">
      <c r="R94" s="442"/>
    </row>
    <row r="95" ht="15">
      <c r="R95" s="442"/>
    </row>
    <row r="96" ht="15">
      <c r="R96" s="442"/>
    </row>
    <row r="97" ht="15">
      <c r="R97" s="442"/>
    </row>
    <row r="98" ht="15">
      <c r="R98" s="442"/>
    </row>
    <row r="99" ht="15">
      <c r="R99" s="442"/>
    </row>
    <row r="100" ht="15">
      <c r="R100" s="442"/>
    </row>
    <row r="101" ht="15">
      <c r="R101" s="442"/>
    </row>
    <row r="102" ht="15">
      <c r="R102" s="442"/>
    </row>
    <row r="103" ht="15">
      <c r="R103" s="442"/>
    </row>
    <row r="104" ht="15">
      <c r="R104" s="442"/>
    </row>
    <row r="105" ht="15">
      <c r="R105" s="442"/>
    </row>
    <row r="106" ht="15">
      <c r="R106" s="442"/>
    </row>
    <row r="107" ht="15">
      <c r="R107" s="442"/>
    </row>
    <row r="108" ht="15">
      <c r="R108" s="442"/>
    </row>
  </sheetData>
  <sheetProtection/>
  <mergeCells count="6">
    <mergeCell ref="J3:L3"/>
    <mergeCell ref="N3:P3"/>
    <mergeCell ref="R53:T53"/>
    <mergeCell ref="AF3:AH3"/>
    <mergeCell ref="AJ3:AL3"/>
    <mergeCell ref="AF1:AW1"/>
  </mergeCells>
  <printOptions/>
  <pageMargins left="0.25" right="0.5" top="1" bottom="0.25" header="0" footer="0"/>
  <pageSetup fitToHeight="1" fitToWidth="1" horizontalDpi="600" verticalDpi="600" orientation="landscape" scale="42" r:id="rId3"/>
  <colBreaks count="4" manualBreakCount="4">
    <brk id="12" max="46" man="1"/>
    <brk id="16" max="46" man="1"/>
    <brk id="20" max="46" man="1"/>
    <brk id="24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G19" sqref="G19"/>
    </sheetView>
  </sheetViews>
  <sheetFormatPr defaultColWidth="8.88671875" defaultRowHeight="15"/>
  <cols>
    <col min="1" max="1" width="14.99609375" style="529" customWidth="1"/>
    <col min="2" max="2" width="14.99609375" style="529" bestFit="1" customWidth="1"/>
    <col min="3" max="4" width="7.5546875" style="529" bestFit="1" customWidth="1"/>
    <col min="5" max="5" width="3.99609375" style="529" bestFit="1" customWidth="1"/>
    <col min="6" max="6" width="9.6640625" style="529" bestFit="1" customWidth="1"/>
    <col min="7" max="7" width="12.10546875" style="529" bestFit="1" customWidth="1"/>
    <col min="8" max="9" width="8.88671875" style="529" customWidth="1"/>
    <col min="10" max="10" width="14.99609375" style="529" bestFit="1" customWidth="1"/>
    <col min="11" max="13" width="8.88671875" style="529" customWidth="1"/>
    <col min="14" max="14" width="9.6640625" style="529" bestFit="1" customWidth="1"/>
    <col min="15" max="15" width="12.10546875" style="529" bestFit="1" customWidth="1"/>
    <col min="16" max="16384" width="8.88671875" style="529" customWidth="1"/>
  </cols>
  <sheetData>
    <row r="1" ht="14.25">
      <c r="A1" s="529" t="s">
        <v>315</v>
      </c>
    </row>
    <row r="2" spans="1:2" ht="14.25">
      <c r="A2" s="529" t="s">
        <v>316</v>
      </c>
      <c r="B2" s="543">
        <f>G17+O12</f>
        <v>48294.95323819094</v>
      </c>
    </row>
    <row r="4" spans="2:10" ht="14.25">
      <c r="B4" s="545" t="s">
        <v>308</v>
      </c>
      <c r="J4" s="545" t="s">
        <v>309</v>
      </c>
    </row>
    <row r="5" spans="2:15" ht="14.25">
      <c r="B5" s="546" t="s">
        <v>128</v>
      </c>
      <c r="C5" s="546" t="s">
        <v>310</v>
      </c>
      <c r="D5" s="546" t="s">
        <v>311</v>
      </c>
      <c r="E5" s="546" t="s">
        <v>312</v>
      </c>
      <c r="F5" s="546" t="s">
        <v>313</v>
      </c>
      <c r="G5" s="546" t="s">
        <v>314</v>
      </c>
      <c r="J5" s="546" t="s">
        <v>128</v>
      </c>
      <c r="K5" s="546" t="s">
        <v>310</v>
      </c>
      <c r="L5" s="546" t="s">
        <v>311</v>
      </c>
      <c r="M5" s="546" t="s">
        <v>312</v>
      </c>
      <c r="N5" s="546" t="s">
        <v>313</v>
      </c>
      <c r="O5" s="546" t="s">
        <v>314</v>
      </c>
    </row>
    <row r="6" spans="2:15" ht="14.25">
      <c r="B6" s="530">
        <v>1565591</v>
      </c>
      <c r="C6" s="541">
        <v>45017</v>
      </c>
      <c r="D6" s="541">
        <v>45025</v>
      </c>
      <c r="E6" s="529">
        <f aca="true" t="shared" si="0" ref="E6:E16">D6-C6+1</f>
        <v>9</v>
      </c>
      <c r="F6" s="544">
        <v>0.0675</v>
      </c>
      <c r="G6" s="543">
        <f aca="true" t="shared" si="1" ref="G6:G16">(B6*F6)/365*E6</f>
        <v>2605.7439246575345</v>
      </c>
      <c r="J6" s="530">
        <v>3000000</v>
      </c>
      <c r="K6" s="541">
        <v>45017</v>
      </c>
      <c r="L6" s="541">
        <v>45033</v>
      </c>
      <c r="M6" s="529">
        <f aca="true" t="shared" si="2" ref="M6:M11">L6-K6+1</f>
        <v>17</v>
      </c>
      <c r="N6" s="544">
        <v>0.0655</v>
      </c>
      <c r="O6" s="543">
        <f aca="true" t="shared" si="3" ref="O6:O11">(J6*N6)/365*M6</f>
        <v>9152.054794520549</v>
      </c>
    </row>
    <row r="7" spans="1:15" ht="14.25">
      <c r="A7" s="543"/>
      <c r="B7" s="530">
        <f>B6-584800</f>
        <v>980791</v>
      </c>
      <c r="C7" s="541">
        <f aca="true" t="shared" si="4" ref="C7:C16">D6+1</f>
        <v>45026</v>
      </c>
      <c r="D7" s="541">
        <v>45029</v>
      </c>
      <c r="E7" s="529">
        <f t="shared" si="0"/>
        <v>4</v>
      </c>
      <c r="F7" s="544">
        <v>0.0675</v>
      </c>
      <c r="G7" s="543">
        <f t="shared" si="1"/>
        <v>725.5166301369864</v>
      </c>
      <c r="J7" s="530">
        <f>J6-251709</f>
        <v>2748291</v>
      </c>
      <c r="K7" s="541">
        <f>L6+1</f>
        <v>45034</v>
      </c>
      <c r="L7" s="541">
        <v>45036</v>
      </c>
      <c r="M7" s="529">
        <f t="shared" si="2"/>
        <v>3</v>
      </c>
      <c r="N7" s="544">
        <v>0.0655</v>
      </c>
      <c r="O7" s="543">
        <f t="shared" si="3"/>
        <v>1479.5594013698633</v>
      </c>
    </row>
    <row r="8" spans="2:15" ht="14.25">
      <c r="B8" s="530">
        <f>B7-394000</f>
        <v>586791</v>
      </c>
      <c r="C8" s="541">
        <f t="shared" si="4"/>
        <v>45030</v>
      </c>
      <c r="D8" s="541">
        <v>45033</v>
      </c>
      <c r="E8" s="529">
        <f t="shared" si="0"/>
        <v>4</v>
      </c>
      <c r="F8" s="544">
        <v>0.0675</v>
      </c>
      <c r="G8" s="543">
        <f t="shared" si="1"/>
        <v>434.0645753424658</v>
      </c>
      <c r="J8" s="530">
        <f>J7+251709</f>
        <v>3000000</v>
      </c>
      <c r="K8" s="541">
        <f>L7+1</f>
        <v>45037</v>
      </c>
      <c r="L8" s="541">
        <v>45046</v>
      </c>
      <c r="M8" s="529">
        <f t="shared" si="2"/>
        <v>10</v>
      </c>
      <c r="N8" s="544">
        <v>0.0655</v>
      </c>
      <c r="O8" s="543">
        <f t="shared" si="3"/>
        <v>5383.561643835617</v>
      </c>
    </row>
    <row r="9" spans="1:15" ht="14.25">
      <c r="A9" s="543"/>
      <c r="B9" s="530">
        <f>B8-586791</f>
        <v>0</v>
      </c>
      <c r="C9" s="541">
        <f t="shared" si="4"/>
        <v>45034</v>
      </c>
      <c r="D9" s="541">
        <v>45036</v>
      </c>
      <c r="E9" s="529">
        <f t="shared" si="0"/>
        <v>3</v>
      </c>
      <c r="F9" s="544">
        <v>0.0675</v>
      </c>
      <c r="G9" s="543">
        <f t="shared" si="1"/>
        <v>0</v>
      </c>
      <c r="J9" s="530">
        <f>J8</f>
        <v>3000000</v>
      </c>
      <c r="K9" s="541">
        <f>L8+1</f>
        <v>45047</v>
      </c>
      <c r="L9" s="541">
        <v>45063</v>
      </c>
      <c r="M9" s="529">
        <f t="shared" si="2"/>
        <v>17</v>
      </c>
      <c r="N9" s="544">
        <v>0.0655</v>
      </c>
      <c r="O9" s="543">
        <f t="shared" si="3"/>
        <v>9152.054794520549</v>
      </c>
    </row>
    <row r="10" spans="1:15" ht="14.25">
      <c r="A10" s="543"/>
      <c r="B10" s="530">
        <f>B9+2956910</f>
        <v>2956910</v>
      </c>
      <c r="C10" s="541">
        <f t="shared" si="4"/>
        <v>45037</v>
      </c>
      <c r="D10" s="541">
        <v>45041</v>
      </c>
      <c r="E10" s="529">
        <f t="shared" si="0"/>
        <v>5</v>
      </c>
      <c r="F10" s="544">
        <v>0.0675</v>
      </c>
      <c r="G10" s="543">
        <f t="shared" si="1"/>
        <v>2734.1291095890415</v>
      </c>
      <c r="J10" s="530">
        <f>J9-750000</f>
        <v>2250000</v>
      </c>
      <c r="K10" s="541">
        <f>L9+1</f>
        <v>45064</v>
      </c>
      <c r="L10" s="541">
        <v>45066</v>
      </c>
      <c r="M10" s="529">
        <f t="shared" si="2"/>
        <v>3</v>
      </c>
      <c r="N10" s="544">
        <v>0.0655</v>
      </c>
      <c r="O10" s="543">
        <f t="shared" si="3"/>
        <v>1211.3013698630136</v>
      </c>
    </row>
    <row r="11" spans="2:15" ht="14.25">
      <c r="B11" s="530">
        <f>B10-1130000</f>
        <v>1826910</v>
      </c>
      <c r="C11" s="541">
        <f t="shared" si="4"/>
        <v>45042</v>
      </c>
      <c r="D11" s="541">
        <v>45046</v>
      </c>
      <c r="E11" s="529">
        <f t="shared" si="0"/>
        <v>5</v>
      </c>
      <c r="F11" s="544">
        <v>0.0675</v>
      </c>
      <c r="G11" s="543">
        <f t="shared" si="1"/>
        <v>1689.2660958904112</v>
      </c>
      <c r="J11" s="530">
        <f>J10+750000</f>
        <v>3000000</v>
      </c>
      <c r="K11" s="541">
        <f>L10+1</f>
        <v>45067</v>
      </c>
      <c r="L11" s="541">
        <v>45077</v>
      </c>
      <c r="M11" s="529">
        <f t="shared" si="2"/>
        <v>11</v>
      </c>
      <c r="N11" s="544">
        <v>0.0655</v>
      </c>
      <c r="O11" s="543">
        <f t="shared" si="3"/>
        <v>5921.917808219178</v>
      </c>
    </row>
    <row r="12" spans="2:15" ht="15" thickBot="1">
      <c r="B12" s="530">
        <f>B11</f>
        <v>1826910</v>
      </c>
      <c r="C12" s="541">
        <f t="shared" si="4"/>
        <v>45047</v>
      </c>
      <c r="D12" s="541">
        <v>45055</v>
      </c>
      <c r="E12" s="529">
        <f t="shared" si="0"/>
        <v>9</v>
      </c>
      <c r="F12" s="544">
        <v>0.0675</v>
      </c>
      <c r="G12" s="543">
        <f t="shared" si="1"/>
        <v>3040.67897260274</v>
      </c>
      <c r="O12" s="547">
        <f>SUM(O6:O11)</f>
        <v>32300.44981232877</v>
      </c>
    </row>
    <row r="13" spans="2:7" ht="15" thickTop="1">
      <c r="B13" s="530">
        <f>B12-(B12*((B6-B7)/B6))</f>
        <v>1144498.7137828462</v>
      </c>
      <c r="C13" s="541">
        <f t="shared" si="4"/>
        <v>45056</v>
      </c>
      <c r="D13" s="541">
        <v>45059</v>
      </c>
      <c r="E13" s="529">
        <f t="shared" si="0"/>
        <v>4</v>
      </c>
      <c r="F13" s="544">
        <v>0.0675</v>
      </c>
      <c r="G13" s="543">
        <f t="shared" si="1"/>
        <v>846.6154869078588</v>
      </c>
    </row>
    <row r="14" spans="2:7" ht="14.25">
      <c r="B14" s="530">
        <f>B13-(B13*((B7-B8)/B7))</f>
        <v>684734.611919716</v>
      </c>
      <c r="C14" s="541">
        <f t="shared" si="4"/>
        <v>45060</v>
      </c>
      <c r="D14" s="541">
        <v>45063</v>
      </c>
      <c r="E14" s="529">
        <f t="shared" si="0"/>
        <v>4</v>
      </c>
      <c r="F14" s="544">
        <v>0.0675</v>
      </c>
      <c r="G14" s="543">
        <f t="shared" si="1"/>
        <v>506.5160142967763</v>
      </c>
    </row>
    <row r="15" spans="2:7" ht="14.25">
      <c r="B15" s="530">
        <f>B14-(B14*((B8-B9)/B8))</f>
        <v>0</v>
      </c>
      <c r="C15" s="541">
        <f t="shared" si="4"/>
        <v>45064</v>
      </c>
      <c r="D15" s="541">
        <v>45066</v>
      </c>
      <c r="E15" s="529">
        <f t="shared" si="0"/>
        <v>3</v>
      </c>
      <c r="F15" s="544">
        <v>0.0675</v>
      </c>
      <c r="G15" s="543">
        <f t="shared" si="1"/>
        <v>0</v>
      </c>
    </row>
    <row r="16" spans="2:7" ht="14.25">
      <c r="B16" s="530">
        <f>2767266-1090000</f>
        <v>1677266</v>
      </c>
      <c r="C16" s="541">
        <f t="shared" si="4"/>
        <v>45067</v>
      </c>
      <c r="D16" s="541">
        <v>45077</v>
      </c>
      <c r="E16" s="529">
        <f t="shared" si="0"/>
        <v>11</v>
      </c>
      <c r="F16" s="544">
        <v>0.0675</v>
      </c>
      <c r="G16" s="543">
        <f t="shared" si="1"/>
        <v>3411.9726164383565</v>
      </c>
    </row>
    <row r="17" spans="2:7" ht="15" thickBot="1">
      <c r="B17" s="530"/>
      <c r="F17" s="542"/>
      <c r="G17" s="547">
        <f>SUM(G6:G16)</f>
        <v>15994.50342586217</v>
      </c>
    </row>
    <row r="18" spans="2:7" ht="15" thickTop="1">
      <c r="B18" s="530"/>
      <c r="F18" s="542"/>
      <c r="G18" s="543"/>
    </row>
    <row r="19" spans="2:7" ht="14.25">
      <c r="B19" s="530"/>
      <c r="F19" s="542"/>
      <c r="G19" s="543"/>
    </row>
    <row r="20" spans="2:7" ht="14.25">
      <c r="B20" s="530"/>
      <c r="F20" s="542"/>
      <c r="G20" s="543"/>
    </row>
    <row r="21" spans="2:7" ht="14.25">
      <c r="B21" s="530"/>
      <c r="F21" s="542"/>
      <c r="G21" s="543"/>
    </row>
    <row r="22" spans="2:7" ht="14.25">
      <c r="B22" s="530"/>
      <c r="F22" s="542"/>
      <c r="G22" s="543"/>
    </row>
    <row r="23" spans="2:7" ht="14.25">
      <c r="B23" s="530"/>
      <c r="F23" s="542"/>
      <c r="G23" s="543"/>
    </row>
    <row r="24" spans="2:7" ht="14.25">
      <c r="B24" s="530"/>
      <c r="F24" s="542"/>
      <c r="G24" s="543"/>
    </row>
    <row r="25" spans="2:7" ht="14.25">
      <c r="B25" s="530"/>
      <c r="F25" s="542"/>
      <c r="G25" s="543"/>
    </row>
    <row r="26" spans="2:7" ht="14.25">
      <c r="B26" s="530"/>
      <c r="F26" s="542"/>
      <c r="G26" s="543"/>
    </row>
    <row r="27" spans="2:6" ht="14.25">
      <c r="B27" s="530"/>
      <c r="F27" s="542"/>
    </row>
    <row r="28" spans="2:6" ht="14.25">
      <c r="B28" s="530"/>
      <c r="F28" s="542"/>
    </row>
    <row r="29" ht="14.25">
      <c r="F29" s="542"/>
    </row>
    <row r="30" ht="14.25">
      <c r="F30" s="542"/>
    </row>
    <row r="31" ht="14.25">
      <c r="F31" s="5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7" sqref="K7"/>
    </sheetView>
  </sheetViews>
  <sheetFormatPr defaultColWidth="8.88671875" defaultRowHeight="15"/>
  <cols>
    <col min="1" max="1" width="8.88671875" style="529" customWidth="1"/>
    <col min="2" max="2" width="18.6640625" style="529" bestFit="1" customWidth="1"/>
    <col min="3" max="3" width="8.88671875" style="529" customWidth="1"/>
    <col min="4" max="4" width="9.5546875" style="529" bestFit="1" customWidth="1"/>
    <col min="5" max="6" width="8.88671875" style="529" customWidth="1"/>
    <col min="7" max="7" width="7.10546875" style="529" customWidth="1"/>
    <col min="8" max="8" width="7.4453125" style="542" customWidth="1"/>
    <col min="9" max="9" width="8.88671875" style="529" customWidth="1"/>
    <col min="10" max="10" width="11.77734375" style="529" bestFit="1" customWidth="1"/>
    <col min="11" max="11" width="10.21484375" style="530" bestFit="1" customWidth="1"/>
    <col min="12" max="16384" width="8.88671875" style="529" customWidth="1"/>
  </cols>
  <sheetData>
    <row r="1" ht="14.25">
      <c r="A1" s="545" t="s">
        <v>324</v>
      </c>
    </row>
    <row r="2" spans="7:11" ht="14.25">
      <c r="G2" s="588" t="s">
        <v>329</v>
      </c>
      <c r="H2" s="588"/>
      <c r="J2" s="588" t="s">
        <v>319</v>
      </c>
      <c r="K2" s="588"/>
    </row>
    <row r="3" spans="2:11" ht="14.25">
      <c r="B3" s="529" t="s">
        <v>317</v>
      </c>
      <c r="D3" s="536">
        <v>-13455.74</v>
      </c>
      <c r="G3" s="551">
        <v>2022</v>
      </c>
      <c r="H3" s="544">
        <v>0.0012</v>
      </c>
      <c r="J3" s="552">
        <v>44562</v>
      </c>
      <c r="K3" s="530">
        <f>1554800.1-4980</f>
        <v>1549820.1</v>
      </c>
    </row>
    <row r="4" spans="2:11" ht="14.25">
      <c r="B4" s="529" t="s">
        <v>318</v>
      </c>
      <c r="D4" s="530">
        <f>12665.35+4107.93</f>
        <v>16773.28</v>
      </c>
      <c r="E4" s="548" t="s">
        <v>321</v>
      </c>
      <c r="G4" s="551">
        <v>2023</v>
      </c>
      <c r="H4" s="544">
        <v>0.0434</v>
      </c>
      <c r="J4" s="552">
        <v>44926</v>
      </c>
      <c r="K4" s="530">
        <v>1540625.1</v>
      </c>
    </row>
    <row r="5" spans="2:10" ht="15" thickBot="1">
      <c r="B5" s="529" t="s">
        <v>322</v>
      </c>
      <c r="D5" s="549">
        <f>D3+D4</f>
        <v>3317.539999999999</v>
      </c>
      <c r="J5" s="551"/>
    </row>
    <row r="6" spans="10:11" ht="15" thickTop="1">
      <c r="J6" s="552">
        <v>44927</v>
      </c>
      <c r="K6" s="530">
        <f>K4</f>
        <v>1540625.1</v>
      </c>
    </row>
    <row r="7" spans="10:11" ht="14.25">
      <c r="J7" s="552">
        <v>45041</v>
      </c>
      <c r="K7" s="530">
        <v>1560935.1</v>
      </c>
    </row>
    <row r="8" spans="2:4" ht="14.25">
      <c r="B8" s="529" t="s">
        <v>320</v>
      </c>
      <c r="D8" s="543">
        <f>AVERAGE(K6,K7)*H4</f>
        <v>67303.85634</v>
      </c>
    </row>
    <row r="9" spans="2:4" ht="14.25">
      <c r="B9" s="529" t="s">
        <v>330</v>
      </c>
      <c r="D9" s="543">
        <f>D5</f>
        <v>3317.539999999999</v>
      </c>
    </row>
    <row r="10" spans="2:4" ht="15" thickBot="1">
      <c r="B10" s="529" t="s">
        <v>323</v>
      </c>
      <c r="D10" s="549">
        <f>D8-D9</f>
        <v>63986.31634</v>
      </c>
    </row>
    <row r="11" ht="15" thickTop="1"/>
    <row r="13" spans="1:2" ht="14.25">
      <c r="A13" s="550" t="s">
        <v>321</v>
      </c>
      <c r="B13" s="529" t="s">
        <v>325</v>
      </c>
    </row>
    <row r="14" ht="14.25">
      <c r="B14" s="529" t="s">
        <v>326</v>
      </c>
    </row>
    <row r="15" ht="14.25">
      <c r="B15" s="529" t="s">
        <v>327</v>
      </c>
    </row>
    <row r="16" ht="14.25">
      <c r="B16" s="529" t="s">
        <v>328</v>
      </c>
    </row>
  </sheetData>
  <sheetProtection/>
  <mergeCells count="2">
    <mergeCell ref="G2:H2"/>
    <mergeCell ref="J2:K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V1">
      <selection activeCell="E19" sqref="E19"/>
    </sheetView>
  </sheetViews>
  <sheetFormatPr defaultColWidth="9.6640625" defaultRowHeight="15"/>
  <cols>
    <col min="1" max="1" width="9.3359375" style="1" customWidth="1"/>
    <col min="2" max="2" width="8.4453125" style="1" bestFit="1" customWidth="1"/>
    <col min="3" max="3" width="8.99609375" style="1" customWidth="1"/>
    <col min="4" max="4" width="8.5546875" style="1" customWidth="1"/>
    <col min="5" max="5" width="12.4453125" style="1" customWidth="1"/>
    <col min="6" max="6" width="11.21484375" style="1" customWidth="1"/>
    <col min="7" max="7" width="12.99609375" style="1" customWidth="1"/>
    <col min="8" max="8" width="1.77734375" style="1" customWidth="1"/>
    <col min="9" max="10" width="10.77734375" style="1" customWidth="1"/>
    <col min="11" max="11" width="11.21484375" style="1" customWidth="1"/>
    <col min="12" max="13" width="10.77734375" style="1" customWidth="1"/>
    <col min="14" max="14" width="11.3359375" style="1" bestFit="1" customWidth="1"/>
    <col min="15" max="15" width="10.77734375" style="6" customWidth="1"/>
    <col min="16" max="16" width="10.77734375" style="1" customWidth="1"/>
    <col min="17" max="17" width="11.3359375" style="1" customWidth="1"/>
    <col min="18" max="19" width="10.77734375" style="1" customWidth="1"/>
    <col min="20" max="20" width="11.3359375" style="1" customWidth="1"/>
    <col min="21" max="22" width="10.77734375" style="1" customWidth="1"/>
    <col min="23" max="23" width="11.21484375" style="1" customWidth="1"/>
    <col min="24" max="24" width="4.10546875" style="1" hidden="1" customWidth="1"/>
    <col min="25" max="25" width="10.77734375" style="6" customWidth="1"/>
    <col min="26" max="26" width="10.77734375" style="1" customWidth="1"/>
    <col min="27" max="27" width="11.3359375" style="1" bestFit="1" customWidth="1"/>
    <col min="28" max="29" width="10.77734375" style="1" customWidth="1"/>
    <col min="30" max="30" width="11.3359375" style="1" bestFit="1" customWidth="1"/>
    <col min="31" max="32" width="10.77734375" style="1" customWidth="1"/>
    <col min="33" max="33" width="11.3359375" style="1" bestFit="1" customWidth="1"/>
    <col min="34" max="35" width="9.6640625" style="1" customWidth="1"/>
    <col min="36" max="36" width="11.3359375" style="1" bestFit="1" customWidth="1"/>
    <col min="37" max="16384" width="9.6640625" style="1" customWidth="1"/>
  </cols>
  <sheetData>
    <row r="1" spans="1:34" ht="18">
      <c r="A1" s="2">
        <f ca="1">NOW()</f>
        <v>45234.445947685184</v>
      </c>
      <c r="B1" s="425" t="s">
        <v>223</v>
      </c>
      <c r="C1" s="2"/>
      <c r="D1" s="2"/>
      <c r="E1" s="2"/>
      <c r="F1" s="425"/>
      <c r="G1" s="425"/>
      <c r="H1" s="425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4"/>
    </row>
    <row r="2" spans="1:27" ht="13.5" customHeight="1">
      <c r="A2" s="5" t="s">
        <v>0</v>
      </c>
      <c r="B2" s="5"/>
      <c r="C2" s="7" t="s">
        <v>112</v>
      </c>
      <c r="D2" s="7" t="s">
        <v>114</v>
      </c>
      <c r="E2" s="7" t="s">
        <v>115</v>
      </c>
      <c r="I2" s="4"/>
      <c r="J2" s="4"/>
      <c r="K2" s="4"/>
      <c r="L2" s="4"/>
      <c r="M2" s="4"/>
      <c r="N2" s="4"/>
      <c r="AA2" s="102"/>
    </row>
    <row r="3" spans="1:36" ht="13.5" customHeight="1">
      <c r="A3" s="7" t="s">
        <v>1</v>
      </c>
      <c r="B3" s="7" t="s">
        <v>134</v>
      </c>
      <c r="C3" s="7" t="s">
        <v>73</v>
      </c>
      <c r="D3" s="7" t="s">
        <v>73</v>
      </c>
      <c r="E3" s="7" t="s">
        <v>73</v>
      </c>
      <c r="F3" s="7" t="s">
        <v>31</v>
      </c>
      <c r="G3" s="7" t="s">
        <v>32</v>
      </c>
      <c r="H3" s="7"/>
      <c r="I3" s="81" t="s">
        <v>40</v>
      </c>
      <c r="J3" s="11"/>
      <c r="K3" s="103"/>
      <c r="L3" s="11" t="s">
        <v>41</v>
      </c>
      <c r="M3" s="10"/>
      <c r="N3" s="83"/>
      <c r="O3" s="11" t="s">
        <v>42</v>
      </c>
      <c r="P3" s="12"/>
      <c r="Q3" s="85"/>
      <c r="R3" s="11" t="s">
        <v>43</v>
      </c>
      <c r="S3" s="12"/>
      <c r="T3" s="83"/>
      <c r="U3" s="11" t="s">
        <v>44</v>
      </c>
      <c r="V3" s="12"/>
      <c r="W3" s="85"/>
      <c r="X3" s="287"/>
      <c r="Y3" s="11" t="s">
        <v>45</v>
      </c>
      <c r="Z3" s="12"/>
      <c r="AA3" s="85"/>
      <c r="AB3" s="147" t="s">
        <v>46</v>
      </c>
      <c r="AC3" s="12"/>
      <c r="AD3" s="12"/>
      <c r="AE3" s="8" t="s">
        <v>47</v>
      </c>
      <c r="AF3" s="12"/>
      <c r="AG3" s="85"/>
      <c r="AH3" s="13" t="s">
        <v>48</v>
      </c>
      <c r="AI3" s="12"/>
      <c r="AJ3" s="85"/>
    </row>
    <row r="4" spans="6:36" ht="13.5" customHeight="1">
      <c r="F4" s="16"/>
      <c r="G4" s="17"/>
      <c r="H4" s="17"/>
      <c r="I4" s="249" t="s">
        <v>34</v>
      </c>
      <c r="J4" s="248" t="s">
        <v>35</v>
      </c>
      <c r="K4" s="84" t="s">
        <v>36</v>
      </c>
      <c r="L4" s="248" t="s">
        <v>34</v>
      </c>
      <c r="M4" s="248" t="s">
        <v>35</v>
      </c>
      <c r="N4" s="84" t="s">
        <v>36</v>
      </c>
      <c r="O4" s="248" t="s">
        <v>34</v>
      </c>
      <c r="P4" s="248" t="s">
        <v>35</v>
      </c>
      <c r="Q4" s="84" t="s">
        <v>36</v>
      </c>
      <c r="R4" s="248" t="s">
        <v>34</v>
      </c>
      <c r="S4" s="248" t="s">
        <v>35</v>
      </c>
      <c r="T4" s="84" t="s">
        <v>36</v>
      </c>
      <c r="U4" s="248" t="s">
        <v>34</v>
      </c>
      <c r="V4" s="248" t="s">
        <v>35</v>
      </c>
      <c r="W4" s="84" t="s">
        <v>36</v>
      </c>
      <c r="X4" s="249" t="s">
        <v>32</v>
      </c>
      <c r="Y4" s="248" t="s">
        <v>34</v>
      </c>
      <c r="Z4" s="248" t="s">
        <v>35</v>
      </c>
      <c r="AA4" s="84" t="s">
        <v>36</v>
      </c>
      <c r="AB4" s="248" t="s">
        <v>34</v>
      </c>
      <c r="AC4" s="248" t="s">
        <v>35</v>
      </c>
      <c r="AD4" s="248" t="s">
        <v>36</v>
      </c>
      <c r="AE4" s="247" t="s">
        <v>34</v>
      </c>
      <c r="AF4" s="248" t="s">
        <v>35</v>
      </c>
      <c r="AG4" s="84" t="s">
        <v>36</v>
      </c>
      <c r="AH4" s="247" t="s">
        <v>34</v>
      </c>
      <c r="AI4" s="248" t="s">
        <v>35</v>
      </c>
      <c r="AJ4" s="84" t="s">
        <v>36</v>
      </c>
    </row>
    <row r="5" spans="6:36" ht="13.5" customHeight="1">
      <c r="F5" s="16"/>
      <c r="G5" s="17"/>
      <c r="H5" s="428"/>
      <c r="I5" s="101"/>
      <c r="J5" s="19"/>
      <c r="K5" s="87"/>
      <c r="L5" s="101"/>
      <c r="M5" s="19"/>
      <c r="N5" s="87"/>
      <c r="O5" s="101"/>
      <c r="P5" s="19"/>
      <c r="Q5" s="87"/>
      <c r="R5" s="101"/>
      <c r="S5" s="19"/>
      <c r="T5" s="87"/>
      <c r="U5" s="101"/>
      <c r="V5" s="19"/>
      <c r="W5" s="87"/>
      <c r="X5" s="82"/>
      <c r="Y5" s="25"/>
      <c r="Z5" s="19"/>
      <c r="AA5" s="87"/>
      <c r="AB5" s="101"/>
      <c r="AC5" s="19"/>
      <c r="AD5" s="124"/>
      <c r="AE5" s="101"/>
      <c r="AF5" s="19"/>
      <c r="AG5" s="87"/>
      <c r="AH5" s="15"/>
      <c r="AJ5" s="250"/>
    </row>
    <row r="6" spans="1:36" ht="13.5" customHeight="1">
      <c r="A6" s="427"/>
      <c r="B6" s="427"/>
      <c r="C6" s="115">
        <v>43979</v>
      </c>
      <c r="D6" s="115"/>
      <c r="E6" s="115"/>
      <c r="F6" s="420">
        <v>927487.5</v>
      </c>
      <c r="G6" s="426"/>
      <c r="H6" s="429"/>
      <c r="I6" s="204"/>
      <c r="J6" s="204"/>
      <c r="K6" s="88">
        <f>+F6-J6</f>
        <v>927487.5</v>
      </c>
      <c r="L6" s="400"/>
      <c r="M6" s="400"/>
      <c r="N6" s="88">
        <f>K6-M6</f>
        <v>927487.5</v>
      </c>
      <c r="O6" s="204"/>
      <c r="P6" s="204"/>
      <c r="Q6" s="88">
        <f>N6-P6</f>
        <v>927487.5</v>
      </c>
      <c r="R6" s="204"/>
      <c r="S6" s="204"/>
      <c r="T6" s="88">
        <f>Q6-S6</f>
        <v>927487.5</v>
      </c>
      <c r="U6" s="204"/>
      <c r="V6" s="204"/>
      <c r="W6" s="88">
        <f>T6-V6</f>
        <v>927487.5</v>
      </c>
      <c r="X6" s="74"/>
      <c r="Y6" s="204"/>
      <c r="Z6" s="204"/>
      <c r="AA6" s="88">
        <f>W6-Z6</f>
        <v>927487.5</v>
      </c>
      <c r="AB6" s="204"/>
      <c r="AC6" s="204"/>
      <c r="AD6" s="88">
        <f>AA6-AC6</f>
        <v>927487.5</v>
      </c>
      <c r="AE6" s="204"/>
      <c r="AF6" s="204"/>
      <c r="AG6" s="88">
        <f>AD6-AF6</f>
        <v>927487.5</v>
      </c>
      <c r="AH6" s="245">
        <f>+I6+L6+O6+R6+U6+Y6+AB6+AE6</f>
        <v>0</v>
      </c>
      <c r="AI6" s="246">
        <f>+J6+M6+P6+S6+V6+Z6+AC6+AF6</f>
        <v>0</v>
      </c>
      <c r="AJ6" s="252">
        <f>F6-AI6</f>
        <v>927487.5</v>
      </c>
    </row>
    <row r="7" spans="1:36" ht="13.5" customHeight="1">
      <c r="A7" s="21"/>
      <c r="B7" s="21"/>
      <c r="C7" s="21"/>
      <c r="D7" s="21"/>
      <c r="E7" s="21"/>
      <c r="F7" s="72"/>
      <c r="G7" s="108"/>
      <c r="H7" s="430"/>
      <c r="I7" s="22">
        <f>SUM(I6:I6)</f>
        <v>0</v>
      </c>
      <c r="J7" s="22">
        <f>SUM(J6:J6)</f>
        <v>0</v>
      </c>
      <c r="K7" s="73"/>
      <c r="L7" s="22">
        <f>SUM(L6:L6)</f>
        <v>0</v>
      </c>
      <c r="M7" s="22">
        <f>SUM(M6:M6)</f>
        <v>0</v>
      </c>
      <c r="N7" s="73"/>
      <c r="O7" s="22">
        <f>SUM(O6:O6)</f>
        <v>0</v>
      </c>
      <c r="P7" s="22">
        <f>SUM(P6:P6)</f>
        <v>0</v>
      </c>
      <c r="Q7" s="73"/>
      <c r="R7" s="22">
        <f>SUM(R6:R6)</f>
        <v>0</v>
      </c>
      <c r="S7" s="22">
        <f>SUM(S6:S6)</f>
        <v>0</v>
      </c>
      <c r="T7" s="73"/>
      <c r="U7" s="22">
        <f>SUM(U6:U6)</f>
        <v>0</v>
      </c>
      <c r="V7" s="22">
        <f>SUM(V6:V6)</f>
        <v>0</v>
      </c>
      <c r="W7" s="73"/>
      <c r="X7" s="72"/>
      <c r="Y7" s="22">
        <f>SUM(Y6:Y6)</f>
        <v>0</v>
      </c>
      <c r="Z7" s="22">
        <f>SUM(Z6:Z6)</f>
        <v>0</v>
      </c>
      <c r="AA7" s="73"/>
      <c r="AB7" s="22">
        <f>SUM(AB6:AB6)</f>
        <v>0</v>
      </c>
      <c r="AC7" s="22">
        <f>SUM(AC6:AC6)</f>
        <v>0</v>
      </c>
      <c r="AD7" s="73"/>
      <c r="AE7" s="22">
        <f>SUM(AE6:AE6)</f>
        <v>0</v>
      </c>
      <c r="AF7" s="22">
        <f>SUM(AF6:AF6)</f>
        <v>0</v>
      </c>
      <c r="AG7" s="73"/>
      <c r="AH7" s="80">
        <f>SUM(AH6:AH6)</f>
        <v>0</v>
      </c>
      <c r="AI7" s="80">
        <f>SUM(AI6:AI6)</f>
        <v>0</v>
      </c>
      <c r="AJ7" s="251">
        <f>SUM(AJ6:AJ6)</f>
        <v>927487.5</v>
      </c>
    </row>
    <row r="8" spans="1:36" ht="13.5" customHeight="1">
      <c r="A8" s="383"/>
      <c r="B8" s="239"/>
      <c r="C8" s="239"/>
      <c r="D8" s="34"/>
      <c r="E8" s="34"/>
      <c r="F8" s="241">
        <f>SUM(F6:F6)</f>
        <v>927487.5</v>
      </c>
      <c r="G8" s="162"/>
      <c r="H8" s="163"/>
      <c r="I8" s="32"/>
      <c r="J8" s="32"/>
      <c r="K8" s="88"/>
      <c r="L8" s="22"/>
      <c r="M8" s="238"/>
      <c r="N8" s="88"/>
      <c r="O8" s="32"/>
      <c r="P8" s="32"/>
      <c r="Q8" s="88"/>
      <c r="R8" s="32"/>
      <c r="S8" s="32"/>
      <c r="T8" s="88"/>
      <c r="U8" s="32"/>
      <c r="V8" s="32"/>
      <c r="W8" s="88"/>
      <c r="X8" s="74"/>
      <c r="Y8" s="32"/>
      <c r="Z8" s="32"/>
      <c r="AA8" s="88"/>
      <c r="AB8" s="32"/>
      <c r="AC8" s="32"/>
      <c r="AD8" s="88"/>
      <c r="AE8" s="32"/>
      <c r="AF8" s="32"/>
      <c r="AG8" s="88"/>
      <c r="AJ8" s="253"/>
    </row>
    <row r="9" spans="1:36" ht="13.5" customHeight="1">
      <c r="A9" s="34"/>
      <c r="B9" s="34"/>
      <c r="C9" s="34"/>
      <c r="D9" s="34"/>
      <c r="E9" s="34"/>
      <c r="F9" s="33"/>
      <c r="G9" s="162"/>
      <c r="H9" s="163"/>
      <c r="I9" s="32"/>
      <c r="J9" s="32"/>
      <c r="K9" s="88"/>
      <c r="L9" s="192"/>
      <c r="M9" s="32"/>
      <c r="N9" s="88"/>
      <c r="O9" s="32"/>
      <c r="P9" s="32"/>
      <c r="Q9" s="88"/>
      <c r="R9" s="32"/>
      <c r="S9" s="32"/>
      <c r="T9" s="88"/>
      <c r="U9" s="32"/>
      <c r="V9" s="32"/>
      <c r="W9" s="88"/>
      <c r="X9" s="74"/>
      <c r="Y9" s="32"/>
      <c r="Z9" s="32"/>
      <c r="AA9" s="88"/>
      <c r="AB9" s="32"/>
      <c r="AC9" s="32"/>
      <c r="AD9" s="88"/>
      <c r="AE9" s="32"/>
      <c r="AF9" s="32"/>
      <c r="AG9" s="88"/>
      <c r="AJ9" s="253"/>
    </row>
    <row r="10" spans="1:33" ht="13.5" customHeight="1">
      <c r="A10" s="34"/>
      <c r="B10" s="34"/>
      <c r="C10" s="34"/>
      <c r="D10" s="34"/>
      <c r="E10" s="235" t="s">
        <v>128</v>
      </c>
      <c r="F10" s="237">
        <f>F8</f>
        <v>927487.5</v>
      </c>
      <c r="G10" s="72"/>
      <c r="H10" s="73"/>
      <c r="I10" s="22"/>
      <c r="J10" s="22"/>
      <c r="K10" s="237">
        <f>SUM(K6:K6)</f>
        <v>927487.5</v>
      </c>
      <c r="L10" s="22"/>
      <c r="M10" s="22"/>
      <c r="N10" s="237">
        <f>SUM(N6:N6)</f>
        <v>927487.5</v>
      </c>
      <c r="O10" s="22"/>
      <c r="P10" s="22"/>
      <c r="Q10" s="237">
        <f>SUM(Q6:Q6)</f>
        <v>927487.5</v>
      </c>
      <c r="R10" s="22"/>
      <c r="S10" s="22"/>
      <c r="T10" s="237">
        <f>SUM(T6:T6)</f>
        <v>927487.5</v>
      </c>
      <c r="U10" s="22"/>
      <c r="V10" s="22"/>
      <c r="W10" s="237">
        <f>SUM(W6:W6)</f>
        <v>927487.5</v>
      </c>
      <c r="X10" s="237"/>
      <c r="Y10" s="22"/>
      <c r="Z10" s="22"/>
      <c r="AA10" s="237">
        <f>SUM(AA6:AA6)</f>
        <v>927487.5</v>
      </c>
      <c r="AB10" s="72"/>
      <c r="AC10" s="72"/>
      <c r="AD10" s="237">
        <f>SUM(AD6:AD6)</f>
        <v>927487.5</v>
      </c>
      <c r="AE10" s="22"/>
      <c r="AF10" s="22"/>
      <c r="AG10" s="237">
        <f>SUM(AG6:AG7)</f>
        <v>927487.5</v>
      </c>
    </row>
    <row r="11" spans="1:33" ht="39.75" customHeight="1">
      <c r="A11" s="260"/>
      <c r="B11" s="260"/>
      <c r="C11" s="564"/>
      <c r="D11" s="564"/>
      <c r="E11" s="258"/>
      <c r="F11" s="258"/>
      <c r="G11" s="259"/>
      <c r="H11" s="72"/>
      <c r="I11" s="32"/>
      <c r="J11" s="32"/>
      <c r="K11" s="263"/>
      <c r="L11" s="32"/>
      <c r="M11" s="32"/>
      <c r="N11" s="263"/>
      <c r="O11" s="32"/>
      <c r="P11" s="32"/>
      <c r="Q11" s="263"/>
      <c r="R11" s="32"/>
      <c r="S11" s="32"/>
      <c r="T11" s="263"/>
      <c r="U11" s="32"/>
      <c r="V11" s="32"/>
      <c r="W11" s="263"/>
      <c r="X11" s="263"/>
      <c r="Y11" s="32"/>
      <c r="Z11" s="32"/>
      <c r="AA11" s="263"/>
      <c r="AB11" s="74"/>
      <c r="AC11" s="74"/>
      <c r="AD11" s="263"/>
      <c r="AE11" s="32"/>
      <c r="AF11" s="32"/>
      <c r="AG11" s="263"/>
    </row>
    <row r="12" spans="1:33" ht="24" customHeight="1">
      <c r="A12" s="386"/>
      <c r="B12" s="261"/>
      <c r="C12" s="565"/>
      <c r="D12" s="566"/>
      <c r="E12" s="392"/>
      <c r="F12" s="387"/>
      <c r="G12" s="22"/>
      <c r="H12" s="72"/>
      <c r="I12" s="22"/>
      <c r="J12" s="22"/>
      <c r="K12" s="237"/>
      <c r="L12" s="22"/>
      <c r="M12" s="22"/>
      <c r="N12" s="237"/>
      <c r="O12" s="22"/>
      <c r="P12" s="22"/>
      <c r="Q12" s="237"/>
      <c r="R12" s="22"/>
      <c r="S12" s="22"/>
      <c r="T12" s="237"/>
      <c r="U12" s="22"/>
      <c r="V12" s="22"/>
      <c r="W12" s="237"/>
      <c r="X12" s="237"/>
      <c r="Y12" s="22"/>
      <c r="Z12" s="22"/>
      <c r="AA12" s="237"/>
      <c r="AB12" s="72"/>
      <c r="AC12" s="72"/>
      <c r="AD12" s="237"/>
      <c r="AE12" s="22"/>
      <c r="AF12" s="22"/>
      <c r="AG12" s="237"/>
    </row>
    <row r="13" spans="1:33" ht="18" customHeight="1">
      <c r="A13" s="34"/>
      <c r="B13" s="261"/>
      <c r="C13" s="566"/>
      <c r="D13" s="566"/>
      <c r="E13" s="402"/>
      <c r="F13" s="286"/>
      <c r="G13" s="22"/>
      <c r="H13" s="72"/>
      <c r="I13" s="22"/>
      <c r="J13" s="22"/>
      <c r="K13" s="237"/>
      <c r="L13" s="22"/>
      <c r="M13" s="22"/>
      <c r="N13" s="237"/>
      <c r="O13" s="22"/>
      <c r="P13" s="22"/>
      <c r="Q13" s="237"/>
      <c r="R13" s="22"/>
      <c r="S13" s="22"/>
      <c r="T13" s="237"/>
      <c r="U13" s="22"/>
      <c r="V13" s="22"/>
      <c r="W13" s="237"/>
      <c r="X13" s="237"/>
      <c r="Y13" s="22"/>
      <c r="Z13" s="22"/>
      <c r="AA13" s="237"/>
      <c r="AB13" s="72"/>
      <c r="AC13" s="72"/>
      <c r="AD13" s="237"/>
      <c r="AE13" s="22"/>
      <c r="AF13" s="22"/>
      <c r="AG13" s="237"/>
    </row>
    <row r="14" spans="2:33" ht="15">
      <c r="B14" s="261"/>
      <c r="C14" s="566"/>
      <c r="D14" s="566"/>
      <c r="E14" s="402"/>
      <c r="F14" s="286"/>
      <c r="G14" s="22"/>
      <c r="H14" s="89"/>
      <c r="I14" s="89"/>
      <c r="J14" s="166"/>
      <c r="K14" s="165"/>
      <c r="L14" s="89"/>
      <c r="M14" s="166"/>
      <c r="N14" s="165"/>
      <c r="O14" s="75"/>
      <c r="P14" s="109"/>
      <c r="Q14" s="165"/>
      <c r="R14" s="89"/>
      <c r="S14" s="109"/>
      <c r="T14" s="165"/>
      <c r="U14" s="72"/>
      <c r="V14" s="109"/>
      <c r="W14" s="165"/>
      <c r="X14" s="165"/>
      <c r="Y14" s="75"/>
      <c r="Z14" s="109"/>
      <c r="AA14" s="165"/>
      <c r="AB14" s="89"/>
      <c r="AC14" s="166"/>
      <c r="AD14" s="167"/>
      <c r="AE14" s="89"/>
      <c r="AF14" s="166"/>
      <c r="AG14" s="90"/>
    </row>
    <row r="15" spans="2:33" ht="15">
      <c r="B15" s="261"/>
      <c r="C15" s="566"/>
      <c r="D15" s="566"/>
      <c r="E15" s="402"/>
      <c r="F15" s="286"/>
      <c r="G15" s="22"/>
      <c r="H15" s="89"/>
      <c r="I15" s="89"/>
      <c r="J15" s="89"/>
      <c r="K15" s="168"/>
      <c r="L15" s="89"/>
      <c r="M15" s="109"/>
      <c r="N15" s="89"/>
      <c r="O15" s="75"/>
      <c r="P15" s="166"/>
      <c r="Q15" s="89"/>
      <c r="R15" s="89"/>
      <c r="S15" s="166"/>
      <c r="T15" s="89"/>
      <c r="U15" s="89"/>
      <c r="V15" s="166"/>
      <c r="W15" s="89"/>
      <c r="X15" s="89"/>
      <c r="Y15" s="75"/>
      <c r="Z15" s="166"/>
      <c r="AA15" s="89"/>
      <c r="AB15" s="89"/>
      <c r="AC15" s="134"/>
      <c r="AD15" s="91"/>
      <c r="AE15" s="89"/>
      <c r="AF15" s="166"/>
      <c r="AG15" s="91"/>
    </row>
    <row r="16" spans="2:33" ht="15">
      <c r="B16" s="261"/>
      <c r="C16" s="566"/>
      <c r="D16" s="566"/>
      <c r="E16" s="402"/>
      <c r="F16" s="286"/>
      <c r="G16" s="22"/>
      <c r="K16" s="112"/>
      <c r="M16" s="109"/>
      <c r="P16" s="109"/>
      <c r="S16" s="109"/>
      <c r="V16" s="109"/>
      <c r="W16" s="109"/>
      <c r="X16" s="109"/>
      <c r="Y16" s="125"/>
      <c r="Z16" s="109"/>
      <c r="AC16" s="110"/>
      <c r="AF16" s="109"/>
      <c r="AG16" s="110"/>
    </row>
    <row r="17" spans="2:33" ht="15">
      <c r="B17" s="261"/>
      <c r="C17" s="566"/>
      <c r="D17" s="566"/>
      <c r="E17" s="402"/>
      <c r="F17" s="286"/>
      <c r="G17" s="22"/>
      <c r="K17" s="112"/>
      <c r="M17" s="109"/>
      <c r="P17" s="109"/>
      <c r="S17" s="109"/>
      <c r="V17" s="109"/>
      <c r="W17" s="109"/>
      <c r="X17" s="109"/>
      <c r="Y17" s="125"/>
      <c r="Z17" s="109"/>
      <c r="AC17" s="117"/>
      <c r="AG17" s="110"/>
    </row>
    <row r="18" spans="2:33" ht="15">
      <c r="B18" s="261"/>
      <c r="C18" s="566"/>
      <c r="D18" s="566"/>
      <c r="E18" s="402"/>
      <c r="F18" s="286"/>
      <c r="G18" s="22"/>
      <c r="H18" s="361"/>
      <c r="I18" s="135"/>
      <c r="J18" s="135"/>
      <c r="K18" s="137"/>
      <c r="L18" s="135"/>
      <c r="M18" s="135"/>
      <c r="N18" s="135"/>
      <c r="O18" s="136"/>
      <c r="P18" s="135"/>
      <c r="Q18" s="135"/>
      <c r="R18" s="135"/>
      <c r="S18" s="138"/>
      <c r="T18" s="135"/>
      <c r="U18" s="135"/>
      <c r="V18" s="135"/>
      <c r="W18" s="135"/>
      <c r="X18" s="135"/>
      <c r="Y18" s="136"/>
      <c r="Z18" s="135"/>
      <c r="AA18" s="135"/>
      <c r="AB18" s="135"/>
      <c r="AD18" s="135"/>
      <c r="AE18" s="135"/>
      <c r="AF18" s="361"/>
      <c r="AG18" s="361"/>
    </row>
    <row r="19" spans="2:7" ht="15">
      <c r="B19" s="261"/>
      <c r="C19" s="566"/>
      <c r="D19" s="566"/>
      <c r="E19" s="402"/>
      <c r="F19" s="286"/>
      <c r="G19" s="22"/>
    </row>
    <row r="20" spans="2:9" ht="15">
      <c r="B20" s="261"/>
      <c r="C20" s="566"/>
      <c r="D20" s="566"/>
      <c r="E20" s="402"/>
      <c r="F20" s="389"/>
      <c r="G20" s="22"/>
      <c r="I20" s="89"/>
    </row>
    <row r="21" spans="2:32" ht="15">
      <c r="B21" s="261"/>
      <c r="C21" s="566"/>
      <c r="D21" s="566"/>
      <c r="E21" s="402"/>
      <c r="F21" s="389"/>
      <c r="G21" s="22"/>
      <c r="M21" s="80"/>
      <c r="V21" s="80"/>
      <c r="AF21" s="80"/>
    </row>
    <row r="22" spans="2:7" ht="15">
      <c r="B22" s="261"/>
      <c r="C22" s="566"/>
      <c r="D22" s="566"/>
      <c r="E22" s="402"/>
      <c r="F22" s="286"/>
      <c r="G22" s="22"/>
    </row>
    <row r="23" spans="2:7" ht="15">
      <c r="B23" s="261"/>
      <c r="C23" s="566"/>
      <c r="D23" s="566"/>
      <c r="E23" s="402"/>
      <c r="F23" s="389"/>
      <c r="G23" s="22"/>
    </row>
    <row r="24" spans="2:7" ht="15">
      <c r="B24" s="261"/>
      <c r="C24" s="566"/>
      <c r="D24" s="566"/>
      <c r="E24" s="402"/>
      <c r="F24" s="389"/>
      <c r="G24" s="22"/>
    </row>
    <row r="25" spans="2:7" ht="15">
      <c r="B25" s="261"/>
      <c r="C25" s="566"/>
      <c r="D25" s="566"/>
      <c r="E25" s="402"/>
      <c r="F25" s="286"/>
      <c r="G25" s="22"/>
    </row>
    <row r="26" spans="5:6" ht="15">
      <c r="E26" s="188"/>
      <c r="F26" s="188"/>
    </row>
    <row r="27" spans="5:7" ht="15">
      <c r="E27" s="188"/>
      <c r="F27" s="188"/>
      <c r="G27" s="80"/>
    </row>
    <row r="28" spans="3:7" ht="15">
      <c r="C28" s="395"/>
      <c r="E28" s="188"/>
      <c r="F28" s="188"/>
      <c r="G28" s="80"/>
    </row>
    <row r="29" spans="3:7" ht="15">
      <c r="C29" s="395"/>
      <c r="E29" s="188"/>
      <c r="F29" s="188"/>
      <c r="G29" s="391"/>
    </row>
    <row r="30" spans="5:6" ht="15">
      <c r="E30" s="188"/>
      <c r="F30" s="188"/>
    </row>
    <row r="31" spans="5:6" ht="15">
      <c r="E31" s="188"/>
      <c r="F31" s="188"/>
    </row>
    <row r="32" spans="5:6" ht="15">
      <c r="E32" s="188"/>
      <c r="F32" s="188"/>
    </row>
    <row r="33" spans="5:6" ht="15">
      <c r="E33" s="188"/>
      <c r="F33" s="188"/>
    </row>
    <row r="34" spans="5:7" ht="15">
      <c r="E34" s="188"/>
      <c r="F34" s="188">
        <f>+G18*0.5/365*17</f>
        <v>0</v>
      </c>
      <c r="G34" s="1">
        <f>+G22*0.5/365*31</f>
        <v>0</v>
      </c>
    </row>
    <row r="35" spans="6:7" ht="15">
      <c r="F35" s="80" t="e">
        <f>(+G18-#REF!-#REF!-'FFB Payts'!#REF!-'FFB Payts'!#REF!-'FFB Payts'!#REF!-'FFB Payts'!#REF!-'FFB Payts'!#REF!-'FFB Payts'!#REF!-'FFB Payts'!#REF!-'FFB Payts'!#REF!-'FFB Payts'!#REF!)*0.5/365*14</f>
        <v>#REF!</v>
      </c>
      <c r="G35" s="1">
        <f>+G23*0.5/365*30</f>
        <v>0</v>
      </c>
    </row>
    <row r="36" spans="6:7" ht="15">
      <c r="F36" s="188">
        <f>+G20*0.5/365*31</f>
        <v>0</v>
      </c>
      <c r="G36" s="1">
        <f>+G24*0.5/365*31</f>
        <v>0</v>
      </c>
    </row>
    <row r="37" ht="15">
      <c r="F37" s="1">
        <f>+G21*0.5/365*30</f>
        <v>0</v>
      </c>
    </row>
  </sheetData>
  <sheetProtection/>
  <mergeCells count="17">
    <mergeCell ref="C21:D21"/>
    <mergeCell ref="C22:D22"/>
    <mergeCell ref="C23:D23"/>
    <mergeCell ref="C24:D24"/>
    <mergeCell ref="C25:D25"/>
    <mergeCell ref="C15:D15"/>
    <mergeCell ref="C16:D16"/>
    <mergeCell ref="C17:D17"/>
    <mergeCell ref="C18:D18"/>
    <mergeCell ref="C19:D19"/>
    <mergeCell ref="C20:D20"/>
    <mergeCell ref="I1:T1"/>
    <mergeCell ref="U1:AG1"/>
    <mergeCell ref="C11:D11"/>
    <mergeCell ref="C12:D12"/>
    <mergeCell ref="C13:D13"/>
    <mergeCell ref="C14:D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83"/>
  <sheetViews>
    <sheetView zoomScale="87" zoomScaleNormal="87" zoomScalePageLayoutView="0" workbookViewId="0" topLeftCell="A1">
      <selection activeCell="B12" sqref="B12"/>
    </sheetView>
  </sheetViews>
  <sheetFormatPr defaultColWidth="9.6640625" defaultRowHeight="16.5" customHeight="1"/>
  <cols>
    <col min="1" max="2" width="9.6640625" style="46" customWidth="1"/>
    <col min="3" max="3" width="2.6640625" style="46" customWidth="1"/>
    <col min="4" max="4" width="10.3359375" style="46" customWidth="1"/>
    <col min="5" max="5" width="2.6640625" style="46" customWidth="1"/>
    <col min="6" max="6" width="9.6640625" style="46" customWidth="1"/>
    <col min="7" max="7" width="2.6640625" style="46" customWidth="1"/>
    <col min="8" max="8" width="10.3359375" style="46" customWidth="1"/>
    <col min="9" max="9" width="2.6640625" style="46" customWidth="1"/>
    <col min="10" max="10" width="9.6640625" style="46" customWidth="1"/>
    <col min="11" max="11" width="2.6640625" style="46" customWidth="1"/>
    <col min="12" max="12" width="9.99609375" style="46" customWidth="1"/>
    <col min="13" max="13" width="2.6640625" style="46" customWidth="1"/>
    <col min="14" max="14" width="9.77734375" style="46" customWidth="1"/>
    <col min="15" max="15" width="2.6640625" style="46" customWidth="1"/>
    <col min="16" max="16" width="9.99609375" style="46" customWidth="1"/>
    <col min="17" max="17" width="2.6640625" style="46" customWidth="1"/>
    <col min="18" max="18" width="9.88671875" style="46" customWidth="1"/>
    <col min="19" max="19" width="2.6640625" style="46" customWidth="1"/>
    <col min="20" max="20" width="9.88671875" style="46" customWidth="1"/>
    <col min="21" max="21" width="2.6640625" style="46" customWidth="1"/>
    <col min="22" max="22" width="9.88671875" style="46" customWidth="1"/>
    <col min="23" max="23" width="2.6640625" style="46" customWidth="1"/>
    <col min="24" max="24" width="9.6640625" style="46" customWidth="1"/>
    <col min="25" max="25" width="2.6640625" style="46" customWidth="1"/>
    <col min="26" max="26" width="9.6640625" style="46" customWidth="1"/>
    <col min="27" max="27" width="2.6640625" style="46" customWidth="1"/>
    <col min="28" max="16384" width="9.6640625" style="46" customWidth="1"/>
  </cols>
  <sheetData>
    <row r="1" spans="1:28" ht="16.5" customHeight="1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6.5" customHeight="1">
      <c r="A2" s="48" t="s">
        <v>77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16.5" customHeight="1">
      <c r="A3" s="50">
        <f>DATE(2005,2,24)</f>
        <v>38407</v>
      </c>
      <c r="B3" s="51" t="s">
        <v>81</v>
      </c>
      <c r="C3" s="49"/>
      <c r="D3" s="51" t="s">
        <v>81</v>
      </c>
      <c r="E3" s="51" t="s">
        <v>81</v>
      </c>
      <c r="F3" s="51" t="s">
        <v>81</v>
      </c>
      <c r="G3" s="51" t="s">
        <v>81</v>
      </c>
      <c r="H3" s="51" t="s">
        <v>81</v>
      </c>
      <c r="I3" s="51" t="s">
        <v>81</v>
      </c>
      <c r="J3" s="51" t="s">
        <v>81</v>
      </c>
      <c r="K3" s="51" t="s">
        <v>81</v>
      </c>
      <c r="L3" s="51" t="s">
        <v>81</v>
      </c>
      <c r="M3" s="51" t="s">
        <v>81</v>
      </c>
      <c r="N3" s="51" t="s">
        <v>81</v>
      </c>
      <c r="O3" s="51" t="s">
        <v>81</v>
      </c>
      <c r="P3" s="51" t="s">
        <v>81</v>
      </c>
      <c r="Q3" s="51" t="s">
        <v>81</v>
      </c>
      <c r="R3" s="51" t="s">
        <v>81</v>
      </c>
      <c r="S3" s="51" t="s">
        <v>81</v>
      </c>
      <c r="T3" s="51" t="s">
        <v>81</v>
      </c>
      <c r="U3" s="51" t="s">
        <v>81</v>
      </c>
      <c r="V3" s="51" t="s">
        <v>81</v>
      </c>
      <c r="W3" s="51" t="s">
        <v>81</v>
      </c>
      <c r="X3" s="51" t="s">
        <v>81</v>
      </c>
      <c r="Y3" s="51" t="s">
        <v>81</v>
      </c>
      <c r="Z3" s="51" t="s">
        <v>81</v>
      </c>
      <c r="AA3" s="49"/>
      <c r="AB3" s="49"/>
    </row>
    <row r="4" spans="1:28" ht="16.5" customHeight="1">
      <c r="A4" s="49"/>
      <c r="B4" s="52" t="s">
        <v>60</v>
      </c>
      <c r="C4" s="52"/>
      <c r="D4" s="52" t="s">
        <v>61</v>
      </c>
      <c r="E4" s="52"/>
      <c r="F4" s="52" t="s">
        <v>62</v>
      </c>
      <c r="G4" s="52"/>
      <c r="H4" s="52" t="s">
        <v>63</v>
      </c>
      <c r="I4" s="52"/>
      <c r="J4" s="52" t="s">
        <v>64</v>
      </c>
      <c r="K4" s="52"/>
      <c r="L4" s="52" t="s">
        <v>65</v>
      </c>
      <c r="M4" s="52"/>
      <c r="N4" s="52" t="s">
        <v>66</v>
      </c>
      <c r="O4" s="52"/>
      <c r="P4" s="52" t="s">
        <v>67</v>
      </c>
      <c r="Q4" s="52"/>
      <c r="R4" s="52" t="s">
        <v>68</v>
      </c>
      <c r="S4" s="52"/>
      <c r="T4" s="52" t="s">
        <v>85</v>
      </c>
      <c r="U4" s="52"/>
      <c r="V4" s="52" t="s">
        <v>70</v>
      </c>
      <c r="W4" s="52"/>
      <c r="X4" s="52" t="s">
        <v>71</v>
      </c>
      <c r="Y4" s="52"/>
      <c r="Z4" s="52" t="s">
        <v>72</v>
      </c>
      <c r="AA4" s="52"/>
      <c r="AB4" s="52" t="s">
        <v>89</v>
      </c>
    </row>
    <row r="5" spans="1:28" ht="15" customHeight="1">
      <c r="A5" s="49"/>
      <c r="B5" s="53">
        <v>1000000</v>
      </c>
      <c r="C5" s="53"/>
      <c r="D5" s="53">
        <v>1300000</v>
      </c>
      <c r="E5" s="53"/>
      <c r="F5" s="53">
        <v>1000000</v>
      </c>
      <c r="G5" s="53"/>
      <c r="H5" s="53">
        <v>1106000</v>
      </c>
      <c r="I5" s="53"/>
      <c r="J5" s="53">
        <v>1000000</v>
      </c>
      <c r="K5" s="53"/>
      <c r="L5" s="53">
        <v>1000000</v>
      </c>
      <c r="M5" s="53"/>
      <c r="N5" s="53">
        <v>1000000</v>
      </c>
      <c r="O5" s="53"/>
      <c r="P5" s="53">
        <v>1000000</v>
      </c>
      <c r="Q5" s="53"/>
      <c r="R5" s="53">
        <v>2500000</v>
      </c>
      <c r="S5" s="53"/>
      <c r="T5" s="53">
        <v>1300000</v>
      </c>
      <c r="U5" s="53"/>
      <c r="V5" s="53">
        <v>1688571.54</v>
      </c>
      <c r="W5" s="53"/>
      <c r="X5" s="53">
        <v>2000000</v>
      </c>
      <c r="Y5" s="53"/>
      <c r="Z5" s="53">
        <v>1398000</v>
      </c>
      <c r="AA5" s="53"/>
      <c r="AB5" s="52"/>
    </row>
    <row r="6" spans="1:28" ht="15" customHeight="1">
      <c r="A6" s="49"/>
      <c r="B6" s="54" t="s">
        <v>82</v>
      </c>
      <c r="C6" s="54"/>
      <c r="D6" s="55" t="s">
        <v>82</v>
      </c>
      <c r="E6" s="55"/>
      <c r="F6" s="55" t="s">
        <v>82</v>
      </c>
      <c r="G6" s="55"/>
      <c r="H6" s="55" t="s">
        <v>82</v>
      </c>
      <c r="I6" s="55"/>
      <c r="J6" s="55" t="s">
        <v>82</v>
      </c>
      <c r="K6" s="55"/>
      <c r="L6" s="55" t="s">
        <v>84</v>
      </c>
      <c r="M6" s="55"/>
      <c r="N6" s="55" t="s">
        <v>84</v>
      </c>
      <c r="O6" s="55"/>
      <c r="P6" s="55" t="s">
        <v>84</v>
      </c>
      <c r="Q6" s="55"/>
      <c r="R6" s="55" t="s">
        <v>84</v>
      </c>
      <c r="S6" s="55"/>
      <c r="T6" s="55" t="s">
        <v>84</v>
      </c>
      <c r="U6" s="55"/>
      <c r="V6" s="55" t="s">
        <v>86</v>
      </c>
      <c r="W6" s="55"/>
      <c r="X6" s="55" t="s">
        <v>87</v>
      </c>
      <c r="Y6" s="55"/>
      <c r="Z6" s="55" t="s">
        <v>88</v>
      </c>
      <c r="AA6" s="55"/>
      <c r="AB6" s="52"/>
    </row>
    <row r="7" spans="1:28" ht="6.75" customHeight="1">
      <c r="A7" s="37"/>
      <c r="B7" s="54"/>
      <c r="C7" s="54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15" customHeight="1">
      <c r="A8" s="37" t="s">
        <v>78</v>
      </c>
      <c r="B8" s="55">
        <v>36893</v>
      </c>
      <c r="C8" s="55"/>
      <c r="D8" s="55">
        <v>36893</v>
      </c>
      <c r="E8" s="55"/>
      <c r="F8" s="55">
        <v>36815</v>
      </c>
      <c r="G8" s="55"/>
      <c r="H8" s="55">
        <v>37078</v>
      </c>
      <c r="I8" s="55"/>
      <c r="J8" s="55">
        <v>37438</v>
      </c>
      <c r="K8" s="55"/>
      <c r="L8" s="55">
        <v>37452</v>
      </c>
      <c r="M8" s="55"/>
      <c r="N8" s="55">
        <v>37519</v>
      </c>
      <c r="O8" s="55"/>
      <c r="P8" s="55">
        <v>37683</v>
      </c>
      <c r="Q8" s="55"/>
      <c r="R8" s="55">
        <v>37733</v>
      </c>
      <c r="S8" s="55"/>
      <c r="T8" s="55">
        <v>37803</v>
      </c>
      <c r="U8" s="55"/>
      <c r="V8" s="55">
        <v>38260</v>
      </c>
      <c r="W8" s="55"/>
      <c r="X8" s="55">
        <v>38394</v>
      </c>
      <c r="Y8" s="55"/>
      <c r="Z8" s="55">
        <v>38471</v>
      </c>
      <c r="AA8" s="55"/>
      <c r="AB8" s="55"/>
    </row>
    <row r="9" spans="1:28" ht="6.75" customHeight="1">
      <c r="A9" s="37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ht="15" customHeight="1">
      <c r="A10" s="37" t="s">
        <v>79</v>
      </c>
      <c r="B10" s="55">
        <v>38720</v>
      </c>
      <c r="C10" s="55"/>
      <c r="D10" s="55">
        <v>38720</v>
      </c>
      <c r="E10" s="55"/>
      <c r="F10" s="55">
        <v>38625</v>
      </c>
      <c r="G10" s="55"/>
      <c r="H10" s="55">
        <v>38898</v>
      </c>
      <c r="I10" s="55"/>
      <c r="J10" s="55">
        <v>39265</v>
      </c>
      <c r="K10" s="55"/>
      <c r="L10" s="55">
        <v>49674</v>
      </c>
      <c r="M10" s="55"/>
      <c r="N10" s="55">
        <v>49674</v>
      </c>
      <c r="O10" s="55"/>
      <c r="P10" s="55">
        <v>49674</v>
      </c>
      <c r="Q10" s="55"/>
      <c r="R10" s="55">
        <v>49674</v>
      </c>
      <c r="S10" s="55"/>
      <c r="T10" s="55">
        <v>49674</v>
      </c>
      <c r="U10" s="55"/>
      <c r="V10" s="55">
        <v>38625</v>
      </c>
      <c r="W10" s="55"/>
      <c r="X10" s="55">
        <v>38533</v>
      </c>
      <c r="Y10" s="55"/>
      <c r="Z10" s="55">
        <v>49674</v>
      </c>
      <c r="AA10" s="55"/>
      <c r="AB10" s="55"/>
    </row>
    <row r="11" spans="1:28" ht="15" customHeight="1">
      <c r="A11" s="37" t="s">
        <v>32</v>
      </c>
      <c r="B11" s="56">
        <v>0.04965</v>
      </c>
      <c r="C11" s="56"/>
      <c r="D11" s="56">
        <v>0.04965</v>
      </c>
      <c r="E11" s="56"/>
      <c r="F11" s="56">
        <v>0.05687</v>
      </c>
      <c r="G11" s="56"/>
      <c r="H11" s="56">
        <v>0.04898</v>
      </c>
      <c r="I11" s="56"/>
      <c r="J11" s="56">
        <v>0.0405</v>
      </c>
      <c r="K11" s="56"/>
      <c r="L11" s="56">
        <v>0.05316</v>
      </c>
      <c r="M11" s="56"/>
      <c r="N11" s="56">
        <v>0.0463</v>
      </c>
      <c r="O11" s="56"/>
      <c r="P11" s="56">
        <v>0.04554</v>
      </c>
      <c r="Q11" s="56"/>
      <c r="R11" s="56">
        <v>0.04787</v>
      </c>
      <c r="S11" s="56"/>
      <c r="T11" s="56">
        <v>0.04392</v>
      </c>
      <c r="U11" s="56"/>
      <c r="V11" s="56">
        <v>0.0123</v>
      </c>
      <c r="W11" s="56"/>
      <c r="X11" s="56">
        <v>0.02677</v>
      </c>
      <c r="Y11" s="56"/>
      <c r="Z11" s="56">
        <v>0.0463</v>
      </c>
      <c r="AA11" s="56"/>
      <c r="AB11" s="55"/>
    </row>
    <row r="12" spans="1:28" ht="15" customHeight="1">
      <c r="A12" s="3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1:28" ht="15" customHeight="1">
      <c r="A13" s="37" t="s">
        <v>31</v>
      </c>
      <c r="B13" s="58">
        <v>937705.75</v>
      </c>
      <c r="C13" s="56"/>
      <c r="D13" s="58">
        <v>1219017.51</v>
      </c>
      <c r="E13" s="56"/>
      <c r="F13" s="58">
        <v>948305.88</v>
      </c>
      <c r="G13" s="56"/>
      <c r="H13" s="58">
        <v>1026322.89</v>
      </c>
      <c r="I13" s="56"/>
      <c r="J13" s="58">
        <v>916371.88</v>
      </c>
      <c r="K13" s="58"/>
      <c r="L13" s="58">
        <v>1000000</v>
      </c>
      <c r="M13" s="58"/>
      <c r="N13" s="58">
        <v>1000000</v>
      </c>
      <c r="O13" s="58"/>
      <c r="P13" s="58">
        <v>1000000</v>
      </c>
      <c r="Q13" s="58"/>
      <c r="R13" s="58">
        <v>2500000</v>
      </c>
      <c r="S13" s="58"/>
      <c r="T13" s="58">
        <v>1300000</v>
      </c>
      <c r="U13" s="56"/>
      <c r="V13" s="58">
        <v>1650487.92</v>
      </c>
      <c r="W13" s="56"/>
      <c r="X13" s="53">
        <v>1989434.38</v>
      </c>
      <c r="Y13" s="56"/>
      <c r="Z13" s="53"/>
      <c r="AA13" s="56"/>
      <c r="AB13" s="55"/>
    </row>
    <row r="14" spans="1:28" ht="15" customHeight="1">
      <c r="A14" s="37" t="s">
        <v>79</v>
      </c>
      <c r="B14" s="55">
        <v>48947</v>
      </c>
      <c r="C14" s="56"/>
      <c r="D14" s="55">
        <v>48947</v>
      </c>
      <c r="E14" s="56"/>
      <c r="F14" s="55">
        <v>48947</v>
      </c>
      <c r="G14" s="56"/>
      <c r="H14" s="55">
        <v>48947</v>
      </c>
      <c r="I14" s="56"/>
      <c r="J14" s="71">
        <v>49674</v>
      </c>
      <c r="K14" s="56"/>
      <c r="L14" s="55">
        <v>49674</v>
      </c>
      <c r="M14" s="55"/>
      <c r="N14" s="55">
        <v>49674</v>
      </c>
      <c r="O14" s="55"/>
      <c r="P14" s="55">
        <v>49674</v>
      </c>
      <c r="Q14" s="55"/>
      <c r="R14" s="55">
        <v>49674</v>
      </c>
      <c r="S14" s="55"/>
      <c r="T14" s="55">
        <v>49674</v>
      </c>
      <c r="U14" s="56"/>
      <c r="V14" s="55">
        <v>49674</v>
      </c>
      <c r="W14" s="56"/>
      <c r="X14" s="55">
        <v>49674</v>
      </c>
      <c r="Y14" s="56"/>
      <c r="Z14" s="55">
        <v>49674</v>
      </c>
      <c r="AA14" s="56"/>
      <c r="AB14" s="55"/>
    </row>
    <row r="15" spans="1:28" ht="15" customHeight="1">
      <c r="A15" s="37" t="s">
        <v>32</v>
      </c>
      <c r="B15" s="56">
        <v>0.04512</v>
      </c>
      <c r="C15" s="56"/>
      <c r="D15" s="56">
        <v>0.04512</v>
      </c>
      <c r="E15" s="56"/>
      <c r="F15" s="56">
        <v>0.04472</v>
      </c>
      <c r="G15" s="56"/>
      <c r="H15" s="56">
        <v>0.05298</v>
      </c>
      <c r="I15" s="56"/>
      <c r="J15" s="56">
        <v>0.04408</v>
      </c>
      <c r="K15" s="56"/>
      <c r="L15" s="56">
        <v>0.05316</v>
      </c>
      <c r="M15" s="56"/>
      <c r="N15" s="56">
        <v>0.0463</v>
      </c>
      <c r="O15" s="56"/>
      <c r="P15" s="56">
        <v>0.04554</v>
      </c>
      <c r="Q15" s="56"/>
      <c r="R15" s="56">
        <v>0.04787</v>
      </c>
      <c r="S15" s="56"/>
      <c r="T15" s="56">
        <v>0.04392</v>
      </c>
      <c r="U15" s="56"/>
      <c r="V15" s="56">
        <v>0.04474</v>
      </c>
      <c r="W15" s="56"/>
      <c r="X15" s="56">
        <v>0.04207</v>
      </c>
      <c r="Y15" s="56"/>
      <c r="Z15" s="56">
        <v>0.0463</v>
      </c>
      <c r="AA15" s="56"/>
      <c r="AB15" s="55"/>
    </row>
    <row r="16" spans="1:28" ht="15" customHeight="1">
      <c r="A16" s="3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9"/>
      <c r="AA16" s="57"/>
      <c r="AB16" s="57"/>
    </row>
    <row r="17" spans="1:28" ht="15" customHeight="1">
      <c r="A17" s="37" t="s">
        <v>80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60"/>
      <c r="AA17" s="49"/>
      <c r="AB17" s="49"/>
    </row>
    <row r="18" spans="1:28" ht="18" customHeight="1">
      <c r="A18" s="61">
        <v>38047</v>
      </c>
      <c r="B18" s="60">
        <v>11935.68</v>
      </c>
      <c r="C18" s="60"/>
      <c r="D18" s="60">
        <v>15516.39</v>
      </c>
      <c r="E18" s="60"/>
      <c r="F18" s="60">
        <v>13731.58</v>
      </c>
      <c r="G18" s="60"/>
      <c r="H18" s="60">
        <v>13010.17</v>
      </c>
      <c r="I18" s="60"/>
      <c r="J18" s="60">
        <v>9958.34</v>
      </c>
      <c r="K18" s="60"/>
      <c r="L18" s="60">
        <v>13104.54</v>
      </c>
      <c r="M18" s="60"/>
      <c r="N18" s="60">
        <v>11398.48</v>
      </c>
      <c r="O18" s="60"/>
      <c r="P18" s="60">
        <v>11247.61</v>
      </c>
      <c r="Q18" s="60"/>
      <c r="R18" s="60">
        <v>29387.7</v>
      </c>
      <c r="S18" s="60"/>
      <c r="T18" s="60">
        <v>14146.83</v>
      </c>
      <c r="U18" s="60"/>
      <c r="V18" s="60"/>
      <c r="W18" s="60"/>
      <c r="X18" s="60"/>
      <c r="Y18" s="60"/>
      <c r="Z18" s="60"/>
      <c r="AA18" s="60"/>
      <c r="AB18" s="60">
        <f aca="true" t="shared" si="0" ref="AB18:AB33">SUM(B18:Z18)</f>
        <v>143437.32</v>
      </c>
    </row>
    <row r="19" spans="1:28" ht="15.75" customHeight="1">
      <c r="A19" s="61">
        <v>38139</v>
      </c>
      <c r="B19" s="60">
        <v>11891.23</v>
      </c>
      <c r="C19" s="60"/>
      <c r="D19" s="60">
        <v>15458.6</v>
      </c>
      <c r="E19" s="60"/>
      <c r="F19" s="60">
        <v>13686.57</v>
      </c>
      <c r="G19" s="60"/>
      <c r="H19" s="60">
        <v>12961.15</v>
      </c>
      <c r="I19" s="60"/>
      <c r="J19" s="60">
        <v>9919.47</v>
      </c>
      <c r="K19" s="60"/>
      <c r="L19" s="60">
        <v>13064.18</v>
      </c>
      <c r="M19" s="60"/>
      <c r="N19" s="60">
        <v>11358.53</v>
      </c>
      <c r="O19" s="60"/>
      <c r="P19" s="60">
        <v>11207.62</v>
      </c>
      <c r="Q19" s="60"/>
      <c r="R19" s="60">
        <v>29287.68</v>
      </c>
      <c r="S19" s="60"/>
      <c r="T19" s="60">
        <v>14095</v>
      </c>
      <c r="U19" s="60"/>
      <c r="V19" s="60"/>
      <c r="W19" s="60"/>
      <c r="X19" s="60"/>
      <c r="Y19" s="60"/>
      <c r="Z19" s="60"/>
      <c r="AA19" s="60"/>
      <c r="AB19" s="60">
        <f t="shared" si="0"/>
        <v>142930.03</v>
      </c>
    </row>
    <row r="20" spans="1:28" ht="18" customHeight="1">
      <c r="A20" s="61">
        <v>38231</v>
      </c>
      <c r="B20" s="60">
        <v>11976.41</v>
      </c>
      <c r="C20" s="60"/>
      <c r="D20" s="60">
        <v>15569.33</v>
      </c>
      <c r="E20" s="60"/>
      <c r="F20" s="60">
        <v>13790.82</v>
      </c>
      <c r="G20" s="60"/>
      <c r="H20" s="60">
        <v>13053.41</v>
      </c>
      <c r="I20" s="60"/>
      <c r="J20" s="60">
        <v>9988.78</v>
      </c>
      <c r="K20" s="60"/>
      <c r="L20" s="60">
        <v>13166.4</v>
      </c>
      <c r="M20" s="60"/>
      <c r="N20" s="60">
        <v>11442.49</v>
      </c>
      <c r="O20" s="60"/>
      <c r="P20" s="60">
        <v>11289.9</v>
      </c>
      <c r="Q20" s="60"/>
      <c r="R20" s="60">
        <v>29507.2</v>
      </c>
      <c r="S20" s="60"/>
      <c r="T20" s="60">
        <v>14196.91</v>
      </c>
      <c r="U20" s="60"/>
      <c r="V20" s="60"/>
      <c r="W20" s="60"/>
      <c r="X20" s="60"/>
      <c r="Y20" s="60"/>
      <c r="Z20" s="60"/>
      <c r="AA20" s="60"/>
      <c r="AB20" s="60">
        <f t="shared" si="0"/>
        <v>143981.65</v>
      </c>
    </row>
    <row r="21" spans="1:28" ht="18" customHeight="1">
      <c r="A21" s="61">
        <v>38322</v>
      </c>
      <c r="B21" s="60">
        <v>12322.13</v>
      </c>
      <c r="C21" s="60"/>
      <c r="D21" s="60">
        <v>16018.77</v>
      </c>
      <c r="E21" s="60"/>
      <c r="F21" s="60">
        <v>14195.63</v>
      </c>
      <c r="G21" s="60"/>
      <c r="H21" s="60">
        <v>13429.59</v>
      </c>
      <c r="I21" s="60"/>
      <c r="J21" s="60">
        <v>10275.13</v>
      </c>
      <c r="K21" s="60"/>
      <c r="L21" s="60">
        <v>13555.63</v>
      </c>
      <c r="M21" s="60"/>
      <c r="N21" s="60">
        <v>11775.45</v>
      </c>
      <c r="O21" s="60"/>
      <c r="P21" s="60">
        <v>11617.81</v>
      </c>
      <c r="Q21" s="60"/>
      <c r="R21" s="60">
        <v>30369.09</v>
      </c>
      <c r="S21" s="60"/>
      <c r="T21" s="60">
        <v>14607.57</v>
      </c>
      <c r="U21" s="60"/>
      <c r="V21" s="60">
        <v>9621.31</v>
      </c>
      <c r="W21" s="60"/>
      <c r="X21" s="60"/>
      <c r="Y21" s="60"/>
      <c r="Z21" s="60"/>
      <c r="AA21" s="60"/>
      <c r="AB21" s="60">
        <f t="shared" si="0"/>
        <v>157788.11000000002</v>
      </c>
    </row>
    <row r="22" spans="1:28" ht="18" customHeight="1">
      <c r="A22" s="61">
        <v>38412</v>
      </c>
      <c r="B22" s="60">
        <v>11276.38</v>
      </c>
      <c r="C22" s="60"/>
      <c r="D22" s="60">
        <v>14659.29</v>
      </c>
      <c r="E22" s="60"/>
      <c r="F22" s="60">
        <v>12997.83</v>
      </c>
      <c r="G22" s="60"/>
      <c r="H22" s="60">
        <v>12289.21</v>
      </c>
      <c r="I22" s="60"/>
      <c r="J22" s="60">
        <v>9400.61</v>
      </c>
      <c r="K22" s="60"/>
      <c r="L22" s="60">
        <v>12414.07</v>
      </c>
      <c r="M22" s="60"/>
      <c r="N22" s="60">
        <v>10778.3</v>
      </c>
      <c r="O22" s="60"/>
      <c r="P22" s="60">
        <v>10633.37</v>
      </c>
      <c r="Q22" s="60"/>
      <c r="R22" s="60">
        <v>27800.79</v>
      </c>
      <c r="S22" s="60"/>
      <c r="T22" s="60">
        <v>13368.08</v>
      </c>
      <c r="U22" s="60"/>
      <c r="V22" s="60">
        <v>8786.95</v>
      </c>
      <c r="W22" s="60"/>
      <c r="X22" s="60">
        <v>7040.88</v>
      </c>
      <c r="Y22" s="60"/>
      <c r="Z22" s="60"/>
      <c r="AA22" s="60"/>
      <c r="AB22" s="60">
        <f t="shared" si="0"/>
        <v>151445.76</v>
      </c>
    </row>
    <row r="23" spans="1:28" ht="18" customHeight="1">
      <c r="A23" s="61">
        <v>38504</v>
      </c>
      <c r="B23" s="60">
        <v>11742.1</v>
      </c>
      <c r="C23" s="60"/>
      <c r="D23" s="60">
        <v>15264.72</v>
      </c>
      <c r="E23" s="60"/>
      <c r="F23" s="60">
        <v>13539.89</v>
      </c>
      <c r="G23" s="60"/>
      <c r="H23" s="60">
        <v>12796.27</v>
      </c>
      <c r="I23" s="60"/>
      <c r="J23" s="60">
        <v>9788.21</v>
      </c>
      <c r="K23" s="60"/>
      <c r="L23" s="60">
        <v>12935.21</v>
      </c>
      <c r="M23" s="60"/>
      <c r="N23" s="60">
        <v>11226.64</v>
      </c>
      <c r="O23" s="60"/>
      <c r="P23" s="60">
        <v>11075.19</v>
      </c>
      <c r="Q23" s="60"/>
      <c r="R23" s="60">
        <v>28959.75</v>
      </c>
      <c r="S23" s="60"/>
      <c r="T23" s="60">
        <v>13922.19</v>
      </c>
      <c r="U23" s="60"/>
      <c r="V23" s="60">
        <v>9136.68</v>
      </c>
      <c r="W23" s="60"/>
      <c r="X23" s="60">
        <v>13348.33</v>
      </c>
      <c r="Y23" s="60"/>
      <c r="Z23" s="60">
        <v>10598.22</v>
      </c>
      <c r="AA23" s="60"/>
      <c r="AB23" s="60">
        <f t="shared" si="0"/>
        <v>174333.39999999997</v>
      </c>
    </row>
    <row r="24" spans="1:28" ht="18" customHeight="1">
      <c r="A24" s="61">
        <v>38596</v>
      </c>
      <c r="B24" s="60">
        <v>11823.64</v>
      </c>
      <c r="C24" s="60"/>
      <c r="D24" s="60">
        <v>15370.74</v>
      </c>
      <c r="E24" s="60"/>
      <c r="F24" s="60">
        <v>13640.3</v>
      </c>
      <c r="G24" s="60" t="s">
        <v>83</v>
      </c>
      <c r="H24" s="60">
        <v>12884.54</v>
      </c>
      <c r="I24" s="60"/>
      <c r="J24" s="60">
        <v>9854.63</v>
      </c>
      <c r="K24" s="60"/>
      <c r="L24" s="60">
        <v>13034.17</v>
      </c>
      <c r="M24" s="60"/>
      <c r="N24" s="60">
        <v>11307.5</v>
      </c>
      <c r="O24" s="60"/>
      <c r="P24" s="60">
        <v>11154.38</v>
      </c>
      <c r="Q24" s="60"/>
      <c r="R24" s="60">
        <v>29171.43</v>
      </c>
      <c r="S24" s="60"/>
      <c r="T24" s="60">
        <v>14020.15</v>
      </c>
      <c r="U24" s="60"/>
      <c r="V24" s="60">
        <v>9184.16</v>
      </c>
      <c r="W24" s="60" t="s">
        <v>83</v>
      </c>
      <c r="X24" s="60">
        <v>21095.85</v>
      </c>
      <c r="Y24" s="60"/>
      <c r="Z24" s="60">
        <v>15726.39</v>
      </c>
      <c r="AA24" s="60"/>
      <c r="AB24" s="60">
        <f t="shared" si="0"/>
        <v>188267.88</v>
      </c>
    </row>
    <row r="25" spans="1:28" ht="18" customHeight="1">
      <c r="A25" s="61">
        <v>38691</v>
      </c>
      <c r="B25" s="60">
        <v>12161.22</v>
      </c>
      <c r="C25" s="60" t="s">
        <v>83</v>
      </c>
      <c r="D25" s="60">
        <v>15809.58</v>
      </c>
      <c r="E25" s="60" t="s">
        <v>83</v>
      </c>
      <c r="F25" s="60">
        <v>11037.76</v>
      </c>
      <c r="G25" s="49"/>
      <c r="H25" s="60">
        <v>13251.77</v>
      </c>
      <c r="I25" s="60"/>
      <c r="J25" s="60">
        <v>10134.19</v>
      </c>
      <c r="K25" s="60"/>
      <c r="L25" s="60">
        <v>13415.98</v>
      </c>
      <c r="M25" s="60"/>
      <c r="N25" s="60">
        <v>11633.3</v>
      </c>
      <c r="O25" s="60"/>
      <c r="P25" s="60">
        <v>11475.14</v>
      </c>
      <c r="Q25" s="60"/>
      <c r="R25" s="60">
        <v>30015.27</v>
      </c>
      <c r="S25" s="60"/>
      <c r="T25" s="60">
        <v>14421.61</v>
      </c>
      <c r="U25" s="60"/>
      <c r="V25" s="60">
        <v>19219.37</v>
      </c>
      <c r="W25" s="49"/>
      <c r="X25" s="60">
        <v>21696.92</v>
      </c>
      <c r="Y25" s="49"/>
      <c r="Z25" s="60">
        <v>16177.56</v>
      </c>
      <c r="AA25" s="49"/>
      <c r="AB25" s="60">
        <f t="shared" si="0"/>
        <v>200449.66999999998</v>
      </c>
    </row>
    <row r="26" spans="1:28" ht="18" customHeight="1">
      <c r="A26" s="61">
        <v>38777</v>
      </c>
      <c r="B26" s="60">
        <v>13110.08</v>
      </c>
      <c r="C26" s="60"/>
      <c r="D26" s="60">
        <v>10084.68</v>
      </c>
      <c r="E26" s="60"/>
      <c r="F26" s="60">
        <v>10067.92</v>
      </c>
      <c r="G26" s="60"/>
      <c r="H26" s="60">
        <v>12091.65</v>
      </c>
      <c r="I26" s="60"/>
      <c r="J26" s="60">
        <v>9245.21</v>
      </c>
      <c r="K26" s="60"/>
      <c r="L26" s="60">
        <v>12251.47</v>
      </c>
      <c r="M26" s="60"/>
      <c r="N26" s="60">
        <v>10617.94</v>
      </c>
      <c r="O26" s="60"/>
      <c r="P26" s="60">
        <v>10472.95</v>
      </c>
      <c r="Q26" s="60"/>
      <c r="R26" s="60">
        <v>27398.94</v>
      </c>
      <c r="S26" s="49"/>
      <c r="T26" s="49">
        <v>13160.35</v>
      </c>
      <c r="U26" s="49"/>
      <c r="V26" s="60">
        <v>17539.68</v>
      </c>
      <c r="W26" s="49"/>
      <c r="X26" s="60">
        <v>19796.32</v>
      </c>
      <c r="Y26" s="49"/>
      <c r="Z26" s="60">
        <v>14763.58</v>
      </c>
      <c r="AA26" s="49"/>
      <c r="AB26" s="60">
        <f t="shared" si="0"/>
        <v>180600.77</v>
      </c>
    </row>
    <row r="27" spans="1:28" ht="18" customHeight="1">
      <c r="A27" s="61">
        <v>38869</v>
      </c>
      <c r="B27" s="60">
        <v>13644.16</v>
      </c>
      <c r="C27" s="60"/>
      <c r="D27" s="60">
        <v>10791.71</v>
      </c>
      <c r="E27" s="60"/>
      <c r="F27" s="60">
        <v>10477.8</v>
      </c>
      <c r="G27" s="60"/>
      <c r="H27" s="60">
        <v>12587.22</v>
      </c>
      <c r="I27" s="60" t="s">
        <v>83</v>
      </c>
      <c r="J27" s="60">
        <v>9624.1</v>
      </c>
      <c r="K27" s="60"/>
      <c r="L27" s="60">
        <v>12762.98</v>
      </c>
      <c r="M27" s="60"/>
      <c r="N27" s="60">
        <v>11057.05</v>
      </c>
      <c r="O27" s="60"/>
      <c r="P27" s="60">
        <v>10905.57</v>
      </c>
      <c r="Q27" s="60"/>
      <c r="R27" s="60">
        <v>28534.63</v>
      </c>
      <c r="S27" s="49"/>
      <c r="T27" s="60">
        <v>13702.64</v>
      </c>
      <c r="U27" s="49"/>
      <c r="V27" s="60">
        <v>18263.34</v>
      </c>
      <c r="W27" s="49"/>
      <c r="X27" s="60">
        <v>20609.68</v>
      </c>
      <c r="Y27" s="49"/>
      <c r="Z27" s="60">
        <v>15372.6</v>
      </c>
      <c r="AA27" s="49"/>
      <c r="AB27" s="60">
        <f t="shared" si="0"/>
        <v>188333.47999999998</v>
      </c>
    </row>
    <row r="28" spans="1:28" ht="18" customHeight="1">
      <c r="A28" s="61">
        <v>38961</v>
      </c>
      <c r="B28" s="60">
        <v>14029.22</v>
      </c>
      <c r="C28" s="60"/>
      <c r="D28" s="60">
        <v>10791.71</v>
      </c>
      <c r="E28" s="60"/>
      <c r="F28" s="60">
        <v>10773.18</v>
      </c>
      <c r="G28" s="60"/>
      <c r="H28" s="60">
        <v>14003.32</v>
      </c>
      <c r="I28" s="60"/>
      <c r="J28" s="60">
        <v>9897.63</v>
      </c>
      <c r="K28" s="60"/>
      <c r="L28" s="60">
        <v>13137.26</v>
      </c>
      <c r="M28" s="60"/>
      <c r="N28" s="60">
        <v>11376.11</v>
      </c>
      <c r="O28" s="60"/>
      <c r="P28" s="60">
        <v>11219.66</v>
      </c>
      <c r="Q28" s="60"/>
      <c r="R28" s="60">
        <v>29361.22</v>
      </c>
      <c r="S28" s="49"/>
      <c r="T28" s="60">
        <v>14095.66</v>
      </c>
      <c r="U28" s="49"/>
      <c r="V28" s="60">
        <v>18788.28</v>
      </c>
      <c r="W28" s="49"/>
      <c r="X28" s="60">
        <v>21197.93</v>
      </c>
      <c r="Y28" s="49"/>
      <c r="Z28" s="60">
        <v>15814.33</v>
      </c>
      <c r="AA28" s="49"/>
      <c r="AB28" s="60">
        <f t="shared" si="0"/>
        <v>194485.50999999998</v>
      </c>
    </row>
    <row r="29" spans="1:28" ht="18" customHeight="1">
      <c r="A29" s="61">
        <v>39052</v>
      </c>
      <c r="B29" s="60">
        <v>13671.73</v>
      </c>
      <c r="C29" s="60"/>
      <c r="D29" s="60">
        <v>10516.72</v>
      </c>
      <c r="E29" s="60"/>
      <c r="F29" s="60">
        <v>10498.31</v>
      </c>
      <c r="G29" s="60"/>
      <c r="H29" s="60">
        <v>13654.98</v>
      </c>
      <c r="I29" s="60"/>
      <c r="J29" s="60">
        <v>9647.01</v>
      </c>
      <c r="K29" s="60"/>
      <c r="L29" s="60">
        <v>12817.26</v>
      </c>
      <c r="M29" s="60"/>
      <c r="N29" s="60">
        <v>11093.31</v>
      </c>
      <c r="O29" s="60"/>
      <c r="P29" s="60">
        <v>10940.09</v>
      </c>
      <c r="Q29" s="60"/>
      <c r="R29" s="60">
        <v>28634.79</v>
      </c>
      <c r="S29" s="49"/>
      <c r="T29" s="60">
        <v>13742.63</v>
      </c>
      <c r="U29" s="49"/>
      <c r="V29" s="60">
        <v>18318.94</v>
      </c>
      <c r="W29" s="49"/>
      <c r="X29" s="60">
        <v>20663.9</v>
      </c>
      <c r="Y29" s="49"/>
      <c r="Z29" s="60">
        <v>15419.14</v>
      </c>
      <c r="AA29" s="49"/>
      <c r="AB29" s="60">
        <f t="shared" si="0"/>
        <v>189618.81</v>
      </c>
    </row>
    <row r="30" spans="1:28" ht="18" customHeight="1">
      <c r="A30" s="61">
        <v>39142</v>
      </c>
      <c r="B30" s="60">
        <v>13312.84</v>
      </c>
      <c r="C30" s="60"/>
      <c r="D30" s="60">
        <v>10240.64</v>
      </c>
      <c r="E30" s="60"/>
      <c r="F30" s="60">
        <v>10222.4</v>
      </c>
      <c r="G30" s="60"/>
      <c r="H30" s="60">
        <v>13304.28</v>
      </c>
      <c r="I30" s="60"/>
      <c r="J30" s="60">
        <v>9395.63</v>
      </c>
      <c r="K30" s="60"/>
      <c r="L30" s="60">
        <v>12494.84</v>
      </c>
      <c r="M30" s="60"/>
      <c r="N30" s="60">
        <v>10809.04</v>
      </c>
      <c r="O30" s="60"/>
      <c r="P30" s="60">
        <v>10659.15</v>
      </c>
      <c r="Q30" s="60"/>
      <c r="R30" s="60">
        <v>27904.22</v>
      </c>
      <c r="S30" s="49"/>
      <c r="T30" s="60">
        <v>13388.09</v>
      </c>
      <c r="U30" s="49"/>
      <c r="V30" s="60">
        <v>17847.44</v>
      </c>
      <c r="W30" s="49"/>
      <c r="X30" s="60">
        <v>20127.94</v>
      </c>
      <c r="Y30" s="49"/>
      <c r="Z30" s="60">
        <v>15022.16</v>
      </c>
      <c r="AA30" s="49"/>
      <c r="AB30" s="60">
        <f t="shared" si="0"/>
        <v>184728.66999999998</v>
      </c>
    </row>
    <row r="31" spans="1:28" ht="18" customHeight="1">
      <c r="A31" s="61">
        <v>39234</v>
      </c>
      <c r="B31" s="60">
        <v>13394.35</v>
      </c>
      <c r="C31" s="60"/>
      <c r="D31" s="60">
        <v>10303.35</v>
      </c>
      <c r="E31" s="60"/>
      <c r="F31" s="60">
        <v>10284.69</v>
      </c>
      <c r="G31" s="60"/>
      <c r="H31" s="60">
        <v>13393.02</v>
      </c>
      <c r="I31" s="60"/>
      <c r="J31" s="60">
        <v>9455.37</v>
      </c>
      <c r="K31" s="60" t="s">
        <v>83</v>
      </c>
      <c r="L31" s="60">
        <v>12585.12</v>
      </c>
      <c r="M31" s="60"/>
      <c r="N31" s="60">
        <v>10882.27</v>
      </c>
      <c r="O31" s="60"/>
      <c r="P31" s="60">
        <v>10730.81</v>
      </c>
      <c r="Q31" s="60"/>
      <c r="R31" s="60">
        <v>28096.27</v>
      </c>
      <c r="S31" s="49"/>
      <c r="T31" s="60">
        <v>13476.56</v>
      </c>
      <c r="U31" s="49"/>
      <c r="V31" s="60">
        <v>17966.42</v>
      </c>
      <c r="W31" s="49"/>
      <c r="X31" s="60">
        <v>20258.25</v>
      </c>
      <c r="Y31" s="49"/>
      <c r="Z31" s="60">
        <v>15122.18</v>
      </c>
      <c r="AA31" s="49"/>
      <c r="AB31" s="60">
        <f t="shared" si="0"/>
        <v>185948.66000000003</v>
      </c>
    </row>
    <row r="32" spans="1:28" ht="16.5" customHeight="1">
      <c r="A32" s="61">
        <v>39326</v>
      </c>
      <c r="B32" s="60">
        <v>10252.97</v>
      </c>
      <c r="C32" s="60"/>
      <c r="D32" s="60">
        <v>13328.86</v>
      </c>
      <c r="E32" s="60"/>
      <c r="F32" s="60">
        <v>10234.09</v>
      </c>
      <c r="G32" s="60"/>
      <c r="H32" s="60">
        <v>13335.12</v>
      </c>
      <c r="I32" s="60"/>
      <c r="J32" s="60">
        <v>10000</v>
      </c>
      <c r="K32" s="60"/>
      <c r="L32" s="60">
        <v>12537.77</v>
      </c>
      <c r="M32" s="60"/>
      <c r="N32" s="60">
        <v>10836.25</v>
      </c>
      <c r="O32" s="60"/>
      <c r="P32" s="60">
        <v>10684.84</v>
      </c>
      <c r="Q32" s="60"/>
      <c r="R32" s="60">
        <v>27980.56</v>
      </c>
      <c r="S32" s="49"/>
      <c r="T32" s="49">
        <v>13417.24</v>
      </c>
      <c r="U32" s="49"/>
      <c r="V32" s="60">
        <v>17888.42</v>
      </c>
      <c r="W32" s="49"/>
      <c r="X32" s="60">
        <v>20166.28</v>
      </c>
      <c r="Y32" s="49"/>
      <c r="Z32" s="60">
        <v>15056.41</v>
      </c>
      <c r="AA32" s="49"/>
      <c r="AB32" s="60">
        <f t="shared" si="0"/>
        <v>185718.81</v>
      </c>
    </row>
    <row r="33" spans="1:28" ht="16.5" customHeight="1">
      <c r="A33" s="61">
        <v>39417</v>
      </c>
      <c r="B33" s="60">
        <v>10202.03</v>
      </c>
      <c r="C33" s="60"/>
      <c r="D33" s="60">
        <v>13262.63</v>
      </c>
      <c r="E33" s="60"/>
      <c r="F33" s="60">
        <v>10182.93</v>
      </c>
      <c r="G33" s="60"/>
      <c r="H33" s="60">
        <v>13276.44</v>
      </c>
      <c r="I33" s="60"/>
      <c r="J33" s="60">
        <v>10000</v>
      </c>
      <c r="K33" s="60"/>
      <c r="L33" s="60">
        <v>12489.79</v>
      </c>
      <c r="M33" s="60"/>
      <c r="N33" s="60">
        <v>10789.7</v>
      </c>
      <c r="O33" s="60"/>
      <c r="P33" s="60">
        <v>10638.35</v>
      </c>
      <c r="Q33" s="60"/>
      <c r="R33" s="60">
        <v>27863.47</v>
      </c>
      <c r="S33" s="49"/>
      <c r="T33" s="49">
        <v>13357.28</v>
      </c>
      <c r="U33" s="49"/>
      <c r="V33" s="60">
        <v>17809.55</v>
      </c>
      <c r="W33" s="49"/>
      <c r="X33" s="60">
        <v>20073.35</v>
      </c>
      <c r="Y33" s="49"/>
      <c r="Z33" s="60">
        <v>14989.9</v>
      </c>
      <c r="AA33" s="49"/>
      <c r="AB33" s="60">
        <f t="shared" si="0"/>
        <v>184935.42</v>
      </c>
    </row>
    <row r="34" spans="1:28" ht="16.5" customHeight="1">
      <c r="A34" s="61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49"/>
      <c r="T34" s="49"/>
      <c r="U34" s="49"/>
      <c r="V34" s="49"/>
      <c r="W34" s="49"/>
      <c r="X34" s="60"/>
      <c r="Y34" s="49"/>
      <c r="Z34" s="60"/>
      <c r="AA34" s="49"/>
      <c r="AB34" s="49"/>
    </row>
    <row r="35" spans="24:26" ht="16.5" customHeight="1">
      <c r="X35" s="60"/>
      <c r="Z35" s="60"/>
    </row>
    <row r="36" spans="24:26" ht="16.5" customHeight="1">
      <c r="X36" s="60"/>
      <c r="Z36" s="60"/>
    </row>
    <row r="37" spans="24:26" ht="16.5" customHeight="1">
      <c r="X37" s="60"/>
      <c r="Z37" s="60"/>
    </row>
    <row r="38" spans="24:26" ht="16.5" customHeight="1">
      <c r="X38" s="60"/>
      <c r="Z38" s="60"/>
    </row>
    <row r="39" spans="24:26" ht="16.5" customHeight="1">
      <c r="X39" s="60"/>
      <c r="Z39" s="60"/>
    </row>
    <row r="40" spans="24:26" ht="16.5" customHeight="1">
      <c r="X40" s="60"/>
      <c r="Z40" s="60"/>
    </row>
    <row r="41" spans="24:26" ht="16.5" customHeight="1">
      <c r="X41" s="60"/>
      <c r="Z41" s="60"/>
    </row>
    <row r="42" ht="16.5" customHeight="1">
      <c r="X42" s="60"/>
    </row>
    <row r="43" ht="16.5" customHeight="1">
      <c r="X43" s="60"/>
    </row>
    <row r="44" ht="16.5" customHeight="1">
      <c r="X44" s="60"/>
    </row>
    <row r="45" ht="16.5" customHeight="1">
      <c r="X45" s="60"/>
    </row>
    <row r="46" ht="16.5" customHeight="1">
      <c r="X46" s="60"/>
    </row>
    <row r="47" ht="16.5" customHeight="1">
      <c r="X47" s="60"/>
    </row>
    <row r="48" ht="16.5" customHeight="1">
      <c r="X48" s="60"/>
    </row>
    <row r="49" ht="16.5" customHeight="1">
      <c r="X49" s="60"/>
    </row>
    <row r="50" ht="16.5" customHeight="1">
      <c r="X50" s="60"/>
    </row>
    <row r="51" ht="16.5" customHeight="1">
      <c r="X51" s="60"/>
    </row>
    <row r="52" ht="16.5" customHeight="1">
      <c r="X52" s="60"/>
    </row>
    <row r="53" ht="16.5" customHeight="1">
      <c r="X53" s="60"/>
    </row>
    <row r="54" ht="16.5" customHeight="1">
      <c r="X54" s="60"/>
    </row>
    <row r="55" ht="16.5" customHeight="1">
      <c r="X55" s="60"/>
    </row>
    <row r="56" ht="16.5" customHeight="1">
      <c r="X56" s="60"/>
    </row>
    <row r="57" ht="16.5" customHeight="1">
      <c r="X57" s="60"/>
    </row>
    <row r="58" ht="16.5" customHeight="1">
      <c r="X58" s="60"/>
    </row>
    <row r="59" ht="16.5" customHeight="1">
      <c r="X59" s="60"/>
    </row>
    <row r="60" ht="16.5" customHeight="1">
      <c r="X60" s="60"/>
    </row>
    <row r="61" ht="16.5" customHeight="1">
      <c r="X61" s="60"/>
    </row>
    <row r="62" ht="16.5" customHeight="1">
      <c r="X62" s="60"/>
    </row>
    <row r="63" ht="16.5" customHeight="1">
      <c r="X63" s="60"/>
    </row>
    <row r="64" ht="16.5" customHeight="1">
      <c r="X64" s="60"/>
    </row>
    <row r="65" ht="16.5" customHeight="1">
      <c r="X65" s="60"/>
    </row>
    <row r="66" ht="16.5" customHeight="1">
      <c r="X66" s="60"/>
    </row>
    <row r="67" ht="16.5" customHeight="1">
      <c r="X67" s="60"/>
    </row>
    <row r="68" ht="16.5" customHeight="1">
      <c r="X68" s="60"/>
    </row>
    <row r="69" ht="16.5" customHeight="1">
      <c r="X69" s="60"/>
    </row>
    <row r="70" ht="16.5" customHeight="1">
      <c r="X70" s="60"/>
    </row>
    <row r="71" ht="16.5" customHeight="1">
      <c r="X71" s="60"/>
    </row>
    <row r="72" ht="16.5" customHeight="1">
      <c r="X72" s="60"/>
    </row>
    <row r="73" ht="16.5" customHeight="1">
      <c r="X73" s="60"/>
    </row>
    <row r="74" ht="16.5" customHeight="1">
      <c r="X74" s="60"/>
    </row>
    <row r="75" ht="16.5" customHeight="1">
      <c r="X75" s="60"/>
    </row>
    <row r="76" ht="16.5" customHeight="1">
      <c r="X76" s="60"/>
    </row>
    <row r="77" ht="16.5" customHeight="1">
      <c r="X77" s="60"/>
    </row>
    <row r="78" ht="16.5" customHeight="1">
      <c r="X78" s="60"/>
    </row>
    <row r="79" ht="16.5" customHeight="1">
      <c r="X79" s="60"/>
    </row>
    <row r="80" ht="16.5" customHeight="1">
      <c r="X80" s="60"/>
    </row>
    <row r="81" ht="16.5" customHeight="1">
      <c r="X81" s="60"/>
    </row>
    <row r="82" ht="16.5" customHeight="1">
      <c r="X82" s="60"/>
    </row>
    <row r="83" ht="16.5" customHeight="1">
      <c r="X83" s="60"/>
    </row>
  </sheetData>
  <sheetProtection/>
  <printOptions/>
  <pageMargins left="0.25" right="0.5" top="0.25" bottom="0.25" header="0" footer="0"/>
  <pageSetup horizontalDpi="600" verticalDpi="600" orientation="landscape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43"/>
  <sheetViews>
    <sheetView zoomScale="90" zoomScaleNormal="90" workbookViewId="0" topLeftCell="A1">
      <pane xSplit="7" ySplit="4" topLeftCell="K1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O23" sqref="O23"/>
    </sheetView>
  </sheetViews>
  <sheetFormatPr defaultColWidth="9.6640625" defaultRowHeight="15"/>
  <cols>
    <col min="1" max="1" width="8.5546875" style="289" bestFit="1" customWidth="1"/>
    <col min="2" max="2" width="13.10546875" style="289" customWidth="1"/>
    <col min="3" max="3" width="8.5546875" style="289" bestFit="1" customWidth="1"/>
    <col min="4" max="4" width="10.99609375" style="289" customWidth="1"/>
    <col min="5" max="5" width="12.21484375" style="289" customWidth="1"/>
    <col min="6" max="6" width="6.88671875" style="289" bestFit="1" customWidth="1"/>
    <col min="7" max="7" width="1.77734375" style="289" bestFit="1" customWidth="1"/>
    <col min="8" max="8" width="6.88671875" style="289" bestFit="1" customWidth="1"/>
    <col min="9" max="9" width="9.6640625" style="289" customWidth="1"/>
    <col min="10" max="10" width="9.88671875" style="289" bestFit="1" customWidth="1"/>
    <col min="11" max="11" width="8.6640625" style="289" customWidth="1"/>
    <col min="12" max="12" width="11.6640625" style="289" customWidth="1"/>
    <col min="13" max="13" width="6.10546875" style="289" customWidth="1"/>
    <col min="14" max="16" width="9.6640625" style="289" customWidth="1"/>
    <col min="17" max="17" width="11.6640625" style="289" customWidth="1"/>
    <col min="18" max="18" width="5.99609375" style="289" customWidth="1"/>
    <col min="19" max="19" width="9.6640625" style="294" customWidth="1"/>
    <col min="20" max="20" width="12.4453125" style="289" customWidth="1"/>
    <col min="21" max="21" width="9.6640625" style="289" customWidth="1"/>
    <col min="22" max="22" width="11.6640625" style="289" customWidth="1"/>
    <col min="23" max="23" width="4.88671875" style="289" bestFit="1" customWidth="1"/>
    <col min="24" max="24" width="9.6640625" style="289" customWidth="1"/>
    <col min="25" max="25" width="11.5546875" style="289" customWidth="1"/>
    <col min="26" max="26" width="9.6640625" style="289" customWidth="1"/>
    <col min="27" max="27" width="11.6640625" style="289" customWidth="1"/>
    <col min="28" max="28" width="10.6640625" style="294" customWidth="1"/>
    <col min="29" max="29" width="10.6640625" style="289" customWidth="1"/>
    <col min="30" max="30" width="13.6640625" style="289" customWidth="1"/>
    <col min="31" max="16384" width="9.6640625" style="289" customWidth="1"/>
  </cols>
  <sheetData>
    <row r="1" spans="1:30" ht="18" customHeight="1">
      <c r="A1" s="288">
        <f ca="1">NOW()</f>
        <v>45234.445947685184</v>
      </c>
      <c r="B1" s="569" t="s">
        <v>173</v>
      </c>
      <c r="C1" s="569"/>
      <c r="D1" s="569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1" t="s">
        <v>173</v>
      </c>
      <c r="AC1" s="571"/>
      <c r="AD1" s="571"/>
    </row>
    <row r="2" spans="1:18" ht="15">
      <c r="A2" s="290" t="s">
        <v>0</v>
      </c>
      <c r="B2" s="291" t="s">
        <v>112</v>
      </c>
      <c r="C2" s="292" t="s">
        <v>111</v>
      </c>
      <c r="D2" s="292" t="s">
        <v>115</v>
      </c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1:31" ht="15">
      <c r="A3" s="292" t="s">
        <v>1</v>
      </c>
      <c r="B3" s="292" t="s">
        <v>73</v>
      </c>
      <c r="C3" s="292" t="s">
        <v>73</v>
      </c>
      <c r="D3" s="292" t="s">
        <v>73</v>
      </c>
      <c r="E3" s="292" t="s">
        <v>31</v>
      </c>
      <c r="F3" s="292" t="s">
        <v>32</v>
      </c>
      <c r="G3" s="292"/>
      <c r="H3" s="292"/>
      <c r="I3" s="295" t="s">
        <v>38</v>
      </c>
      <c r="J3" s="296"/>
      <c r="K3" s="297"/>
      <c r="L3" s="298"/>
      <c r="M3" s="299"/>
      <c r="N3" s="295" t="s">
        <v>41</v>
      </c>
      <c r="O3" s="296"/>
      <c r="P3" s="297"/>
      <c r="Q3" s="298"/>
      <c r="R3" s="299"/>
      <c r="S3" s="295" t="s">
        <v>44</v>
      </c>
      <c r="T3" s="296"/>
      <c r="U3" s="300"/>
      <c r="V3" s="298"/>
      <c r="W3" s="298"/>
      <c r="X3" s="301" t="s">
        <v>47</v>
      </c>
      <c r="Y3" s="296"/>
      <c r="Z3" s="300"/>
      <c r="AA3" s="302"/>
      <c r="AB3" s="303" t="s">
        <v>48</v>
      </c>
      <c r="AC3" s="300"/>
      <c r="AD3" s="300"/>
      <c r="AE3" s="304"/>
    </row>
    <row r="4" spans="5:31" ht="20.25" customHeight="1">
      <c r="E4" s="305">
        <v>43100</v>
      </c>
      <c r="F4" s="306"/>
      <c r="G4" s="306"/>
      <c r="H4" s="306"/>
      <c r="I4" s="307" t="s">
        <v>34</v>
      </c>
      <c r="J4" s="308" t="s">
        <v>74</v>
      </c>
      <c r="K4" s="308" t="s">
        <v>35</v>
      </c>
      <c r="L4" s="309" t="s">
        <v>36</v>
      </c>
      <c r="M4" s="308"/>
      <c r="N4" s="307" t="s">
        <v>34</v>
      </c>
      <c r="O4" s="308" t="s">
        <v>74</v>
      </c>
      <c r="P4" s="308" t="s">
        <v>35</v>
      </c>
      <c r="Q4" s="309" t="s">
        <v>36</v>
      </c>
      <c r="R4" s="308"/>
      <c r="S4" s="307" t="s">
        <v>34</v>
      </c>
      <c r="T4" s="310" t="s">
        <v>75</v>
      </c>
      <c r="U4" s="310" t="s">
        <v>35</v>
      </c>
      <c r="V4" s="311" t="s">
        <v>36</v>
      </c>
      <c r="W4" s="312"/>
      <c r="X4" s="313" t="s">
        <v>34</v>
      </c>
      <c r="Y4" s="310" t="s">
        <v>75</v>
      </c>
      <c r="Z4" s="310" t="s">
        <v>35</v>
      </c>
      <c r="AA4" s="314" t="s">
        <v>36</v>
      </c>
      <c r="AB4" s="313" t="s">
        <v>34</v>
      </c>
      <c r="AC4" s="308" t="s">
        <v>35</v>
      </c>
      <c r="AD4" s="308" t="s">
        <v>36</v>
      </c>
      <c r="AE4" s="304"/>
    </row>
    <row r="5" spans="1:31" ht="27" customHeight="1">
      <c r="A5" s="315" t="s">
        <v>60</v>
      </c>
      <c r="B5" s="316">
        <v>38807</v>
      </c>
      <c r="C5" s="316">
        <v>48947</v>
      </c>
      <c r="D5" s="316"/>
      <c r="E5" s="317">
        <f>'[1]FFB Payts'!AD5</f>
        <v>671401.29</v>
      </c>
      <c r="F5" s="318">
        <v>0.04512</v>
      </c>
      <c r="G5" s="319" t="s">
        <v>164</v>
      </c>
      <c r="H5" s="318"/>
      <c r="I5" s="320">
        <v>7469.66</v>
      </c>
      <c r="J5" s="321">
        <v>206.94</v>
      </c>
      <c r="K5" s="321">
        <v>7312.02</v>
      </c>
      <c r="L5" s="322">
        <f aca="true" t="shared" si="0" ref="L5:L24">E5-K5</f>
        <v>664089.27</v>
      </c>
      <c r="M5" s="323"/>
      <c r="N5" s="320"/>
      <c r="O5" s="321"/>
      <c r="P5" s="321"/>
      <c r="Q5" s="322">
        <f>L5-P5</f>
        <v>664089.27</v>
      </c>
      <c r="R5" s="323"/>
      <c r="S5" s="320"/>
      <c r="T5" s="321"/>
      <c r="U5" s="321"/>
      <c r="V5" s="324">
        <f>Q5-U5</f>
        <v>664089.27</v>
      </c>
      <c r="W5" s="323"/>
      <c r="X5" s="320"/>
      <c r="Y5" s="321"/>
      <c r="Z5" s="321"/>
      <c r="AA5" s="324">
        <f>V5-Z5</f>
        <v>664089.27</v>
      </c>
      <c r="AB5" s="325">
        <f>I5+J5+N5+O5+S5+T5+X5+Y5</f>
        <v>7676.599999999999</v>
      </c>
      <c r="AC5" s="321">
        <f>K5+P5+U5+Z5</f>
        <v>7312.02</v>
      </c>
      <c r="AD5" s="326">
        <f aca="true" t="shared" si="1" ref="AD5:AD22">E5-AC5</f>
        <v>664089.27</v>
      </c>
      <c r="AE5" s="304"/>
    </row>
    <row r="6" spans="1:31" ht="27" customHeight="1">
      <c r="A6" s="315" t="s">
        <v>61</v>
      </c>
      <c r="B6" s="316">
        <v>38807</v>
      </c>
      <c r="C6" s="316">
        <v>48947</v>
      </c>
      <c r="D6" s="316"/>
      <c r="E6" s="317">
        <f>'[1]FFB Payts'!AD6</f>
        <v>872821.3499999999</v>
      </c>
      <c r="F6" s="318">
        <v>0.04512</v>
      </c>
      <c r="G6" s="319" t="s">
        <v>164</v>
      </c>
      <c r="H6" s="318"/>
      <c r="I6" s="320">
        <v>9710.56</v>
      </c>
      <c r="J6" s="321">
        <v>269.02</v>
      </c>
      <c r="K6" s="321">
        <v>9505.63</v>
      </c>
      <c r="L6" s="322">
        <f t="shared" si="0"/>
        <v>863315.7199999999</v>
      </c>
      <c r="M6" s="323"/>
      <c r="N6" s="320"/>
      <c r="O6" s="321"/>
      <c r="P6" s="321"/>
      <c r="Q6" s="322">
        <f>L6-P6</f>
        <v>863315.7199999999</v>
      </c>
      <c r="R6" s="323"/>
      <c r="S6" s="320"/>
      <c r="T6" s="321"/>
      <c r="U6" s="321"/>
      <c r="V6" s="322">
        <f aca="true" t="shared" si="2" ref="V6:V25">Q6-U6</f>
        <v>863315.7199999999</v>
      </c>
      <c r="W6" s="323"/>
      <c r="X6" s="320"/>
      <c r="Y6" s="321"/>
      <c r="Z6" s="321"/>
      <c r="AA6" s="322">
        <f aca="true" t="shared" si="3" ref="AA6:AA23">V6-Z6</f>
        <v>863315.7199999999</v>
      </c>
      <c r="AB6" s="320">
        <f aca="true" t="shared" si="4" ref="AB6:AB25">I6+J6+N6+O6+S6+T6+X6+Y6</f>
        <v>9979.58</v>
      </c>
      <c r="AC6" s="321">
        <f aca="true" t="shared" si="5" ref="AC6:AC25">K6+P6+U6+Z6</f>
        <v>9505.63</v>
      </c>
      <c r="AD6" s="323">
        <f t="shared" si="1"/>
        <v>863315.7199999999</v>
      </c>
      <c r="AE6" s="304"/>
    </row>
    <row r="7" spans="1:31" ht="27" customHeight="1">
      <c r="A7" s="315" t="s">
        <v>62</v>
      </c>
      <c r="B7" s="316">
        <v>38720</v>
      </c>
      <c r="C7" s="316">
        <v>48947</v>
      </c>
      <c r="D7" s="316"/>
      <c r="E7" s="317">
        <f>'[1]FFB Payts'!AD7</f>
        <v>675185.2699999999</v>
      </c>
      <c r="F7" s="318">
        <v>0.04472</v>
      </c>
      <c r="G7" s="319" t="s">
        <v>164</v>
      </c>
      <c r="H7" s="318"/>
      <c r="I7" s="327">
        <v>7445.17</v>
      </c>
      <c r="J7" s="321">
        <v>208.11</v>
      </c>
      <c r="K7" s="321">
        <v>7377.71</v>
      </c>
      <c r="L7" s="322">
        <f t="shared" si="0"/>
        <v>667807.5599999999</v>
      </c>
      <c r="M7" s="323"/>
      <c r="N7" s="327"/>
      <c r="O7" s="321"/>
      <c r="P7" s="321"/>
      <c r="Q7" s="322">
        <f>L7-P7</f>
        <v>667807.5599999999</v>
      </c>
      <c r="R7" s="323"/>
      <c r="S7" s="320"/>
      <c r="T7" s="321"/>
      <c r="U7" s="321"/>
      <c r="V7" s="322">
        <f t="shared" si="2"/>
        <v>667807.5599999999</v>
      </c>
      <c r="W7" s="323"/>
      <c r="X7" s="327"/>
      <c r="Y7" s="321"/>
      <c r="Z7" s="321"/>
      <c r="AA7" s="322">
        <f t="shared" si="3"/>
        <v>667807.5599999999</v>
      </c>
      <c r="AB7" s="320">
        <f t="shared" si="4"/>
        <v>7653.28</v>
      </c>
      <c r="AC7" s="321">
        <f t="shared" si="5"/>
        <v>7377.71</v>
      </c>
      <c r="AD7" s="323">
        <f t="shared" si="1"/>
        <v>667807.5599999999</v>
      </c>
      <c r="AE7" s="304"/>
    </row>
    <row r="8" spans="1:31" ht="27" customHeight="1">
      <c r="A8" s="315" t="s">
        <v>63</v>
      </c>
      <c r="B8" s="316">
        <v>38992</v>
      </c>
      <c r="C8" s="316">
        <v>48947</v>
      </c>
      <c r="D8" s="316"/>
      <c r="E8" s="317">
        <f>'[1]FFB Payts'!AD8</f>
        <v>764211.78</v>
      </c>
      <c r="F8" s="318">
        <v>0.05298</v>
      </c>
      <c r="G8" s="319" t="s">
        <v>164</v>
      </c>
      <c r="H8" s="318"/>
      <c r="I8" s="327">
        <v>9983.33</v>
      </c>
      <c r="J8" s="321">
        <v>235.54</v>
      </c>
      <c r="K8" s="321">
        <v>7793.88</v>
      </c>
      <c r="L8" s="322">
        <f>E8-K8</f>
        <v>756417.9</v>
      </c>
      <c r="M8" s="323"/>
      <c r="N8" s="327"/>
      <c r="O8" s="321"/>
      <c r="P8" s="321"/>
      <c r="Q8" s="322">
        <f aca="true" t="shared" si="6" ref="Q8:Q20">L8-P8</f>
        <v>756417.9</v>
      </c>
      <c r="R8" s="323"/>
      <c r="S8" s="327"/>
      <c r="T8" s="321"/>
      <c r="U8" s="321"/>
      <c r="V8" s="322">
        <f t="shared" si="2"/>
        <v>756417.9</v>
      </c>
      <c r="W8" s="323"/>
      <c r="X8" s="327"/>
      <c r="Y8" s="321"/>
      <c r="Z8" s="321"/>
      <c r="AA8" s="322">
        <f t="shared" si="3"/>
        <v>756417.9</v>
      </c>
      <c r="AB8" s="320">
        <f t="shared" si="4"/>
        <v>10218.87</v>
      </c>
      <c r="AC8" s="321">
        <f t="shared" si="5"/>
        <v>7793.88</v>
      </c>
      <c r="AD8" s="321">
        <f t="shared" si="1"/>
        <v>756417.9</v>
      </c>
      <c r="AE8" s="304"/>
    </row>
    <row r="9" spans="1:31" ht="27" customHeight="1">
      <c r="A9" s="315" t="s">
        <v>64</v>
      </c>
      <c r="B9" s="316">
        <v>39721</v>
      </c>
      <c r="C9" s="316">
        <v>49674</v>
      </c>
      <c r="D9" s="316"/>
      <c r="E9" s="317">
        <f>'[1]FFB Payts'!AD9</f>
        <v>714200.95</v>
      </c>
      <c r="F9" s="318">
        <v>0.04408</v>
      </c>
      <c r="G9" s="319" t="s">
        <v>164</v>
      </c>
      <c r="H9" s="318"/>
      <c r="I9" s="327">
        <v>7762.68</v>
      </c>
      <c r="J9" s="328">
        <v>220.13</v>
      </c>
      <c r="K9" s="328">
        <v>6655.14</v>
      </c>
      <c r="L9" s="322">
        <f t="shared" si="0"/>
        <v>707545.8099999999</v>
      </c>
      <c r="M9" s="323"/>
      <c r="N9" s="327"/>
      <c r="O9" s="328"/>
      <c r="P9" s="328"/>
      <c r="Q9" s="322">
        <f t="shared" si="6"/>
        <v>707545.8099999999</v>
      </c>
      <c r="R9" s="323"/>
      <c r="S9" s="327"/>
      <c r="T9" s="328"/>
      <c r="U9" s="328"/>
      <c r="V9" s="322">
        <f t="shared" si="2"/>
        <v>707545.8099999999</v>
      </c>
      <c r="W9" s="323"/>
      <c r="X9" s="327"/>
      <c r="Y9" s="328"/>
      <c r="Z9" s="328"/>
      <c r="AA9" s="322">
        <f t="shared" si="3"/>
        <v>707545.8099999999</v>
      </c>
      <c r="AB9" s="320">
        <f t="shared" si="4"/>
        <v>7982.81</v>
      </c>
      <c r="AC9" s="321">
        <f t="shared" si="5"/>
        <v>6655.14</v>
      </c>
      <c r="AD9" s="323">
        <f t="shared" si="1"/>
        <v>707545.8099999999</v>
      </c>
      <c r="AE9" s="304"/>
    </row>
    <row r="10" spans="1:31" ht="27" customHeight="1">
      <c r="A10" s="315" t="s">
        <v>65</v>
      </c>
      <c r="B10" s="316">
        <v>37529</v>
      </c>
      <c r="C10" s="316">
        <v>49674</v>
      </c>
      <c r="D10" s="316"/>
      <c r="E10" s="317">
        <f>'[1]FFB Payts'!AD10</f>
        <v>746102.29</v>
      </c>
      <c r="F10" s="318">
        <v>0.05316</v>
      </c>
      <c r="G10" s="319" t="s">
        <v>164</v>
      </c>
      <c r="H10" s="318"/>
      <c r="I10" s="327">
        <v>9779.87</v>
      </c>
      <c r="J10" s="328">
        <v>229.96</v>
      </c>
      <c r="K10" s="328">
        <v>6378.1</v>
      </c>
      <c r="L10" s="322">
        <f t="shared" si="0"/>
        <v>739724.1900000001</v>
      </c>
      <c r="M10" s="323"/>
      <c r="N10" s="327"/>
      <c r="O10" s="328"/>
      <c r="P10" s="328"/>
      <c r="Q10" s="322">
        <f t="shared" si="6"/>
        <v>739724.1900000001</v>
      </c>
      <c r="R10" s="323"/>
      <c r="S10" s="327"/>
      <c r="T10" s="328"/>
      <c r="U10" s="328"/>
      <c r="V10" s="322">
        <f t="shared" si="2"/>
        <v>739724.1900000001</v>
      </c>
      <c r="W10" s="323"/>
      <c r="X10" s="327"/>
      <c r="Y10" s="328"/>
      <c r="Z10" s="328"/>
      <c r="AA10" s="322">
        <f t="shared" si="3"/>
        <v>739724.1900000001</v>
      </c>
      <c r="AB10" s="320">
        <f t="shared" si="4"/>
        <v>10009.83</v>
      </c>
      <c r="AC10" s="321">
        <f t="shared" si="5"/>
        <v>6378.1</v>
      </c>
      <c r="AD10" s="323">
        <f t="shared" si="1"/>
        <v>739724.1900000001</v>
      </c>
      <c r="AE10" s="304"/>
    </row>
    <row r="11" spans="1:31" ht="27" customHeight="1">
      <c r="A11" s="315" t="s">
        <v>66</v>
      </c>
      <c r="B11" s="316">
        <v>37621</v>
      </c>
      <c r="C11" s="316">
        <v>49674</v>
      </c>
      <c r="D11" s="316"/>
      <c r="E11" s="317">
        <f>'[1]FFB Payts'!AD11</f>
        <v>723864.1000000001</v>
      </c>
      <c r="F11" s="318">
        <v>0.0463</v>
      </c>
      <c r="G11" s="319" t="s">
        <v>164</v>
      </c>
      <c r="H11" s="318"/>
      <c r="I11" s="327">
        <v>8263.95</v>
      </c>
      <c r="J11" s="328">
        <v>223.11</v>
      </c>
      <c r="K11" s="328">
        <v>6605.19</v>
      </c>
      <c r="L11" s="322">
        <f t="shared" si="0"/>
        <v>717258.9100000001</v>
      </c>
      <c r="M11" s="323"/>
      <c r="N11" s="327"/>
      <c r="O11" s="328"/>
      <c r="P11" s="328"/>
      <c r="Q11" s="322">
        <f t="shared" si="6"/>
        <v>717258.9100000001</v>
      </c>
      <c r="R11" s="323"/>
      <c r="S11" s="327"/>
      <c r="T11" s="328"/>
      <c r="U11" s="328"/>
      <c r="V11" s="322">
        <f t="shared" si="2"/>
        <v>717258.9100000001</v>
      </c>
      <c r="W11" s="323"/>
      <c r="X11" s="327"/>
      <c r="Y11" s="328"/>
      <c r="Z11" s="328"/>
      <c r="AA11" s="322">
        <f t="shared" si="3"/>
        <v>717258.9100000001</v>
      </c>
      <c r="AB11" s="320">
        <f t="shared" si="4"/>
        <v>8487.060000000001</v>
      </c>
      <c r="AC11" s="321">
        <f t="shared" si="5"/>
        <v>6605.19</v>
      </c>
      <c r="AD11" s="323">
        <f t="shared" si="1"/>
        <v>717258.9100000001</v>
      </c>
      <c r="AE11" s="304"/>
    </row>
    <row r="12" spans="1:31" ht="27" customHeight="1">
      <c r="A12" s="315" t="s">
        <v>67</v>
      </c>
      <c r="B12" s="316">
        <v>37802</v>
      </c>
      <c r="C12" s="316">
        <v>49674</v>
      </c>
      <c r="D12" s="316"/>
      <c r="E12" s="317">
        <f>'[1]FFB Payts'!AD12</f>
        <v>723773.91</v>
      </c>
      <c r="F12" s="318">
        <v>0.04554</v>
      </c>
      <c r="G12" s="319" t="s">
        <v>164</v>
      </c>
      <c r="H12" s="318"/>
      <c r="I12" s="327">
        <v>8127.29</v>
      </c>
      <c r="J12" s="328">
        <v>223.08</v>
      </c>
      <c r="K12" s="328">
        <v>6652</v>
      </c>
      <c r="L12" s="322">
        <f t="shared" si="0"/>
        <v>717121.91</v>
      </c>
      <c r="M12" s="323"/>
      <c r="N12" s="327"/>
      <c r="O12" s="328"/>
      <c r="P12" s="328"/>
      <c r="Q12" s="322">
        <f t="shared" si="6"/>
        <v>717121.91</v>
      </c>
      <c r="R12" s="323"/>
      <c r="S12" s="327"/>
      <c r="T12" s="328"/>
      <c r="U12" s="328"/>
      <c r="V12" s="322">
        <f t="shared" si="2"/>
        <v>717121.91</v>
      </c>
      <c r="W12" s="323"/>
      <c r="X12" s="327"/>
      <c r="Y12" s="328"/>
      <c r="Z12" s="328"/>
      <c r="AA12" s="322">
        <f t="shared" si="3"/>
        <v>717121.91</v>
      </c>
      <c r="AB12" s="320">
        <f t="shared" si="4"/>
        <v>8350.37</v>
      </c>
      <c r="AC12" s="321">
        <f t="shared" si="5"/>
        <v>6652</v>
      </c>
      <c r="AD12" s="323">
        <f t="shared" si="1"/>
        <v>717121.91</v>
      </c>
      <c r="AE12" s="304"/>
    </row>
    <row r="13" spans="1:31" ht="27" customHeight="1">
      <c r="A13" s="315" t="s">
        <v>68</v>
      </c>
      <c r="B13" s="316">
        <v>38898</v>
      </c>
      <c r="C13" s="316">
        <v>49674</v>
      </c>
      <c r="D13" s="316"/>
      <c r="E13" s="317">
        <f>'[1]FFB Payts'!AD13</f>
        <v>1817439.22</v>
      </c>
      <c r="F13" s="318">
        <v>0.04787</v>
      </c>
      <c r="G13" s="319" t="s">
        <v>164</v>
      </c>
      <c r="H13" s="318"/>
      <c r="I13" s="327">
        <v>21452.26</v>
      </c>
      <c r="J13" s="328">
        <v>560.17</v>
      </c>
      <c r="K13" s="328">
        <v>16339.09</v>
      </c>
      <c r="L13" s="322">
        <f t="shared" si="0"/>
        <v>1801100.13</v>
      </c>
      <c r="M13" s="323"/>
      <c r="N13" s="327"/>
      <c r="O13" s="328"/>
      <c r="P13" s="328"/>
      <c r="Q13" s="322">
        <f t="shared" si="6"/>
        <v>1801100.13</v>
      </c>
      <c r="R13" s="323"/>
      <c r="S13" s="327"/>
      <c r="T13" s="328"/>
      <c r="U13" s="328"/>
      <c r="V13" s="322">
        <f t="shared" si="2"/>
        <v>1801100.13</v>
      </c>
      <c r="W13" s="323"/>
      <c r="X13" s="327"/>
      <c r="Y13" s="328"/>
      <c r="Z13" s="328"/>
      <c r="AA13" s="322">
        <f t="shared" si="3"/>
        <v>1801100.13</v>
      </c>
      <c r="AB13" s="320">
        <f t="shared" si="4"/>
        <v>22012.429999999997</v>
      </c>
      <c r="AC13" s="321">
        <f t="shared" si="5"/>
        <v>16339.09</v>
      </c>
      <c r="AD13" s="323">
        <f t="shared" si="1"/>
        <v>1801100.13</v>
      </c>
      <c r="AE13" s="304"/>
    </row>
    <row r="14" spans="1:31" ht="27" customHeight="1">
      <c r="A14" s="315" t="s">
        <v>69</v>
      </c>
      <c r="B14" s="316">
        <v>37894</v>
      </c>
      <c r="C14" s="316">
        <v>49674</v>
      </c>
      <c r="D14" s="316"/>
      <c r="E14" s="317">
        <f>'[1]FFB Payts'!AD14</f>
        <v>937103.21</v>
      </c>
      <c r="F14" s="318">
        <v>0.04392</v>
      </c>
      <c r="G14" s="319" t="s">
        <v>164</v>
      </c>
      <c r="H14" s="318"/>
      <c r="I14" s="327">
        <v>10148.44</v>
      </c>
      <c r="J14" s="328">
        <v>288.83</v>
      </c>
      <c r="K14" s="328">
        <v>8745.38</v>
      </c>
      <c r="L14" s="322">
        <f t="shared" si="0"/>
        <v>928357.83</v>
      </c>
      <c r="M14" s="323"/>
      <c r="N14" s="327"/>
      <c r="O14" s="328"/>
      <c r="P14" s="328"/>
      <c r="Q14" s="322">
        <f t="shared" si="6"/>
        <v>928357.83</v>
      </c>
      <c r="R14" s="323"/>
      <c r="S14" s="327"/>
      <c r="T14" s="328"/>
      <c r="U14" s="328"/>
      <c r="V14" s="322">
        <f t="shared" si="2"/>
        <v>928357.83</v>
      </c>
      <c r="W14" s="323"/>
      <c r="X14" s="327"/>
      <c r="Y14" s="328"/>
      <c r="Z14" s="328"/>
      <c r="AA14" s="322">
        <f t="shared" si="3"/>
        <v>928357.83</v>
      </c>
      <c r="AB14" s="320">
        <f t="shared" si="4"/>
        <v>10437.27</v>
      </c>
      <c r="AC14" s="321">
        <f t="shared" si="5"/>
        <v>8745.38</v>
      </c>
      <c r="AD14" s="323">
        <f t="shared" si="1"/>
        <v>928357.83</v>
      </c>
      <c r="AE14" s="304"/>
    </row>
    <row r="15" spans="1:31" ht="27" customHeight="1">
      <c r="A15" s="315" t="s">
        <v>70</v>
      </c>
      <c r="B15" s="316">
        <v>38720</v>
      </c>
      <c r="C15" s="316">
        <v>49674</v>
      </c>
      <c r="D15" s="316"/>
      <c r="E15" s="317">
        <f>'[1]FFB Payts'!AD15</f>
        <v>1229994.6599999997</v>
      </c>
      <c r="F15" s="318">
        <v>0.04474</v>
      </c>
      <c r="G15" s="319" t="s">
        <v>164</v>
      </c>
      <c r="H15" s="318"/>
      <c r="I15" s="327">
        <v>13569.03</v>
      </c>
      <c r="J15" s="328">
        <v>379.11</v>
      </c>
      <c r="K15" s="328">
        <v>11390.31</v>
      </c>
      <c r="L15" s="322">
        <f t="shared" si="0"/>
        <v>1218604.3499999996</v>
      </c>
      <c r="M15" s="323"/>
      <c r="N15" s="327"/>
      <c r="O15" s="328"/>
      <c r="P15" s="328"/>
      <c r="Q15" s="322">
        <f t="shared" si="6"/>
        <v>1218604.3499999996</v>
      </c>
      <c r="R15" s="323"/>
      <c r="S15" s="327"/>
      <c r="T15" s="328"/>
      <c r="U15" s="328"/>
      <c r="V15" s="322">
        <f t="shared" si="2"/>
        <v>1218604.3499999996</v>
      </c>
      <c r="W15" s="323"/>
      <c r="X15" s="327"/>
      <c r="Y15" s="328"/>
      <c r="Z15" s="328"/>
      <c r="AA15" s="322">
        <f t="shared" si="3"/>
        <v>1218604.3499999996</v>
      </c>
      <c r="AB15" s="320">
        <f t="shared" si="4"/>
        <v>13948.140000000001</v>
      </c>
      <c r="AC15" s="321">
        <f t="shared" si="5"/>
        <v>11390.31</v>
      </c>
      <c r="AD15" s="323">
        <f t="shared" si="1"/>
        <v>1218604.3499999996</v>
      </c>
      <c r="AE15" s="304"/>
    </row>
    <row r="16" spans="1:31" ht="27" customHeight="1">
      <c r="A16" s="315" t="s">
        <v>71</v>
      </c>
      <c r="B16" s="316">
        <v>38394</v>
      </c>
      <c r="C16" s="316">
        <v>49674</v>
      </c>
      <c r="D16" s="316"/>
      <c r="E16" s="317">
        <f>'[1]FFB Payts'!AD16</f>
        <v>1460832.3399999999</v>
      </c>
      <c r="F16" s="318">
        <v>0.04207</v>
      </c>
      <c r="G16" s="319" t="s">
        <v>164</v>
      </c>
      <c r="H16" s="318"/>
      <c r="I16" s="327">
        <v>15153.83</v>
      </c>
      <c r="J16" s="328">
        <v>450.26</v>
      </c>
      <c r="K16" s="328">
        <v>13872.55</v>
      </c>
      <c r="L16" s="322">
        <f t="shared" si="0"/>
        <v>1446959.7899999998</v>
      </c>
      <c r="M16" s="323"/>
      <c r="N16" s="327"/>
      <c r="O16" s="328"/>
      <c r="P16" s="328"/>
      <c r="Q16" s="322">
        <f t="shared" si="6"/>
        <v>1446959.7899999998</v>
      </c>
      <c r="R16" s="323"/>
      <c r="S16" s="327"/>
      <c r="T16" s="328"/>
      <c r="U16" s="328"/>
      <c r="V16" s="322">
        <f t="shared" si="2"/>
        <v>1446959.7899999998</v>
      </c>
      <c r="W16" s="323"/>
      <c r="X16" s="327"/>
      <c r="Y16" s="328"/>
      <c r="Z16" s="328"/>
      <c r="AA16" s="322">
        <f t="shared" si="3"/>
        <v>1446959.7899999998</v>
      </c>
      <c r="AB16" s="320">
        <f t="shared" si="4"/>
        <v>15604.09</v>
      </c>
      <c r="AC16" s="321">
        <f t="shared" si="5"/>
        <v>13872.55</v>
      </c>
      <c r="AD16" s="323">
        <f t="shared" si="1"/>
        <v>1446959.7899999998</v>
      </c>
      <c r="AE16" s="304"/>
    </row>
    <row r="17" spans="1:31" ht="27" customHeight="1">
      <c r="A17" s="315" t="s">
        <v>72</v>
      </c>
      <c r="B17" s="316">
        <v>38533</v>
      </c>
      <c r="C17" s="316">
        <v>49674</v>
      </c>
      <c r="D17" s="316"/>
      <c r="E17" s="317">
        <f>'[1]FFB Payts'!AD17</f>
        <v>1037423.2999999998</v>
      </c>
      <c r="F17" s="318">
        <v>0.04463</v>
      </c>
      <c r="G17" s="319" t="s">
        <v>164</v>
      </c>
      <c r="H17" s="329" t="s">
        <v>32</v>
      </c>
      <c r="I17" s="327">
        <v>11416.49</v>
      </c>
      <c r="J17" s="328">
        <v>319.75</v>
      </c>
      <c r="K17" s="328">
        <v>9616.98</v>
      </c>
      <c r="L17" s="322">
        <f t="shared" si="0"/>
        <v>1027806.3199999998</v>
      </c>
      <c r="M17" s="329" t="s">
        <v>32</v>
      </c>
      <c r="N17" s="327"/>
      <c r="O17" s="328"/>
      <c r="P17" s="328"/>
      <c r="Q17" s="322">
        <f t="shared" si="6"/>
        <v>1027806.3199999998</v>
      </c>
      <c r="R17" s="329" t="s">
        <v>32</v>
      </c>
      <c r="S17" s="327"/>
      <c r="T17" s="328"/>
      <c r="U17" s="328"/>
      <c r="V17" s="322">
        <f t="shared" si="2"/>
        <v>1027806.3199999998</v>
      </c>
      <c r="W17" s="329" t="s">
        <v>32</v>
      </c>
      <c r="X17" s="320"/>
      <c r="Y17" s="328"/>
      <c r="Z17" s="328"/>
      <c r="AA17" s="322">
        <f t="shared" si="3"/>
        <v>1027806.3199999998</v>
      </c>
      <c r="AB17" s="320">
        <f t="shared" si="4"/>
        <v>11736.24</v>
      </c>
      <c r="AC17" s="321">
        <f t="shared" si="5"/>
        <v>9616.98</v>
      </c>
      <c r="AD17" s="323">
        <f t="shared" si="1"/>
        <v>1027806.3199999998</v>
      </c>
      <c r="AE17" s="304"/>
    </row>
    <row r="18" spans="1:31" ht="23.25" customHeight="1">
      <c r="A18" s="315" t="s">
        <v>106</v>
      </c>
      <c r="B18" s="330">
        <v>40990</v>
      </c>
      <c r="C18" s="330">
        <v>53327</v>
      </c>
      <c r="D18" s="330"/>
      <c r="E18" s="317">
        <f>'[1]FFB Payts'!AD18</f>
        <v>2568603.76</v>
      </c>
      <c r="F18" s="319">
        <v>0.00509</v>
      </c>
      <c r="G18" s="319" t="s">
        <v>164</v>
      </c>
      <c r="H18" s="319"/>
      <c r="I18" s="327">
        <v>16144.2</v>
      </c>
      <c r="J18" s="328">
        <v>791.69</v>
      </c>
      <c r="K18" s="328">
        <v>16004.47</v>
      </c>
      <c r="L18" s="322">
        <f t="shared" si="0"/>
        <v>2552599.2899999996</v>
      </c>
      <c r="M18" s="331"/>
      <c r="N18" s="327"/>
      <c r="P18" s="328"/>
      <c r="Q18" s="322">
        <f t="shared" si="6"/>
        <v>2552599.2899999996</v>
      </c>
      <c r="R18" s="323"/>
      <c r="S18" s="327"/>
      <c r="T18" s="328"/>
      <c r="U18" s="328"/>
      <c r="V18" s="322">
        <f t="shared" si="2"/>
        <v>2552599.2899999996</v>
      </c>
      <c r="W18" s="323"/>
      <c r="X18" s="320"/>
      <c r="Y18" s="328"/>
      <c r="Z18" s="328"/>
      <c r="AA18" s="322">
        <f t="shared" si="3"/>
        <v>2552599.2899999996</v>
      </c>
      <c r="AB18" s="320">
        <f t="shared" si="4"/>
        <v>16935.89</v>
      </c>
      <c r="AC18" s="321">
        <f t="shared" si="5"/>
        <v>16004.47</v>
      </c>
      <c r="AD18" s="323">
        <f t="shared" si="1"/>
        <v>2552599.2899999996</v>
      </c>
      <c r="AE18" s="304"/>
    </row>
    <row r="19" spans="1:31" ht="23.25" customHeight="1">
      <c r="A19" s="315" t="s">
        <v>107</v>
      </c>
      <c r="B19" s="330">
        <v>41341</v>
      </c>
      <c r="C19" s="330">
        <v>43283</v>
      </c>
      <c r="D19" s="330">
        <v>43283</v>
      </c>
      <c r="E19" s="317">
        <f>'[1]FFB Payts'!AD19</f>
        <v>4300103.24</v>
      </c>
      <c r="F19" s="319">
        <v>0.00509</v>
      </c>
      <c r="G19" s="319" t="s">
        <v>113</v>
      </c>
      <c r="H19" s="319">
        <v>0.01738</v>
      </c>
      <c r="I19" s="327">
        <v>16169.56</v>
      </c>
      <c r="J19" s="328"/>
      <c r="K19" s="328">
        <v>31627.59</v>
      </c>
      <c r="L19" s="322">
        <f t="shared" si="0"/>
        <v>4268475.65</v>
      </c>
      <c r="M19" s="331">
        <v>0.0234</v>
      </c>
      <c r="N19" s="327">
        <f>(L19*H19)/365*78.97</f>
        <v>16050.621517148193</v>
      </c>
      <c r="P19" s="328">
        <v>30054.55</v>
      </c>
      <c r="Q19" s="322">
        <f t="shared" si="6"/>
        <v>4238421.100000001</v>
      </c>
      <c r="R19" s="331">
        <v>0.0212</v>
      </c>
      <c r="S19" s="327">
        <f>(Q19*M19)/365*78.97</f>
        <v>21457.999654377538</v>
      </c>
      <c r="T19" s="328"/>
      <c r="U19" s="328">
        <v>30054.55</v>
      </c>
      <c r="V19" s="322">
        <f>Q19-U19</f>
        <v>4208366.550000001</v>
      </c>
      <c r="W19" s="323"/>
      <c r="X19" s="320">
        <f>(V19*R19)/365*78.97</f>
        <v>19302.728155655343</v>
      </c>
      <c r="Y19" s="328"/>
      <c r="Z19" s="328"/>
      <c r="AA19" s="322">
        <f t="shared" si="3"/>
        <v>4208366.550000001</v>
      </c>
      <c r="AB19" s="320">
        <f t="shared" si="4"/>
        <v>72980.90932718109</v>
      </c>
      <c r="AC19" s="321">
        <f t="shared" si="5"/>
        <v>91736.69</v>
      </c>
      <c r="AD19" s="323">
        <f t="shared" si="1"/>
        <v>4208366.55</v>
      </c>
      <c r="AE19" s="304"/>
    </row>
    <row r="20" spans="1:31" ht="23.25" customHeight="1">
      <c r="A20" s="332" t="s">
        <v>108</v>
      </c>
      <c r="B20" s="330">
        <v>41740</v>
      </c>
      <c r="C20" s="330">
        <v>43283</v>
      </c>
      <c r="D20" s="330">
        <v>43283</v>
      </c>
      <c r="E20" s="317">
        <f>'[1]FFB Payts'!AD20</f>
        <v>1787628.26</v>
      </c>
      <c r="F20" s="319">
        <f>'[1]FFB Payts'!$W$19</f>
        <v>0.01065</v>
      </c>
      <c r="G20" s="319" t="s">
        <v>113</v>
      </c>
      <c r="H20" s="319">
        <v>0.01738</v>
      </c>
      <c r="I20" s="327">
        <v>6721.97</v>
      </c>
      <c r="J20" s="328"/>
      <c r="K20" s="328">
        <v>13148.14</v>
      </c>
      <c r="L20" s="322">
        <f t="shared" si="0"/>
        <v>1774480.12</v>
      </c>
      <c r="M20" s="331">
        <v>0.0234</v>
      </c>
      <c r="N20" s="327">
        <f aca="true" t="shared" si="7" ref="N20:N25">(L20*H20)/365*78.97</f>
        <v>6672.524603911868</v>
      </c>
      <c r="P20" s="328">
        <v>12494.2</v>
      </c>
      <c r="Q20" s="322">
        <f t="shared" si="6"/>
        <v>1761985.9200000002</v>
      </c>
      <c r="R20" s="331">
        <v>0.0212</v>
      </c>
      <c r="S20" s="327">
        <f aca="true" t="shared" si="8" ref="S20:S25">(Q20*M20)/365*78.97</f>
        <v>8920.466459167563</v>
      </c>
      <c r="T20" s="328"/>
      <c r="U20" s="328">
        <v>12494.2</v>
      </c>
      <c r="V20" s="322">
        <f t="shared" si="2"/>
        <v>1749491.7200000002</v>
      </c>
      <c r="W20" s="323"/>
      <c r="X20" s="320">
        <f aca="true" t="shared" si="9" ref="X20:X25">(V20*R20)/365*78.97</f>
        <v>8024.482344992001</v>
      </c>
      <c r="Y20" s="328"/>
      <c r="Z20" s="328"/>
      <c r="AA20" s="322">
        <f t="shared" si="3"/>
        <v>1749491.7200000002</v>
      </c>
      <c r="AB20" s="320">
        <f t="shared" si="4"/>
        <v>30339.443408071435</v>
      </c>
      <c r="AC20" s="321">
        <f t="shared" si="5"/>
        <v>38136.54</v>
      </c>
      <c r="AD20" s="323">
        <f t="shared" si="1"/>
        <v>1749491.72</v>
      </c>
      <c r="AE20" s="304"/>
    </row>
    <row r="21" spans="1:31" ht="27" customHeight="1">
      <c r="A21" s="315" t="s">
        <v>162</v>
      </c>
      <c r="B21" s="330">
        <v>42038</v>
      </c>
      <c r="C21" s="330">
        <v>54423</v>
      </c>
      <c r="D21" s="330"/>
      <c r="E21" s="317">
        <f>'[1]FFB Payts'!AD21</f>
        <v>1250026.5299999998</v>
      </c>
      <c r="F21" s="319">
        <f>'[1]FFB Payts'!$W$20</f>
        <v>0.01065</v>
      </c>
      <c r="G21" s="318" t="s">
        <v>164</v>
      </c>
      <c r="H21" s="319"/>
      <c r="I21" s="327">
        <v>8020.03</v>
      </c>
      <c r="J21" s="328">
        <v>385.28</v>
      </c>
      <c r="K21" s="328">
        <v>6696.05</v>
      </c>
      <c r="L21" s="322">
        <f t="shared" si="0"/>
        <v>1243330.4799999997</v>
      </c>
      <c r="M21" s="331"/>
      <c r="N21" s="327">
        <f t="shared" si="7"/>
        <v>0</v>
      </c>
      <c r="O21" s="328"/>
      <c r="P21" s="328"/>
      <c r="Q21" s="322">
        <f>L21-P21</f>
        <v>1243330.4799999997</v>
      </c>
      <c r="R21" s="331"/>
      <c r="S21" s="327">
        <f t="shared" si="8"/>
        <v>0</v>
      </c>
      <c r="T21" s="328"/>
      <c r="U21" s="328"/>
      <c r="V21" s="322">
        <f t="shared" si="2"/>
        <v>1243330.4799999997</v>
      </c>
      <c r="W21" s="323"/>
      <c r="X21" s="320">
        <f t="shared" si="9"/>
        <v>0</v>
      </c>
      <c r="Y21" s="328"/>
      <c r="Z21" s="328"/>
      <c r="AA21" s="322">
        <f t="shared" si="3"/>
        <v>1243330.4799999997</v>
      </c>
      <c r="AB21" s="320">
        <f t="shared" si="4"/>
        <v>8405.31</v>
      </c>
      <c r="AC21" s="321">
        <f t="shared" si="5"/>
        <v>6696.05</v>
      </c>
      <c r="AD21" s="323">
        <f t="shared" si="1"/>
        <v>1243330.4799999997</v>
      </c>
      <c r="AE21" s="304"/>
    </row>
    <row r="22" spans="1:31" ht="27" customHeight="1">
      <c r="A22" s="315" t="s">
        <v>163</v>
      </c>
      <c r="B22" s="330">
        <v>42282</v>
      </c>
      <c r="C22" s="330">
        <v>54423</v>
      </c>
      <c r="D22" s="330"/>
      <c r="E22" s="317">
        <f>'[1]FFB Payts'!AD22</f>
        <v>5096262.01</v>
      </c>
      <c r="F22" s="319">
        <v>0.00509</v>
      </c>
      <c r="G22" s="318" t="s">
        <v>164</v>
      </c>
      <c r="H22" s="333"/>
      <c r="I22" s="321">
        <v>32697.06</v>
      </c>
      <c r="J22" s="328">
        <v>1570.77</v>
      </c>
      <c r="K22" s="328">
        <v>27299.27</v>
      </c>
      <c r="L22" s="322">
        <f>E22-K22</f>
        <v>5068962.74</v>
      </c>
      <c r="M22" s="331"/>
      <c r="N22" s="327">
        <f t="shared" si="7"/>
        <v>0</v>
      </c>
      <c r="O22" s="328"/>
      <c r="P22" s="328"/>
      <c r="Q22" s="322">
        <f>L22-P22</f>
        <v>5068962.74</v>
      </c>
      <c r="R22" s="331"/>
      <c r="S22" s="327">
        <f t="shared" si="8"/>
        <v>0</v>
      </c>
      <c r="T22" s="328"/>
      <c r="U22" s="328"/>
      <c r="V22" s="322">
        <f t="shared" si="2"/>
        <v>5068962.74</v>
      </c>
      <c r="W22" s="323"/>
      <c r="X22" s="320">
        <f t="shared" si="9"/>
        <v>0</v>
      </c>
      <c r="Y22" s="328"/>
      <c r="Z22" s="328"/>
      <c r="AA22" s="322">
        <f t="shared" si="3"/>
        <v>5068962.74</v>
      </c>
      <c r="AB22" s="320">
        <f t="shared" si="4"/>
        <v>34267.83</v>
      </c>
      <c r="AC22" s="321">
        <f t="shared" si="5"/>
        <v>27299.27</v>
      </c>
      <c r="AD22" s="323">
        <f t="shared" si="1"/>
        <v>5068962.74</v>
      </c>
      <c r="AE22" s="304"/>
    </row>
    <row r="23" spans="1:31" ht="27" customHeight="1">
      <c r="A23" s="332" t="s">
        <v>165</v>
      </c>
      <c r="B23" s="330">
        <v>42632</v>
      </c>
      <c r="C23" s="330">
        <v>43283</v>
      </c>
      <c r="D23" s="330">
        <v>43283</v>
      </c>
      <c r="E23" s="317">
        <f>'[1]FFB Payts'!AD23</f>
        <v>3862781.2199999997</v>
      </c>
      <c r="F23" s="318">
        <f>'[1]FFB Payts'!$W$23</f>
        <v>0.01065</v>
      </c>
      <c r="G23" s="318" t="s">
        <v>113</v>
      </c>
      <c r="H23" s="333">
        <v>0.01738</v>
      </c>
      <c r="I23" s="321">
        <v>14525.11</v>
      </c>
      <c r="J23" s="328"/>
      <c r="K23" s="328">
        <v>25114.67</v>
      </c>
      <c r="L23" s="322">
        <f t="shared" si="0"/>
        <v>3837666.55</v>
      </c>
      <c r="M23" s="331">
        <v>0.0234</v>
      </c>
      <c r="N23" s="327">
        <f t="shared" si="7"/>
        <v>14430.662923676244</v>
      </c>
      <c r="O23" s="328"/>
      <c r="P23" s="328">
        <v>23712.36</v>
      </c>
      <c r="Q23" s="322">
        <f>L23-P23</f>
        <v>3813954.19</v>
      </c>
      <c r="R23" s="331">
        <v>0.0212</v>
      </c>
      <c r="S23" s="327">
        <f t="shared" si="8"/>
        <v>19309.03649258252</v>
      </c>
      <c r="T23" s="328"/>
      <c r="U23" s="328">
        <v>23712.36</v>
      </c>
      <c r="V23" s="322">
        <f t="shared" si="2"/>
        <v>3790241.83</v>
      </c>
      <c r="W23" s="323"/>
      <c r="X23" s="320">
        <f t="shared" si="9"/>
        <v>17384.894309808547</v>
      </c>
      <c r="Y23" s="328"/>
      <c r="Z23" s="328"/>
      <c r="AA23" s="322">
        <f t="shared" si="3"/>
        <v>3790241.83</v>
      </c>
      <c r="AB23" s="320">
        <f t="shared" si="4"/>
        <v>65649.70372606731</v>
      </c>
      <c r="AC23" s="321">
        <f t="shared" si="5"/>
        <v>72539.39</v>
      </c>
      <c r="AD23" s="323">
        <f>E23-AC23</f>
        <v>3790241.8299999996</v>
      </c>
      <c r="AE23" s="304"/>
    </row>
    <row r="24" spans="1:31" ht="27" customHeight="1">
      <c r="A24" s="332" t="s">
        <v>172</v>
      </c>
      <c r="B24" s="330">
        <v>42905</v>
      </c>
      <c r="C24" s="330">
        <v>43283</v>
      </c>
      <c r="D24" s="330">
        <v>43283</v>
      </c>
      <c r="E24" s="317">
        <f>'[1]FFB Payts'!AD24</f>
        <v>4541164.55</v>
      </c>
      <c r="F24" s="318">
        <f>'[1]FFB Payts'!$W$24</f>
        <v>0.01065</v>
      </c>
      <c r="G24" s="318" t="s">
        <v>113</v>
      </c>
      <c r="H24" s="333">
        <v>0.01738</v>
      </c>
      <c r="I24" s="321">
        <v>17076.02</v>
      </c>
      <c r="J24" s="328"/>
      <c r="K24" s="328">
        <v>29525.32</v>
      </c>
      <c r="L24" s="322">
        <f t="shared" si="0"/>
        <v>4511639.2299999995</v>
      </c>
      <c r="M24" s="331">
        <v>0.0234</v>
      </c>
      <c r="N24" s="327">
        <f t="shared" si="7"/>
        <v>16964.982265424867</v>
      </c>
      <c r="O24" s="328"/>
      <c r="P24" s="328">
        <v>27876.74</v>
      </c>
      <c r="Q24" s="322">
        <f>L24-P24</f>
        <v>4483762.489999999</v>
      </c>
      <c r="R24" s="331">
        <v>0.0212</v>
      </c>
      <c r="S24" s="327">
        <f t="shared" si="8"/>
        <v>22700.097911632925</v>
      </c>
      <c r="T24" s="328"/>
      <c r="U24" s="328">
        <v>27876.74</v>
      </c>
      <c r="V24" s="322">
        <f>Q24-U24</f>
        <v>4455885.749999999</v>
      </c>
      <c r="W24" s="323"/>
      <c r="X24" s="320">
        <f t="shared" si="9"/>
        <v>20438.03701578904</v>
      </c>
      <c r="Y24" s="328"/>
      <c r="Z24" s="328"/>
      <c r="AA24" s="322">
        <f>V24-Z24</f>
        <v>4455885.749999999</v>
      </c>
      <c r="AB24" s="320">
        <f t="shared" si="4"/>
        <v>77179.13719284683</v>
      </c>
      <c r="AC24" s="321">
        <f t="shared" si="5"/>
        <v>85278.8</v>
      </c>
      <c r="AD24" s="323">
        <f>E24-AC24</f>
        <v>4455885.75</v>
      </c>
      <c r="AE24" s="304"/>
    </row>
    <row r="25" spans="1:31" ht="27" customHeight="1">
      <c r="A25" s="390" t="s">
        <v>177</v>
      </c>
      <c r="B25" s="330">
        <v>43165</v>
      </c>
      <c r="C25" s="330">
        <v>43283</v>
      </c>
      <c r="D25" s="330">
        <v>43283</v>
      </c>
      <c r="E25" s="317">
        <v>2300000</v>
      </c>
      <c r="F25" s="318">
        <v>0.01752</v>
      </c>
      <c r="G25" s="45" t="s">
        <v>113</v>
      </c>
      <c r="H25" s="333">
        <v>0.01752</v>
      </c>
      <c r="I25" s="321"/>
      <c r="J25" s="328"/>
      <c r="K25" s="328"/>
      <c r="L25" s="322">
        <f>E25-K25</f>
        <v>2300000</v>
      </c>
      <c r="M25" s="331">
        <v>0.0234</v>
      </c>
      <c r="N25" s="327">
        <f t="shared" si="7"/>
        <v>8718.288</v>
      </c>
      <c r="O25" s="328"/>
      <c r="P25" s="328">
        <v>11229.21</v>
      </c>
      <c r="Q25" s="322">
        <f>L25-P25</f>
        <v>2288770.79</v>
      </c>
      <c r="R25" s="331">
        <v>0.0212</v>
      </c>
      <c r="S25" s="327">
        <f t="shared" si="8"/>
        <v>11587.438261094301</v>
      </c>
      <c r="T25" s="328"/>
      <c r="U25" s="328">
        <v>11229.21</v>
      </c>
      <c r="V25" s="322">
        <f t="shared" si="2"/>
        <v>2277541.58</v>
      </c>
      <c r="W25" s="323"/>
      <c r="X25" s="320">
        <f t="shared" si="9"/>
        <v>10446.515402024988</v>
      </c>
      <c r="Y25" s="328"/>
      <c r="Z25" s="328"/>
      <c r="AA25" s="322">
        <f>V25-Z25</f>
        <v>2277541.58</v>
      </c>
      <c r="AB25" s="320">
        <f t="shared" si="4"/>
        <v>30752.24166311929</v>
      </c>
      <c r="AC25" s="321">
        <f t="shared" si="5"/>
        <v>22458.42</v>
      </c>
      <c r="AD25" s="323">
        <f>E25-AC25</f>
        <v>2277541.58</v>
      </c>
      <c r="AE25" s="304"/>
    </row>
    <row r="26" spans="1:31" ht="27" customHeight="1">
      <c r="A26" s="315"/>
      <c r="B26" s="330"/>
      <c r="C26" s="330"/>
      <c r="D26" s="330"/>
      <c r="E26" s="317"/>
      <c r="F26" s="318"/>
      <c r="G26" s="318"/>
      <c r="H26" s="334"/>
      <c r="I26" s="321"/>
      <c r="J26" s="328"/>
      <c r="K26" s="328"/>
      <c r="L26" s="322"/>
      <c r="M26" s="322"/>
      <c r="N26" s="321"/>
      <c r="O26" s="328"/>
      <c r="P26" s="328"/>
      <c r="Q26" s="322"/>
      <c r="R26" s="323"/>
      <c r="S26" s="327"/>
      <c r="T26" s="328"/>
      <c r="U26" s="328"/>
      <c r="V26" s="322"/>
      <c r="W26" s="323"/>
      <c r="X26" s="320"/>
      <c r="Y26" s="328"/>
      <c r="Z26" s="328"/>
      <c r="AA26" s="322"/>
      <c r="AB26" s="320"/>
      <c r="AC26" s="328"/>
      <c r="AD26" s="323"/>
      <c r="AE26" s="304"/>
    </row>
    <row r="27" spans="1:31" ht="25.5" customHeight="1">
      <c r="A27" s="315"/>
      <c r="B27" s="315"/>
      <c r="C27" s="315"/>
      <c r="D27" s="335" t="s">
        <v>175</v>
      </c>
      <c r="E27" s="336">
        <f>SUM(E5:E24)</f>
        <v>35780923.239999995</v>
      </c>
      <c r="F27" s="337"/>
      <c r="G27" s="337"/>
      <c r="H27" s="337"/>
      <c r="I27" s="320">
        <f>SUM(I5:I25)</f>
        <v>251636.50999999998</v>
      </c>
      <c r="J27" s="321">
        <f>SUM(J5:J25)</f>
        <v>6561.75</v>
      </c>
      <c r="K27" s="321">
        <f>SUM(K5:K25)</f>
        <v>267659.49</v>
      </c>
      <c r="L27" s="338">
        <f>SUM(L5:L25)</f>
        <v>37813263.75</v>
      </c>
      <c r="M27" s="317"/>
      <c r="N27" s="320">
        <f>SUM(N5:N25)</f>
        <v>62837.07931016118</v>
      </c>
      <c r="O27" s="321">
        <f>SUM(O5:O25)</f>
        <v>0</v>
      </c>
      <c r="P27" s="321">
        <f>SUM(P5:P25)</f>
        <v>105367.06</v>
      </c>
      <c r="Q27" s="388">
        <f>SUM(Q5:Q25)</f>
        <v>37707896.69</v>
      </c>
      <c r="R27" s="317"/>
      <c r="S27" s="339">
        <f>SUM(S4:S25)</f>
        <v>83975.03877885485</v>
      </c>
      <c r="T27" s="323">
        <f>SUM(T4:T25)</f>
        <v>0</v>
      </c>
      <c r="U27" s="323">
        <f>SUM(U4:U25)</f>
        <v>105367.06</v>
      </c>
      <c r="V27" s="338">
        <f>SUM(V4:V25)</f>
        <v>37602529.629999995</v>
      </c>
      <c r="W27" s="323"/>
      <c r="X27" s="340">
        <f>SUM(X4:X25)</f>
        <v>75596.65722826992</v>
      </c>
      <c r="Y27" s="323">
        <f>SUM(Y4:Y25)</f>
        <v>0</v>
      </c>
      <c r="Z27" s="323">
        <f>SUM(Z4:Z25)</f>
        <v>0</v>
      </c>
      <c r="AA27" s="338">
        <f>SUM(AA4:AA25)</f>
        <v>37602529.629999995</v>
      </c>
      <c r="AB27" s="321">
        <f>SUM(AB5:AB23)</f>
        <v>372675.6564613198</v>
      </c>
      <c r="AC27" s="328">
        <f>SUM(AC5:AC23)</f>
        <v>370656.39</v>
      </c>
      <c r="AD27" s="341">
        <f>SUM(AD5:AD23)</f>
        <v>30869102.299999997</v>
      </c>
      <c r="AE27" s="304"/>
    </row>
    <row r="28" spans="1:31" ht="15">
      <c r="A28" s="315"/>
      <c r="B28" s="315"/>
      <c r="C28" s="315"/>
      <c r="D28" s="335" t="s">
        <v>176</v>
      </c>
      <c r="E28" s="336">
        <f>E27+E25</f>
        <v>38080923.239999995</v>
      </c>
      <c r="F28" s="337"/>
      <c r="G28" s="337"/>
      <c r="H28" s="337"/>
      <c r="I28" s="339"/>
      <c r="J28" s="317"/>
      <c r="K28" s="328"/>
      <c r="L28" s="342"/>
      <c r="M28" s="343"/>
      <c r="N28" s="339"/>
      <c r="O28" s="317"/>
      <c r="P28" s="328"/>
      <c r="Q28" s="344"/>
      <c r="R28" s="345"/>
      <c r="S28" s="339"/>
      <c r="T28" s="317"/>
      <c r="U28" s="328"/>
      <c r="V28" s="345"/>
      <c r="W28" s="345"/>
      <c r="X28" s="339"/>
      <c r="Y28" s="317"/>
      <c r="Z28" s="328"/>
      <c r="AA28" s="345"/>
      <c r="AB28" s="340"/>
      <c r="AC28" s="317"/>
      <c r="AD28" s="345"/>
      <c r="AE28" s="304"/>
    </row>
    <row r="29" spans="1:31" ht="15">
      <c r="A29" s="346"/>
      <c r="B29" s="315"/>
      <c r="C29" s="315"/>
      <c r="D29" s="315"/>
      <c r="E29" s="317"/>
      <c r="F29" s="337"/>
      <c r="G29" s="337"/>
      <c r="H29" s="337"/>
      <c r="I29" s="339"/>
      <c r="J29" s="347"/>
      <c r="K29" s="328"/>
      <c r="L29" s="322"/>
      <c r="M29" s="317"/>
      <c r="N29" s="339"/>
      <c r="O29" s="347"/>
      <c r="P29" s="328"/>
      <c r="Q29" s="322"/>
      <c r="R29" s="317"/>
      <c r="S29" s="327"/>
      <c r="T29" s="347"/>
      <c r="U29" s="317"/>
      <c r="X29" s="339"/>
      <c r="Y29" s="347"/>
      <c r="Z29" s="328"/>
      <c r="AA29" s="348"/>
      <c r="AB29" s="340"/>
      <c r="AC29" s="343"/>
      <c r="AD29" s="349"/>
      <c r="AE29" s="304"/>
    </row>
    <row r="30" spans="1:27" ht="15">
      <c r="A30" s="350"/>
      <c r="E30" s="317"/>
      <c r="F30" s="337"/>
      <c r="G30" s="337"/>
      <c r="H30" s="337"/>
      <c r="I30" s="323"/>
      <c r="J30" s="347">
        <v>261828.99</v>
      </c>
      <c r="K30" s="347"/>
      <c r="N30" s="323"/>
      <c r="O30" s="347"/>
      <c r="P30" s="347"/>
      <c r="S30" s="321"/>
      <c r="T30" s="347"/>
      <c r="U30" s="347"/>
      <c r="X30" s="323"/>
      <c r="Z30" s="351"/>
      <c r="AA30" s="351"/>
    </row>
    <row r="31" spans="1:27" ht="15">
      <c r="A31" s="350"/>
      <c r="I31" s="323"/>
      <c r="J31" s="347"/>
      <c r="K31" s="347"/>
      <c r="L31" s="351"/>
      <c r="N31" s="323"/>
      <c r="O31" s="347"/>
      <c r="Q31" s="351"/>
      <c r="S31" s="321"/>
      <c r="U31" s="347"/>
      <c r="V31" s="351"/>
      <c r="X31" s="323"/>
      <c r="Z31" s="352"/>
      <c r="AA31" s="351"/>
    </row>
    <row r="32" spans="1:27" ht="15.75" thickBot="1">
      <c r="A32" s="350"/>
      <c r="I32" s="323"/>
      <c r="J32" s="347"/>
      <c r="K32" s="347"/>
      <c r="N32" s="323"/>
      <c r="P32" s="353"/>
      <c r="S32" s="321"/>
      <c r="U32" s="353"/>
      <c r="X32" s="323"/>
      <c r="Z32" s="352"/>
      <c r="AA32" s="351"/>
    </row>
    <row r="33" spans="1:27" ht="15">
      <c r="A33" s="350"/>
      <c r="E33" s="354" t="s">
        <v>123</v>
      </c>
      <c r="H33" s="355"/>
      <c r="I33" s="356" t="s">
        <v>124</v>
      </c>
      <c r="J33" s="356" t="s">
        <v>125</v>
      </c>
      <c r="K33" s="357"/>
      <c r="L33" s="358"/>
      <c r="M33" s="358"/>
      <c r="N33" s="356" t="s">
        <v>124</v>
      </c>
      <c r="O33" s="356" t="s">
        <v>125</v>
      </c>
      <c r="P33" s="357"/>
      <c r="Q33" s="358"/>
      <c r="R33" s="358"/>
      <c r="S33" s="356" t="s">
        <v>124</v>
      </c>
      <c r="T33" s="356" t="s">
        <v>125</v>
      </c>
      <c r="U33" s="357"/>
      <c r="V33" s="358"/>
      <c r="W33" s="358"/>
      <c r="X33" s="356" t="s">
        <v>124</v>
      </c>
      <c r="Y33" s="359" t="s">
        <v>125</v>
      </c>
      <c r="Z33" s="360"/>
      <c r="AA33" s="351"/>
    </row>
    <row r="34" spans="5:26" ht="15">
      <c r="E34" s="361"/>
      <c r="H34" s="362" t="s">
        <v>33</v>
      </c>
      <c r="I34" s="363">
        <f>E35</f>
        <v>93350</v>
      </c>
      <c r="J34" s="364">
        <f>E35</f>
        <v>93350</v>
      </c>
      <c r="K34" s="365"/>
      <c r="L34" s="365"/>
      <c r="M34" s="366" t="s">
        <v>39</v>
      </c>
      <c r="N34" s="363">
        <f>I36+E35</f>
        <v>351548.26</v>
      </c>
      <c r="O34" s="364">
        <f>E35</f>
        <v>93350</v>
      </c>
      <c r="P34" s="367"/>
      <c r="Q34" s="367"/>
      <c r="R34" s="368" t="s">
        <v>121</v>
      </c>
      <c r="S34" s="363">
        <f>N36+E35</f>
        <v>414385.3393101612</v>
      </c>
      <c r="T34" s="364">
        <f>E35</f>
        <v>93350</v>
      </c>
      <c r="U34" s="367"/>
      <c r="V34" s="367"/>
      <c r="W34" s="368" t="s">
        <v>45</v>
      </c>
      <c r="X34" s="363">
        <f>S36+E35</f>
        <v>498360.37808901607</v>
      </c>
      <c r="Y34" s="369">
        <f>E35</f>
        <v>93350</v>
      </c>
      <c r="Z34" s="370"/>
    </row>
    <row r="35" spans="4:26" ht="15">
      <c r="D35" s="371" t="s">
        <v>127</v>
      </c>
      <c r="E35" s="372">
        <v>93350</v>
      </c>
      <c r="H35" s="373" t="s">
        <v>37</v>
      </c>
      <c r="I35" s="374">
        <f>I34+E35</f>
        <v>186700</v>
      </c>
      <c r="J35" s="375">
        <f>E35*2</f>
        <v>186700</v>
      </c>
      <c r="K35" s="367"/>
      <c r="L35" s="367"/>
      <c r="M35" s="368" t="s">
        <v>40</v>
      </c>
      <c r="N35" s="374">
        <f>N34+E35</f>
        <v>444898.26</v>
      </c>
      <c r="O35" s="375">
        <f>E35*2</f>
        <v>186700</v>
      </c>
      <c r="P35" s="370"/>
      <c r="Q35" s="367"/>
      <c r="R35" s="376" t="s">
        <v>43</v>
      </c>
      <c r="S35" s="374">
        <f>S34+E35</f>
        <v>507735.3393101612</v>
      </c>
      <c r="T35" s="375">
        <f>E35*2</f>
        <v>186700</v>
      </c>
      <c r="U35" s="370"/>
      <c r="V35" s="367"/>
      <c r="W35" s="376" t="s">
        <v>46</v>
      </c>
      <c r="X35" s="374">
        <f>X34+E35</f>
        <v>591710.3780890161</v>
      </c>
      <c r="Y35" s="377">
        <f>E35*2</f>
        <v>186700</v>
      </c>
      <c r="Z35" s="370"/>
    </row>
    <row r="36" spans="4:26" ht="15.75" thickBot="1">
      <c r="D36" s="371"/>
      <c r="E36" s="372"/>
      <c r="H36" s="378" t="s">
        <v>38</v>
      </c>
      <c r="I36" s="379">
        <f>I27+J27</f>
        <v>258198.25999999998</v>
      </c>
      <c r="J36" s="380">
        <v>0</v>
      </c>
      <c r="K36" s="381"/>
      <c r="L36" s="381"/>
      <c r="M36" s="381" t="s">
        <v>120</v>
      </c>
      <c r="N36" s="379">
        <f>I36+N27+O27</f>
        <v>321035.3393101612</v>
      </c>
      <c r="O36" s="380">
        <v>0</v>
      </c>
      <c r="P36" s="381"/>
      <c r="Q36" s="381"/>
      <c r="R36" s="381" t="s">
        <v>122</v>
      </c>
      <c r="S36" s="379">
        <f>N36+S27+T27</f>
        <v>405010.37808901607</v>
      </c>
      <c r="T36" s="380">
        <v>0</v>
      </c>
      <c r="U36" s="381"/>
      <c r="V36" s="381"/>
      <c r="W36" s="381" t="s">
        <v>47</v>
      </c>
      <c r="X36" s="379">
        <f>S36+X27+Y27</f>
        <v>480607.035317286</v>
      </c>
      <c r="Y36" s="382">
        <v>0</v>
      </c>
      <c r="Z36" s="383" t="s">
        <v>150</v>
      </c>
    </row>
    <row r="37" spans="4:26" ht="15">
      <c r="D37" s="371"/>
      <c r="E37" s="372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84"/>
      <c r="T37" s="370"/>
      <c r="U37" s="370"/>
      <c r="V37" s="370"/>
      <c r="W37" s="370"/>
      <c r="X37" s="370"/>
      <c r="Y37" s="370"/>
      <c r="Z37" s="370"/>
    </row>
    <row r="38" ht="15">
      <c r="S38" s="328"/>
    </row>
    <row r="39" ht="15">
      <c r="S39" s="328"/>
    </row>
    <row r="40" spans="10:25" ht="15">
      <c r="J40" s="385">
        <f>I27+J27+K27</f>
        <v>525857.75</v>
      </c>
      <c r="O40" s="385">
        <f>J40+N27+O27+P27</f>
        <v>694061.8893101611</v>
      </c>
      <c r="S40" s="328"/>
      <c r="T40" s="385">
        <f>O40+S27+T27+U27</f>
        <v>883403.9880890159</v>
      </c>
      <c r="Y40" s="385">
        <f>T40+X27+Y27+Z27</f>
        <v>959000.6453172859</v>
      </c>
    </row>
    <row r="41" spans="10:19" ht="15">
      <c r="J41" s="385"/>
      <c r="S41" s="328"/>
    </row>
    <row r="42" spans="19:24" ht="15">
      <c r="S42" s="328"/>
      <c r="X42" s="385"/>
    </row>
    <row r="43" ht="15">
      <c r="S43" s="328"/>
    </row>
  </sheetData>
  <sheetProtection/>
  <mergeCells count="2">
    <mergeCell ref="B1:AA1"/>
    <mergeCell ref="AB1:AD1"/>
  </mergeCells>
  <printOptions/>
  <pageMargins left="0.25" right="0.5" top="1" bottom="0.25" header="0" footer="0"/>
  <pageSetup fitToHeight="0" horizontalDpi="600" verticalDpi="600" orientation="landscape" scale="60" r:id="rId1"/>
  <headerFooter alignWithMargins="0">
    <oddHeader>&amp;C&amp;"Arial,Bold"&amp;14FFB PRINCIPAL &amp; INTEREST PAYMENTS - 2016</oddHeader>
  </headerFooter>
  <colBreaks count="3" manualBreakCount="3">
    <brk id="12" min="2" max="26" man="1"/>
    <brk id="17" max="65535" man="1"/>
    <brk id="2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89"/>
  <sheetViews>
    <sheetView zoomScale="87" zoomScaleNormal="87" zoomScalePageLayoutView="0" workbookViewId="0" topLeftCell="A1">
      <selection activeCell="J26" sqref="J26"/>
    </sheetView>
  </sheetViews>
  <sheetFormatPr defaultColWidth="9.6640625" defaultRowHeight="16.5" customHeight="1"/>
  <cols>
    <col min="1" max="2" width="9.6640625" style="46" customWidth="1"/>
    <col min="3" max="3" width="2.6640625" style="46" customWidth="1"/>
    <col min="4" max="4" width="12.10546875" style="46" customWidth="1"/>
    <col min="5" max="5" width="2.6640625" style="46" customWidth="1"/>
    <col min="6" max="6" width="9.6640625" style="46" customWidth="1"/>
    <col min="7" max="7" width="2.6640625" style="46" customWidth="1"/>
    <col min="8" max="8" width="9.6640625" style="46" customWidth="1"/>
    <col min="9" max="9" width="2.6640625" style="46" customWidth="1"/>
    <col min="10" max="10" width="9.6640625" style="46" customWidth="1"/>
    <col min="11" max="11" width="2.6640625" style="46" customWidth="1"/>
    <col min="12" max="12" width="9.6640625" style="46" customWidth="1"/>
    <col min="13" max="13" width="2.6640625" style="46" customWidth="1"/>
    <col min="14" max="14" width="9.6640625" style="46" customWidth="1"/>
    <col min="15" max="15" width="2.6640625" style="46" customWidth="1"/>
    <col min="16" max="16" width="9.6640625" style="46" customWidth="1"/>
    <col min="17" max="17" width="2.6640625" style="46" customWidth="1"/>
    <col min="18" max="18" width="9.6640625" style="46" customWidth="1"/>
    <col min="19" max="19" width="2.6640625" style="46" customWidth="1"/>
    <col min="20" max="20" width="9.6640625" style="46" customWidth="1"/>
    <col min="21" max="21" width="2.6640625" style="46" customWidth="1"/>
    <col min="22" max="22" width="9.6640625" style="46" customWidth="1"/>
    <col min="23" max="23" width="2.6640625" style="46" customWidth="1"/>
    <col min="24" max="24" width="9.6640625" style="46" customWidth="1"/>
    <col min="25" max="25" width="2.6640625" style="46" customWidth="1"/>
    <col min="26" max="26" width="9.6640625" style="46" customWidth="1"/>
    <col min="27" max="27" width="2.6640625" style="46" customWidth="1"/>
    <col min="28" max="16384" width="9.6640625" style="46" customWidth="1"/>
  </cols>
  <sheetData>
    <row r="1" spans="1:28" ht="16.5" customHeight="1">
      <c r="A1" s="47" t="s">
        <v>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6.5" customHeight="1">
      <c r="A2" s="48" t="s">
        <v>77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16.5" customHeight="1">
      <c r="A3" s="50">
        <f>DATE(2005,2,24)</f>
        <v>38407</v>
      </c>
      <c r="B3" s="51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49"/>
      <c r="AB3" s="49"/>
    </row>
    <row r="4" spans="1:28" ht="16.5" customHeight="1">
      <c r="A4" s="49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 t="s">
        <v>89</v>
      </c>
    </row>
    <row r="5" spans="1:28" ht="15" customHeight="1">
      <c r="A5" s="49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2"/>
    </row>
    <row r="6" spans="1:28" ht="15" customHeight="1">
      <c r="A6" s="49" t="s">
        <v>91</v>
      </c>
      <c r="B6" s="54" t="s">
        <v>92</v>
      </c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2"/>
    </row>
    <row r="7" spans="1:28" ht="6.75" customHeight="1">
      <c r="A7" s="37"/>
      <c r="B7" s="54"/>
      <c r="C7" s="54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15" customHeight="1">
      <c r="A8" s="37" t="s">
        <v>78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6.75" customHeight="1">
      <c r="A9" s="37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ht="15" customHeight="1">
      <c r="A10" s="37" t="s">
        <v>79</v>
      </c>
      <c r="B10" s="55">
        <v>51441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ht="15" customHeight="1">
      <c r="A11" s="37" t="s">
        <v>32</v>
      </c>
      <c r="B11" s="56">
        <v>0.0475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5"/>
    </row>
    <row r="12" spans="1:28" ht="15" customHeight="1">
      <c r="A12" s="3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1:28" ht="15" customHeight="1">
      <c r="A13" s="37" t="s">
        <v>31</v>
      </c>
      <c r="B13" s="58"/>
      <c r="C13" s="56"/>
      <c r="D13" s="58"/>
      <c r="E13" s="56"/>
      <c r="F13" s="58"/>
      <c r="G13" s="56"/>
      <c r="H13" s="56"/>
      <c r="I13" s="56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6"/>
      <c r="V13" s="58"/>
      <c r="W13" s="56"/>
      <c r="X13" s="53"/>
      <c r="Y13" s="56"/>
      <c r="Z13" s="53"/>
      <c r="AA13" s="56"/>
      <c r="AB13" s="55"/>
    </row>
    <row r="14" spans="1:28" ht="15" customHeight="1">
      <c r="A14" s="37" t="s">
        <v>79</v>
      </c>
      <c r="B14" s="55"/>
      <c r="C14" s="56"/>
      <c r="D14" s="55"/>
      <c r="E14" s="56"/>
      <c r="F14" s="55"/>
      <c r="G14" s="56"/>
      <c r="H14" s="56"/>
      <c r="I14" s="56"/>
      <c r="J14" s="56"/>
      <c r="K14" s="56"/>
      <c r="L14" s="55"/>
      <c r="M14" s="55"/>
      <c r="N14" s="55"/>
      <c r="O14" s="55"/>
      <c r="P14" s="55"/>
      <c r="Q14" s="55"/>
      <c r="R14" s="55"/>
      <c r="S14" s="55"/>
      <c r="T14" s="55"/>
      <c r="U14" s="56"/>
      <c r="V14" s="55"/>
      <c r="W14" s="56"/>
      <c r="X14" s="55"/>
      <c r="Y14" s="56"/>
      <c r="Z14" s="55"/>
      <c r="AA14" s="56"/>
      <c r="AB14" s="55"/>
    </row>
    <row r="15" spans="1:28" ht="15" customHeight="1">
      <c r="A15" s="37" t="s">
        <v>32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5"/>
    </row>
    <row r="16" spans="1:28" ht="15" customHeight="1">
      <c r="A16" s="3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9"/>
      <c r="AA16" s="57"/>
      <c r="AB16" s="57"/>
    </row>
    <row r="17" spans="1:28" ht="15" customHeight="1">
      <c r="A17" s="37" t="s">
        <v>80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60"/>
      <c r="AA17" s="49"/>
      <c r="AB17" s="49"/>
    </row>
    <row r="18" spans="1:28" ht="18" customHeight="1">
      <c r="A18" s="50">
        <v>38806</v>
      </c>
      <c r="B18" s="60">
        <v>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28" ht="15.75" customHeight="1">
      <c r="A19" s="50">
        <v>38837</v>
      </c>
      <c r="B19" s="60">
        <v>24075.34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</row>
    <row r="20" spans="1:28" ht="18" customHeight="1">
      <c r="A20" s="50">
        <v>38867</v>
      </c>
      <c r="B20" s="60">
        <v>20171.23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</row>
    <row r="21" spans="1:28" ht="18" customHeight="1">
      <c r="A21" s="50">
        <v>38898</v>
      </c>
      <c r="B21" s="60">
        <v>19520.55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</row>
    <row r="22" spans="1:28" ht="18" customHeight="1">
      <c r="A22" s="50">
        <v>38928</v>
      </c>
      <c r="B22" s="60">
        <v>20171.23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</row>
    <row r="23" spans="1:28" ht="18" customHeight="1">
      <c r="A23" s="50">
        <v>38959</v>
      </c>
      <c r="B23" s="60">
        <v>20171.23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</row>
    <row r="24" spans="1:28" ht="18" customHeight="1">
      <c r="A24" s="50">
        <v>38990</v>
      </c>
      <c r="B24" s="60">
        <v>19520.55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1:28" ht="18" customHeight="1">
      <c r="A25" s="50">
        <v>39020</v>
      </c>
      <c r="B25" s="60">
        <v>20171.23</v>
      </c>
      <c r="C25" s="60"/>
      <c r="D25" s="60"/>
      <c r="E25" s="60"/>
      <c r="F25" s="49"/>
      <c r="G25" s="49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49"/>
      <c r="X25" s="60"/>
      <c r="Y25" s="49"/>
      <c r="Z25" s="60"/>
      <c r="AA25" s="49"/>
      <c r="AB25" s="60"/>
    </row>
    <row r="26" spans="1:28" ht="18" customHeight="1">
      <c r="A26" s="50">
        <v>39051</v>
      </c>
      <c r="B26" s="60">
        <v>19520.55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49"/>
      <c r="T26" s="49"/>
      <c r="U26" s="49"/>
      <c r="V26" s="60"/>
      <c r="W26" s="49"/>
      <c r="X26" s="60"/>
      <c r="Y26" s="49"/>
      <c r="Z26" s="60"/>
      <c r="AA26" s="49"/>
      <c r="AB26" s="60"/>
    </row>
    <row r="27" spans="1:28" ht="18" customHeight="1">
      <c r="A27" s="50">
        <v>39081</v>
      </c>
      <c r="B27" s="60">
        <v>20171.23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49"/>
      <c r="T27" s="60"/>
      <c r="U27" s="49"/>
      <c r="V27" s="60"/>
      <c r="W27" s="49"/>
      <c r="X27" s="60"/>
      <c r="Y27" s="49"/>
      <c r="Z27" s="60"/>
      <c r="AA27" s="49"/>
      <c r="AB27" s="60"/>
    </row>
    <row r="28" spans="1:28" ht="18" customHeight="1">
      <c r="A28" s="50">
        <v>39112</v>
      </c>
      <c r="B28" s="60">
        <v>20171.23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49"/>
      <c r="T28" s="60"/>
      <c r="U28" s="49"/>
      <c r="V28" s="60"/>
      <c r="W28" s="49"/>
      <c r="X28" s="60"/>
      <c r="Y28" s="49"/>
      <c r="Z28" s="60"/>
      <c r="AA28" s="49"/>
      <c r="AB28" s="60"/>
    </row>
    <row r="29" spans="1:28" ht="18" customHeight="1">
      <c r="A29" s="50">
        <v>39141</v>
      </c>
      <c r="B29" s="60">
        <v>19520.55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49"/>
      <c r="T29" s="60"/>
      <c r="U29" s="49"/>
      <c r="V29" s="60"/>
      <c r="W29" s="49"/>
      <c r="X29" s="60"/>
      <c r="Y29" s="49"/>
      <c r="Z29" s="60"/>
      <c r="AA29" s="49"/>
      <c r="AB29" s="60"/>
    </row>
    <row r="30" spans="1:28" ht="18" customHeight="1">
      <c r="A30" s="50">
        <v>39171</v>
      </c>
      <c r="B30" s="60">
        <v>20171.23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49"/>
      <c r="T30" s="60"/>
      <c r="U30" s="49"/>
      <c r="V30" s="60"/>
      <c r="W30" s="49"/>
      <c r="X30" s="60"/>
      <c r="Y30" s="49"/>
      <c r="Z30" s="60"/>
      <c r="AA30" s="49"/>
      <c r="AB30" s="60"/>
    </row>
    <row r="31" spans="1:28" ht="18" customHeight="1">
      <c r="A31" s="50">
        <v>39202</v>
      </c>
      <c r="B31" s="60">
        <v>19520.55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49"/>
      <c r="T31" s="60"/>
      <c r="U31" s="49"/>
      <c r="V31" s="60"/>
      <c r="W31" s="49"/>
      <c r="X31" s="60"/>
      <c r="Y31" s="49"/>
      <c r="Z31" s="60"/>
      <c r="AA31" s="49"/>
      <c r="AB31" s="60"/>
    </row>
    <row r="32" spans="1:28" ht="16.5" customHeight="1">
      <c r="A32" s="50">
        <v>39233</v>
      </c>
      <c r="B32" s="60">
        <v>20171.23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49"/>
      <c r="T32" s="49"/>
      <c r="U32" s="49"/>
      <c r="V32" s="49"/>
      <c r="W32" s="49"/>
      <c r="X32" s="60"/>
      <c r="Y32" s="49"/>
      <c r="Z32" s="60"/>
      <c r="AA32" s="49"/>
      <c r="AB32" s="49"/>
    </row>
    <row r="33" spans="1:28" ht="16.5" customHeight="1">
      <c r="A33" s="50">
        <v>39263</v>
      </c>
      <c r="B33" s="60">
        <v>19520.55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49"/>
      <c r="T33" s="49"/>
      <c r="U33" s="49"/>
      <c r="V33" s="49"/>
      <c r="W33" s="49"/>
      <c r="X33" s="60"/>
      <c r="Y33" s="49"/>
      <c r="Z33" s="60"/>
      <c r="AA33" s="49"/>
      <c r="AB33" s="49"/>
    </row>
    <row r="34" spans="1:28" ht="16.5" customHeight="1">
      <c r="A34" s="50">
        <v>39294</v>
      </c>
      <c r="B34" s="60">
        <v>20171.23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49"/>
      <c r="T34" s="49"/>
      <c r="U34" s="49"/>
      <c r="V34" s="49"/>
      <c r="W34" s="49"/>
      <c r="X34" s="60"/>
      <c r="Y34" s="49"/>
      <c r="Z34" s="60"/>
      <c r="AA34" s="49"/>
      <c r="AB34" s="49"/>
    </row>
    <row r="35" spans="1:26" ht="16.5" customHeight="1">
      <c r="A35" s="50">
        <v>39325</v>
      </c>
      <c r="B35" s="60">
        <v>20171.23</v>
      </c>
      <c r="X35" s="60"/>
      <c r="Z35" s="60"/>
    </row>
    <row r="36" spans="1:26" ht="16.5" customHeight="1">
      <c r="A36" s="50">
        <v>39355</v>
      </c>
      <c r="B36" s="60">
        <v>19520.55</v>
      </c>
      <c r="X36" s="60"/>
      <c r="Z36" s="60"/>
    </row>
    <row r="37" spans="1:26" ht="16.5" customHeight="1">
      <c r="A37" s="50">
        <v>39386</v>
      </c>
      <c r="B37" s="60">
        <v>20171.23</v>
      </c>
      <c r="X37" s="60"/>
      <c r="Z37" s="60"/>
    </row>
    <row r="38" spans="1:26" ht="16.5" customHeight="1">
      <c r="A38" s="50">
        <v>39416</v>
      </c>
      <c r="B38" s="60">
        <v>19501.59</v>
      </c>
      <c r="X38" s="60"/>
      <c r="Z38" s="60"/>
    </row>
    <row r="39" spans="1:26" ht="16.5" customHeight="1">
      <c r="A39" s="50">
        <v>39447</v>
      </c>
      <c r="B39" s="60">
        <v>20129.35</v>
      </c>
      <c r="D39" s="62">
        <f>SUM(B28:B39)</f>
        <v>238740.52000000002</v>
      </c>
      <c r="X39" s="60"/>
      <c r="Z39" s="60"/>
    </row>
    <row r="40" spans="1:26" ht="16.5" customHeight="1">
      <c r="A40" s="50"/>
      <c r="B40" s="60"/>
      <c r="D40" s="62"/>
      <c r="X40" s="60"/>
      <c r="Z40" s="60"/>
    </row>
    <row r="41" spans="1:26" ht="16.5" customHeight="1">
      <c r="A41" s="50"/>
      <c r="X41" s="60"/>
      <c r="Z41" s="60"/>
    </row>
    <row r="42" ht="16.5" customHeight="1">
      <c r="X42" s="60"/>
    </row>
    <row r="43" ht="16.5" customHeight="1">
      <c r="X43" s="60"/>
    </row>
    <row r="44" ht="16.5" customHeight="1">
      <c r="X44" s="60"/>
    </row>
    <row r="45" ht="16.5" customHeight="1">
      <c r="X45" s="60"/>
    </row>
    <row r="46" ht="16.5" customHeight="1">
      <c r="X46" s="60"/>
    </row>
    <row r="47" ht="16.5" customHeight="1">
      <c r="X47" s="60"/>
    </row>
    <row r="48" ht="16.5" customHeight="1">
      <c r="X48" s="60"/>
    </row>
    <row r="49" ht="16.5" customHeight="1">
      <c r="X49" s="60"/>
    </row>
    <row r="50" ht="16.5" customHeight="1">
      <c r="X50" s="60"/>
    </row>
    <row r="51" ht="16.5" customHeight="1">
      <c r="X51" s="60"/>
    </row>
    <row r="52" ht="16.5" customHeight="1">
      <c r="X52" s="60"/>
    </row>
    <row r="53" ht="16.5" customHeight="1">
      <c r="X53" s="60"/>
    </row>
    <row r="54" ht="16.5" customHeight="1">
      <c r="X54" s="60"/>
    </row>
    <row r="55" ht="16.5" customHeight="1">
      <c r="X55" s="60"/>
    </row>
    <row r="56" ht="16.5" customHeight="1">
      <c r="X56" s="60"/>
    </row>
    <row r="57" ht="16.5" customHeight="1">
      <c r="X57" s="60"/>
    </row>
    <row r="58" ht="16.5" customHeight="1">
      <c r="X58" s="60"/>
    </row>
    <row r="59" ht="16.5" customHeight="1">
      <c r="X59" s="60"/>
    </row>
    <row r="60" ht="16.5" customHeight="1">
      <c r="X60" s="60"/>
    </row>
    <row r="61" ht="16.5" customHeight="1">
      <c r="X61" s="60"/>
    </row>
    <row r="62" ht="16.5" customHeight="1">
      <c r="X62" s="60"/>
    </row>
    <row r="63" ht="16.5" customHeight="1">
      <c r="X63" s="60"/>
    </row>
    <row r="64" ht="16.5" customHeight="1">
      <c r="X64" s="60"/>
    </row>
    <row r="65" ht="16.5" customHeight="1">
      <c r="X65" s="60"/>
    </row>
    <row r="66" ht="16.5" customHeight="1">
      <c r="X66" s="60"/>
    </row>
    <row r="67" ht="16.5" customHeight="1">
      <c r="X67" s="60"/>
    </row>
    <row r="68" ht="16.5" customHeight="1">
      <c r="X68" s="60"/>
    </row>
    <row r="69" ht="16.5" customHeight="1">
      <c r="X69" s="60"/>
    </row>
    <row r="70" ht="16.5" customHeight="1">
      <c r="X70" s="60"/>
    </row>
    <row r="71" ht="16.5" customHeight="1">
      <c r="X71" s="60"/>
    </row>
    <row r="72" ht="16.5" customHeight="1">
      <c r="X72" s="60"/>
    </row>
    <row r="73" ht="16.5" customHeight="1">
      <c r="X73" s="60"/>
    </row>
    <row r="74" ht="16.5" customHeight="1">
      <c r="X74" s="60"/>
    </row>
    <row r="75" ht="16.5" customHeight="1">
      <c r="X75" s="60"/>
    </row>
    <row r="76" ht="16.5" customHeight="1">
      <c r="X76" s="60"/>
    </row>
    <row r="77" ht="16.5" customHeight="1">
      <c r="X77" s="60"/>
    </row>
    <row r="78" ht="16.5" customHeight="1">
      <c r="X78" s="60"/>
    </row>
    <row r="79" ht="16.5" customHeight="1">
      <c r="X79" s="60"/>
    </row>
    <row r="80" ht="16.5" customHeight="1">
      <c r="X80" s="60"/>
    </row>
    <row r="81" ht="16.5" customHeight="1">
      <c r="X81" s="60"/>
    </row>
    <row r="82" ht="16.5" customHeight="1">
      <c r="X82" s="60"/>
    </row>
    <row r="83" ht="16.5" customHeight="1">
      <c r="X83" s="60"/>
    </row>
    <row r="84" ht="16.5" customHeight="1">
      <c r="X84" s="60"/>
    </row>
    <row r="85" ht="16.5" customHeight="1">
      <c r="X85" s="60"/>
    </row>
    <row r="86" ht="16.5" customHeight="1">
      <c r="X86" s="60"/>
    </row>
    <row r="87" ht="16.5" customHeight="1">
      <c r="X87" s="60"/>
    </row>
    <row r="88" ht="16.5" customHeight="1">
      <c r="X88" s="60"/>
    </row>
    <row r="89" ht="16.5" customHeight="1">
      <c r="X89" s="60"/>
    </row>
  </sheetData>
  <sheetProtection/>
  <printOptions/>
  <pageMargins left="0.25" right="0.5" top="0.25" bottom="0.25" header="0" footer="0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="90" zoomScaleNormal="90" workbookViewId="0" topLeftCell="A1">
      <selection activeCell="J16" sqref="J16"/>
    </sheetView>
  </sheetViews>
  <sheetFormatPr defaultColWidth="9.6640625" defaultRowHeight="15"/>
  <cols>
    <col min="1" max="1" width="9.3359375" style="1" customWidth="1"/>
    <col min="2" max="2" width="8.4453125" style="1" bestFit="1" customWidth="1"/>
    <col min="3" max="3" width="8.99609375" style="1" bestFit="1" customWidth="1"/>
    <col min="4" max="4" width="8.5546875" style="1" customWidth="1"/>
    <col min="5" max="5" width="12.4453125" style="1" customWidth="1"/>
    <col min="6" max="6" width="11.21484375" style="1" customWidth="1"/>
    <col min="7" max="7" width="12.99609375" style="1" customWidth="1"/>
    <col min="8" max="8" width="1.77734375" style="1" bestFit="1" customWidth="1"/>
    <col min="9" max="9" width="10.77734375" style="1" customWidth="1"/>
    <col min="10" max="10" width="12.21484375" style="1" customWidth="1"/>
    <col min="11" max="11" width="9.5546875" style="1" customWidth="1"/>
    <col min="12" max="12" width="7.99609375" style="1" customWidth="1"/>
    <col min="13" max="13" width="10.77734375" style="1" customWidth="1"/>
    <col min="14" max="15" width="11.3359375" style="1" customWidth="1"/>
    <col min="16" max="17" width="10.77734375" style="1" customWidth="1"/>
    <col min="18" max="18" width="11.3359375" style="1" bestFit="1" customWidth="1"/>
    <col min="19" max="19" width="10.77734375" style="6" customWidth="1"/>
    <col min="20" max="20" width="10.77734375" style="1" customWidth="1"/>
    <col min="21" max="21" width="11.5546875" style="1" customWidth="1"/>
    <col min="22" max="23" width="10.77734375" style="1" customWidth="1"/>
    <col min="24" max="24" width="11.3359375" style="1" bestFit="1" customWidth="1"/>
    <col min="25" max="25" width="7.21484375" style="1" customWidth="1"/>
    <col min="26" max="27" width="10.77734375" style="1" customWidth="1"/>
    <col min="28" max="28" width="11.3359375" style="1" bestFit="1" customWidth="1"/>
    <col min="29" max="29" width="10.77734375" style="6" customWidth="1"/>
    <col min="30" max="30" width="10.77734375" style="1" customWidth="1"/>
    <col min="31" max="31" width="11.3359375" style="1" bestFit="1" customWidth="1"/>
    <col min="32" max="33" width="10.77734375" style="1" customWidth="1"/>
    <col min="34" max="34" width="11.3359375" style="1" bestFit="1" customWidth="1"/>
    <col min="35" max="36" width="10.77734375" style="1" customWidth="1"/>
    <col min="37" max="37" width="11.3359375" style="1" bestFit="1" customWidth="1"/>
    <col min="38" max="38" width="11.3359375" style="1" customWidth="1"/>
    <col min="39" max="39" width="10.77734375" style="6" customWidth="1"/>
    <col min="40" max="40" width="10.77734375" style="1" customWidth="1"/>
    <col min="41" max="41" width="11.3359375" style="1" bestFit="1" customWidth="1"/>
    <col min="42" max="43" width="10.77734375" style="1" customWidth="1"/>
    <col min="44" max="44" width="11.3359375" style="1" bestFit="1" customWidth="1"/>
    <col min="45" max="46" width="10.77734375" style="1" customWidth="1"/>
    <col min="47" max="47" width="11.3359375" style="1" bestFit="1" customWidth="1"/>
    <col min="48" max="49" width="9.6640625" style="1" customWidth="1"/>
    <col min="50" max="50" width="11.3359375" style="1" bestFit="1" customWidth="1"/>
    <col min="51" max="16384" width="9.6640625" style="1" customWidth="1"/>
  </cols>
  <sheetData>
    <row r="1" spans="1:17" ht="24">
      <c r="A1" s="260"/>
      <c r="B1" s="260" t="s">
        <v>167</v>
      </c>
      <c r="C1" s="564" t="s">
        <v>171</v>
      </c>
      <c r="D1" s="564"/>
      <c r="E1" s="258" t="s">
        <v>166</v>
      </c>
      <c r="F1" s="258" t="s">
        <v>168</v>
      </c>
      <c r="G1" s="259" t="s">
        <v>36</v>
      </c>
      <c r="H1" s="72"/>
      <c r="I1" s="1" t="s">
        <v>205</v>
      </c>
      <c r="Q1" s="30"/>
    </row>
    <row r="2" spans="1:17" ht="13.5" customHeight="1">
      <c r="A2" s="386" t="s">
        <v>180</v>
      </c>
      <c r="B2" s="261" t="s">
        <v>30</v>
      </c>
      <c r="C2" s="565" t="s">
        <v>174</v>
      </c>
      <c r="D2" s="566"/>
      <c r="E2" s="392" t="s">
        <v>174</v>
      </c>
      <c r="F2" s="387" t="s">
        <v>174</v>
      </c>
      <c r="G2" s="22">
        <f>'[2]RUS Payts'!$G$27</f>
        <v>2511383.6999999997</v>
      </c>
      <c r="H2" s="72"/>
      <c r="Q2" s="30"/>
    </row>
    <row r="3" spans="1:17" ht="13.5" customHeight="1">
      <c r="A3" s="34"/>
      <c r="B3" s="261" t="s">
        <v>30</v>
      </c>
      <c r="C3" s="566">
        <v>43496</v>
      </c>
      <c r="D3" s="566"/>
      <c r="E3" s="402"/>
      <c r="F3" s="286"/>
      <c r="G3" s="22">
        <f>G2+E3+F3</f>
        <v>2511383.6999999997</v>
      </c>
      <c r="H3" s="72"/>
      <c r="Q3" s="30"/>
    </row>
    <row r="4" spans="2:17" ht="13.5" customHeight="1">
      <c r="B4" s="261" t="s">
        <v>30</v>
      </c>
      <c r="C4" s="566">
        <v>43524</v>
      </c>
      <c r="D4" s="566"/>
      <c r="E4" s="402"/>
      <c r="F4" s="286"/>
      <c r="G4" s="22">
        <f>G3+E4+F4</f>
        <v>2511383.6999999997</v>
      </c>
      <c r="H4" s="89"/>
      <c r="K4" s="80"/>
      <c r="Q4" s="30"/>
    </row>
    <row r="5" spans="2:17" ht="13.5" customHeight="1">
      <c r="B5" s="261" t="s">
        <v>30</v>
      </c>
      <c r="C5" s="566">
        <v>43555</v>
      </c>
      <c r="D5" s="566"/>
      <c r="E5" s="402"/>
      <c r="F5" s="286">
        <v>30962.26</v>
      </c>
      <c r="G5" s="22">
        <f>G4+E5+F5</f>
        <v>2542345.9599999995</v>
      </c>
      <c r="H5" s="89"/>
      <c r="Q5" s="30"/>
    </row>
    <row r="6" spans="2:17" ht="13.5" customHeight="1">
      <c r="B6" s="261" t="s">
        <v>30</v>
      </c>
      <c r="C6" s="566">
        <v>43585</v>
      </c>
      <c r="D6" s="566"/>
      <c r="E6" s="402">
        <v>-14000.17</v>
      </c>
      <c r="F6" s="286"/>
      <c r="G6" s="22">
        <f>G5+E6+F6</f>
        <v>2528345.7899999996</v>
      </c>
      <c r="Q6" s="30"/>
    </row>
    <row r="7" spans="2:17" ht="13.5" customHeight="1">
      <c r="B7" s="261" t="s">
        <v>30</v>
      </c>
      <c r="C7" s="566">
        <v>43616</v>
      </c>
      <c r="D7" s="566"/>
      <c r="E7" s="402"/>
      <c r="F7" s="286"/>
      <c r="G7" s="22">
        <f aca="true" t="shared" si="0" ref="G7:G15">G6+E7+F7</f>
        <v>2528345.7899999996</v>
      </c>
      <c r="Q7" s="30"/>
    </row>
    <row r="8" spans="2:17" ht="13.5" customHeight="1">
      <c r="B8" s="261" t="s">
        <v>30</v>
      </c>
      <c r="C8" s="566">
        <v>43646</v>
      </c>
      <c r="D8" s="566"/>
      <c r="E8" s="402"/>
      <c r="F8" s="286">
        <v>31575.27</v>
      </c>
      <c r="G8" s="22">
        <f t="shared" si="0"/>
        <v>2559921.0599999996</v>
      </c>
      <c r="H8" s="361"/>
      <c r="I8" s="1">
        <f>(G8*0.05)/365*17</f>
        <v>5961.4600027397255</v>
      </c>
      <c r="Q8" s="72"/>
    </row>
    <row r="9" spans="2:17" ht="13.5" customHeight="1">
      <c r="B9" s="261" t="s">
        <v>30</v>
      </c>
      <c r="C9" s="566">
        <v>43663</v>
      </c>
      <c r="D9" s="566"/>
      <c r="E9" s="402">
        <f>-2053981.97-57921.06-390117.29</f>
        <v>-2502020.32</v>
      </c>
      <c r="F9" s="286"/>
      <c r="G9" s="22">
        <f t="shared" si="0"/>
        <v>57900.73999999976</v>
      </c>
      <c r="I9" s="1">
        <f>+(G9*0.05)/365*14</f>
        <v>111.04251506849269</v>
      </c>
      <c r="Q9" s="22"/>
    </row>
    <row r="10" spans="2:17" ht="13.5" customHeight="1">
      <c r="B10" s="261" t="s">
        <v>30</v>
      </c>
      <c r="C10" s="566">
        <v>43677</v>
      </c>
      <c r="D10" s="566"/>
      <c r="E10" s="402">
        <v>-10827.23</v>
      </c>
      <c r="F10" s="389"/>
      <c r="G10" s="22">
        <f t="shared" si="0"/>
        <v>47073.50999999976</v>
      </c>
      <c r="I10" s="1">
        <f>+(G10*0.05)/365*31</f>
        <v>199.90120684931404</v>
      </c>
      <c r="Q10" s="32"/>
    </row>
    <row r="11" spans="2:10" ht="13.5" customHeight="1">
      <c r="B11" s="261" t="s">
        <v>30</v>
      </c>
      <c r="C11" s="566">
        <v>43708</v>
      </c>
      <c r="D11" s="566"/>
      <c r="E11" s="402">
        <v>-10827.23</v>
      </c>
      <c r="F11" s="389"/>
      <c r="G11" s="22">
        <f t="shared" si="0"/>
        <v>36246.279999999766</v>
      </c>
      <c r="I11" s="1">
        <f>+(G11*0.05)/365*30</f>
        <v>148.9573150684922</v>
      </c>
      <c r="J11" s="1">
        <f>ROUND(SUM(I8:I11),2)</f>
        <v>6421.36</v>
      </c>
    </row>
    <row r="12" spans="2:7" ht="13.5" customHeight="1">
      <c r="B12" s="261" t="s">
        <v>30</v>
      </c>
      <c r="C12" s="566">
        <v>43738</v>
      </c>
      <c r="D12" s="566"/>
      <c r="E12" s="402">
        <v>-10827.23</v>
      </c>
      <c r="F12" s="286">
        <v>6421.36</v>
      </c>
      <c r="G12" s="22">
        <f>G11+E12+F12</f>
        <v>31840.409999999767</v>
      </c>
    </row>
    <row r="13" spans="2:9" ht="13.5" customHeight="1">
      <c r="B13" s="261" t="s">
        <v>30</v>
      </c>
      <c r="C13" s="566">
        <v>43769</v>
      </c>
      <c r="D13" s="566"/>
      <c r="E13" s="402">
        <v>-10827.23</v>
      </c>
      <c r="F13" s="389"/>
      <c r="G13" s="22">
        <f t="shared" si="0"/>
        <v>21013.179999999767</v>
      </c>
      <c r="I13" s="1">
        <f>ROUND(+(G12*0.05)/365*31,2)</f>
        <v>135.21</v>
      </c>
    </row>
    <row r="14" spans="2:12" ht="16.5" customHeight="1">
      <c r="B14" s="261" t="s">
        <v>30</v>
      </c>
      <c r="C14" s="566">
        <v>43799</v>
      </c>
      <c r="D14" s="566"/>
      <c r="E14" s="402">
        <v>-10827.23</v>
      </c>
      <c r="F14" s="389"/>
      <c r="G14" s="22">
        <f t="shared" si="0"/>
        <v>10185.949999999768</v>
      </c>
      <c r="I14" s="1">
        <f>ROUND(+(G13*0.05)/365*30,2)</f>
        <v>86.36</v>
      </c>
      <c r="L14" s="156" t="s">
        <v>206</v>
      </c>
    </row>
    <row r="15" spans="2:13" ht="24" customHeight="1">
      <c r="B15" s="261" t="s">
        <v>30</v>
      </c>
      <c r="C15" s="566">
        <v>43830</v>
      </c>
      <c r="D15" s="566"/>
      <c r="E15" s="402"/>
      <c r="F15" s="408">
        <v>264.83</v>
      </c>
      <c r="G15" s="22">
        <f t="shared" si="0"/>
        <v>10450.779999999768</v>
      </c>
      <c r="I15" s="1">
        <f>ROUND((G14*0.05)/365*31,2)</f>
        <v>43.26</v>
      </c>
      <c r="J15" s="1">
        <f>SUM(I13:I15)</f>
        <v>264.83</v>
      </c>
      <c r="K15" s="407"/>
      <c r="L15" s="410">
        <f>-E14-G15</f>
        <v>376.45000000023174</v>
      </c>
      <c r="M15" s="1" t="s">
        <v>207</v>
      </c>
    </row>
    <row r="16" spans="5:6" ht="13.5" customHeight="1">
      <c r="E16" s="188"/>
      <c r="F16" s="409" t="s">
        <v>206</v>
      </c>
    </row>
    <row r="17" spans="5:7" ht="15">
      <c r="E17" s="188"/>
      <c r="F17" s="188"/>
      <c r="G17" s="80"/>
    </row>
    <row r="18" spans="3:7" ht="15">
      <c r="C18" s="395"/>
      <c r="E18" s="188"/>
      <c r="F18" s="188"/>
      <c r="G18" s="80"/>
    </row>
    <row r="19" spans="3:7" ht="15">
      <c r="C19" s="395"/>
      <c r="E19" s="188"/>
      <c r="F19" s="188"/>
      <c r="G19" s="391"/>
    </row>
    <row r="20" spans="5:6" ht="15">
      <c r="E20" s="188"/>
      <c r="F20" s="188"/>
    </row>
    <row r="21" spans="5:6" ht="15">
      <c r="E21" s="188"/>
      <c r="F21" s="188"/>
    </row>
    <row r="22" spans="5:6" ht="15">
      <c r="E22" s="188"/>
      <c r="F22" s="188"/>
    </row>
    <row r="23" spans="5:6" ht="15">
      <c r="E23" s="188"/>
      <c r="F23" s="188"/>
    </row>
    <row r="24" spans="5:6" ht="15">
      <c r="E24" s="188"/>
      <c r="F24" s="188"/>
    </row>
    <row r="25" ht="15">
      <c r="F25" s="80"/>
    </row>
    <row r="26" ht="15">
      <c r="F26" s="188"/>
    </row>
  </sheetData>
  <sheetProtection/>
  <mergeCells count="15">
    <mergeCell ref="C13:D13"/>
    <mergeCell ref="C14:D14"/>
    <mergeCell ref="C15:D15"/>
    <mergeCell ref="C7:D7"/>
    <mergeCell ref="C8:D8"/>
    <mergeCell ref="C9:D9"/>
    <mergeCell ref="C10:D10"/>
    <mergeCell ref="C11:D11"/>
    <mergeCell ref="C12:D12"/>
    <mergeCell ref="C1:D1"/>
    <mergeCell ref="C2:D2"/>
    <mergeCell ref="C3:D3"/>
    <mergeCell ref="C4:D4"/>
    <mergeCell ref="C5:D5"/>
    <mergeCell ref="C6:D6"/>
  </mergeCells>
  <printOptions horizontalCentered="1"/>
  <pageMargins left="0.25" right="0.5" top="1" bottom="0.25" header="0" footer="0"/>
  <pageSetup horizontalDpi="600" verticalDpi="600" orientation="landscape" scale="60" r:id="rId3"/>
  <headerFooter alignWithMargins="0">
    <oddHeader>&amp;C&amp;"Arial,Bold"&amp;14RUS PRINCIPAL &amp; INTEREST PAYMENTS - 2019</oddHeader>
  </headerFooter>
  <colBreaks count="1" manualBreakCount="1">
    <brk id="14037" min="1" max="1472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9"/>
  <sheetViews>
    <sheetView zoomScale="80" zoomScaleNormal="80" workbookViewId="0" topLeftCell="AQ8">
      <selection activeCell="AV25" sqref="AV25"/>
    </sheetView>
  </sheetViews>
  <sheetFormatPr defaultColWidth="9.6640625" defaultRowHeight="15"/>
  <cols>
    <col min="1" max="1" width="9.3359375" style="1" customWidth="1"/>
    <col min="2" max="2" width="8.4453125" style="1" bestFit="1" customWidth="1"/>
    <col min="3" max="3" width="8.99609375" style="1" customWidth="1"/>
    <col min="4" max="4" width="8.5546875" style="1" customWidth="1"/>
    <col min="5" max="5" width="12.4453125" style="1" customWidth="1"/>
    <col min="6" max="6" width="11.21484375" style="1" customWidth="1"/>
    <col min="7" max="7" width="12.99609375" style="1" customWidth="1"/>
    <col min="8" max="8" width="1.77734375" style="1" customWidth="1"/>
    <col min="9" max="9" width="10.77734375" style="1" customWidth="1"/>
    <col min="10" max="10" width="12.21484375" style="1" customWidth="1"/>
    <col min="11" max="11" width="12.4453125" style="1" customWidth="1"/>
    <col min="12" max="13" width="10.77734375" style="1" customWidth="1"/>
    <col min="14" max="14" width="11.3359375" style="1" customWidth="1"/>
    <col min="15" max="16" width="10.77734375" style="1" customWidth="1"/>
    <col min="17" max="17" width="11.3359375" style="1" bestFit="1" customWidth="1"/>
    <col min="18" max="18" width="10.77734375" style="6" customWidth="1"/>
    <col min="19" max="19" width="10.77734375" style="1" customWidth="1"/>
    <col min="20" max="20" width="11.5546875" style="1" customWidth="1"/>
    <col min="21" max="22" width="10.77734375" style="1" customWidth="1"/>
    <col min="23" max="23" width="11.21484375" style="1" customWidth="1"/>
    <col min="24" max="24" width="7.21484375" style="1" hidden="1" customWidth="1"/>
    <col min="25" max="26" width="10.77734375" style="1" customWidth="1"/>
    <col min="27" max="27" width="11.3359375" style="1" bestFit="1" customWidth="1"/>
    <col min="28" max="28" width="10.77734375" style="6" customWidth="1"/>
    <col min="29" max="29" width="10.77734375" style="1" customWidth="1"/>
    <col min="30" max="30" width="11.3359375" style="1" customWidth="1"/>
    <col min="31" max="32" width="10.77734375" style="1" customWidth="1"/>
    <col min="33" max="33" width="11.3359375" style="1" customWidth="1"/>
    <col min="34" max="35" width="10.77734375" style="1" customWidth="1"/>
    <col min="36" max="36" width="11.21484375" style="1" customWidth="1"/>
    <col min="37" max="37" width="4.10546875" style="1" hidden="1" customWidth="1"/>
    <col min="38" max="38" width="10.77734375" style="6" customWidth="1"/>
    <col min="39" max="39" width="10.77734375" style="1" customWidth="1"/>
    <col min="40" max="40" width="11.3359375" style="1" bestFit="1" customWidth="1"/>
    <col min="41" max="42" width="10.77734375" style="1" customWidth="1"/>
    <col min="43" max="43" width="11.3359375" style="1" bestFit="1" customWidth="1"/>
    <col min="44" max="45" width="10.77734375" style="1" customWidth="1"/>
    <col min="46" max="46" width="11.3359375" style="1" bestFit="1" customWidth="1"/>
    <col min="47" max="48" width="9.6640625" style="1" customWidth="1"/>
    <col min="49" max="49" width="11.3359375" style="1" bestFit="1" customWidth="1"/>
    <col min="50" max="53" width="9.6640625" style="1" customWidth="1"/>
    <col min="54" max="54" width="22.6640625" style="1" bestFit="1" customWidth="1"/>
    <col min="55" max="16384" width="9.6640625" style="1" customWidth="1"/>
  </cols>
  <sheetData>
    <row r="1" spans="1:47" ht="18">
      <c r="A1" s="2">
        <f ca="1">NOW()</f>
        <v>45234.445947685184</v>
      </c>
      <c r="B1" s="425" t="s">
        <v>209</v>
      </c>
      <c r="C1" s="2"/>
      <c r="D1" s="2"/>
      <c r="E1" s="2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3"/>
      <c r="AI1" s="563"/>
      <c r="AJ1" s="563"/>
      <c r="AK1" s="563"/>
      <c r="AL1" s="563"/>
      <c r="AM1" s="563"/>
      <c r="AN1" s="563"/>
      <c r="AO1" s="563"/>
      <c r="AP1" s="563"/>
      <c r="AQ1" s="563"/>
      <c r="AR1" s="563"/>
      <c r="AS1" s="563"/>
      <c r="AT1" s="563"/>
      <c r="AU1" s="4"/>
    </row>
    <row r="2" spans="1:40" ht="13.5" customHeight="1">
      <c r="A2" s="5" t="s">
        <v>0</v>
      </c>
      <c r="B2" s="5"/>
      <c r="C2" s="7" t="s">
        <v>112</v>
      </c>
      <c r="D2" s="7" t="s">
        <v>114</v>
      </c>
      <c r="E2" s="7" t="s">
        <v>115</v>
      </c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N2" s="102"/>
    </row>
    <row r="3" spans="1:49" ht="13.5" customHeight="1">
      <c r="A3" s="7" t="s">
        <v>1</v>
      </c>
      <c r="B3" s="7" t="s">
        <v>134</v>
      </c>
      <c r="C3" s="7" t="s">
        <v>73</v>
      </c>
      <c r="D3" s="7" t="s">
        <v>73</v>
      </c>
      <c r="E3" s="7" t="s">
        <v>73</v>
      </c>
      <c r="F3" s="7" t="s">
        <v>31</v>
      </c>
      <c r="G3" s="7" t="s">
        <v>32</v>
      </c>
      <c r="H3" s="7"/>
      <c r="I3" s="8" t="s">
        <v>33</v>
      </c>
      <c r="J3" s="9"/>
      <c r="K3" s="107"/>
      <c r="L3" s="11" t="s">
        <v>37</v>
      </c>
      <c r="M3" s="10"/>
      <c r="N3" s="10"/>
      <c r="O3" s="11" t="s">
        <v>38</v>
      </c>
      <c r="P3" s="10"/>
      <c r="Q3" s="10"/>
      <c r="R3" s="8" t="s">
        <v>39</v>
      </c>
      <c r="S3" s="10"/>
      <c r="T3" s="83"/>
      <c r="U3" s="81" t="s">
        <v>40</v>
      </c>
      <c r="V3" s="11"/>
      <c r="W3" s="103"/>
      <c r="X3" s="256"/>
      <c r="Y3" s="11" t="s">
        <v>41</v>
      </c>
      <c r="Z3" s="10"/>
      <c r="AA3" s="83"/>
      <c r="AB3" s="11" t="s">
        <v>42</v>
      </c>
      <c r="AC3" s="12"/>
      <c r="AD3" s="85"/>
      <c r="AE3" s="11" t="s">
        <v>43</v>
      </c>
      <c r="AF3" s="12"/>
      <c r="AG3" s="83"/>
      <c r="AH3" s="11" t="s">
        <v>44</v>
      </c>
      <c r="AI3" s="12"/>
      <c r="AJ3" s="85"/>
      <c r="AK3" s="287"/>
      <c r="AL3" s="11" t="s">
        <v>45</v>
      </c>
      <c r="AM3" s="12"/>
      <c r="AN3" s="85"/>
      <c r="AO3" s="147" t="s">
        <v>46</v>
      </c>
      <c r="AP3" s="12"/>
      <c r="AQ3" s="12"/>
      <c r="AR3" s="8" t="s">
        <v>47</v>
      </c>
      <c r="AS3" s="12"/>
      <c r="AT3" s="85"/>
      <c r="AU3" s="13" t="s">
        <v>48</v>
      </c>
      <c r="AV3" s="12"/>
      <c r="AW3" s="85"/>
    </row>
    <row r="4" spans="6:49" ht="13.5" customHeight="1">
      <c r="F4" s="16">
        <v>43830</v>
      </c>
      <c r="G4" s="17"/>
      <c r="H4" s="17"/>
      <c r="I4" s="247" t="s">
        <v>34</v>
      </c>
      <c r="J4" s="248" t="s">
        <v>35</v>
      </c>
      <c r="K4" s="84" t="s">
        <v>36</v>
      </c>
      <c r="L4" s="248" t="s">
        <v>34</v>
      </c>
      <c r="M4" s="248" t="s">
        <v>35</v>
      </c>
      <c r="N4" s="248" t="s">
        <v>36</v>
      </c>
      <c r="O4" s="248" t="s">
        <v>34</v>
      </c>
      <c r="P4" s="248" t="s">
        <v>35</v>
      </c>
      <c r="Q4" s="248" t="s">
        <v>36</v>
      </c>
      <c r="R4" s="247" t="s">
        <v>34</v>
      </c>
      <c r="S4" s="248" t="s">
        <v>35</v>
      </c>
      <c r="T4" s="84" t="s">
        <v>36</v>
      </c>
      <c r="U4" s="249" t="s">
        <v>34</v>
      </c>
      <c r="V4" s="248" t="s">
        <v>35</v>
      </c>
      <c r="W4" s="84" t="s">
        <v>36</v>
      </c>
      <c r="X4" s="248" t="s">
        <v>32</v>
      </c>
      <c r="Y4" s="248" t="s">
        <v>34</v>
      </c>
      <c r="Z4" s="248" t="s">
        <v>35</v>
      </c>
      <c r="AA4" s="84" t="s">
        <v>36</v>
      </c>
      <c r="AB4" s="248" t="s">
        <v>34</v>
      </c>
      <c r="AC4" s="248" t="s">
        <v>35</v>
      </c>
      <c r="AD4" s="84" t="s">
        <v>36</v>
      </c>
      <c r="AE4" s="248" t="s">
        <v>34</v>
      </c>
      <c r="AF4" s="248" t="s">
        <v>35</v>
      </c>
      <c r="AG4" s="84" t="s">
        <v>36</v>
      </c>
      <c r="AH4" s="248" t="s">
        <v>34</v>
      </c>
      <c r="AI4" s="248" t="s">
        <v>35</v>
      </c>
      <c r="AJ4" s="84" t="s">
        <v>36</v>
      </c>
      <c r="AK4" s="249" t="s">
        <v>32</v>
      </c>
      <c r="AL4" s="248" t="s">
        <v>34</v>
      </c>
      <c r="AM4" s="248" t="s">
        <v>35</v>
      </c>
      <c r="AN4" s="84" t="s">
        <v>36</v>
      </c>
      <c r="AO4" s="248" t="s">
        <v>34</v>
      </c>
      <c r="AP4" s="248" t="s">
        <v>35</v>
      </c>
      <c r="AQ4" s="248" t="s">
        <v>36</v>
      </c>
      <c r="AR4" s="247" t="s">
        <v>34</v>
      </c>
      <c r="AS4" s="248" t="s">
        <v>35</v>
      </c>
      <c r="AT4" s="84" t="s">
        <v>36</v>
      </c>
      <c r="AU4" s="247" t="s">
        <v>34</v>
      </c>
      <c r="AV4" s="248" t="s">
        <v>35</v>
      </c>
      <c r="AW4" s="84" t="s">
        <v>36</v>
      </c>
    </row>
    <row r="5" spans="6:49" ht="13.5" customHeight="1">
      <c r="F5" s="16"/>
      <c r="G5" s="17"/>
      <c r="H5" s="17"/>
      <c r="I5" s="18"/>
      <c r="J5" s="19"/>
      <c r="K5" s="87"/>
      <c r="L5" s="101"/>
      <c r="M5" s="19"/>
      <c r="N5" s="19"/>
      <c r="O5" s="101"/>
      <c r="P5" s="19"/>
      <c r="Q5" s="19"/>
      <c r="R5" s="255"/>
      <c r="S5" s="19"/>
      <c r="T5" s="87"/>
      <c r="U5" s="101"/>
      <c r="V5" s="19"/>
      <c r="W5" s="87"/>
      <c r="X5" s="101"/>
      <c r="Y5" s="101"/>
      <c r="Z5" s="19"/>
      <c r="AA5" s="87"/>
      <c r="AB5" s="101"/>
      <c r="AC5" s="19"/>
      <c r="AD5" s="87"/>
      <c r="AE5" s="101"/>
      <c r="AF5" s="19"/>
      <c r="AG5" s="87"/>
      <c r="AH5" s="101"/>
      <c r="AI5" s="19"/>
      <c r="AJ5" s="87"/>
      <c r="AK5" s="82"/>
      <c r="AL5" s="25"/>
      <c r="AM5" s="19"/>
      <c r="AN5" s="87"/>
      <c r="AO5" s="101"/>
      <c r="AP5" s="19"/>
      <c r="AQ5" s="124"/>
      <c r="AR5" s="101"/>
      <c r="AS5" s="19"/>
      <c r="AT5" s="87"/>
      <c r="AU5" s="15"/>
      <c r="AW5" s="250"/>
    </row>
    <row r="6" spans="1:49" ht="13.5" customHeight="1">
      <c r="A6" s="21" t="s">
        <v>94</v>
      </c>
      <c r="B6" s="21" t="s">
        <v>137</v>
      </c>
      <c r="C6" s="113">
        <v>35961</v>
      </c>
      <c r="D6" s="113">
        <v>48670</v>
      </c>
      <c r="E6" s="115">
        <v>45473</v>
      </c>
      <c r="F6" s="420">
        <v>870213.9099999999</v>
      </c>
      <c r="G6" s="45">
        <v>0.02</v>
      </c>
      <c r="H6" s="45" t="s">
        <v>113</v>
      </c>
      <c r="I6" s="31">
        <v>1474.13</v>
      </c>
      <c r="J6" s="30">
        <v>4760.12</v>
      </c>
      <c r="K6" s="73">
        <f>F6-J6</f>
        <v>865453.7899999999</v>
      </c>
      <c r="L6" s="30">
        <v>1324.19</v>
      </c>
      <c r="M6" s="30">
        <v>4910.06</v>
      </c>
      <c r="N6" s="73">
        <f>K6-M6</f>
        <v>860543.7299999999</v>
      </c>
      <c r="O6" s="30">
        <v>1504.78</v>
      </c>
      <c r="P6" s="30">
        <v>4729.47</v>
      </c>
      <c r="Q6" s="73">
        <f>N6-P6</f>
        <v>855814.2599999999</v>
      </c>
      <c r="R6" s="30">
        <v>1402.97</v>
      </c>
      <c r="S6" s="30">
        <v>4831.28</v>
      </c>
      <c r="T6" s="73">
        <f>Q6-S6</f>
        <v>850982.9799999999</v>
      </c>
      <c r="U6" s="30">
        <v>1348.55</v>
      </c>
      <c r="V6" s="30">
        <v>4885.7</v>
      </c>
      <c r="W6" s="73">
        <f>T6-V6</f>
        <v>846097.2799999999</v>
      </c>
      <c r="X6" s="254"/>
      <c r="Y6" s="397">
        <v>1479.51</v>
      </c>
      <c r="Z6" s="397">
        <v>4754.74</v>
      </c>
      <c r="AA6" s="73">
        <f>W6-Z6</f>
        <v>841342.5399999999</v>
      </c>
      <c r="AB6" s="30">
        <v>1425.23</v>
      </c>
      <c r="AC6" s="30">
        <v>4809.02</v>
      </c>
      <c r="AD6" s="73">
        <f>AA6-AC6</f>
        <v>836533.5199999999</v>
      </c>
      <c r="AE6" s="30">
        <v>1417.08</v>
      </c>
      <c r="AF6" s="30">
        <v>4817.17</v>
      </c>
      <c r="AG6" s="73">
        <f>AD6-AF6</f>
        <v>831716.3499999999</v>
      </c>
      <c r="AH6" s="30">
        <v>1363.47</v>
      </c>
      <c r="AI6" s="30">
        <v>4870.78</v>
      </c>
      <c r="AJ6" s="73">
        <f>AG6-AI6</f>
        <v>826845.5699999998</v>
      </c>
      <c r="AK6" s="254"/>
      <c r="AL6" s="30">
        <v>1355.48</v>
      </c>
      <c r="AM6" s="30">
        <v>4878.77</v>
      </c>
      <c r="AN6" s="73">
        <f>AJ6-AM6</f>
        <v>821966.7999999998</v>
      </c>
      <c r="AO6" s="30">
        <v>1392.4</v>
      </c>
      <c r="AP6" s="30">
        <v>4841.85</v>
      </c>
      <c r="AQ6" s="73">
        <f>AN6-AP6</f>
        <v>817124.9499999998</v>
      </c>
      <c r="AR6" s="30">
        <v>1384.2</v>
      </c>
      <c r="AS6" s="30">
        <v>4850.05</v>
      </c>
      <c r="AT6" s="73">
        <f>AQ6-AS6</f>
        <v>812274.8999999998</v>
      </c>
      <c r="AU6" s="244">
        <f aca="true" t="shared" si="0" ref="AU6:AV8">I6+L6+O6+R6+U6+Y6+AB6+AE6+AH6+AL6+AO6+AR6</f>
        <v>16871.989999999998</v>
      </c>
      <c r="AV6" s="80">
        <f t="shared" si="0"/>
        <v>57939.01</v>
      </c>
      <c r="AW6" s="251">
        <f>F6-AV6</f>
        <v>812274.8999999999</v>
      </c>
    </row>
    <row r="7" spans="1:49" ht="13.5" customHeight="1">
      <c r="A7" s="390" t="s">
        <v>95</v>
      </c>
      <c r="B7" s="390" t="s">
        <v>138</v>
      </c>
      <c r="C7" s="115">
        <v>36180</v>
      </c>
      <c r="D7" s="115">
        <v>48670</v>
      </c>
      <c r="E7" s="115"/>
      <c r="F7" s="420">
        <v>552479.24</v>
      </c>
      <c r="G7" s="394">
        <v>0.04125</v>
      </c>
      <c r="H7" s="394"/>
      <c r="I7" s="396">
        <v>1403.84</v>
      </c>
      <c r="J7" s="397">
        <v>2811.75</v>
      </c>
      <c r="K7" s="398">
        <f>F7-J7</f>
        <v>549667.49</v>
      </c>
      <c r="L7" s="397">
        <v>1261.53</v>
      </c>
      <c r="M7" s="397">
        <v>2954.06</v>
      </c>
      <c r="N7" s="398">
        <f>K7-M7</f>
        <v>546713.4299999999</v>
      </c>
      <c r="O7" s="397">
        <v>1434</v>
      </c>
      <c r="P7" s="397">
        <v>2781.59</v>
      </c>
      <c r="Q7" s="398">
        <f>N7-P7</f>
        <v>543931.84</v>
      </c>
      <c r="R7" s="397">
        <v>1337.54</v>
      </c>
      <c r="S7" s="397">
        <v>2878.05</v>
      </c>
      <c r="T7" s="398">
        <f>Q7-S7</f>
        <v>541053.7899999999</v>
      </c>
      <c r="U7" s="30">
        <v>1286.11</v>
      </c>
      <c r="V7" s="30">
        <v>2929.48</v>
      </c>
      <c r="W7" s="73">
        <f>T7-V7</f>
        <v>538124.3099999999</v>
      </c>
      <c r="X7" s="254"/>
      <c r="Y7" s="397">
        <v>1411.47</v>
      </c>
      <c r="Z7" s="397">
        <v>2804.12</v>
      </c>
      <c r="AA7" s="73">
        <f>W7-Z7</f>
        <v>535320.19</v>
      </c>
      <c r="AB7" s="30">
        <v>1360.24</v>
      </c>
      <c r="AC7" s="30">
        <v>2855.35</v>
      </c>
      <c r="AD7" s="73">
        <f>AA7-AC7</f>
        <v>532464.84</v>
      </c>
      <c r="AE7" s="30">
        <v>1352.98</v>
      </c>
      <c r="AF7" s="30">
        <v>2862.61</v>
      </c>
      <c r="AG7" s="73">
        <f>AD7-AF7</f>
        <v>529602.23</v>
      </c>
      <c r="AH7" s="30">
        <v>1302.3</v>
      </c>
      <c r="AI7" s="30">
        <v>2913.29</v>
      </c>
      <c r="AJ7" s="73">
        <f>AG7-AI7</f>
        <v>526688.94</v>
      </c>
      <c r="AK7" s="254"/>
      <c r="AL7" s="30">
        <v>1295.14</v>
      </c>
      <c r="AM7" s="30">
        <v>2920.45</v>
      </c>
      <c r="AN7" s="73">
        <f>AJ7-AM7</f>
        <v>523768.48999999993</v>
      </c>
      <c r="AO7" s="30">
        <v>1330.89</v>
      </c>
      <c r="AP7" s="30">
        <v>2884.7</v>
      </c>
      <c r="AQ7" s="73">
        <f>AN7-AP7</f>
        <v>520883.7899999999</v>
      </c>
      <c r="AR7" s="30">
        <v>1323.56</v>
      </c>
      <c r="AS7" s="30">
        <v>2892.03</v>
      </c>
      <c r="AT7" s="73">
        <f>AQ7-AS7</f>
        <v>517991.7599999999</v>
      </c>
      <c r="AU7" s="244">
        <f t="shared" si="0"/>
        <v>16099.599999999997</v>
      </c>
      <c r="AV7" s="80">
        <f t="shared" si="0"/>
        <v>34487.48</v>
      </c>
      <c r="AW7" s="251">
        <f>F7-AV7</f>
        <v>517991.76</v>
      </c>
    </row>
    <row r="8" spans="1:49" ht="13.5" customHeight="1">
      <c r="A8" s="390" t="s">
        <v>161</v>
      </c>
      <c r="B8" s="390" t="s">
        <v>139</v>
      </c>
      <c r="C8" s="115">
        <v>36250</v>
      </c>
      <c r="D8" s="115">
        <v>48670</v>
      </c>
      <c r="E8" s="115"/>
      <c r="F8" s="420">
        <v>45077.27</v>
      </c>
      <c r="G8" s="394">
        <v>0.045</v>
      </c>
      <c r="H8" s="394"/>
      <c r="I8" s="399">
        <v>171.81</v>
      </c>
      <c r="J8" s="400">
        <v>205.58</v>
      </c>
      <c r="K8" s="401">
        <f>F8-J8</f>
        <v>44871.689999999995</v>
      </c>
      <c r="L8" s="400">
        <v>154.48</v>
      </c>
      <c r="M8" s="400">
        <v>222.91</v>
      </c>
      <c r="N8" s="401">
        <f>K8-M8</f>
        <v>44648.77999999999</v>
      </c>
      <c r="O8" s="400">
        <v>175.67</v>
      </c>
      <c r="P8" s="400">
        <v>201.72</v>
      </c>
      <c r="Q8" s="401">
        <f>N8-P8</f>
        <v>44447.05999999999</v>
      </c>
      <c r="R8" s="400">
        <v>163.94</v>
      </c>
      <c r="S8" s="400">
        <v>213.45</v>
      </c>
      <c r="T8" s="401">
        <f>Q8-S8</f>
        <v>44233.60999999999</v>
      </c>
      <c r="U8" s="204">
        <v>157.72</v>
      </c>
      <c r="V8" s="204">
        <v>219.67</v>
      </c>
      <c r="W8" s="88">
        <f>T8-V8</f>
        <v>44013.939999999995</v>
      </c>
      <c r="X8" s="74"/>
      <c r="Y8" s="400">
        <v>173.17</v>
      </c>
      <c r="Z8" s="400">
        <v>204.22</v>
      </c>
      <c r="AA8" s="88">
        <f>W8-Z8</f>
        <v>43809.719999999994</v>
      </c>
      <c r="AB8" s="204">
        <v>166.98</v>
      </c>
      <c r="AC8" s="204">
        <v>210.41</v>
      </c>
      <c r="AD8" s="88">
        <f>AA8-AC8</f>
        <v>43599.30999999999</v>
      </c>
      <c r="AE8" s="204">
        <v>166.18</v>
      </c>
      <c r="AF8" s="204">
        <v>211.21</v>
      </c>
      <c r="AG8" s="88">
        <f>AD8-AF8</f>
        <v>43388.09999999999</v>
      </c>
      <c r="AH8" s="204">
        <v>160.04</v>
      </c>
      <c r="AI8" s="204">
        <v>217.35</v>
      </c>
      <c r="AJ8" s="88">
        <f>AG8-AI8</f>
        <v>43170.74999999999</v>
      </c>
      <c r="AK8" s="74"/>
      <c r="AL8" s="204">
        <v>159.24</v>
      </c>
      <c r="AM8" s="204">
        <v>218.15</v>
      </c>
      <c r="AN8" s="88">
        <f>AJ8-AM8</f>
        <v>42952.59999999999</v>
      </c>
      <c r="AO8" s="204">
        <v>163.71</v>
      </c>
      <c r="AP8" s="204">
        <v>213.68</v>
      </c>
      <c r="AQ8" s="88">
        <f>AN8-AP8</f>
        <v>42738.91999999999</v>
      </c>
      <c r="AR8" s="204">
        <v>162.9</v>
      </c>
      <c r="AS8" s="204">
        <v>214.49</v>
      </c>
      <c r="AT8" s="88">
        <f>AQ8-AS8</f>
        <v>42524.42999999999</v>
      </c>
      <c r="AU8" s="245">
        <f t="shared" si="0"/>
        <v>1975.84</v>
      </c>
      <c r="AV8" s="246">
        <f t="shared" si="0"/>
        <v>2552.84</v>
      </c>
      <c r="AW8" s="252">
        <f>F8-AV8</f>
        <v>42524.42999999999</v>
      </c>
    </row>
    <row r="9" spans="1:49" ht="13.5" customHeight="1">
      <c r="A9" s="21"/>
      <c r="B9" s="21"/>
      <c r="C9" s="21"/>
      <c r="D9" s="21"/>
      <c r="E9" s="21"/>
      <c r="F9" s="72"/>
      <c r="G9" s="108"/>
      <c r="H9" s="108"/>
      <c r="I9" s="78">
        <f>SUM(I6:I8)</f>
        <v>3049.78</v>
      </c>
      <c r="J9" s="22">
        <f>SUM(J6:J8)</f>
        <v>7777.45</v>
      </c>
      <c r="K9" s="73"/>
      <c r="L9" s="22">
        <f>SUM(L6:L8)</f>
        <v>2740.2000000000003</v>
      </c>
      <c r="M9" s="22">
        <f>SUM(M6:M8)</f>
        <v>8087.030000000001</v>
      </c>
      <c r="N9" s="73"/>
      <c r="O9" s="22">
        <f>SUM(O6:O8)</f>
        <v>3114.45</v>
      </c>
      <c r="P9" s="22">
        <f>SUM(P6:P8)</f>
        <v>7712.780000000001</v>
      </c>
      <c r="Q9" s="73"/>
      <c r="R9" s="22">
        <f>SUM(R6:R8)</f>
        <v>2904.4500000000003</v>
      </c>
      <c r="S9" s="22">
        <f>SUM(S6:S8)</f>
        <v>7922.78</v>
      </c>
      <c r="T9" s="73"/>
      <c r="U9" s="22">
        <f>SUM(U6:U8)</f>
        <v>2792.3799999999997</v>
      </c>
      <c r="V9" s="22">
        <f>SUM(V6:V8)</f>
        <v>8034.85</v>
      </c>
      <c r="W9" s="73"/>
      <c r="X9" s="72"/>
      <c r="Y9" s="22">
        <f>SUM(Y6:Y8)</f>
        <v>3064.15</v>
      </c>
      <c r="Z9" s="22">
        <f>SUM(Z6:Z8)</f>
        <v>7763.08</v>
      </c>
      <c r="AA9" s="73"/>
      <c r="AB9" s="22">
        <f>SUM(AB6:AB8)</f>
        <v>2952.4500000000003</v>
      </c>
      <c r="AC9" s="22">
        <f>SUM(AC6:AC8)</f>
        <v>7874.780000000001</v>
      </c>
      <c r="AD9" s="73"/>
      <c r="AE9" s="22">
        <f>SUM(AE6:AE8)</f>
        <v>2936.24</v>
      </c>
      <c r="AF9" s="22">
        <f>SUM(AF6:AF8)</f>
        <v>7890.990000000001</v>
      </c>
      <c r="AG9" s="73"/>
      <c r="AH9" s="22">
        <f>SUM(AH6:AH8)</f>
        <v>2825.81</v>
      </c>
      <c r="AI9" s="22">
        <f>SUM(AI6:AI8)</f>
        <v>8001.42</v>
      </c>
      <c r="AJ9" s="73"/>
      <c r="AK9" s="72"/>
      <c r="AL9" s="22">
        <f>SUM(AL6:AL8)</f>
        <v>2809.8599999999997</v>
      </c>
      <c r="AM9" s="22">
        <f>SUM(AM6:AM8)</f>
        <v>8017.37</v>
      </c>
      <c r="AN9" s="73"/>
      <c r="AO9" s="22">
        <f>SUM(AO6:AO8)</f>
        <v>2887</v>
      </c>
      <c r="AP9" s="22">
        <f>SUM(AP6:AP8)</f>
        <v>7940.2300000000005</v>
      </c>
      <c r="AQ9" s="73"/>
      <c r="AR9" s="22">
        <f>SUM(AR6:AR8)</f>
        <v>2870.6600000000003</v>
      </c>
      <c r="AS9" s="22">
        <f>SUM(AS6:AS8)</f>
        <v>7956.57</v>
      </c>
      <c r="AT9" s="73"/>
      <c r="AU9" s="80">
        <f>SUM(AU6:AU8)</f>
        <v>34947.42999999999</v>
      </c>
      <c r="AV9" s="80">
        <f>SUM(AV6:AV8)</f>
        <v>94979.33</v>
      </c>
      <c r="AW9" s="251">
        <f>SUM(AW6:AW8)</f>
        <v>1372791.0899999999</v>
      </c>
    </row>
    <row r="10" spans="1:49" ht="13.5" customHeight="1">
      <c r="A10" s="383"/>
      <c r="B10" s="239"/>
      <c r="C10" s="239"/>
      <c r="D10" s="34"/>
      <c r="E10" s="34"/>
      <c r="F10" s="241">
        <f>SUM(F6:F8)</f>
        <v>1467770.42</v>
      </c>
      <c r="G10" s="162"/>
      <c r="H10" s="163"/>
      <c r="I10" s="32"/>
      <c r="J10" s="32"/>
      <c r="K10" s="88"/>
      <c r="L10" s="32"/>
      <c r="M10" s="32"/>
      <c r="N10" s="88"/>
      <c r="O10" s="32"/>
      <c r="P10" s="32"/>
      <c r="Q10" s="88"/>
      <c r="R10" s="32"/>
      <c r="S10" s="32"/>
      <c r="T10" s="88"/>
      <c r="U10" s="32"/>
      <c r="V10" s="32"/>
      <c r="W10" s="88"/>
      <c r="X10" s="74"/>
      <c r="Y10" s="22"/>
      <c r="Z10" s="238"/>
      <c r="AA10" s="88"/>
      <c r="AB10" s="32"/>
      <c r="AC10" s="32"/>
      <c r="AD10" s="88"/>
      <c r="AE10" s="32"/>
      <c r="AF10" s="32"/>
      <c r="AG10" s="88"/>
      <c r="AH10" s="32"/>
      <c r="AI10" s="32"/>
      <c r="AJ10" s="88"/>
      <c r="AK10" s="74"/>
      <c r="AL10" s="32"/>
      <c r="AM10" s="32"/>
      <c r="AN10" s="88"/>
      <c r="AO10" s="32"/>
      <c r="AP10" s="32"/>
      <c r="AQ10" s="88"/>
      <c r="AR10" s="32"/>
      <c r="AS10" s="32"/>
      <c r="AT10" s="88"/>
      <c r="AW10" s="253"/>
    </row>
    <row r="11" spans="1:49" ht="13.5" customHeight="1">
      <c r="A11" s="34"/>
      <c r="B11" s="34"/>
      <c r="C11" s="34"/>
      <c r="D11" s="34"/>
      <c r="E11" s="34"/>
      <c r="F11" s="33"/>
      <c r="G11" s="162"/>
      <c r="H11" s="163"/>
      <c r="I11" s="32"/>
      <c r="J11" s="32"/>
      <c r="K11" s="88"/>
      <c r="L11" s="32"/>
      <c r="M11" s="32"/>
      <c r="N11" s="88"/>
      <c r="O11" s="192"/>
      <c r="P11" s="32"/>
      <c r="Q11" s="88"/>
      <c r="R11" s="32"/>
      <c r="S11" s="32"/>
      <c r="T11" s="88"/>
      <c r="U11" s="32"/>
      <c r="V11" s="32"/>
      <c r="W11" s="88"/>
      <c r="X11" s="74"/>
      <c r="Y11" s="192"/>
      <c r="Z11" s="32"/>
      <c r="AA11" s="88"/>
      <c r="AB11" s="32"/>
      <c r="AC11" s="32"/>
      <c r="AD11" s="88"/>
      <c r="AE11" s="32"/>
      <c r="AF11" s="32"/>
      <c r="AG11" s="88"/>
      <c r="AH11" s="32"/>
      <c r="AI11" s="32"/>
      <c r="AJ11" s="88"/>
      <c r="AK11" s="74"/>
      <c r="AL11" s="192" t="s">
        <v>224</v>
      </c>
      <c r="AM11" s="32"/>
      <c r="AN11" s="88"/>
      <c r="AO11" s="32"/>
      <c r="AP11" s="32"/>
      <c r="AQ11" s="88"/>
      <c r="AR11" s="32"/>
      <c r="AS11" s="32"/>
      <c r="AT11" s="88"/>
      <c r="AW11" s="253"/>
    </row>
    <row r="12" spans="1:46" ht="13.5" customHeight="1">
      <c r="A12" s="34"/>
      <c r="B12" s="34"/>
      <c r="C12" s="34"/>
      <c r="D12" s="34"/>
      <c r="E12" s="235" t="s">
        <v>128</v>
      </c>
      <c r="F12" s="237">
        <f>F10</f>
        <v>1467770.42</v>
      </c>
      <c r="G12" s="72"/>
      <c r="H12" s="73"/>
      <c r="I12" s="22"/>
      <c r="J12" s="22"/>
      <c r="K12" s="237">
        <f>SUM(K6:K8)</f>
        <v>1459992.9699999997</v>
      </c>
      <c r="L12" s="22"/>
      <c r="M12" s="22"/>
      <c r="N12" s="237">
        <f>SUM(N6:N8)</f>
        <v>1451905.9399999997</v>
      </c>
      <c r="O12" s="22"/>
      <c r="P12" s="22"/>
      <c r="Q12" s="237">
        <f>SUM(Q6:Q8)</f>
        <v>1444193.16</v>
      </c>
      <c r="R12" s="22"/>
      <c r="S12" s="22"/>
      <c r="T12" s="237">
        <f>SUM(T6:T8)</f>
        <v>1436270.38</v>
      </c>
      <c r="U12" s="22"/>
      <c r="V12" s="22"/>
      <c r="W12" s="237">
        <f>SUM(W6:W8)</f>
        <v>1428235.5299999998</v>
      </c>
      <c r="X12" s="237"/>
      <c r="Y12" s="22"/>
      <c r="Z12" s="22"/>
      <c r="AA12" s="237">
        <f>SUM(AA6:AA8)</f>
        <v>1420472.45</v>
      </c>
      <c r="AB12" s="22"/>
      <c r="AC12" s="22"/>
      <c r="AD12" s="237">
        <f>SUM(AD6:AD8)</f>
        <v>1412597.67</v>
      </c>
      <c r="AE12" s="22"/>
      <c r="AF12" s="22"/>
      <c r="AG12" s="237">
        <f>SUM(AG6:AG8)</f>
        <v>1404706.68</v>
      </c>
      <c r="AH12" s="22"/>
      <c r="AI12" s="22"/>
      <c r="AJ12" s="237">
        <f>SUM(AJ6:AJ8)</f>
        <v>1396705.2599999998</v>
      </c>
      <c r="AK12" s="237"/>
      <c r="AL12" s="22"/>
      <c r="AM12" s="22"/>
      <c r="AN12" s="237">
        <f>SUM(AN6:AN8)</f>
        <v>1388687.89</v>
      </c>
      <c r="AO12" s="72"/>
      <c r="AP12" s="72"/>
      <c r="AQ12" s="237">
        <f>SUM(AQ6:AQ8)</f>
        <v>1380747.6599999997</v>
      </c>
      <c r="AR12" s="22"/>
      <c r="AS12" s="22"/>
      <c r="AT12" s="237">
        <f>SUM(AT6:AT9)</f>
        <v>1372791.0899999996</v>
      </c>
    </row>
    <row r="13" spans="1:46" ht="39.75" customHeight="1">
      <c r="A13" s="260"/>
      <c r="B13" s="260" t="s">
        <v>167</v>
      </c>
      <c r="C13" s="564" t="s">
        <v>171</v>
      </c>
      <c r="D13" s="564"/>
      <c r="E13" s="258" t="s">
        <v>166</v>
      </c>
      <c r="F13" s="258" t="s">
        <v>168</v>
      </c>
      <c r="G13" s="259" t="s">
        <v>36</v>
      </c>
      <c r="H13" s="72"/>
      <c r="I13" s="22"/>
      <c r="J13" s="262" t="s">
        <v>170</v>
      </c>
      <c r="K13" s="263">
        <f>G15</f>
        <v>0</v>
      </c>
      <c r="L13" s="32"/>
      <c r="M13" s="32"/>
      <c r="N13" s="263">
        <f>G16</f>
        <v>0</v>
      </c>
      <c r="O13" s="32"/>
      <c r="P13" s="32"/>
      <c r="Q13" s="263">
        <f>G17</f>
        <v>0</v>
      </c>
      <c r="R13" s="32"/>
      <c r="S13" s="32"/>
      <c r="T13" s="263">
        <f>G18</f>
        <v>0</v>
      </c>
      <c r="U13" s="32"/>
      <c r="V13" s="32"/>
      <c r="W13" s="263">
        <f>+G19</f>
        <v>0</v>
      </c>
      <c r="X13" s="263"/>
      <c r="Y13" s="32"/>
      <c r="Z13" s="32"/>
      <c r="AA13" s="263">
        <f>+G20</f>
        <v>0</v>
      </c>
      <c r="AB13" s="32"/>
      <c r="AC13" s="32"/>
      <c r="AD13" s="263">
        <f>+G22</f>
        <v>0</v>
      </c>
      <c r="AE13" s="32"/>
      <c r="AF13" s="32"/>
      <c r="AG13" s="263">
        <f>+G23</f>
        <v>0</v>
      </c>
      <c r="AH13" s="32"/>
      <c r="AI13" s="32"/>
      <c r="AJ13" s="263">
        <f>+G24</f>
        <v>0</v>
      </c>
      <c r="AK13" s="263"/>
      <c r="AL13" s="32"/>
      <c r="AM13" s="32"/>
      <c r="AN13" s="263">
        <f>+G25</f>
        <v>0</v>
      </c>
      <c r="AO13" s="74"/>
      <c r="AP13" s="74"/>
      <c r="AQ13" s="263">
        <f>+G26</f>
        <v>0</v>
      </c>
      <c r="AR13" s="32"/>
      <c r="AS13" s="32"/>
      <c r="AT13" s="263">
        <f>+G27</f>
        <v>0</v>
      </c>
    </row>
    <row r="14" spans="1:46" ht="24" customHeight="1">
      <c r="A14" s="386" t="s">
        <v>208</v>
      </c>
      <c r="B14" s="261" t="s">
        <v>30</v>
      </c>
      <c r="C14" s="565" t="s">
        <v>174</v>
      </c>
      <c r="D14" s="566"/>
      <c r="E14" s="392" t="s">
        <v>174</v>
      </c>
      <c r="F14" s="387" t="s">
        <v>174</v>
      </c>
      <c r="G14" s="22">
        <v>0</v>
      </c>
      <c r="H14" s="72"/>
      <c r="I14" s="22"/>
      <c r="J14" s="262" t="s">
        <v>169</v>
      </c>
      <c r="K14" s="237">
        <f>K12-K13</f>
        <v>1459992.9699999997</v>
      </c>
      <c r="L14" s="22"/>
      <c r="M14" s="22"/>
      <c r="N14" s="237">
        <f>N12-N13</f>
        <v>1451905.9399999997</v>
      </c>
      <c r="O14" s="22"/>
      <c r="P14" s="22"/>
      <c r="Q14" s="237">
        <f>Q12-Q13</f>
        <v>1444193.16</v>
      </c>
      <c r="R14" s="22"/>
      <c r="S14" s="22"/>
      <c r="T14" s="237">
        <f>T12-T13</f>
        <v>1436270.38</v>
      </c>
      <c r="U14" s="22"/>
      <c r="V14" s="22"/>
      <c r="W14" s="237">
        <f>W12-W13</f>
        <v>1428235.5299999998</v>
      </c>
      <c r="X14" s="237"/>
      <c r="Y14" s="22"/>
      <c r="Z14" s="22"/>
      <c r="AA14" s="237">
        <f>AA12-AA13</f>
        <v>1420472.45</v>
      </c>
      <c r="AB14" s="22"/>
      <c r="AC14" s="22"/>
      <c r="AD14" s="237">
        <f>AD12-AD13</f>
        <v>1412597.67</v>
      </c>
      <c r="AE14" s="22"/>
      <c r="AF14" s="22"/>
      <c r="AG14" s="237">
        <f>AG12-AG13</f>
        <v>1404706.68</v>
      </c>
      <c r="AH14" s="22"/>
      <c r="AI14" s="22"/>
      <c r="AJ14" s="237">
        <f>AJ12-AJ13</f>
        <v>1396705.2599999998</v>
      </c>
      <c r="AK14" s="237"/>
      <c r="AL14" s="22"/>
      <c r="AM14" s="22"/>
      <c r="AN14" s="237">
        <f>AN12-AN13</f>
        <v>1388687.89</v>
      </c>
      <c r="AO14" s="72"/>
      <c r="AP14" s="72"/>
      <c r="AQ14" s="237">
        <f>AQ12-AQ13</f>
        <v>1380747.6599999997</v>
      </c>
      <c r="AR14" s="22"/>
      <c r="AS14" s="22"/>
      <c r="AT14" s="237">
        <f>AT12-AT13</f>
        <v>1372791.0899999996</v>
      </c>
    </row>
    <row r="15" spans="1:46" ht="18" customHeight="1">
      <c r="A15" s="34"/>
      <c r="B15" s="261" t="s">
        <v>30</v>
      </c>
      <c r="C15" s="566">
        <v>43861</v>
      </c>
      <c r="D15" s="566"/>
      <c r="E15" s="402"/>
      <c r="F15" s="286"/>
      <c r="G15" s="22">
        <f>G14+E15+F15</f>
        <v>0</v>
      </c>
      <c r="H15" s="72"/>
      <c r="I15" s="22"/>
      <c r="J15" s="22"/>
      <c r="K15" s="237"/>
      <c r="L15" s="22"/>
      <c r="M15" s="22"/>
      <c r="N15" s="237"/>
      <c r="O15" s="22"/>
      <c r="P15" s="22"/>
      <c r="Q15" s="237"/>
      <c r="R15" s="22"/>
      <c r="S15" s="22"/>
      <c r="T15" s="237"/>
      <c r="U15" s="22"/>
      <c r="V15" s="22"/>
      <c r="W15" s="237"/>
      <c r="X15" s="237"/>
      <c r="Y15" s="22"/>
      <c r="Z15" s="22"/>
      <c r="AA15" s="237"/>
      <c r="AB15" s="22"/>
      <c r="AC15" s="22"/>
      <c r="AD15" s="237"/>
      <c r="AE15" s="22"/>
      <c r="AF15" s="22"/>
      <c r="AG15" s="237"/>
      <c r="AH15" s="22"/>
      <c r="AI15" s="22"/>
      <c r="AJ15" s="237"/>
      <c r="AK15" s="237"/>
      <c r="AL15" s="22"/>
      <c r="AM15" s="22"/>
      <c r="AN15" s="237"/>
      <c r="AO15" s="72"/>
      <c r="AP15" s="72"/>
      <c r="AQ15" s="237"/>
      <c r="AR15" s="22"/>
      <c r="AS15" s="22"/>
      <c r="AT15" s="237"/>
    </row>
    <row r="16" spans="2:55" ht="15">
      <c r="B16" s="261" t="s">
        <v>30</v>
      </c>
      <c r="C16" s="566">
        <v>43889</v>
      </c>
      <c r="D16" s="566"/>
      <c r="E16" s="402"/>
      <c r="F16" s="286"/>
      <c r="G16" s="22">
        <f>G15+E16+F16</f>
        <v>0</v>
      </c>
      <c r="H16" s="89"/>
      <c r="I16" s="89"/>
      <c r="J16" s="166"/>
      <c r="K16" s="164"/>
      <c r="L16" s="89"/>
      <c r="M16" s="166" t="s">
        <v>217</v>
      </c>
      <c r="N16" s="165"/>
      <c r="O16" s="89"/>
      <c r="P16" s="166"/>
      <c r="Q16" s="89"/>
      <c r="R16" s="75"/>
      <c r="S16" s="166"/>
      <c r="T16" s="89"/>
      <c r="U16" s="89"/>
      <c r="V16" s="166"/>
      <c r="W16" s="165"/>
      <c r="X16" s="165"/>
      <c r="Y16" s="89"/>
      <c r="Z16" s="166"/>
      <c r="AA16" s="165"/>
      <c r="AB16" s="75"/>
      <c r="AC16" s="109"/>
      <c r="AD16" s="165"/>
      <c r="AE16" s="89"/>
      <c r="AF16" s="109"/>
      <c r="AG16" s="165"/>
      <c r="AH16" s="72"/>
      <c r="AI16" s="109"/>
      <c r="AJ16" s="165"/>
      <c r="AK16" s="165"/>
      <c r="AL16" s="75"/>
      <c r="AM16" s="109"/>
      <c r="AN16" s="165"/>
      <c r="AO16" s="89"/>
      <c r="AP16" s="166"/>
      <c r="AQ16" s="167"/>
      <c r="AR16" s="89"/>
      <c r="AS16" s="166"/>
      <c r="AT16" s="90"/>
      <c r="AW16" s="419"/>
      <c r="AX16" s="419"/>
      <c r="AY16" s="419"/>
      <c r="AZ16" s="419"/>
      <c r="BA16" s="419"/>
      <c r="BB16" s="419" t="s">
        <v>225</v>
      </c>
      <c r="BC16" s="419"/>
    </row>
    <row r="17" spans="2:55" ht="15">
      <c r="B17" s="261" t="s">
        <v>30</v>
      </c>
      <c r="C17" s="566">
        <v>43921</v>
      </c>
      <c r="D17" s="566"/>
      <c r="E17" s="402"/>
      <c r="F17" s="286"/>
      <c r="G17" s="22">
        <f>G16+E17+F17</f>
        <v>0</v>
      </c>
      <c r="H17" s="89"/>
      <c r="I17" s="89"/>
      <c r="J17" s="166"/>
      <c r="K17" s="134"/>
      <c r="L17" s="89"/>
      <c r="M17" s="166"/>
      <c r="N17" s="134"/>
      <c r="O17" s="89"/>
      <c r="P17" s="166"/>
      <c r="Q17" s="166"/>
      <c r="R17" s="75"/>
      <c r="S17" s="166"/>
      <c r="T17" s="89"/>
      <c r="U17" s="89"/>
      <c r="V17" s="89"/>
      <c r="W17" s="168"/>
      <c r="X17" s="168"/>
      <c r="Y17" s="89"/>
      <c r="Z17" s="109"/>
      <c r="AA17" s="89"/>
      <c r="AB17" s="75"/>
      <c r="AC17" s="166"/>
      <c r="AD17" s="89"/>
      <c r="AE17" s="89"/>
      <c r="AF17" s="166"/>
      <c r="AG17" s="89"/>
      <c r="AH17" s="89"/>
      <c r="AI17" s="166"/>
      <c r="AJ17" s="89"/>
      <c r="AK17" s="89"/>
      <c r="AL17" s="75"/>
      <c r="AM17" s="166"/>
      <c r="AN17" s="89"/>
      <c r="AO17" s="89"/>
      <c r="AP17" s="134"/>
      <c r="AQ17" s="91"/>
      <c r="AR17" s="89"/>
      <c r="AS17" s="166"/>
      <c r="AT17" s="91"/>
      <c r="AW17" s="419"/>
      <c r="AX17" s="419" t="s">
        <v>226</v>
      </c>
      <c r="AY17" s="419"/>
      <c r="AZ17" s="419"/>
      <c r="BA17" s="419"/>
      <c r="BB17" s="419"/>
      <c r="BC17" s="419"/>
    </row>
    <row r="18" spans="2:55" ht="15">
      <c r="B18" s="261" t="s">
        <v>30</v>
      </c>
      <c r="C18" s="566">
        <v>43951</v>
      </c>
      <c r="D18" s="566"/>
      <c r="E18" s="402"/>
      <c r="F18" s="286"/>
      <c r="G18" s="22">
        <f>G17+E18+F18</f>
        <v>0</v>
      </c>
      <c r="J18" s="110"/>
      <c r="S18" s="109"/>
      <c r="W18" s="112"/>
      <c r="X18" s="112"/>
      <c r="Z18" s="109"/>
      <c r="AC18" s="109"/>
      <c r="AF18" s="109"/>
      <c r="AI18" s="109"/>
      <c r="AJ18" s="109"/>
      <c r="AK18" s="109"/>
      <c r="AL18" s="125"/>
      <c r="AM18" s="109"/>
      <c r="AP18" s="110"/>
      <c r="AS18" s="109"/>
      <c r="AT18" s="110"/>
      <c r="AW18" s="419"/>
      <c r="AX18" s="419"/>
      <c r="AY18" s="567" t="s">
        <v>227</v>
      </c>
      <c r="AZ18" s="567"/>
      <c r="BA18" s="567"/>
      <c r="BB18" s="419"/>
      <c r="BC18" s="419"/>
    </row>
    <row r="19" spans="2:55" ht="15">
      <c r="B19" s="261" t="s">
        <v>30</v>
      </c>
      <c r="C19" s="566">
        <v>43982</v>
      </c>
      <c r="D19" s="566"/>
      <c r="E19" s="402"/>
      <c r="F19" s="286"/>
      <c r="G19" s="22">
        <f aca="true" t="shared" si="1" ref="G19:G27">G18+E19+F19</f>
        <v>0</v>
      </c>
      <c r="S19" s="109"/>
      <c r="W19" s="112"/>
      <c r="X19" s="112"/>
      <c r="Z19" s="109"/>
      <c r="AC19" s="109"/>
      <c r="AF19" s="109"/>
      <c r="AI19" s="109"/>
      <c r="AJ19" s="109"/>
      <c r="AK19" s="109"/>
      <c r="AL19" s="125"/>
      <c r="AM19" s="109"/>
      <c r="AP19" s="117"/>
      <c r="AT19" s="110"/>
      <c r="AW19" s="431" t="s">
        <v>228</v>
      </c>
      <c r="AX19" s="432">
        <f>+AW9</f>
        <v>1372791.0899999999</v>
      </c>
      <c r="AY19" s="431" t="s">
        <v>229</v>
      </c>
      <c r="AZ19" s="236"/>
      <c r="BA19" s="419"/>
      <c r="BB19" s="419" t="s">
        <v>230</v>
      </c>
      <c r="BC19" s="419"/>
    </row>
    <row r="20" spans="2:55" ht="15">
      <c r="B20" s="261" t="s">
        <v>30</v>
      </c>
      <c r="C20" s="566">
        <v>44012</v>
      </c>
      <c r="D20" s="566"/>
      <c r="E20" s="402"/>
      <c r="F20" s="286"/>
      <c r="G20" s="22">
        <f t="shared" si="1"/>
        <v>0</v>
      </c>
      <c r="H20" s="361"/>
      <c r="I20" s="361" t="s">
        <v>118</v>
      </c>
      <c r="J20" s="361"/>
      <c r="K20" s="361"/>
      <c r="L20" s="135">
        <f>I9+L9</f>
        <v>5789.9800000000005</v>
      </c>
      <c r="M20" s="135"/>
      <c r="N20" s="135"/>
      <c r="O20" s="135">
        <f>L20+O9</f>
        <v>8904.43</v>
      </c>
      <c r="P20" s="135"/>
      <c r="Q20" s="135"/>
      <c r="R20" s="136">
        <f>O20+R9</f>
        <v>11808.880000000001</v>
      </c>
      <c r="S20" s="135"/>
      <c r="T20" s="135"/>
      <c r="U20" s="135">
        <f>R20+U9</f>
        <v>14601.26</v>
      </c>
      <c r="V20" s="135"/>
      <c r="W20" s="137"/>
      <c r="X20" s="137"/>
      <c r="Y20" s="135">
        <f>U20+Y9</f>
        <v>17665.41</v>
      </c>
      <c r="Z20" s="135"/>
      <c r="AA20" s="135"/>
      <c r="AB20" s="136">
        <f>Y20+AB9</f>
        <v>20617.86</v>
      </c>
      <c r="AC20" s="135"/>
      <c r="AD20" s="135"/>
      <c r="AE20" s="135">
        <f>AB20+AE9</f>
        <v>23554.1</v>
      </c>
      <c r="AF20" s="138"/>
      <c r="AG20" s="135"/>
      <c r="AH20" s="135">
        <f>AE20+AH9</f>
        <v>26379.91</v>
      </c>
      <c r="AI20" s="135"/>
      <c r="AJ20" s="135"/>
      <c r="AK20" s="135"/>
      <c r="AL20" s="136">
        <f>AH20+AL9</f>
        <v>29189.77</v>
      </c>
      <c r="AM20" s="135"/>
      <c r="AN20" s="135"/>
      <c r="AO20" s="135">
        <f>AL20+AO9</f>
        <v>32076.77</v>
      </c>
      <c r="AQ20" s="135"/>
      <c r="AR20" s="135">
        <f>AO20+AR9</f>
        <v>34947.43</v>
      </c>
      <c r="AS20" s="361"/>
      <c r="AT20" s="361"/>
      <c r="AW20" s="433" t="s">
        <v>231</v>
      </c>
      <c r="AX20" s="434">
        <v>97122.54</v>
      </c>
      <c r="AY20" s="435" t="s">
        <v>232</v>
      </c>
      <c r="AZ20" s="236"/>
      <c r="BA20" s="419"/>
      <c r="BB20" s="419"/>
      <c r="BC20" s="419"/>
    </row>
    <row r="21" spans="2:55" ht="15">
      <c r="B21" s="261" t="s">
        <v>30</v>
      </c>
      <c r="C21" s="566">
        <v>44029</v>
      </c>
      <c r="D21" s="566"/>
      <c r="E21" s="402"/>
      <c r="F21" s="286"/>
      <c r="G21" s="22">
        <f t="shared" si="1"/>
        <v>0</v>
      </c>
      <c r="AW21" s="431"/>
      <c r="AX21" s="432">
        <f>AX19-AX20</f>
        <v>1275668.5499999998</v>
      </c>
      <c r="AY21" s="236"/>
      <c r="AZ21" s="236"/>
      <c r="BA21" s="419"/>
      <c r="BB21" s="236">
        <f>+AX21+'FFB Payts (3)'!AD36+'CFC Payts (2)'!AD53</f>
        <v>61275738.029999994</v>
      </c>
      <c r="BC21" s="419" t="s">
        <v>233</v>
      </c>
    </row>
    <row r="22" spans="2:55" ht="15">
      <c r="B22" s="261" t="s">
        <v>30</v>
      </c>
      <c r="C22" s="566">
        <v>44043</v>
      </c>
      <c r="D22" s="566"/>
      <c r="E22" s="402"/>
      <c r="F22" s="389"/>
      <c r="G22" s="22">
        <f t="shared" si="1"/>
        <v>0</v>
      </c>
      <c r="K22" s="80"/>
      <c r="M22" s="80"/>
      <c r="U22" s="89"/>
      <c r="AW22" s="431"/>
      <c r="AX22" s="432"/>
      <c r="AY22" s="419"/>
      <c r="AZ22" s="236"/>
      <c r="BA22" s="419"/>
      <c r="BB22" s="419"/>
      <c r="BC22" s="419"/>
    </row>
    <row r="23" spans="2:55" ht="15">
      <c r="B23" s="261" t="s">
        <v>30</v>
      </c>
      <c r="C23" s="566">
        <v>44074</v>
      </c>
      <c r="D23" s="566"/>
      <c r="E23" s="402"/>
      <c r="F23" s="389"/>
      <c r="G23" s="22">
        <f t="shared" si="1"/>
        <v>0</v>
      </c>
      <c r="I23" s="1" t="s">
        <v>179</v>
      </c>
      <c r="K23" s="80"/>
      <c r="P23" s="80">
        <f>I9+J9+L9+M9+O9+P9</f>
        <v>32481.690000000002</v>
      </c>
      <c r="Z23" s="80">
        <f>P23+R9+S9+U9+V9+Y9+Z9</f>
        <v>64963.38</v>
      </c>
      <c r="AI23" s="80">
        <f>Z23+AB8+AC6+AE9+AF9+AH9+AI9+AC7+AC8+AB7+AB6</f>
        <v>97445.07000000002</v>
      </c>
      <c r="AS23" s="80">
        <f>AI23+AL9+AM9+AO9+AP9+AR9+AS9</f>
        <v>129926.76000000001</v>
      </c>
      <c r="AW23" s="431"/>
      <c r="AX23" s="432"/>
      <c r="AY23" s="419"/>
      <c r="AZ23" s="236"/>
      <c r="BA23" s="419"/>
      <c r="BB23" s="419" t="s">
        <v>234</v>
      </c>
      <c r="BC23" s="419"/>
    </row>
    <row r="24" spans="2:55" ht="15">
      <c r="B24" s="261" t="s">
        <v>30</v>
      </c>
      <c r="C24" s="566">
        <v>44104</v>
      </c>
      <c r="D24" s="566"/>
      <c r="E24" s="402"/>
      <c r="F24" s="286"/>
      <c r="G24" s="22">
        <f t="shared" si="1"/>
        <v>0</v>
      </c>
      <c r="S24" s="22"/>
      <c r="AW24" s="419"/>
      <c r="AX24" s="431"/>
      <c r="AY24" s="419"/>
      <c r="AZ24" s="419"/>
      <c r="BA24" s="419"/>
      <c r="BB24" s="236">
        <f>+AX20+'FFB Payts (3)'!AD35+'CFC Payts (2)'!AD52</f>
        <v>2297966.01</v>
      </c>
      <c r="BC24" s="419" t="s">
        <v>235</v>
      </c>
    </row>
    <row r="25" spans="2:55" ht="15">
      <c r="B25" s="261" t="s">
        <v>30</v>
      </c>
      <c r="C25" s="566">
        <v>44135</v>
      </c>
      <c r="D25" s="566"/>
      <c r="E25" s="402"/>
      <c r="F25" s="389"/>
      <c r="G25" s="22">
        <f t="shared" si="1"/>
        <v>0</v>
      </c>
      <c r="N25" s="80"/>
      <c r="AW25" s="431"/>
      <c r="AX25" s="431"/>
      <c r="AY25" s="431" t="s">
        <v>236</v>
      </c>
      <c r="AZ25" s="419"/>
      <c r="BA25" s="419"/>
      <c r="BB25" s="419"/>
      <c r="BC25" s="419"/>
    </row>
    <row r="26" spans="2:55" ht="15">
      <c r="B26" s="261" t="s">
        <v>30</v>
      </c>
      <c r="C26" s="566">
        <v>44165</v>
      </c>
      <c r="D26" s="566"/>
      <c r="E26" s="402"/>
      <c r="F26" s="389"/>
      <c r="G26" s="22">
        <f t="shared" si="1"/>
        <v>0</v>
      </c>
      <c r="L26" s="22"/>
      <c r="N26" s="80"/>
      <c r="P26" s="30"/>
      <c r="AW26" s="431" t="s">
        <v>237</v>
      </c>
      <c r="AX26" s="432">
        <f>+AU9</f>
        <v>34947.42999999999</v>
      </c>
      <c r="AY26" s="419"/>
      <c r="AZ26" s="419"/>
      <c r="BA26" s="419"/>
      <c r="BB26" s="236">
        <f>+BB21+BB24</f>
        <v>63573704.03999999</v>
      </c>
      <c r="BC26" s="419"/>
    </row>
    <row r="27" spans="2:55" ht="15">
      <c r="B27" s="261" t="s">
        <v>30</v>
      </c>
      <c r="C27" s="566">
        <v>44196</v>
      </c>
      <c r="D27" s="566"/>
      <c r="E27" s="402"/>
      <c r="F27" s="286"/>
      <c r="G27" s="22">
        <f t="shared" si="1"/>
        <v>0</v>
      </c>
      <c r="P27" s="30"/>
      <c r="AW27" s="433" t="s">
        <v>238</v>
      </c>
      <c r="AX27" s="434">
        <f>+AV9</f>
        <v>94979.33</v>
      </c>
      <c r="AY27" s="419"/>
      <c r="AZ27" s="419"/>
      <c r="BA27" s="419"/>
      <c r="BB27" s="419"/>
      <c r="BC27" s="419"/>
    </row>
    <row r="28" spans="5:55" ht="15">
      <c r="E28" s="188"/>
      <c r="F28" s="188"/>
      <c r="P28" s="30"/>
      <c r="AW28" s="431"/>
      <c r="AX28" s="432">
        <f>AX26+AX27</f>
        <v>129926.76</v>
      </c>
      <c r="AY28" s="419"/>
      <c r="AZ28" s="419"/>
      <c r="BA28" s="419"/>
      <c r="BB28" s="419" t="s">
        <v>243</v>
      </c>
      <c r="BC28" s="419"/>
    </row>
    <row r="29" spans="5:55" ht="15">
      <c r="E29" s="188"/>
      <c r="F29" s="188"/>
      <c r="G29" s="80"/>
      <c r="P29" s="30"/>
      <c r="AW29" s="419"/>
      <c r="AX29" s="419"/>
      <c r="AY29" s="419"/>
      <c r="AZ29" s="419"/>
      <c r="BA29" s="419"/>
      <c r="BB29" s="236">
        <f>+PPP!AJ7</f>
        <v>927487.5</v>
      </c>
      <c r="BC29" s="419"/>
    </row>
    <row r="30" spans="3:55" ht="15">
      <c r="C30" s="395"/>
      <c r="E30" s="188"/>
      <c r="F30" s="188"/>
      <c r="G30" s="80"/>
      <c r="P30" s="30"/>
      <c r="AW30" s="419"/>
      <c r="AX30" s="419"/>
      <c r="AY30" s="419"/>
      <c r="AZ30" s="419"/>
      <c r="BA30" s="419"/>
      <c r="BB30" s="419"/>
      <c r="BC30" s="419"/>
    </row>
    <row r="31" spans="3:55" ht="15">
      <c r="C31" s="395"/>
      <c r="E31" s="188"/>
      <c r="F31" s="188"/>
      <c r="G31" s="391"/>
      <c r="K31" s="80"/>
      <c r="P31" s="30"/>
      <c r="AW31" s="419"/>
      <c r="AX31" s="419"/>
      <c r="AY31" s="419"/>
      <c r="AZ31" s="419"/>
      <c r="BA31" s="419"/>
      <c r="BB31" s="419"/>
      <c r="BC31" s="419"/>
    </row>
    <row r="32" spans="5:55" ht="15">
      <c r="E32" s="188"/>
      <c r="F32" s="188"/>
      <c r="P32" s="30"/>
      <c r="AW32" s="419"/>
      <c r="AX32" s="419"/>
      <c r="AY32" s="419"/>
      <c r="AZ32" s="419"/>
      <c r="BA32" s="419"/>
      <c r="BB32" s="419"/>
      <c r="BC32" s="419"/>
    </row>
    <row r="33" spans="5:16" ht="15">
      <c r="E33" s="188"/>
      <c r="F33" s="188"/>
      <c r="P33" s="30"/>
    </row>
    <row r="34" spans="5:16" ht="15">
      <c r="E34" s="188"/>
      <c r="F34" s="188"/>
      <c r="P34" s="30"/>
    </row>
    <row r="35" spans="5:16" ht="15">
      <c r="E35" s="188"/>
      <c r="F35" s="188"/>
      <c r="P35" s="72"/>
    </row>
    <row r="36" spans="5:16" ht="15">
      <c r="E36" s="188"/>
      <c r="F36" s="188">
        <f>+G20*0.5/365*17</f>
        <v>0</v>
      </c>
      <c r="G36" s="1">
        <f>+G24*0.5/365*31</f>
        <v>0</v>
      </c>
      <c r="P36" s="22"/>
    </row>
    <row r="37" spans="6:16" ht="15">
      <c r="F37" s="80" t="e">
        <f>(+G20-#REF!-#REF!-'FFB Payts'!#REF!-'FFB Payts'!#REF!-'FFB Payts'!#REF!-'FFB Payts'!#REF!-'FFB Payts'!#REF!-'FFB Payts'!#REF!-'FFB Payts'!#REF!-'FFB Payts'!#REF!-'FFB Payts'!#REF!)*0.5/365*14</f>
        <v>#REF!</v>
      </c>
      <c r="G37" s="1">
        <f>+G25*0.5/365*30</f>
        <v>0</v>
      </c>
      <c r="P37" s="32"/>
    </row>
    <row r="38" spans="6:7" ht="15">
      <c r="F38" s="188">
        <f>+G22*0.5/365*31</f>
        <v>0</v>
      </c>
      <c r="G38" s="1">
        <f>+G26*0.5/365*31</f>
        <v>0</v>
      </c>
    </row>
    <row r="39" ht="15">
      <c r="F39" s="1">
        <f>+G23*0.5/365*30</f>
        <v>0</v>
      </c>
    </row>
  </sheetData>
  <sheetProtection/>
  <mergeCells count="18">
    <mergeCell ref="U1:AG1"/>
    <mergeCell ref="AH1:AT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Y18:BA18"/>
  </mergeCells>
  <printOptions horizontalCentered="1"/>
  <pageMargins left="0.25" right="0.5" top="1" bottom="0.25" header="0" footer="0"/>
  <pageSetup horizontalDpi="600" verticalDpi="600" orientation="landscape" scale="60" r:id="rId1"/>
  <colBreaks count="4" manualBreakCount="4">
    <brk id="17" max="19" man="1"/>
    <brk id="27" max="19" man="1"/>
    <brk id="37" max="19" man="1"/>
    <brk id="14037" min="1" max="147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5"/>
  <sheetViews>
    <sheetView zoomScale="80" zoomScaleNormal="80" workbookViewId="0" topLeftCell="A1">
      <pane xSplit="8" ySplit="4" topLeftCell="Y26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AC47" sqref="AC47"/>
    </sheetView>
  </sheetViews>
  <sheetFormatPr defaultColWidth="9.6640625" defaultRowHeight="15"/>
  <cols>
    <col min="1" max="1" width="8.5546875" style="289" bestFit="1" customWidth="1"/>
    <col min="2" max="2" width="8.5546875" style="289" customWidth="1"/>
    <col min="3" max="3" width="13.10546875" style="289" customWidth="1"/>
    <col min="4" max="4" width="8.5546875" style="289" customWidth="1"/>
    <col min="5" max="5" width="10.99609375" style="289" customWidth="1"/>
    <col min="6" max="6" width="12.21484375" style="289" customWidth="1"/>
    <col min="7" max="7" width="8.3359375" style="289" customWidth="1"/>
    <col min="8" max="8" width="3.6640625" style="289" customWidth="1"/>
    <col min="9" max="9" width="12.88671875" style="289" customWidth="1"/>
    <col min="10" max="10" width="9.88671875" style="289" customWidth="1"/>
    <col min="11" max="11" width="13.4453125" style="289" customWidth="1"/>
    <col min="12" max="12" width="11.6640625" style="289" customWidth="1"/>
    <col min="13" max="13" width="9.6640625" style="289" customWidth="1"/>
    <col min="14" max="14" width="12.5546875" style="289" customWidth="1"/>
    <col min="15" max="15" width="9.6640625" style="289" customWidth="1"/>
    <col min="16" max="16" width="11.6640625" style="289" customWidth="1"/>
    <col min="17" max="17" width="9.6640625" style="294" customWidth="1"/>
    <col min="18" max="18" width="12.4453125" style="289" customWidth="1"/>
    <col min="19" max="19" width="9.6640625" style="289" customWidth="1"/>
    <col min="20" max="20" width="13.99609375" style="289" customWidth="1"/>
    <col min="21" max="21" width="7.10546875" style="289" hidden="1" customWidth="1"/>
    <col min="22" max="22" width="9.6640625" style="289" customWidth="1"/>
    <col min="23" max="23" width="11.5546875" style="289" customWidth="1"/>
    <col min="24" max="24" width="9.6640625" style="289" customWidth="1"/>
    <col min="25" max="25" width="11.6640625" style="289" customWidth="1"/>
    <col min="26" max="26" width="15.5546875" style="294" customWidth="1"/>
    <col min="27" max="27" width="16.5546875" style="289" customWidth="1"/>
    <col min="28" max="28" width="13.6640625" style="289" customWidth="1"/>
    <col min="29" max="29" width="9.6640625" style="289" customWidth="1"/>
    <col min="30" max="30" width="15.77734375" style="289" customWidth="1"/>
    <col min="31" max="16384" width="9.6640625" style="289" customWidth="1"/>
  </cols>
  <sheetData>
    <row r="1" spans="1:54" ht="18" customHeight="1">
      <c r="A1" s="288">
        <f ca="1">NOW()</f>
        <v>45234.445947685184</v>
      </c>
      <c r="B1" s="209" t="s">
        <v>218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568"/>
      <c r="AA1" s="569"/>
      <c r="AB1" s="569"/>
      <c r="AC1" s="570"/>
      <c r="AD1" s="570"/>
      <c r="AE1" s="570"/>
      <c r="AF1" s="570"/>
      <c r="AG1" s="570"/>
      <c r="AH1" s="570"/>
      <c r="AI1" s="570"/>
      <c r="AJ1" s="570"/>
      <c r="AK1" s="570"/>
      <c r="AL1" s="570"/>
      <c r="AM1" s="570"/>
      <c r="AN1" s="570"/>
      <c r="AO1" s="570"/>
      <c r="AP1" s="570"/>
      <c r="AQ1" s="570"/>
      <c r="AR1" s="570"/>
      <c r="AS1" s="570"/>
      <c r="AT1" s="570"/>
      <c r="AU1" s="570"/>
      <c r="AV1" s="570"/>
      <c r="AW1" s="570"/>
      <c r="AX1" s="570"/>
      <c r="AY1" s="570"/>
      <c r="AZ1" s="571" t="s">
        <v>181</v>
      </c>
      <c r="BA1" s="571"/>
      <c r="BB1" s="571"/>
    </row>
    <row r="2" spans="1:21" ht="15">
      <c r="A2" s="290" t="s">
        <v>0</v>
      </c>
      <c r="B2" s="290"/>
      <c r="C2" s="291" t="s">
        <v>112</v>
      </c>
      <c r="D2" s="292" t="s">
        <v>111</v>
      </c>
      <c r="E2" s="292" t="s">
        <v>115</v>
      </c>
      <c r="I2" s="293"/>
      <c r="J2" s="293"/>
      <c r="K2" s="293"/>
      <c r="L2" s="293"/>
      <c r="M2" s="293"/>
      <c r="N2" s="293"/>
      <c r="O2" s="293"/>
      <c r="P2" s="293"/>
      <c r="U2" s="393">
        <v>43756</v>
      </c>
    </row>
    <row r="3" spans="1:29" ht="15.75">
      <c r="A3" s="292" t="s">
        <v>1</v>
      </c>
      <c r="B3" s="7" t="s">
        <v>134</v>
      </c>
      <c r="C3" s="292" t="s">
        <v>73</v>
      </c>
      <c r="D3" s="292" t="s">
        <v>73</v>
      </c>
      <c r="E3" s="292" t="s">
        <v>73</v>
      </c>
      <c r="F3" s="292" t="s">
        <v>31</v>
      </c>
      <c r="G3" s="292" t="s">
        <v>32</v>
      </c>
      <c r="H3" s="292"/>
      <c r="I3" s="295" t="s">
        <v>38</v>
      </c>
      <c r="J3" s="296"/>
      <c r="K3" s="297"/>
      <c r="L3" s="298"/>
      <c r="M3" s="295" t="s">
        <v>41</v>
      </c>
      <c r="N3" s="296"/>
      <c r="O3" s="297"/>
      <c r="P3" s="298"/>
      <c r="Q3" s="295" t="s">
        <v>44</v>
      </c>
      <c r="R3" s="296"/>
      <c r="S3" s="300"/>
      <c r="T3" s="298"/>
      <c r="U3" s="298"/>
      <c r="V3" s="301" t="s">
        <v>47</v>
      </c>
      <c r="W3" s="296"/>
      <c r="X3" s="300"/>
      <c r="Y3" s="302"/>
      <c r="Z3" s="303" t="s">
        <v>48</v>
      </c>
      <c r="AA3" s="300"/>
      <c r="AB3" s="300"/>
      <c r="AC3" s="304"/>
    </row>
    <row r="4" spans="6:29" ht="20.25" customHeight="1">
      <c r="F4" s="305">
        <v>43830</v>
      </c>
      <c r="G4" s="306"/>
      <c r="H4" s="306"/>
      <c r="I4" s="307" t="s">
        <v>34</v>
      </c>
      <c r="J4" s="308" t="s">
        <v>74</v>
      </c>
      <c r="K4" s="308" t="s">
        <v>35</v>
      </c>
      <c r="L4" s="309" t="s">
        <v>36</v>
      </c>
      <c r="M4" s="307" t="s">
        <v>34</v>
      </c>
      <c r="N4" s="308" t="s">
        <v>74</v>
      </c>
      <c r="O4" s="308" t="s">
        <v>35</v>
      </c>
      <c r="P4" s="309" t="s">
        <v>36</v>
      </c>
      <c r="Q4" s="307" t="s">
        <v>34</v>
      </c>
      <c r="R4" s="310" t="s">
        <v>75</v>
      </c>
      <c r="S4" s="310" t="s">
        <v>35</v>
      </c>
      <c r="T4" s="311" t="s">
        <v>36</v>
      </c>
      <c r="U4" s="312"/>
      <c r="V4" s="313" t="s">
        <v>34</v>
      </c>
      <c r="W4" s="310" t="s">
        <v>75</v>
      </c>
      <c r="X4" s="310" t="s">
        <v>35</v>
      </c>
      <c r="Y4" s="314" t="s">
        <v>36</v>
      </c>
      <c r="Z4" s="313" t="s">
        <v>34</v>
      </c>
      <c r="AA4" s="308" t="s">
        <v>35</v>
      </c>
      <c r="AB4" s="308" t="s">
        <v>36</v>
      </c>
      <c r="AC4" s="304"/>
    </row>
    <row r="5" spans="1:29" ht="27" customHeight="1">
      <c r="A5" s="315" t="s">
        <v>60</v>
      </c>
      <c r="B5" s="21" t="s">
        <v>183</v>
      </c>
      <c r="C5" s="316">
        <v>38807</v>
      </c>
      <c r="D5" s="316">
        <v>48947</v>
      </c>
      <c r="E5" s="316"/>
      <c r="F5" s="422">
        <v>611226.9500000001</v>
      </c>
      <c r="G5" s="318">
        <v>0.04512</v>
      </c>
      <c r="H5" s="319" t="s">
        <v>164</v>
      </c>
      <c r="I5" s="320">
        <v>6856.96</v>
      </c>
      <c r="J5" s="321">
        <v>189.96</v>
      </c>
      <c r="K5" s="321">
        <v>7924.72</v>
      </c>
      <c r="L5" s="322">
        <f aca="true" t="shared" si="0" ref="L5:L26">F5-K5</f>
        <v>603302.2300000001</v>
      </c>
      <c r="M5" s="320">
        <v>6768.06</v>
      </c>
      <c r="N5" s="321">
        <v>187.5</v>
      </c>
      <c r="O5" s="321">
        <v>8013.62</v>
      </c>
      <c r="P5" s="322">
        <f aca="true" t="shared" si="1" ref="P5:P25">L5-O5</f>
        <v>595288.6100000001</v>
      </c>
      <c r="Q5" s="320">
        <v>6751.55</v>
      </c>
      <c r="R5" s="321">
        <v>187.04</v>
      </c>
      <c r="S5" s="321">
        <v>8030.13</v>
      </c>
      <c r="T5" s="324">
        <f>P5-S5</f>
        <v>587258.4800000001</v>
      </c>
      <c r="U5" s="323"/>
      <c r="V5" s="320">
        <v>6660.47</v>
      </c>
      <c r="W5" s="321">
        <v>184.52</v>
      </c>
      <c r="X5" s="321">
        <v>8121.21</v>
      </c>
      <c r="Y5" s="324">
        <f>T5-X5</f>
        <v>579137.2700000001</v>
      </c>
      <c r="Z5" s="325">
        <f aca="true" t="shared" si="2" ref="Z5:Z24">I5+J5+M5+N5+Q5+R5+V5+W5</f>
        <v>27786.06</v>
      </c>
      <c r="AA5" s="321">
        <f aca="true" t="shared" si="3" ref="AA5:AA24">K5+O5+S5+X5</f>
        <v>32089.68</v>
      </c>
      <c r="AB5" s="326">
        <f aca="true" t="shared" si="4" ref="AB5:AB26">F5-AA5</f>
        <v>579137.27</v>
      </c>
      <c r="AC5" s="304"/>
    </row>
    <row r="6" spans="1:29" ht="27" customHeight="1">
      <c r="A6" s="315" t="s">
        <v>61</v>
      </c>
      <c r="B6" s="21" t="s">
        <v>185</v>
      </c>
      <c r="C6" s="316">
        <v>38807</v>
      </c>
      <c r="D6" s="316">
        <v>48947</v>
      </c>
      <c r="E6" s="316"/>
      <c r="F6" s="422">
        <v>794594.6199999999</v>
      </c>
      <c r="G6" s="318">
        <v>0.04512</v>
      </c>
      <c r="H6" s="319" t="s">
        <v>164</v>
      </c>
      <c r="I6" s="320">
        <v>8914.05</v>
      </c>
      <c r="J6" s="321">
        <v>246.95</v>
      </c>
      <c r="K6" s="321">
        <v>10302.14</v>
      </c>
      <c r="L6" s="322">
        <f t="shared" si="0"/>
        <v>784292.4799999999</v>
      </c>
      <c r="M6" s="320">
        <v>8798.48</v>
      </c>
      <c r="N6" s="321">
        <v>243.75</v>
      </c>
      <c r="O6" s="321">
        <v>10417.71</v>
      </c>
      <c r="P6" s="322">
        <f t="shared" si="1"/>
        <v>773874.7699999999</v>
      </c>
      <c r="Q6" s="320">
        <v>8777.01</v>
      </c>
      <c r="R6" s="321">
        <v>243.16</v>
      </c>
      <c r="S6" s="321">
        <v>10439.18</v>
      </c>
      <c r="T6" s="322">
        <f aca="true" t="shared" si="5" ref="T6:T27">P6-S6</f>
        <v>763435.5899999999</v>
      </c>
      <c r="U6" s="323"/>
      <c r="V6" s="320">
        <v>8658.61</v>
      </c>
      <c r="W6" s="321">
        <v>239.88</v>
      </c>
      <c r="X6" s="321">
        <v>10557.58</v>
      </c>
      <c r="Y6" s="322">
        <f aca="true" t="shared" si="6" ref="Y6:Y27">T6-X6</f>
        <v>752878.0099999999</v>
      </c>
      <c r="Z6" s="320">
        <f t="shared" si="2"/>
        <v>36121.88999999999</v>
      </c>
      <c r="AA6" s="321">
        <f t="shared" si="3"/>
        <v>41716.61</v>
      </c>
      <c r="AB6" s="323">
        <f t="shared" si="4"/>
        <v>752878.0099999999</v>
      </c>
      <c r="AC6" s="304"/>
    </row>
    <row r="7" spans="1:29" ht="27" customHeight="1">
      <c r="A7" s="315" t="s">
        <v>62</v>
      </c>
      <c r="B7" s="21" t="s">
        <v>186</v>
      </c>
      <c r="C7" s="316">
        <v>38720</v>
      </c>
      <c r="D7" s="316">
        <v>48947</v>
      </c>
      <c r="E7" s="316"/>
      <c r="F7" s="422">
        <v>614483.32</v>
      </c>
      <c r="G7" s="318">
        <v>0.04472</v>
      </c>
      <c r="H7" s="319" t="s">
        <v>164</v>
      </c>
      <c r="I7" s="327">
        <v>6832.38</v>
      </c>
      <c r="J7" s="321">
        <v>190.98</v>
      </c>
      <c r="K7" s="321">
        <v>7990.5</v>
      </c>
      <c r="L7" s="322">
        <f t="shared" si="0"/>
        <v>606492.82</v>
      </c>
      <c r="M7" s="327">
        <v>6743.54</v>
      </c>
      <c r="N7" s="321">
        <v>188.49</v>
      </c>
      <c r="O7" s="321">
        <v>8079.34</v>
      </c>
      <c r="P7" s="322">
        <f t="shared" si="1"/>
        <v>598413.48</v>
      </c>
      <c r="Q7" s="320">
        <v>6726.82</v>
      </c>
      <c r="R7" s="321">
        <v>188.03</v>
      </c>
      <c r="S7" s="321">
        <v>8096.06</v>
      </c>
      <c r="T7" s="322">
        <f t="shared" si="5"/>
        <v>590317.4199999999</v>
      </c>
      <c r="U7" s="323"/>
      <c r="V7" s="327">
        <v>6635.81</v>
      </c>
      <c r="W7" s="321">
        <v>185.48</v>
      </c>
      <c r="X7" s="321">
        <v>8187.07</v>
      </c>
      <c r="Y7" s="322">
        <f t="shared" si="6"/>
        <v>582130.35</v>
      </c>
      <c r="Z7" s="320">
        <f t="shared" si="2"/>
        <v>27691.53</v>
      </c>
      <c r="AA7" s="321">
        <f t="shared" si="3"/>
        <v>32352.97</v>
      </c>
      <c r="AB7" s="323">
        <f t="shared" si="4"/>
        <v>582130.35</v>
      </c>
      <c r="AC7" s="304"/>
    </row>
    <row r="8" spans="1:29" ht="27" customHeight="1">
      <c r="A8" s="315" t="s">
        <v>64</v>
      </c>
      <c r="B8" s="21" t="s">
        <v>187</v>
      </c>
      <c r="C8" s="316">
        <v>39721</v>
      </c>
      <c r="D8" s="316">
        <v>49674</v>
      </c>
      <c r="E8" s="316"/>
      <c r="F8" s="422">
        <v>659570.85</v>
      </c>
      <c r="G8" s="318">
        <v>0.04408</v>
      </c>
      <c r="H8" s="319" t="s">
        <v>164</v>
      </c>
      <c r="I8" s="327">
        <v>7228.75</v>
      </c>
      <c r="J8" s="328">
        <v>204.99</v>
      </c>
      <c r="K8" s="328">
        <v>7189.07</v>
      </c>
      <c r="L8" s="322">
        <f t="shared" si="0"/>
        <v>652381.78</v>
      </c>
      <c r="M8" s="327">
        <v>7149.96</v>
      </c>
      <c r="N8" s="328">
        <v>202.76</v>
      </c>
      <c r="O8" s="328">
        <v>7267.86</v>
      </c>
      <c r="P8" s="322">
        <f t="shared" si="1"/>
        <v>645113.92</v>
      </c>
      <c r="Q8" s="403">
        <v>7148</v>
      </c>
      <c r="R8" s="384">
        <v>202.7</v>
      </c>
      <c r="S8" s="384">
        <v>7269.82</v>
      </c>
      <c r="T8" s="322">
        <f t="shared" si="5"/>
        <v>637844.1000000001</v>
      </c>
      <c r="U8" s="323"/>
      <c r="V8" s="327">
        <v>7067.45</v>
      </c>
      <c r="W8" s="328">
        <v>200.42</v>
      </c>
      <c r="X8" s="328">
        <v>7350.37</v>
      </c>
      <c r="Y8" s="322">
        <f t="shared" si="6"/>
        <v>630493.7300000001</v>
      </c>
      <c r="Z8" s="320">
        <f t="shared" si="2"/>
        <v>29405.03</v>
      </c>
      <c r="AA8" s="321">
        <f t="shared" si="3"/>
        <v>29077.12</v>
      </c>
      <c r="AB8" s="323">
        <f t="shared" si="4"/>
        <v>630493.73</v>
      </c>
      <c r="AC8" s="304"/>
    </row>
    <row r="9" spans="1:29" ht="27" customHeight="1">
      <c r="A9" s="315" t="s">
        <v>67</v>
      </c>
      <c r="B9" s="21" t="s">
        <v>188</v>
      </c>
      <c r="C9" s="316">
        <v>37802</v>
      </c>
      <c r="D9" s="316">
        <v>49674</v>
      </c>
      <c r="E9" s="316"/>
      <c r="F9" s="422">
        <v>669132.88</v>
      </c>
      <c r="G9" s="318">
        <v>0.04554</v>
      </c>
      <c r="H9" s="319" t="s">
        <v>164</v>
      </c>
      <c r="I9" s="327">
        <v>7576.45</v>
      </c>
      <c r="J9" s="328">
        <v>207.96</v>
      </c>
      <c r="K9" s="328">
        <v>7202.84</v>
      </c>
      <c r="L9" s="322">
        <f t="shared" si="0"/>
        <v>661930.04</v>
      </c>
      <c r="M9" s="327">
        <v>7494.89</v>
      </c>
      <c r="N9" s="328">
        <v>205.72</v>
      </c>
      <c r="O9" s="328">
        <v>7284.4</v>
      </c>
      <c r="P9" s="322">
        <f t="shared" si="1"/>
        <v>654645.64</v>
      </c>
      <c r="Q9" s="327">
        <v>7493.87</v>
      </c>
      <c r="R9" s="328">
        <v>205.69</v>
      </c>
      <c r="S9" s="328">
        <v>7285.42</v>
      </c>
      <c r="T9" s="322">
        <f t="shared" si="5"/>
        <v>647360.22</v>
      </c>
      <c r="U9" s="323"/>
      <c r="V9" s="327">
        <v>7410.47</v>
      </c>
      <c r="W9" s="328">
        <v>203.41</v>
      </c>
      <c r="X9" s="328">
        <v>7368.82</v>
      </c>
      <c r="Y9" s="322">
        <f t="shared" si="6"/>
        <v>639991.4</v>
      </c>
      <c r="Z9" s="320">
        <f t="shared" si="2"/>
        <v>30798.46</v>
      </c>
      <c r="AA9" s="321">
        <f t="shared" si="3"/>
        <v>29141.48</v>
      </c>
      <c r="AB9" s="323">
        <f t="shared" si="4"/>
        <v>639991.4</v>
      </c>
      <c r="AC9" s="304"/>
    </row>
    <row r="10" spans="1:29" ht="27" customHeight="1">
      <c r="A10" s="315" t="s">
        <v>68</v>
      </c>
      <c r="B10" s="21" t="s">
        <v>189</v>
      </c>
      <c r="C10" s="316">
        <v>38898</v>
      </c>
      <c r="D10" s="316">
        <v>49674</v>
      </c>
      <c r="E10" s="316"/>
      <c r="F10" s="422">
        <v>1683086.5699999998</v>
      </c>
      <c r="G10" s="318">
        <v>0.04787</v>
      </c>
      <c r="H10" s="319" t="s">
        <v>164</v>
      </c>
      <c r="I10" s="327">
        <v>20032.27</v>
      </c>
      <c r="J10" s="328">
        <v>523.09</v>
      </c>
      <c r="K10" s="328">
        <v>17759.08</v>
      </c>
      <c r="L10" s="322">
        <f t="shared" si="0"/>
        <v>1665327.4899999998</v>
      </c>
      <c r="M10" s="327">
        <v>19820.9</v>
      </c>
      <c r="N10" s="328">
        <v>517.57</v>
      </c>
      <c r="O10" s="328">
        <v>17970.45</v>
      </c>
      <c r="P10" s="322">
        <f t="shared" si="1"/>
        <v>1647357.0399999998</v>
      </c>
      <c r="Q10" s="327">
        <v>19822.48</v>
      </c>
      <c r="R10" s="328">
        <v>517.61</v>
      </c>
      <c r="S10" s="328">
        <v>17968.87</v>
      </c>
      <c r="T10" s="322">
        <f t="shared" si="5"/>
        <v>1629388.1699999997</v>
      </c>
      <c r="U10" s="323"/>
      <c r="V10" s="327">
        <v>19606.26</v>
      </c>
      <c r="W10" s="328">
        <v>511.97</v>
      </c>
      <c r="X10" s="328">
        <v>18185.09</v>
      </c>
      <c r="Y10" s="322">
        <f t="shared" si="6"/>
        <v>1611203.0799999996</v>
      </c>
      <c r="Z10" s="320">
        <f t="shared" si="2"/>
        <v>81352.15</v>
      </c>
      <c r="AA10" s="321">
        <f t="shared" si="3"/>
        <v>71883.48999999999</v>
      </c>
      <c r="AB10" s="323">
        <f t="shared" si="4"/>
        <v>1611203.0799999998</v>
      </c>
      <c r="AC10" s="304"/>
    </row>
    <row r="11" spans="1:29" ht="27" customHeight="1">
      <c r="A11" s="315" t="s">
        <v>69</v>
      </c>
      <c r="B11" s="21" t="s">
        <v>190</v>
      </c>
      <c r="C11" s="316">
        <v>37894</v>
      </c>
      <c r="D11" s="316">
        <v>49674</v>
      </c>
      <c r="E11" s="316"/>
      <c r="F11" s="422">
        <v>865320.32</v>
      </c>
      <c r="G11" s="318">
        <v>0.04392</v>
      </c>
      <c r="H11" s="319" t="s">
        <v>164</v>
      </c>
      <c r="I11" s="327">
        <v>9449.3</v>
      </c>
      <c r="J11" s="328">
        <v>268.93</v>
      </c>
      <c r="K11" s="328">
        <v>9444.52</v>
      </c>
      <c r="L11" s="322">
        <f t="shared" si="0"/>
        <v>855875.7999999999</v>
      </c>
      <c r="M11" s="327">
        <v>9346.16</v>
      </c>
      <c r="N11" s="328">
        <v>266</v>
      </c>
      <c r="O11" s="328">
        <v>9547.66</v>
      </c>
      <c r="P11" s="322">
        <f t="shared" si="1"/>
        <v>846328.1399999999</v>
      </c>
      <c r="Q11" s="327">
        <v>9343.46</v>
      </c>
      <c r="R11" s="328">
        <v>265.92</v>
      </c>
      <c r="S11" s="328">
        <v>9550.36</v>
      </c>
      <c r="T11" s="322">
        <f t="shared" si="5"/>
        <v>836777.7799999999</v>
      </c>
      <c r="U11" s="323"/>
      <c r="V11" s="327">
        <v>9238.03</v>
      </c>
      <c r="W11" s="328">
        <v>262.92</v>
      </c>
      <c r="X11" s="328">
        <v>9655.79</v>
      </c>
      <c r="Y11" s="322">
        <f t="shared" si="6"/>
        <v>827121.9899999999</v>
      </c>
      <c r="Z11" s="320">
        <f t="shared" si="2"/>
        <v>38440.719999999994</v>
      </c>
      <c r="AA11" s="321">
        <f t="shared" si="3"/>
        <v>38198.33</v>
      </c>
      <c r="AB11" s="323">
        <f t="shared" si="4"/>
        <v>827121.99</v>
      </c>
      <c r="AC11" s="304"/>
    </row>
    <row r="12" spans="1:29" ht="27" customHeight="1">
      <c r="A12" s="315" t="s">
        <v>70</v>
      </c>
      <c r="B12" s="21" t="s">
        <v>191</v>
      </c>
      <c r="C12" s="316">
        <v>38720</v>
      </c>
      <c r="D12" s="316">
        <v>49674</v>
      </c>
      <c r="E12" s="316"/>
      <c r="F12" s="422">
        <v>1136466.3999999997</v>
      </c>
      <c r="G12" s="318">
        <v>0.04474</v>
      </c>
      <c r="H12" s="319" t="s">
        <v>164</v>
      </c>
      <c r="I12" s="327">
        <v>12641.92</v>
      </c>
      <c r="J12" s="328">
        <v>353.21</v>
      </c>
      <c r="K12" s="328">
        <v>12317.42</v>
      </c>
      <c r="L12" s="322">
        <f t="shared" si="0"/>
        <v>1124148.9799999997</v>
      </c>
      <c r="M12" s="327">
        <v>12504.9</v>
      </c>
      <c r="N12" s="328">
        <v>349.38</v>
      </c>
      <c r="O12" s="328">
        <v>12454.44</v>
      </c>
      <c r="P12" s="322">
        <f t="shared" si="1"/>
        <v>1111694.5399999998</v>
      </c>
      <c r="Q12" s="327">
        <v>12502.25</v>
      </c>
      <c r="R12" s="328">
        <v>349.3</v>
      </c>
      <c r="S12" s="328">
        <v>12457.09</v>
      </c>
      <c r="T12" s="322">
        <f t="shared" si="5"/>
        <v>1099237.4499999997</v>
      </c>
      <c r="U12" s="323"/>
      <c r="V12" s="327">
        <v>12362.16</v>
      </c>
      <c r="W12" s="328">
        <v>345.39</v>
      </c>
      <c r="X12" s="328">
        <v>12597.18</v>
      </c>
      <c r="Y12" s="322">
        <f t="shared" si="6"/>
        <v>1086640.2699999998</v>
      </c>
      <c r="Z12" s="320">
        <f t="shared" si="2"/>
        <v>51408.51000000001</v>
      </c>
      <c r="AA12" s="321">
        <f t="shared" si="3"/>
        <v>49826.13</v>
      </c>
      <c r="AB12" s="323">
        <f t="shared" si="4"/>
        <v>1086640.2699999998</v>
      </c>
      <c r="AC12" s="304"/>
    </row>
    <row r="13" spans="1:29" ht="27" customHeight="1">
      <c r="A13" s="315" t="s">
        <v>71</v>
      </c>
      <c r="B13" s="21" t="s">
        <v>192</v>
      </c>
      <c r="C13" s="316">
        <v>38394</v>
      </c>
      <c r="D13" s="316">
        <v>49674</v>
      </c>
      <c r="E13" s="316"/>
      <c r="F13" s="422">
        <v>1347064.55</v>
      </c>
      <c r="G13" s="318">
        <v>0.04207</v>
      </c>
      <c r="H13" s="319" t="s">
        <v>164</v>
      </c>
      <c r="I13" s="327">
        <v>14090.33</v>
      </c>
      <c r="J13" s="328">
        <v>418.66</v>
      </c>
      <c r="K13" s="328">
        <v>14936.05</v>
      </c>
      <c r="L13" s="322">
        <f t="shared" si="0"/>
        <v>1332128.5</v>
      </c>
      <c r="M13" s="327">
        <v>13934.1</v>
      </c>
      <c r="N13" s="328">
        <v>414.02</v>
      </c>
      <c r="O13" s="328">
        <v>15092.28</v>
      </c>
      <c r="P13" s="322">
        <f t="shared" si="1"/>
        <v>1317036.22</v>
      </c>
      <c r="Q13" s="327">
        <v>13927.62</v>
      </c>
      <c r="R13" s="328">
        <v>413.82</v>
      </c>
      <c r="S13" s="328">
        <v>15098.76</v>
      </c>
      <c r="T13" s="322">
        <f t="shared" si="5"/>
        <v>1301937.46</v>
      </c>
      <c r="U13" s="323"/>
      <c r="V13" s="327">
        <v>13767.95</v>
      </c>
      <c r="W13" s="328">
        <v>409.08</v>
      </c>
      <c r="X13" s="328">
        <v>15258.43</v>
      </c>
      <c r="Y13" s="322">
        <f t="shared" si="6"/>
        <v>1286679.03</v>
      </c>
      <c r="Z13" s="320">
        <f t="shared" si="2"/>
        <v>57375.58</v>
      </c>
      <c r="AA13" s="321">
        <f t="shared" si="3"/>
        <v>60385.520000000004</v>
      </c>
      <c r="AB13" s="323">
        <f t="shared" si="4"/>
        <v>1286679.03</v>
      </c>
      <c r="AC13" s="304"/>
    </row>
    <row r="14" spans="1:29" ht="27" customHeight="1">
      <c r="A14" s="315" t="s">
        <v>72</v>
      </c>
      <c r="B14" s="21" t="s">
        <v>193</v>
      </c>
      <c r="C14" s="316">
        <v>38533</v>
      </c>
      <c r="D14" s="316">
        <v>49674</v>
      </c>
      <c r="E14" s="316"/>
      <c r="F14" s="422">
        <v>958460.1899999998</v>
      </c>
      <c r="G14" s="318">
        <v>0.04463</v>
      </c>
      <c r="H14" s="319" t="s">
        <v>164</v>
      </c>
      <c r="I14" s="327">
        <v>10635.58</v>
      </c>
      <c r="J14" s="328">
        <v>297.88</v>
      </c>
      <c r="K14" s="328">
        <v>10397.89</v>
      </c>
      <c r="L14" s="322">
        <f t="shared" si="0"/>
        <v>948062.2999999998</v>
      </c>
      <c r="M14" s="327">
        <v>10520.2</v>
      </c>
      <c r="N14" s="328">
        <v>294.65</v>
      </c>
      <c r="O14" s="328">
        <v>10513.27</v>
      </c>
      <c r="P14" s="322">
        <f t="shared" si="1"/>
        <v>937549.0299999998</v>
      </c>
      <c r="Q14" s="327">
        <v>10517.87</v>
      </c>
      <c r="R14" s="328">
        <v>294.59</v>
      </c>
      <c r="S14" s="328">
        <v>10515.6</v>
      </c>
      <c r="T14" s="322">
        <f t="shared" si="5"/>
        <v>927033.4299999998</v>
      </c>
      <c r="U14" s="329" t="s">
        <v>32</v>
      </c>
      <c r="V14" s="320">
        <v>10399.9</v>
      </c>
      <c r="W14" s="328">
        <v>291.28</v>
      </c>
      <c r="X14" s="328">
        <v>10633.57</v>
      </c>
      <c r="Y14" s="322">
        <f t="shared" si="6"/>
        <v>916399.8599999999</v>
      </c>
      <c r="Z14" s="320">
        <f t="shared" si="2"/>
        <v>43251.95</v>
      </c>
      <c r="AA14" s="321">
        <f t="shared" si="3"/>
        <v>42060.33</v>
      </c>
      <c r="AB14" s="323">
        <f t="shared" si="4"/>
        <v>916399.8599999999</v>
      </c>
      <c r="AC14" s="304"/>
    </row>
    <row r="15" spans="1:29" ht="23.25" customHeight="1">
      <c r="A15" s="315" t="s">
        <v>106</v>
      </c>
      <c r="B15" s="21" t="s">
        <v>194</v>
      </c>
      <c r="C15" s="330">
        <v>40990</v>
      </c>
      <c r="D15" s="330">
        <v>53327</v>
      </c>
      <c r="E15" s="330"/>
      <c r="F15" s="422">
        <v>2439135.01</v>
      </c>
      <c r="G15" s="319">
        <v>0.02549</v>
      </c>
      <c r="H15" s="319" t="s">
        <v>164</v>
      </c>
      <c r="I15" s="327">
        <v>15458.45</v>
      </c>
      <c r="J15" s="328">
        <v>758.06</v>
      </c>
      <c r="K15" s="328">
        <v>16690.22</v>
      </c>
      <c r="L15" s="322">
        <f t="shared" si="0"/>
        <v>2422444.7899999996</v>
      </c>
      <c r="M15" s="327">
        <v>15352.67</v>
      </c>
      <c r="N15" s="328">
        <v>752.88</v>
      </c>
      <c r="O15" s="328">
        <v>16796</v>
      </c>
      <c r="P15" s="322">
        <f t="shared" si="1"/>
        <v>2405648.7899999996</v>
      </c>
      <c r="Q15" s="327">
        <v>15413.77</v>
      </c>
      <c r="R15" s="328">
        <v>755.87</v>
      </c>
      <c r="S15" s="328">
        <v>16734.9</v>
      </c>
      <c r="T15" s="322">
        <f t="shared" si="5"/>
        <v>2388913.8899999997</v>
      </c>
      <c r="U15" s="323"/>
      <c r="V15" s="320">
        <v>15306.54</v>
      </c>
      <c r="W15" s="328">
        <v>750.62</v>
      </c>
      <c r="X15" s="328">
        <v>16842.13</v>
      </c>
      <c r="Y15" s="322">
        <f t="shared" si="6"/>
        <v>2372071.76</v>
      </c>
      <c r="Z15" s="320">
        <f t="shared" si="2"/>
        <v>64548.86000000001</v>
      </c>
      <c r="AA15" s="321">
        <f t="shared" si="3"/>
        <v>67063.25</v>
      </c>
      <c r="AB15" s="323">
        <f t="shared" si="4"/>
        <v>2372071.76</v>
      </c>
      <c r="AC15" s="304"/>
    </row>
    <row r="16" spans="1:29" ht="23.25" customHeight="1">
      <c r="A16" s="332" t="s">
        <v>107</v>
      </c>
      <c r="B16" s="21" t="s">
        <v>195</v>
      </c>
      <c r="C16" s="330">
        <v>41341</v>
      </c>
      <c r="D16" s="330">
        <v>53329</v>
      </c>
      <c r="E16" s="330"/>
      <c r="F16" s="422">
        <v>4071459.44</v>
      </c>
      <c r="G16" s="319">
        <v>0.02197</v>
      </c>
      <c r="H16" s="394" t="s">
        <v>164</v>
      </c>
      <c r="I16" s="327">
        <v>26198.4</v>
      </c>
      <c r="J16" s="328">
        <v>1265.38</v>
      </c>
      <c r="K16" s="328">
        <v>27708.59</v>
      </c>
      <c r="L16" s="322">
        <f t="shared" si="0"/>
        <v>4043750.85</v>
      </c>
      <c r="M16" s="327">
        <v>26020.1</v>
      </c>
      <c r="N16" s="328">
        <v>1256.77</v>
      </c>
      <c r="O16" s="328">
        <v>27886.89</v>
      </c>
      <c r="P16" s="322">
        <f t="shared" si="1"/>
        <v>4015863.96</v>
      </c>
      <c r="Q16" s="327">
        <v>26124.62</v>
      </c>
      <c r="R16" s="328">
        <v>1261.82</v>
      </c>
      <c r="S16" s="328">
        <v>27782.37</v>
      </c>
      <c r="T16" s="322">
        <f t="shared" si="5"/>
        <v>3988081.59</v>
      </c>
      <c r="U16" s="331"/>
      <c r="V16" s="320">
        <v>25943.89</v>
      </c>
      <c r="W16" s="328">
        <v>1253.09</v>
      </c>
      <c r="X16" s="328">
        <v>27963.1</v>
      </c>
      <c r="Y16" s="322">
        <f t="shared" si="6"/>
        <v>3960118.4899999998</v>
      </c>
      <c r="Z16" s="320">
        <f t="shared" si="2"/>
        <v>109324.07</v>
      </c>
      <c r="AA16" s="321">
        <f t="shared" si="3"/>
        <v>111340.94999999998</v>
      </c>
      <c r="AB16" s="323">
        <f t="shared" si="4"/>
        <v>3960118.4899999998</v>
      </c>
      <c r="AC16" s="304"/>
    </row>
    <row r="17" spans="1:29" ht="23.25" customHeight="1">
      <c r="A17" s="332" t="s">
        <v>108</v>
      </c>
      <c r="B17" s="21" t="s">
        <v>196</v>
      </c>
      <c r="C17" s="330">
        <v>41740</v>
      </c>
      <c r="D17" s="330">
        <v>53329</v>
      </c>
      <c r="E17" s="330"/>
      <c r="F17" s="422">
        <v>1692577.03</v>
      </c>
      <c r="G17" s="319">
        <v>0.02197</v>
      </c>
      <c r="H17" s="394" t="s">
        <v>164</v>
      </c>
      <c r="I17" s="327">
        <v>10891.13</v>
      </c>
      <c r="J17" s="328">
        <v>526.04</v>
      </c>
      <c r="K17" s="328">
        <v>11518.95</v>
      </c>
      <c r="L17" s="322">
        <f t="shared" si="0"/>
        <v>1681058.08</v>
      </c>
      <c r="M17" s="327">
        <v>10817.01</v>
      </c>
      <c r="N17" s="328">
        <v>522.46</v>
      </c>
      <c r="O17" s="328">
        <v>11593.07</v>
      </c>
      <c r="P17" s="322">
        <f t="shared" si="1"/>
        <v>1669465.01</v>
      </c>
      <c r="Q17" s="327">
        <v>10860.46</v>
      </c>
      <c r="R17" s="328">
        <v>524.56</v>
      </c>
      <c r="S17" s="328">
        <v>11549.62</v>
      </c>
      <c r="T17" s="322">
        <f t="shared" si="5"/>
        <v>1657915.39</v>
      </c>
      <c r="U17" s="331"/>
      <c r="V17" s="320">
        <v>10785.33</v>
      </c>
      <c r="W17" s="328">
        <v>520.93</v>
      </c>
      <c r="X17" s="328">
        <v>11624.75</v>
      </c>
      <c r="Y17" s="322">
        <f t="shared" si="6"/>
        <v>1646290.64</v>
      </c>
      <c r="Z17" s="320">
        <f t="shared" si="2"/>
        <v>45447.92</v>
      </c>
      <c r="AA17" s="321">
        <f t="shared" si="3"/>
        <v>46286.39</v>
      </c>
      <c r="AB17" s="323">
        <f t="shared" si="4"/>
        <v>1646290.6400000001</v>
      </c>
      <c r="AC17" s="304"/>
    </row>
    <row r="18" spans="1:29" ht="27" customHeight="1">
      <c r="A18" s="315" t="s">
        <v>162</v>
      </c>
      <c r="B18" s="21" t="s">
        <v>197</v>
      </c>
      <c r="C18" s="330">
        <v>42038</v>
      </c>
      <c r="D18" s="330">
        <v>54423</v>
      </c>
      <c r="E18" s="330"/>
      <c r="F18" s="422">
        <v>1195947.76</v>
      </c>
      <c r="G18" s="319">
        <v>0.02602</v>
      </c>
      <c r="H18" s="318" t="s">
        <v>164</v>
      </c>
      <c r="I18" s="327">
        <v>7737.13</v>
      </c>
      <c r="J18" s="328">
        <v>371.69</v>
      </c>
      <c r="K18" s="328">
        <v>6978.95</v>
      </c>
      <c r="L18" s="322">
        <f t="shared" si="0"/>
        <v>1188968.81</v>
      </c>
      <c r="M18" s="327">
        <v>7691.98</v>
      </c>
      <c r="N18" s="328">
        <v>369.52</v>
      </c>
      <c r="O18" s="328">
        <v>7024.1</v>
      </c>
      <c r="P18" s="322">
        <f t="shared" si="1"/>
        <v>1181944.71</v>
      </c>
      <c r="Q18" s="327">
        <v>7730.56</v>
      </c>
      <c r="R18" s="328">
        <v>371.38</v>
      </c>
      <c r="S18" s="328">
        <v>6985.52</v>
      </c>
      <c r="T18" s="322">
        <f t="shared" si="5"/>
        <v>1174959.19</v>
      </c>
      <c r="U18" s="331"/>
      <c r="V18" s="320">
        <v>7684.88</v>
      </c>
      <c r="W18" s="328">
        <v>369.18</v>
      </c>
      <c r="X18" s="328">
        <v>7031.2</v>
      </c>
      <c r="Y18" s="322">
        <f t="shared" si="6"/>
        <v>1167927.99</v>
      </c>
      <c r="Z18" s="320">
        <f t="shared" si="2"/>
        <v>32326.320000000003</v>
      </c>
      <c r="AA18" s="321">
        <f t="shared" si="3"/>
        <v>28019.77</v>
      </c>
      <c r="AB18" s="323">
        <f t="shared" si="4"/>
        <v>1167927.99</v>
      </c>
      <c r="AC18" s="304"/>
    </row>
    <row r="19" spans="1:29" ht="27" customHeight="1">
      <c r="A19" s="315" t="s">
        <v>163</v>
      </c>
      <c r="B19" s="21" t="s">
        <v>198</v>
      </c>
      <c r="C19" s="330">
        <v>42282</v>
      </c>
      <c r="D19" s="330">
        <v>54423</v>
      </c>
      <c r="E19" s="330"/>
      <c r="F19" s="422">
        <v>4875787.01</v>
      </c>
      <c r="G19" s="319">
        <v>0.02602</v>
      </c>
      <c r="H19" s="318" t="s">
        <v>164</v>
      </c>
      <c r="I19" s="321">
        <v>31543.68</v>
      </c>
      <c r="J19" s="328">
        <v>1515.36</v>
      </c>
      <c r="K19" s="328">
        <v>28452.65</v>
      </c>
      <c r="L19" s="322">
        <f t="shared" si="0"/>
        <v>4847334.359999999</v>
      </c>
      <c r="M19" s="327">
        <v>31359.6</v>
      </c>
      <c r="N19" s="328">
        <v>1506.51</v>
      </c>
      <c r="O19" s="328">
        <v>28636.73</v>
      </c>
      <c r="P19" s="322">
        <f t="shared" si="1"/>
        <v>4818697.629999999</v>
      </c>
      <c r="Q19" s="327">
        <v>31516.92</v>
      </c>
      <c r="R19" s="328">
        <v>1514.07</v>
      </c>
      <c r="S19" s="328">
        <v>28479.41</v>
      </c>
      <c r="T19" s="322">
        <f t="shared" si="5"/>
        <v>4790218.219999999</v>
      </c>
      <c r="U19" s="331"/>
      <c r="V19" s="320">
        <v>31330.64</v>
      </c>
      <c r="W19" s="328">
        <v>1505.12</v>
      </c>
      <c r="X19" s="328">
        <v>28665.69</v>
      </c>
      <c r="Y19" s="322">
        <f t="shared" si="6"/>
        <v>4761552.529999998</v>
      </c>
      <c r="Z19" s="320">
        <f t="shared" si="2"/>
        <v>131791.9</v>
      </c>
      <c r="AA19" s="321">
        <f t="shared" si="3"/>
        <v>114234.48000000001</v>
      </c>
      <c r="AB19" s="323">
        <f t="shared" si="4"/>
        <v>4761552.529999999</v>
      </c>
      <c r="AC19" s="304"/>
    </row>
    <row r="20" spans="1:29" ht="27" customHeight="1">
      <c r="A20" s="332" t="s">
        <v>165</v>
      </c>
      <c r="B20" s="21" t="s">
        <v>199</v>
      </c>
      <c r="C20" s="330">
        <v>42632</v>
      </c>
      <c r="D20" s="330">
        <v>54423</v>
      </c>
      <c r="E20" s="330"/>
      <c r="F20" s="422">
        <v>3684177.7199999997</v>
      </c>
      <c r="G20" s="319">
        <v>0.02197</v>
      </c>
      <c r="H20" s="394" t="s">
        <v>164</v>
      </c>
      <c r="I20" s="321">
        <v>24100.26</v>
      </c>
      <c r="J20" s="328">
        <v>1145.01</v>
      </c>
      <c r="K20" s="328">
        <v>21401.05</v>
      </c>
      <c r="L20" s="322">
        <f t="shared" si="0"/>
        <v>3662776.67</v>
      </c>
      <c r="M20" s="327">
        <v>23960.26</v>
      </c>
      <c r="N20" s="328">
        <v>1138.36</v>
      </c>
      <c r="O20" s="328">
        <v>21541.05</v>
      </c>
      <c r="P20" s="322">
        <f t="shared" si="1"/>
        <v>3641235.62</v>
      </c>
      <c r="Q20" s="327">
        <v>24081.1</v>
      </c>
      <c r="R20" s="328">
        <v>1144.1</v>
      </c>
      <c r="S20" s="328">
        <v>21420.21</v>
      </c>
      <c r="T20" s="322">
        <f t="shared" si="5"/>
        <v>3619815.41</v>
      </c>
      <c r="U20" s="331"/>
      <c r="V20" s="320">
        <v>23939.44</v>
      </c>
      <c r="W20" s="328">
        <v>1137.37</v>
      </c>
      <c r="X20" s="328">
        <v>21561.87</v>
      </c>
      <c r="Y20" s="322">
        <f t="shared" si="6"/>
        <v>3598253.54</v>
      </c>
      <c r="Z20" s="320">
        <f t="shared" si="2"/>
        <v>100645.9</v>
      </c>
      <c r="AA20" s="321">
        <f t="shared" si="3"/>
        <v>85924.18</v>
      </c>
      <c r="AB20" s="323">
        <f t="shared" si="4"/>
        <v>3598253.5399999996</v>
      </c>
      <c r="AC20" s="304"/>
    </row>
    <row r="21" spans="1:29" ht="27" customHeight="1">
      <c r="A21" s="332" t="s">
        <v>172</v>
      </c>
      <c r="B21" s="21" t="s">
        <v>184</v>
      </c>
      <c r="C21" s="330">
        <v>42905</v>
      </c>
      <c r="D21" s="330">
        <v>54423</v>
      </c>
      <c r="E21" s="330"/>
      <c r="F21" s="422">
        <v>4331194.63</v>
      </c>
      <c r="G21" s="319">
        <v>0.02197</v>
      </c>
      <c r="H21" s="394" t="s">
        <v>164</v>
      </c>
      <c r="I21" s="321">
        <v>28332.76</v>
      </c>
      <c r="J21" s="328">
        <v>1346.1</v>
      </c>
      <c r="K21" s="328">
        <v>25159.51</v>
      </c>
      <c r="L21" s="322">
        <f t="shared" si="0"/>
        <v>4306035.12</v>
      </c>
      <c r="M21" s="327">
        <v>28168.18</v>
      </c>
      <c r="N21" s="328">
        <v>1338.28</v>
      </c>
      <c r="O21" s="328">
        <v>25324.09</v>
      </c>
      <c r="P21" s="322">
        <f t="shared" si="1"/>
        <v>4280711.03</v>
      </c>
      <c r="Q21" s="327">
        <v>28310.24</v>
      </c>
      <c r="R21" s="328">
        <v>1345.03</v>
      </c>
      <c r="S21" s="328">
        <v>25182.03</v>
      </c>
      <c r="T21" s="322">
        <f t="shared" si="5"/>
        <v>4255529</v>
      </c>
      <c r="U21" s="331"/>
      <c r="V21" s="320">
        <v>28143.7</v>
      </c>
      <c r="W21" s="328">
        <v>1337.12</v>
      </c>
      <c r="X21" s="328">
        <v>25348.57</v>
      </c>
      <c r="Y21" s="322">
        <f t="shared" si="6"/>
        <v>4230180.43</v>
      </c>
      <c r="Z21" s="320">
        <f t="shared" si="2"/>
        <v>118321.40999999999</v>
      </c>
      <c r="AA21" s="321">
        <f t="shared" si="3"/>
        <v>101014.20000000001</v>
      </c>
      <c r="AB21" s="323">
        <f t="shared" si="4"/>
        <v>4230180.43</v>
      </c>
      <c r="AC21" s="304"/>
    </row>
    <row r="22" spans="1:29" ht="27" customHeight="1">
      <c r="A22" s="390" t="s">
        <v>177</v>
      </c>
      <c r="B22" s="390" t="s">
        <v>200</v>
      </c>
      <c r="C22" s="330">
        <v>43165</v>
      </c>
      <c r="D22" s="330">
        <v>54423</v>
      </c>
      <c r="E22" s="330"/>
      <c r="F22" s="422">
        <v>2209026.3600000003</v>
      </c>
      <c r="G22" s="319">
        <v>0.02197</v>
      </c>
      <c r="H22" s="394" t="s">
        <v>164</v>
      </c>
      <c r="I22" s="321">
        <v>12637.98</v>
      </c>
      <c r="J22" s="328">
        <v>686.55</v>
      </c>
      <c r="K22" s="328">
        <v>13512.92</v>
      </c>
      <c r="L22" s="322">
        <f t="shared" si="0"/>
        <v>2195513.4400000004</v>
      </c>
      <c r="M22" s="327">
        <v>12560.68</v>
      </c>
      <c r="N22" s="328">
        <v>682.35</v>
      </c>
      <c r="O22" s="30">
        <v>13590.22</v>
      </c>
      <c r="P22" s="322">
        <f t="shared" si="1"/>
        <v>2181923.22</v>
      </c>
      <c r="Q22" s="327">
        <v>12620.1</v>
      </c>
      <c r="R22" s="328">
        <v>685.58</v>
      </c>
      <c r="S22" s="328">
        <v>13530.8</v>
      </c>
      <c r="T22" s="322">
        <f t="shared" si="5"/>
        <v>2168392.4200000004</v>
      </c>
      <c r="U22" s="331"/>
      <c r="V22" s="320">
        <v>12541.84</v>
      </c>
      <c r="W22" s="328">
        <v>681.33</v>
      </c>
      <c r="X22" s="328">
        <v>13609.06</v>
      </c>
      <c r="Y22" s="322">
        <f t="shared" si="6"/>
        <v>2154783.3600000003</v>
      </c>
      <c r="Z22" s="320">
        <f t="shared" si="2"/>
        <v>53096.41</v>
      </c>
      <c r="AA22" s="321">
        <f t="shared" si="3"/>
        <v>54243</v>
      </c>
      <c r="AB22" s="323">
        <f t="shared" si="4"/>
        <v>2154783.3600000003</v>
      </c>
      <c r="AC22" s="304"/>
    </row>
    <row r="23" spans="1:29" ht="27" customHeight="1">
      <c r="A23" s="390" t="s">
        <v>178</v>
      </c>
      <c r="B23" s="390" t="s">
        <v>201</v>
      </c>
      <c r="C23" s="330">
        <v>43284</v>
      </c>
      <c r="D23" s="330">
        <v>54423</v>
      </c>
      <c r="E23" s="330"/>
      <c r="F23" s="422">
        <v>2427419.05</v>
      </c>
      <c r="G23" s="319">
        <v>0.02131</v>
      </c>
      <c r="H23" s="394" t="s">
        <v>164</v>
      </c>
      <c r="I23" s="321">
        <v>13887.42</v>
      </c>
      <c r="J23" s="328">
        <v>754.42</v>
      </c>
      <c r="K23" s="328">
        <v>14848.86</v>
      </c>
      <c r="L23" s="322">
        <f t="shared" si="0"/>
        <v>2412570.19</v>
      </c>
      <c r="M23" s="321">
        <v>13802.47</v>
      </c>
      <c r="N23" s="328">
        <v>749.81</v>
      </c>
      <c r="O23" s="328">
        <v>14933.81</v>
      </c>
      <c r="P23" s="322">
        <f t="shared" si="1"/>
        <v>2397636.38</v>
      </c>
      <c r="Q23" s="327">
        <v>13867.77</v>
      </c>
      <c r="R23" s="328">
        <v>753.36</v>
      </c>
      <c r="S23" s="328">
        <v>14868.51</v>
      </c>
      <c r="T23" s="322">
        <f t="shared" si="5"/>
        <v>2382767.87</v>
      </c>
      <c r="U23" s="331"/>
      <c r="V23" s="320">
        <v>13781.77</v>
      </c>
      <c r="W23" s="328">
        <v>748.68</v>
      </c>
      <c r="X23" s="328">
        <v>14954.51</v>
      </c>
      <c r="Y23" s="322">
        <f t="shared" si="6"/>
        <v>2367813.3600000003</v>
      </c>
      <c r="Z23" s="320">
        <f t="shared" si="2"/>
        <v>58345.700000000004</v>
      </c>
      <c r="AA23" s="321">
        <f t="shared" si="3"/>
        <v>59605.69</v>
      </c>
      <c r="AB23" s="323">
        <f t="shared" si="4"/>
        <v>2367813.36</v>
      </c>
      <c r="AC23" s="304"/>
    </row>
    <row r="24" spans="1:29" ht="27" customHeight="1">
      <c r="A24" s="390" t="s">
        <v>182</v>
      </c>
      <c r="B24" s="390" t="s">
        <v>202</v>
      </c>
      <c r="C24" s="330">
        <v>43441</v>
      </c>
      <c r="D24" s="330">
        <v>55884</v>
      </c>
      <c r="E24" s="330"/>
      <c r="F24" s="422">
        <v>3200000</v>
      </c>
      <c r="G24" s="319">
        <v>0.03046</v>
      </c>
      <c r="H24" s="394" t="s">
        <v>164</v>
      </c>
      <c r="I24" s="321">
        <v>24234.84</v>
      </c>
      <c r="J24" s="328">
        <v>994.54</v>
      </c>
      <c r="K24" s="328">
        <v>14283.42</v>
      </c>
      <c r="L24" s="322">
        <f t="shared" si="0"/>
        <v>3185716.58</v>
      </c>
      <c r="M24" s="321">
        <v>24126.67</v>
      </c>
      <c r="N24" s="328">
        <v>990.1</v>
      </c>
      <c r="O24" s="328">
        <v>14391.59</v>
      </c>
      <c r="P24" s="322">
        <f t="shared" si="1"/>
        <v>3171324.99</v>
      </c>
      <c r="Q24" s="327">
        <v>24281.61</v>
      </c>
      <c r="R24" s="328">
        <v>996.45</v>
      </c>
      <c r="S24" s="328">
        <v>14236.65</v>
      </c>
      <c r="T24" s="322">
        <f t="shared" si="5"/>
        <v>3157088.3400000003</v>
      </c>
      <c r="U24" s="323"/>
      <c r="V24" s="320">
        <v>24172.6</v>
      </c>
      <c r="W24" s="328">
        <v>991.98</v>
      </c>
      <c r="X24" s="328">
        <v>14345.66</v>
      </c>
      <c r="Y24" s="322">
        <f t="shared" si="6"/>
        <v>3142742.68</v>
      </c>
      <c r="Z24" s="320">
        <f t="shared" si="2"/>
        <v>100788.79</v>
      </c>
      <c r="AA24" s="321">
        <f t="shared" si="3"/>
        <v>57257.32000000001</v>
      </c>
      <c r="AB24" s="323">
        <f t="shared" si="4"/>
        <v>3142742.68</v>
      </c>
      <c r="AC24" s="304"/>
    </row>
    <row r="25" spans="1:29" ht="27" customHeight="1">
      <c r="A25" s="390" t="s">
        <v>203</v>
      </c>
      <c r="B25" s="390" t="s">
        <v>204</v>
      </c>
      <c r="C25" s="330">
        <v>43662</v>
      </c>
      <c r="D25" s="330">
        <v>55884</v>
      </c>
      <c r="E25" s="330"/>
      <c r="F25" s="422">
        <v>3200000</v>
      </c>
      <c r="G25" s="319">
        <v>0.0244</v>
      </c>
      <c r="H25" s="394" t="s">
        <v>164</v>
      </c>
      <c r="I25" s="321">
        <v>19413.33</v>
      </c>
      <c r="J25" s="328">
        <v>994.54</v>
      </c>
      <c r="K25" s="328">
        <v>15954.52</v>
      </c>
      <c r="L25" s="322">
        <f t="shared" si="0"/>
        <v>3184045.48</v>
      </c>
      <c r="M25" s="321">
        <v>19316.54</v>
      </c>
      <c r="N25" s="328">
        <v>989.58</v>
      </c>
      <c r="O25" s="328">
        <v>16051.31</v>
      </c>
      <c r="P25" s="322">
        <f t="shared" si="1"/>
        <v>3167994.17</v>
      </c>
      <c r="Q25" s="327">
        <v>19430.36</v>
      </c>
      <c r="R25" s="328">
        <v>995.41</v>
      </c>
      <c r="S25" s="328">
        <v>15937.49</v>
      </c>
      <c r="T25" s="322">
        <f t="shared" si="5"/>
        <v>3152056.6799999997</v>
      </c>
      <c r="U25" s="323"/>
      <c r="V25" s="320">
        <v>19332.61</v>
      </c>
      <c r="W25" s="328">
        <v>990.4</v>
      </c>
      <c r="X25" s="328">
        <v>16035.24</v>
      </c>
      <c r="Y25" s="322">
        <f t="shared" si="6"/>
        <v>3136021.4399999995</v>
      </c>
      <c r="Z25" s="320">
        <f>I25+J25+M25+N25+Q25+R25+V25+W25</f>
        <v>81462.77</v>
      </c>
      <c r="AA25" s="321">
        <f>K25+O25+S25+X25</f>
        <v>63978.56</v>
      </c>
      <c r="AB25" s="323">
        <f t="shared" si="4"/>
        <v>3136021.44</v>
      </c>
      <c r="AC25" s="304"/>
    </row>
    <row r="26" spans="1:29" ht="27" customHeight="1">
      <c r="A26" s="390" t="s">
        <v>215</v>
      </c>
      <c r="B26" s="390" t="s">
        <v>216</v>
      </c>
      <c r="C26" s="330">
        <v>43854</v>
      </c>
      <c r="D26" s="330">
        <v>55884</v>
      </c>
      <c r="E26" s="330"/>
      <c r="F26" s="422">
        <v>2400000</v>
      </c>
      <c r="G26" s="394">
        <v>0.02043</v>
      </c>
      <c r="H26" s="394" t="s">
        <v>164</v>
      </c>
      <c r="I26" s="321">
        <v>8975.8</v>
      </c>
      <c r="J26" s="328">
        <v>549.18</v>
      </c>
      <c r="K26" s="328">
        <v>16029.59</v>
      </c>
      <c r="L26" s="322">
        <f t="shared" si="0"/>
        <v>2383970.41</v>
      </c>
      <c r="M26" s="321">
        <v>12109.59</v>
      </c>
      <c r="N26" s="328">
        <v>740.92</v>
      </c>
      <c r="O26" s="328">
        <v>12895.8</v>
      </c>
      <c r="P26" s="322">
        <f>L26-O26</f>
        <v>2371074.6100000003</v>
      </c>
      <c r="Q26" s="327">
        <v>12176.44</v>
      </c>
      <c r="R26" s="328">
        <v>745.01</v>
      </c>
      <c r="S26" s="328">
        <v>12828.95</v>
      </c>
      <c r="T26" s="322">
        <f t="shared" si="5"/>
        <v>2358245.66</v>
      </c>
      <c r="U26" s="323"/>
      <c r="V26" s="320">
        <v>12110.56</v>
      </c>
      <c r="W26" s="328">
        <v>740.98</v>
      </c>
      <c r="X26" s="328">
        <v>12894.83</v>
      </c>
      <c r="Y26" s="322">
        <f t="shared" si="6"/>
        <v>2345350.83</v>
      </c>
      <c r="Z26" s="320">
        <f>I26+J26+M26+N26+Q26+R26+V26+W26</f>
        <v>48148.48</v>
      </c>
      <c r="AA26" s="321">
        <f>K26+O26+S26+X26</f>
        <v>54649.17</v>
      </c>
      <c r="AB26" s="323">
        <f t="shared" si="4"/>
        <v>2345350.83</v>
      </c>
      <c r="AC26" s="304"/>
    </row>
    <row r="27" spans="1:29" ht="27" customHeight="1">
      <c r="A27" s="390" t="s">
        <v>219</v>
      </c>
      <c r="B27" s="390" t="s">
        <v>220</v>
      </c>
      <c r="C27" s="330">
        <v>44011</v>
      </c>
      <c r="D27" s="330">
        <v>55884</v>
      </c>
      <c r="E27" s="330"/>
      <c r="F27" s="422">
        <v>2400000</v>
      </c>
      <c r="G27" s="394">
        <v>0.01133</v>
      </c>
      <c r="H27" s="394" t="s">
        <v>164</v>
      </c>
      <c r="I27" s="321">
        <v>0</v>
      </c>
      <c r="J27" s="328">
        <v>0</v>
      </c>
      <c r="K27" s="328">
        <v>0</v>
      </c>
      <c r="L27" s="322">
        <v>0</v>
      </c>
      <c r="M27" s="321">
        <v>0</v>
      </c>
      <c r="N27" s="328">
        <v>0</v>
      </c>
      <c r="O27" s="328">
        <v>0</v>
      </c>
      <c r="P27" s="322">
        <f>F27</f>
        <v>2400000</v>
      </c>
      <c r="Q27" s="327">
        <v>6909.44</v>
      </c>
      <c r="R27" s="328">
        <v>762.3</v>
      </c>
      <c r="S27" s="328">
        <v>15186.32</v>
      </c>
      <c r="T27" s="322">
        <f t="shared" si="5"/>
        <v>2384813.68</v>
      </c>
      <c r="U27" s="323"/>
      <c r="V27" s="320">
        <v>6791.9</v>
      </c>
      <c r="W27" s="328">
        <v>749.33</v>
      </c>
      <c r="X27" s="328">
        <v>15303.86</v>
      </c>
      <c r="Y27" s="322">
        <f t="shared" si="6"/>
        <v>2369509.8200000003</v>
      </c>
      <c r="Z27" s="321">
        <f>I27+J27+M27+N27+Q27+R27+V27+W27</f>
        <v>15212.97</v>
      </c>
      <c r="AA27" s="321">
        <f>K27+O27+S27+X27</f>
        <v>30490.18</v>
      </c>
      <c r="AB27" s="323">
        <f>F27-AA27</f>
        <v>2369509.82</v>
      </c>
      <c r="AC27" s="304"/>
    </row>
    <row r="28" spans="1:29" ht="25.5" customHeight="1">
      <c r="A28" s="315"/>
      <c r="B28" s="315"/>
      <c r="C28" s="315"/>
      <c r="D28" s="315"/>
      <c r="E28" s="335" t="s">
        <v>222</v>
      </c>
      <c r="F28" s="336">
        <f>SUM(F5:F26)</f>
        <v>45066130.66</v>
      </c>
      <c r="G28" s="337"/>
      <c r="H28" s="337"/>
      <c r="I28" s="320">
        <f aca="true" t="shared" si="7" ref="I28:P28">SUM(I5:I27)</f>
        <v>327669.17000000004</v>
      </c>
      <c r="J28" s="321">
        <f t="shared" si="7"/>
        <v>13809.48</v>
      </c>
      <c r="K28" s="321">
        <f t="shared" si="7"/>
        <v>318003.4600000001</v>
      </c>
      <c r="L28" s="338">
        <f t="shared" si="7"/>
        <v>44748127.19999999</v>
      </c>
      <c r="M28" s="320">
        <f t="shared" si="7"/>
        <v>328366.94</v>
      </c>
      <c r="N28" s="321">
        <f t="shared" si="7"/>
        <v>13907.380000000001</v>
      </c>
      <c r="O28" s="321">
        <f t="shared" si="7"/>
        <v>317305.69000000006</v>
      </c>
      <c r="P28" s="388">
        <f t="shared" si="7"/>
        <v>46830821.510000005</v>
      </c>
      <c r="Q28" s="339">
        <f>SUM(Q5:Q27)</f>
        <v>336334.32</v>
      </c>
      <c r="R28" s="323">
        <f>SUM(R5:R27)</f>
        <v>14722.800000000001</v>
      </c>
      <c r="S28" s="323">
        <f>SUM(S5:S27)</f>
        <v>331434.07</v>
      </c>
      <c r="T28" s="388">
        <f>SUM(T5:U27)</f>
        <v>46499387.440000005</v>
      </c>
      <c r="U28" s="323"/>
      <c r="V28" s="340">
        <f aca="true" t="shared" si="8" ref="V28:AB28">SUM(V5:V27)</f>
        <v>333672.80999999994</v>
      </c>
      <c r="W28" s="323">
        <f t="shared" si="8"/>
        <v>14610.479999999998</v>
      </c>
      <c r="X28" s="323">
        <f t="shared" si="8"/>
        <v>334095.57999999996</v>
      </c>
      <c r="Y28" s="338">
        <f t="shared" si="8"/>
        <v>46165291.85999999</v>
      </c>
      <c r="Z28" s="321">
        <f t="shared" si="8"/>
        <v>1383093.3800000001</v>
      </c>
      <c r="AA28" s="328">
        <f t="shared" si="8"/>
        <v>1300838.7999999998</v>
      </c>
      <c r="AB28" s="341">
        <f t="shared" si="8"/>
        <v>46165291.85999999</v>
      </c>
      <c r="AC28" s="304"/>
    </row>
    <row r="29" spans="1:29" ht="15">
      <c r="A29" s="315"/>
      <c r="B29" s="315"/>
      <c r="C29" s="315"/>
      <c r="D29" s="315"/>
      <c r="E29" s="335" t="s">
        <v>221</v>
      </c>
      <c r="F29" s="336">
        <f>+F28+F27</f>
        <v>47466130.66</v>
      </c>
      <c r="G29" s="337"/>
      <c r="H29" s="337"/>
      <c r="I29" s="339"/>
      <c r="J29" s="317"/>
      <c r="K29" s="328"/>
      <c r="L29" s="342"/>
      <c r="M29" s="339"/>
      <c r="N29" s="317"/>
      <c r="O29" s="328"/>
      <c r="P29" s="344"/>
      <c r="Q29" s="339"/>
      <c r="R29" s="317"/>
      <c r="S29" s="328"/>
      <c r="T29" s="345"/>
      <c r="U29" s="345"/>
      <c r="V29" s="339"/>
      <c r="W29" s="317"/>
      <c r="X29" s="328"/>
      <c r="Y29" s="345"/>
      <c r="Z29" s="340"/>
      <c r="AA29" s="317"/>
      <c r="AB29" s="345"/>
      <c r="AC29" s="304"/>
    </row>
    <row r="30" spans="1:29" ht="15">
      <c r="A30" s="346"/>
      <c r="B30" s="346"/>
      <c r="C30" s="315"/>
      <c r="D30" s="315"/>
      <c r="E30" s="335"/>
      <c r="F30" s="336"/>
      <c r="G30" s="337"/>
      <c r="H30" s="337"/>
      <c r="I30" s="339"/>
      <c r="J30" s="347"/>
      <c r="K30" s="328"/>
      <c r="L30" s="322"/>
      <c r="M30" s="339"/>
      <c r="N30" s="347"/>
      <c r="O30" s="328"/>
      <c r="P30" s="322"/>
      <c r="Q30" s="327"/>
      <c r="R30" s="347"/>
      <c r="S30" s="317"/>
      <c r="V30" s="339"/>
      <c r="W30" s="347"/>
      <c r="X30" s="328"/>
      <c r="Y30" s="348"/>
      <c r="Z30" s="340"/>
      <c r="AA30" s="343"/>
      <c r="AB30" s="349"/>
      <c r="AC30" s="304"/>
    </row>
    <row r="31" spans="1:25" ht="15">
      <c r="A31" s="350"/>
      <c r="B31" s="350"/>
      <c r="F31" s="317"/>
      <c r="G31" s="337"/>
      <c r="H31" s="337"/>
      <c r="I31" s="323"/>
      <c r="J31" s="347"/>
      <c r="K31" s="347"/>
      <c r="M31" s="323"/>
      <c r="N31" s="347"/>
      <c r="O31" s="347"/>
      <c r="Q31" s="321"/>
      <c r="R31" s="347"/>
      <c r="S31" s="347"/>
      <c r="V31" s="323"/>
      <c r="X31" s="351"/>
      <c r="Y31" s="351"/>
    </row>
    <row r="32" spans="1:31" ht="15">
      <c r="A32" s="350"/>
      <c r="B32" s="350"/>
      <c r="I32" s="323"/>
      <c r="J32" s="347"/>
      <c r="K32" s="347"/>
      <c r="L32" s="351"/>
      <c r="M32" s="323"/>
      <c r="N32" s="347"/>
      <c r="P32" s="351"/>
      <c r="Q32" s="321"/>
      <c r="S32" s="347"/>
      <c r="T32" s="351"/>
      <c r="V32" s="323"/>
      <c r="X32" s="352"/>
      <c r="Y32" s="351"/>
      <c r="AC32" s="419"/>
      <c r="AD32" s="419" t="s">
        <v>239</v>
      </c>
      <c r="AE32" s="419"/>
    </row>
    <row r="33" spans="1:31" ht="15.75" thickBot="1">
      <c r="A33" s="350"/>
      <c r="B33" s="350"/>
      <c r="I33" s="323"/>
      <c r="J33" s="347"/>
      <c r="K33" s="347"/>
      <c r="M33" s="323"/>
      <c r="O33" s="353"/>
      <c r="Q33" s="321"/>
      <c r="S33" s="353"/>
      <c r="V33" s="323"/>
      <c r="X33" s="352"/>
      <c r="Y33" s="351"/>
      <c r="AC33" s="419"/>
      <c r="AD33" s="419"/>
      <c r="AE33" s="436" t="s">
        <v>227</v>
      </c>
    </row>
    <row r="34" spans="1:31" ht="15">
      <c r="A34" s="350"/>
      <c r="B34" s="350"/>
      <c r="F34" s="354" t="s">
        <v>123</v>
      </c>
      <c r="I34" s="414"/>
      <c r="J34" s="356" t="s">
        <v>124</v>
      </c>
      <c r="K34" s="356" t="s">
        <v>125</v>
      </c>
      <c r="L34" s="357"/>
      <c r="M34" s="358"/>
      <c r="N34" s="356" t="s">
        <v>124</v>
      </c>
      <c r="O34" s="356" t="s">
        <v>125</v>
      </c>
      <c r="P34" s="357"/>
      <c r="Q34" s="358"/>
      <c r="R34" s="356" t="s">
        <v>124</v>
      </c>
      <c r="S34" s="356" t="s">
        <v>125</v>
      </c>
      <c r="T34" s="357"/>
      <c r="U34" s="358"/>
      <c r="V34" s="358"/>
      <c r="W34" s="356" t="s">
        <v>124</v>
      </c>
      <c r="X34" s="359" t="s">
        <v>125</v>
      </c>
      <c r="Y34" s="360"/>
      <c r="Z34" s="351"/>
      <c r="AA34" s="294"/>
      <c r="AC34" s="431" t="s">
        <v>240</v>
      </c>
      <c r="AD34" s="437">
        <f>+AB28</f>
        <v>46165291.85999999</v>
      </c>
      <c r="AE34" s="431" t="s">
        <v>229</v>
      </c>
    </row>
    <row r="35" spans="6:31" ht="15">
      <c r="F35" s="361"/>
      <c r="I35" s="411" t="s">
        <v>33</v>
      </c>
      <c r="J35" s="363">
        <f>F36</f>
        <v>120348</v>
      </c>
      <c r="K35" s="364">
        <f>F36</f>
        <v>120348</v>
      </c>
      <c r="L35" s="365"/>
      <c r="M35" s="415" t="s">
        <v>39</v>
      </c>
      <c r="N35" s="363">
        <f>J37+F36</f>
        <v>461826.65</v>
      </c>
      <c r="O35" s="364">
        <f>F36</f>
        <v>120348</v>
      </c>
      <c r="P35" s="367"/>
      <c r="Q35" s="416" t="s">
        <v>121</v>
      </c>
      <c r="R35" s="363">
        <f>N37+F36</f>
        <v>804100.9700000001</v>
      </c>
      <c r="S35" s="364">
        <f>F36</f>
        <v>120348</v>
      </c>
      <c r="T35" s="404"/>
      <c r="U35" s="405" t="s">
        <v>45</v>
      </c>
      <c r="V35" s="405" t="s">
        <v>45</v>
      </c>
      <c r="W35" s="363">
        <f>R37+F36</f>
        <v>1155158.09</v>
      </c>
      <c r="X35" s="369">
        <f>F36</f>
        <v>120348</v>
      </c>
      <c r="Y35" s="370"/>
      <c r="Z35" s="289"/>
      <c r="AA35" s="294"/>
      <c r="AC35" s="433" t="s">
        <v>231</v>
      </c>
      <c r="AD35" s="438">
        <v>1150731.48</v>
      </c>
      <c r="AE35" s="435" t="s">
        <v>232</v>
      </c>
    </row>
    <row r="36" spans="5:31" ht="15">
      <c r="E36" s="371" t="s">
        <v>127</v>
      </c>
      <c r="F36" s="372">
        <v>120348</v>
      </c>
      <c r="I36" s="412" t="s">
        <v>37</v>
      </c>
      <c r="J36" s="374">
        <f>J35+F36</f>
        <v>240696</v>
      </c>
      <c r="K36" s="375">
        <f>F36*2</f>
        <v>240696</v>
      </c>
      <c r="L36" s="367"/>
      <c r="M36" s="416" t="s">
        <v>40</v>
      </c>
      <c r="N36" s="374">
        <f>N35+F36</f>
        <v>582174.65</v>
      </c>
      <c r="O36" s="375">
        <f>F36*2</f>
        <v>240696</v>
      </c>
      <c r="P36" s="370"/>
      <c r="Q36" s="418" t="s">
        <v>43</v>
      </c>
      <c r="R36" s="374">
        <f>R35+F36</f>
        <v>924448.9700000001</v>
      </c>
      <c r="S36" s="375">
        <f>F36*2</f>
        <v>240696</v>
      </c>
      <c r="T36" s="370"/>
      <c r="U36" s="406" t="s">
        <v>46</v>
      </c>
      <c r="V36" s="406" t="s">
        <v>46</v>
      </c>
      <c r="W36" s="374">
        <f>W35+F36</f>
        <v>1275506.09</v>
      </c>
      <c r="X36" s="377">
        <f>F36*2</f>
        <v>240696</v>
      </c>
      <c r="Y36" s="370"/>
      <c r="Z36" s="289"/>
      <c r="AA36" s="294"/>
      <c r="AC36" s="431"/>
      <c r="AD36" s="432">
        <f>AD34-AD35</f>
        <v>45014560.379999995</v>
      </c>
      <c r="AE36" s="236"/>
    </row>
    <row r="37" spans="5:31" ht="15.75" thickBot="1">
      <c r="E37" s="371"/>
      <c r="F37" s="372"/>
      <c r="I37" s="413" t="s">
        <v>38</v>
      </c>
      <c r="J37" s="379">
        <f>I28+J28</f>
        <v>341478.65</v>
      </c>
      <c r="K37" s="380">
        <v>0</v>
      </c>
      <c r="L37" s="381"/>
      <c r="M37" s="417" t="s">
        <v>120</v>
      </c>
      <c r="N37" s="379">
        <f>J37+M28+N28</f>
        <v>683752.9700000001</v>
      </c>
      <c r="O37" s="380">
        <v>0</v>
      </c>
      <c r="P37" s="381"/>
      <c r="Q37" s="417" t="s">
        <v>122</v>
      </c>
      <c r="R37" s="379">
        <f>N37+Q28+R28</f>
        <v>1034810.0900000001</v>
      </c>
      <c r="S37" s="380">
        <v>0</v>
      </c>
      <c r="T37" s="381"/>
      <c r="U37" s="381" t="s">
        <v>47</v>
      </c>
      <c r="V37" s="381" t="s">
        <v>47</v>
      </c>
      <c r="W37" s="379">
        <f>R37+V28+W28</f>
        <v>1383093.38</v>
      </c>
      <c r="X37" s="382">
        <v>0</v>
      </c>
      <c r="Y37" s="383" t="s">
        <v>150</v>
      </c>
      <c r="Z37" s="289"/>
      <c r="AA37" s="294"/>
      <c r="AC37" s="431"/>
      <c r="AD37" s="432"/>
      <c r="AE37" s="419"/>
    </row>
    <row r="38" spans="5:31" ht="15">
      <c r="E38" s="371"/>
      <c r="F38" s="372"/>
      <c r="I38" s="370"/>
      <c r="J38" s="370"/>
      <c r="K38" s="370"/>
      <c r="L38" s="370"/>
      <c r="M38" s="370"/>
      <c r="N38" s="370"/>
      <c r="O38" s="370"/>
      <c r="P38" s="370"/>
      <c r="Q38" s="384"/>
      <c r="R38" s="370"/>
      <c r="S38" s="370"/>
      <c r="T38" s="370"/>
      <c r="U38" s="370"/>
      <c r="V38" s="370"/>
      <c r="W38" s="370"/>
      <c r="X38" s="370"/>
      <c r="AC38" s="431"/>
      <c r="AD38" s="432"/>
      <c r="AE38" s="419"/>
    </row>
    <row r="39" spans="17:31" ht="15">
      <c r="Q39" s="328"/>
      <c r="AC39" s="431"/>
      <c r="AD39" s="419"/>
      <c r="AE39" s="419"/>
    </row>
    <row r="40" spans="17:31" ht="15">
      <c r="Q40" s="328"/>
      <c r="AC40" s="431"/>
      <c r="AD40" s="419"/>
      <c r="AE40" s="419"/>
    </row>
    <row r="41" spans="10:31" ht="15">
      <c r="J41" s="385">
        <f>I28+J28+K28</f>
        <v>659482.1100000001</v>
      </c>
      <c r="N41" s="385">
        <f>J41+M28+N28+O28</f>
        <v>1319062.12</v>
      </c>
      <c r="Q41" s="328"/>
      <c r="R41" s="385">
        <f>N41+Q28+R28+S28</f>
        <v>2001553.3100000003</v>
      </c>
      <c r="W41" s="385">
        <f>R41+V28+W28+X28</f>
        <v>2683932.18</v>
      </c>
      <c r="AC41" s="431" t="s">
        <v>237</v>
      </c>
      <c r="AD41" s="236">
        <f>+Z28</f>
        <v>1383093.3800000001</v>
      </c>
      <c r="AE41" s="419"/>
    </row>
    <row r="42" spans="10:31" ht="15">
      <c r="J42" s="385"/>
      <c r="Q42" s="328"/>
      <c r="AC42" s="433" t="s">
        <v>238</v>
      </c>
      <c r="AD42" s="438">
        <f>+AA28</f>
        <v>1300838.7999999998</v>
      </c>
      <c r="AE42" s="431" t="s">
        <v>236</v>
      </c>
    </row>
    <row r="43" spans="17:31" ht="15">
      <c r="Q43" s="328"/>
      <c r="V43" s="385"/>
      <c r="AC43" s="419"/>
      <c r="AD43" s="236">
        <f>AD41+AD42</f>
        <v>2683932.1799999997</v>
      </c>
      <c r="AE43" s="419"/>
    </row>
    <row r="44" spans="17:31" ht="15">
      <c r="Q44" s="328"/>
      <c r="AC44" s="419"/>
      <c r="AD44" s="419"/>
      <c r="AE44" s="419"/>
    </row>
    <row r="45" spans="29:31" ht="15">
      <c r="AC45" s="419"/>
      <c r="AD45" s="419"/>
      <c r="AE45" s="419"/>
    </row>
  </sheetData>
  <sheetProtection/>
  <mergeCells count="2">
    <mergeCell ref="Z1:AY1"/>
    <mergeCell ref="AZ1:BB1"/>
  </mergeCells>
  <printOptions/>
  <pageMargins left="0.25" right="0.5" top="1" bottom="0.25" header="0" footer="0"/>
  <pageSetup fitToWidth="0" fitToHeight="1" horizontalDpi="600" verticalDpi="600" orientation="landscape" scale="72" r:id="rId3"/>
  <colBreaks count="4" manualBreakCount="4">
    <brk id="12" min="2" max="27" man="1"/>
    <brk id="16" min="2" max="30" man="1"/>
    <brk id="20" max="65535" man="1"/>
    <brk id="25" min="2" max="27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3"/>
  <sheetViews>
    <sheetView zoomScale="80" zoomScaleNormal="80" workbookViewId="0" topLeftCell="A1">
      <pane xSplit="8" ySplit="5" topLeftCell="S6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G48" sqref="G48"/>
    </sheetView>
  </sheetViews>
  <sheetFormatPr defaultColWidth="9.6640625" defaultRowHeight="15" outlineLevelRow="1"/>
  <cols>
    <col min="1" max="1" width="6.3359375" style="1" bestFit="1" customWidth="1"/>
    <col min="2" max="2" width="8.5546875" style="1" bestFit="1" customWidth="1"/>
    <col min="3" max="3" width="8.5546875" style="1" customWidth="1"/>
    <col min="4" max="4" width="6.77734375" style="1" customWidth="1"/>
    <col min="5" max="5" width="7.3359375" style="1" customWidth="1"/>
    <col min="6" max="6" width="10.6640625" style="1" customWidth="1"/>
    <col min="7" max="7" width="6.77734375" style="1" customWidth="1"/>
    <col min="8" max="8" width="1.5625" style="1" bestFit="1" customWidth="1"/>
    <col min="9" max="9" width="6.21484375" style="1" customWidth="1"/>
    <col min="10" max="10" width="11.88671875" style="1" bestFit="1" customWidth="1"/>
    <col min="11" max="11" width="12.10546875" style="1" bestFit="1" customWidth="1"/>
    <col min="12" max="12" width="14.99609375" style="1" bestFit="1" customWidth="1"/>
    <col min="13" max="13" width="3.77734375" style="1" customWidth="1"/>
    <col min="14" max="15" width="11.88671875" style="1" bestFit="1" customWidth="1"/>
    <col min="16" max="16" width="14.99609375" style="1" bestFit="1" customWidth="1"/>
    <col min="17" max="17" width="4.4453125" style="1" customWidth="1"/>
    <col min="18" max="18" width="13.10546875" style="1" customWidth="1"/>
    <col min="19" max="19" width="12.21484375" style="1" customWidth="1"/>
    <col min="20" max="20" width="14.99609375" style="1" bestFit="1" customWidth="1"/>
    <col min="21" max="21" width="4.4453125" style="1" customWidth="1"/>
    <col min="22" max="22" width="11.88671875" style="6" bestFit="1" customWidth="1"/>
    <col min="23" max="23" width="12.10546875" style="1" customWidth="1"/>
    <col min="24" max="24" width="14.99609375" style="1" bestFit="1" customWidth="1"/>
    <col min="25" max="26" width="9.6640625" style="1" customWidth="1"/>
    <col min="27" max="27" width="12.3359375" style="1" bestFit="1" customWidth="1"/>
    <col min="28" max="29" width="9.6640625" style="1" customWidth="1"/>
    <col min="30" max="30" width="12.3359375" style="1" bestFit="1" customWidth="1"/>
    <col min="31" max="16384" width="9.6640625" style="1" customWidth="1"/>
  </cols>
  <sheetData>
    <row r="1" spans="2:27" ht="18" customHeight="1">
      <c r="B1" s="2">
        <f ca="1">NOW()</f>
        <v>45234.445947685184</v>
      </c>
      <c r="C1" s="209" t="s">
        <v>210</v>
      </c>
      <c r="D1" s="2"/>
      <c r="E1" s="2"/>
      <c r="F1" s="209"/>
      <c r="J1" s="209"/>
      <c r="K1" s="209"/>
      <c r="L1" s="209"/>
      <c r="M1" s="209"/>
      <c r="N1" s="209"/>
      <c r="O1" s="209"/>
      <c r="P1" s="209"/>
      <c r="Q1" s="209"/>
      <c r="R1" s="209"/>
      <c r="T1" s="209"/>
      <c r="V1" s="209"/>
      <c r="W1" s="209"/>
      <c r="X1" s="209"/>
      <c r="Y1" s="209"/>
      <c r="Z1" s="209"/>
      <c r="AA1" s="209"/>
    </row>
    <row r="2" spans="2:17" ht="15">
      <c r="B2" s="5" t="s">
        <v>0</v>
      </c>
      <c r="C2" s="7" t="s">
        <v>112</v>
      </c>
      <c r="D2" s="7" t="s">
        <v>114</v>
      </c>
      <c r="E2" s="7" t="s">
        <v>160</v>
      </c>
      <c r="J2" s="4"/>
      <c r="K2" s="4"/>
      <c r="L2" s="4"/>
      <c r="M2" s="4"/>
      <c r="N2" s="4"/>
      <c r="O2" s="4"/>
      <c r="P2" s="4"/>
      <c r="Q2" s="4"/>
    </row>
    <row r="3" spans="2:28" ht="15.75">
      <c r="B3" s="7" t="s">
        <v>1</v>
      </c>
      <c r="C3" s="7" t="s">
        <v>73</v>
      </c>
      <c r="D3" s="7" t="s">
        <v>73</v>
      </c>
      <c r="E3" s="7" t="s">
        <v>73</v>
      </c>
      <c r="F3" s="7" t="s">
        <v>31</v>
      </c>
      <c r="G3" s="7" t="s">
        <v>32</v>
      </c>
      <c r="H3" s="7"/>
      <c r="I3" s="7"/>
      <c r="J3" s="572" t="s">
        <v>37</v>
      </c>
      <c r="K3" s="573"/>
      <c r="L3" s="574"/>
      <c r="M3" s="83"/>
      <c r="N3" s="573" t="s">
        <v>40</v>
      </c>
      <c r="O3" s="573"/>
      <c r="P3" s="574"/>
      <c r="Q3" s="213"/>
      <c r="R3" s="11" t="s">
        <v>43</v>
      </c>
      <c r="S3" s="12"/>
      <c r="T3" s="83"/>
      <c r="U3" s="148"/>
      <c r="V3" s="147" t="s">
        <v>46</v>
      </c>
      <c r="W3" s="12"/>
      <c r="X3" s="12"/>
      <c r="Y3" s="13" t="s">
        <v>48</v>
      </c>
      <c r="Z3" s="12"/>
      <c r="AA3" s="85"/>
      <c r="AB3" s="75"/>
    </row>
    <row r="4" spans="6:28" ht="15">
      <c r="F4" s="16">
        <v>43830</v>
      </c>
      <c r="G4" s="17"/>
      <c r="H4" s="17"/>
      <c r="I4" s="17"/>
      <c r="J4" s="18" t="s">
        <v>34</v>
      </c>
      <c r="K4" s="19" t="s">
        <v>35</v>
      </c>
      <c r="L4" s="87" t="s">
        <v>36</v>
      </c>
      <c r="M4" s="87"/>
      <c r="N4" s="101" t="s">
        <v>34</v>
      </c>
      <c r="O4" s="19" t="s">
        <v>35</v>
      </c>
      <c r="P4" s="87" t="s">
        <v>36</v>
      </c>
      <c r="Q4" s="214"/>
      <c r="R4" s="101" t="s">
        <v>34</v>
      </c>
      <c r="S4" s="19" t="s">
        <v>35</v>
      </c>
      <c r="T4" s="87" t="s">
        <v>36</v>
      </c>
      <c r="U4" s="149"/>
      <c r="V4" s="101" t="s">
        <v>34</v>
      </c>
      <c r="W4" s="19" t="s">
        <v>35</v>
      </c>
      <c r="X4" s="19" t="s">
        <v>36</v>
      </c>
      <c r="Y4" s="18" t="s">
        <v>34</v>
      </c>
      <c r="Z4" s="19" t="s">
        <v>35</v>
      </c>
      <c r="AA4" s="87" t="s">
        <v>36</v>
      </c>
      <c r="AB4" s="75"/>
    </row>
    <row r="5" spans="6:28" ht="18" customHeight="1">
      <c r="F5" s="16"/>
      <c r="G5" s="17"/>
      <c r="H5" s="17"/>
      <c r="I5" s="17"/>
      <c r="J5" s="24"/>
      <c r="K5" s="25"/>
      <c r="L5" s="124"/>
      <c r="M5" s="124"/>
      <c r="N5" s="25"/>
      <c r="O5" s="25"/>
      <c r="P5" s="124"/>
      <c r="Q5" s="215"/>
      <c r="R5" s="25"/>
      <c r="S5" s="25"/>
      <c r="T5" s="124"/>
      <c r="U5" s="150"/>
      <c r="V5" s="25"/>
      <c r="W5" s="25"/>
      <c r="X5" s="25"/>
      <c r="Y5" s="39"/>
      <c r="Z5" s="40"/>
      <c r="AA5" s="95"/>
      <c r="AB5" s="75"/>
    </row>
    <row r="6" spans="1:28" ht="15">
      <c r="A6" s="419" t="s">
        <v>212</v>
      </c>
      <c r="B6" s="21">
        <v>9011001</v>
      </c>
      <c r="C6" s="113">
        <v>36129</v>
      </c>
      <c r="D6" s="210">
        <v>44492</v>
      </c>
      <c r="E6" s="21"/>
      <c r="F6" s="420">
        <v>66249.78000000001</v>
      </c>
      <c r="G6" s="42">
        <v>0.0655</v>
      </c>
      <c r="H6" s="42"/>
      <c r="I6" s="42"/>
      <c r="J6" s="29">
        <v>1043.44</v>
      </c>
      <c r="K6" s="72">
        <v>9009.4</v>
      </c>
      <c r="L6" s="73">
        <f aca="true" t="shared" si="0" ref="L6:L11">F6-K6</f>
        <v>57240.38000000001</v>
      </c>
      <c r="M6" s="73"/>
      <c r="N6" s="72">
        <v>902.54</v>
      </c>
      <c r="O6" s="72">
        <v>9156.93</v>
      </c>
      <c r="P6" s="73">
        <f aca="true" t="shared" si="1" ref="P6:P20">L6-O6</f>
        <v>48083.45000000001</v>
      </c>
      <c r="Q6" s="216"/>
      <c r="R6" s="72">
        <v>759.76</v>
      </c>
      <c r="S6" s="72">
        <v>9306.87</v>
      </c>
      <c r="T6" s="73">
        <f aca="true" t="shared" si="2" ref="T6:T11">P6-S6</f>
        <v>38776.58000000001</v>
      </c>
      <c r="U6" s="151"/>
      <c r="V6" s="72">
        <v>614.07</v>
      </c>
      <c r="W6" s="72">
        <v>9459.27</v>
      </c>
      <c r="X6" s="22">
        <f aca="true" t="shared" si="3" ref="X6:X11">T6-W6</f>
        <v>29317.31000000001</v>
      </c>
      <c r="Y6" s="29">
        <f aca="true" t="shared" si="4" ref="Y6:Z11">J6+N6+R6+V6</f>
        <v>3319.81</v>
      </c>
      <c r="Z6" s="22">
        <f t="shared" si="4"/>
        <v>36932.47</v>
      </c>
      <c r="AA6" s="73">
        <f aca="true" t="shared" si="5" ref="AA6:AA11">F6-Z6</f>
        <v>29317.310000000012</v>
      </c>
      <c r="AB6" s="75"/>
    </row>
    <row r="7" spans="1:28" ht="15">
      <c r="A7" s="419" t="s">
        <v>213</v>
      </c>
      <c r="B7" s="21">
        <v>9012001</v>
      </c>
      <c r="C7" s="113">
        <v>36129</v>
      </c>
      <c r="D7" s="210">
        <v>45759</v>
      </c>
      <c r="E7" s="21"/>
      <c r="F7" s="420">
        <v>182550.02000000002</v>
      </c>
      <c r="G7" s="42">
        <v>0.0655</v>
      </c>
      <c r="H7" s="42"/>
      <c r="I7" s="42"/>
      <c r="J7" s="29">
        <v>2875.16</v>
      </c>
      <c r="K7" s="72">
        <v>7354.01</v>
      </c>
      <c r="L7" s="73">
        <f t="shared" si="0"/>
        <v>175196.01</v>
      </c>
      <c r="M7" s="73"/>
      <c r="N7" s="72">
        <v>2762.41</v>
      </c>
      <c r="O7" s="72">
        <v>7474.44</v>
      </c>
      <c r="P7" s="73">
        <f t="shared" si="1"/>
        <v>167721.57</v>
      </c>
      <c r="Q7" s="216"/>
      <c r="R7" s="72">
        <v>2650.15</v>
      </c>
      <c r="S7" s="72">
        <v>7596.83</v>
      </c>
      <c r="T7" s="73">
        <f t="shared" si="2"/>
        <v>160124.74000000002</v>
      </c>
      <c r="U7" s="151"/>
      <c r="V7" s="72">
        <v>2535.76</v>
      </c>
      <c r="W7" s="72">
        <v>7721.23</v>
      </c>
      <c r="X7" s="22">
        <f t="shared" si="3"/>
        <v>152403.51</v>
      </c>
      <c r="Y7" s="29">
        <f t="shared" si="4"/>
        <v>10823.48</v>
      </c>
      <c r="Z7" s="22">
        <f t="shared" si="4"/>
        <v>30146.51</v>
      </c>
      <c r="AA7" s="73">
        <f t="shared" si="5"/>
        <v>152403.51</v>
      </c>
      <c r="AB7" s="75"/>
    </row>
    <row r="8" spans="1:28" ht="15">
      <c r="A8" s="419" t="s">
        <v>214</v>
      </c>
      <c r="B8" s="21">
        <v>9013001</v>
      </c>
      <c r="C8" s="113">
        <v>36129</v>
      </c>
      <c r="D8" s="210">
        <v>46626</v>
      </c>
      <c r="E8" s="21"/>
      <c r="F8" s="420">
        <v>337510.66000000003</v>
      </c>
      <c r="G8" s="42">
        <v>0.066</v>
      </c>
      <c r="H8" s="42"/>
      <c r="I8" s="42"/>
      <c r="J8" s="29">
        <v>5357.99</v>
      </c>
      <c r="K8" s="72">
        <v>8785.41</v>
      </c>
      <c r="L8" s="73">
        <f t="shared" si="0"/>
        <v>328725.25000000006</v>
      </c>
      <c r="M8" s="73"/>
      <c r="N8" s="72">
        <v>5224.29</v>
      </c>
      <c r="O8" s="72">
        <v>8930.37</v>
      </c>
      <c r="P8" s="73">
        <f t="shared" si="1"/>
        <v>319794.88000000006</v>
      </c>
      <c r="Q8" s="216"/>
      <c r="R8" s="72">
        <v>5093.01</v>
      </c>
      <c r="S8" s="72">
        <v>9077.72</v>
      </c>
      <c r="T8" s="73">
        <f t="shared" si="2"/>
        <v>310717.1600000001</v>
      </c>
      <c r="U8" s="151"/>
      <c r="V8" s="72">
        <v>4959.41</v>
      </c>
      <c r="W8" s="72">
        <v>9227.51</v>
      </c>
      <c r="X8" s="22">
        <f t="shared" si="3"/>
        <v>301489.6500000001</v>
      </c>
      <c r="Y8" s="29">
        <f t="shared" si="4"/>
        <v>20634.699999999997</v>
      </c>
      <c r="Z8" s="22">
        <f t="shared" si="4"/>
        <v>36021.01</v>
      </c>
      <c r="AA8" s="73">
        <f t="shared" si="5"/>
        <v>301489.65</v>
      </c>
      <c r="AB8" s="75"/>
    </row>
    <row r="9" spans="2:28" ht="15">
      <c r="B9" s="21">
        <v>9014001</v>
      </c>
      <c r="C9" s="113">
        <v>36129</v>
      </c>
      <c r="D9" s="210">
        <v>47467</v>
      </c>
      <c r="E9" s="21"/>
      <c r="F9" s="420">
        <v>406720.3</v>
      </c>
      <c r="G9" s="42">
        <v>0.0665</v>
      </c>
      <c r="H9" s="42"/>
      <c r="I9" s="42"/>
      <c r="J9" s="29">
        <v>6507.53</v>
      </c>
      <c r="K9" s="72">
        <v>7240.41</v>
      </c>
      <c r="L9" s="73">
        <f t="shared" si="0"/>
        <v>399479.89</v>
      </c>
      <c r="M9" s="73"/>
      <c r="N9" s="72">
        <v>6398.69</v>
      </c>
      <c r="O9" s="72">
        <v>7360.79</v>
      </c>
      <c r="P9" s="73">
        <f t="shared" si="1"/>
        <v>392119.10000000003</v>
      </c>
      <c r="Q9" s="216"/>
      <c r="R9" s="72">
        <v>6293.85</v>
      </c>
      <c r="S9" s="72">
        <v>7483.16</v>
      </c>
      <c r="T9" s="73">
        <f t="shared" si="2"/>
        <v>384635.94000000006</v>
      </c>
      <c r="U9" s="151"/>
      <c r="V9" s="72">
        <v>6187.32</v>
      </c>
      <c r="W9" s="72">
        <v>7607.57</v>
      </c>
      <c r="X9" s="22">
        <f t="shared" si="3"/>
        <v>377028.37000000005</v>
      </c>
      <c r="Y9" s="29">
        <f t="shared" si="4"/>
        <v>25387.39</v>
      </c>
      <c r="Z9" s="22">
        <f t="shared" si="4"/>
        <v>29691.93</v>
      </c>
      <c r="AA9" s="73">
        <f t="shared" si="5"/>
        <v>377028.37</v>
      </c>
      <c r="AB9" s="75"/>
    </row>
    <row r="10" spans="2:28" ht="18" customHeight="1">
      <c r="B10" s="21">
        <v>9015001</v>
      </c>
      <c r="C10" s="113">
        <v>35982</v>
      </c>
      <c r="D10" s="210">
        <v>48670</v>
      </c>
      <c r="E10" s="21"/>
      <c r="F10" s="420">
        <v>630405.65</v>
      </c>
      <c r="G10" s="42">
        <v>0.0665</v>
      </c>
      <c r="H10" s="42"/>
      <c r="I10" s="42"/>
      <c r="J10" s="29">
        <v>10086.49</v>
      </c>
      <c r="K10" s="72">
        <v>7506.38</v>
      </c>
      <c r="L10" s="73">
        <f t="shared" si="0"/>
        <v>622899.27</v>
      </c>
      <c r="M10" s="73"/>
      <c r="N10" s="72">
        <v>9977.32</v>
      </c>
      <c r="O10" s="72">
        <v>7631.17</v>
      </c>
      <c r="P10" s="73">
        <f t="shared" si="1"/>
        <v>615268.1</v>
      </c>
      <c r="Q10" s="216"/>
      <c r="R10" s="72">
        <v>9875.58</v>
      </c>
      <c r="S10" s="72">
        <v>7758.04</v>
      </c>
      <c r="T10" s="73">
        <f t="shared" si="2"/>
        <v>607510.0599999999</v>
      </c>
      <c r="U10" s="151"/>
      <c r="V10" s="72">
        <v>9772.51</v>
      </c>
      <c r="W10" s="72">
        <v>7887.02</v>
      </c>
      <c r="X10" s="22">
        <f t="shared" si="3"/>
        <v>599623.0399999999</v>
      </c>
      <c r="Y10" s="29">
        <f t="shared" si="4"/>
        <v>39711.9</v>
      </c>
      <c r="Z10" s="22">
        <f t="shared" si="4"/>
        <v>30782.61</v>
      </c>
      <c r="AA10" s="73">
        <f t="shared" si="5"/>
        <v>599623.04</v>
      </c>
      <c r="AB10" s="75"/>
    </row>
    <row r="11" spans="2:28" ht="15">
      <c r="B11" s="21">
        <v>9015002</v>
      </c>
      <c r="C11" s="113">
        <v>35796</v>
      </c>
      <c r="D11" s="210">
        <v>48670</v>
      </c>
      <c r="E11" s="210"/>
      <c r="F11" s="420">
        <v>271323.36</v>
      </c>
      <c r="G11" s="42">
        <v>0.0365</v>
      </c>
      <c r="H11" s="42"/>
      <c r="I11" s="42"/>
      <c r="J11" s="29">
        <v>2475.83</v>
      </c>
      <c r="K11" s="72">
        <v>4003.64</v>
      </c>
      <c r="L11" s="73">
        <f t="shared" si="0"/>
        <v>267319.72</v>
      </c>
      <c r="M11" s="73"/>
      <c r="N11" s="72">
        <v>2439.29</v>
      </c>
      <c r="O11" s="72">
        <v>4040.18</v>
      </c>
      <c r="P11" s="73">
        <f t="shared" si="1"/>
        <v>263279.54</v>
      </c>
      <c r="Q11" s="216"/>
      <c r="R11" s="72">
        <v>2402.43</v>
      </c>
      <c r="S11" s="72">
        <v>4077.04</v>
      </c>
      <c r="T11" s="73">
        <f t="shared" si="2"/>
        <v>259202.49999999997</v>
      </c>
      <c r="U11" s="151"/>
      <c r="V11" s="72">
        <v>2365.22</v>
      </c>
      <c r="W11" s="72">
        <v>4114.25</v>
      </c>
      <c r="X11" s="22">
        <f t="shared" si="3"/>
        <v>255088.24999999997</v>
      </c>
      <c r="Y11" s="29">
        <f t="shared" si="4"/>
        <v>9682.769999999999</v>
      </c>
      <c r="Z11" s="22">
        <f t="shared" si="4"/>
        <v>16235.11</v>
      </c>
      <c r="AA11" s="73">
        <f t="shared" si="5"/>
        <v>255088.25</v>
      </c>
      <c r="AB11" s="75"/>
    </row>
    <row r="12" spans="1:28" ht="15">
      <c r="A12" s="211"/>
      <c r="B12" s="21"/>
      <c r="C12" s="113"/>
      <c r="D12" s="210"/>
      <c r="E12" s="210"/>
      <c r="F12" s="421">
        <f>SUM(F6:F11)</f>
        <v>1894759.77</v>
      </c>
      <c r="G12" s="42"/>
      <c r="H12" s="42"/>
      <c r="I12" s="42"/>
      <c r="J12" s="264">
        <f>SUM(J6:J11)</f>
        <v>28346.440000000002</v>
      </c>
      <c r="K12" s="265">
        <f>SUM(K6:K11)</f>
        <v>43899.25</v>
      </c>
      <c r="L12" s="265">
        <f>SUM(L6:L11)</f>
        <v>1850860.5200000003</v>
      </c>
      <c r="M12" s="266"/>
      <c r="N12" s="265">
        <f>SUM(N6:N11)</f>
        <v>27704.54</v>
      </c>
      <c r="O12" s="265">
        <f>SUM(O6:O11)</f>
        <v>44593.88</v>
      </c>
      <c r="P12" s="265">
        <f>SUM(P6:P11)</f>
        <v>1806266.6400000001</v>
      </c>
      <c r="Q12" s="267"/>
      <c r="R12" s="265">
        <f>SUM(R6:R11)</f>
        <v>27074.78</v>
      </c>
      <c r="S12" s="265">
        <f>SUM(S6:S11)</f>
        <v>45299.66</v>
      </c>
      <c r="T12" s="265">
        <f>SUM(T6:T11)</f>
        <v>1760966.98</v>
      </c>
      <c r="U12" s="268"/>
      <c r="V12" s="265">
        <f aca="true" t="shared" si="6" ref="V12:AA12">SUM(V6:V11)</f>
        <v>26434.29</v>
      </c>
      <c r="W12" s="265">
        <f t="shared" si="6"/>
        <v>46016.850000000006</v>
      </c>
      <c r="X12" s="265">
        <f t="shared" si="6"/>
        <v>1714950.13</v>
      </c>
      <c r="Y12" s="265">
        <f t="shared" si="6"/>
        <v>109560.05</v>
      </c>
      <c r="Z12" s="265">
        <f t="shared" si="6"/>
        <v>179809.63999999996</v>
      </c>
      <c r="AA12" s="269">
        <f t="shared" si="6"/>
        <v>1714950.1300000001</v>
      </c>
      <c r="AB12" s="75"/>
    </row>
    <row r="13" spans="1:27" ht="15" hidden="1" outlineLevel="1">
      <c r="A13" s="212">
        <v>40868</v>
      </c>
      <c r="B13" s="19">
        <v>9016009</v>
      </c>
      <c r="C13" s="113"/>
      <c r="D13" s="210">
        <v>44074</v>
      </c>
      <c r="E13" s="34"/>
      <c r="F13" s="420">
        <v>159523.07</v>
      </c>
      <c r="G13" s="207">
        <v>0.0435</v>
      </c>
      <c r="H13" s="43"/>
      <c r="I13" s="94"/>
      <c r="J13" s="270">
        <v>1734.81</v>
      </c>
      <c r="K13" s="276">
        <v>52600.27</v>
      </c>
      <c r="L13" s="271">
        <f aca="true" t="shared" si="7" ref="L13:L20">F13-K13</f>
        <v>106922.80000000002</v>
      </c>
      <c r="M13" s="271"/>
      <c r="N13" s="270">
        <v>1162.79</v>
      </c>
      <c r="O13" s="276">
        <v>53172.29</v>
      </c>
      <c r="P13" s="271">
        <f t="shared" si="1"/>
        <v>53750.51000000002</v>
      </c>
      <c r="Q13" s="273"/>
      <c r="R13" s="270">
        <v>584.54</v>
      </c>
      <c r="S13" s="270">
        <v>53750.51</v>
      </c>
      <c r="T13" s="271">
        <f aca="true" t="shared" si="8" ref="T13:T20">P13-S13</f>
        <v>0</v>
      </c>
      <c r="U13" s="274"/>
      <c r="V13" s="270"/>
      <c r="W13" s="270"/>
      <c r="X13" s="270">
        <f aca="true" t="shared" si="9" ref="X13:X20">T13-W13</f>
        <v>0</v>
      </c>
      <c r="Y13" s="275">
        <f aca="true" t="shared" si="10" ref="Y13:Z20">J13+N13+R13+V13</f>
        <v>3482.14</v>
      </c>
      <c r="Z13" s="272">
        <f t="shared" si="10"/>
        <v>159523.07</v>
      </c>
      <c r="AA13" s="271">
        <f aca="true" t="shared" si="11" ref="AA13:AA20">F13-Z13</f>
        <v>0</v>
      </c>
    </row>
    <row r="14" spans="2:27" ht="15" hidden="1" outlineLevel="1">
      <c r="B14" s="19">
        <v>9016010</v>
      </c>
      <c r="C14" s="113"/>
      <c r="D14" s="210">
        <v>44439</v>
      </c>
      <c r="E14" s="34"/>
      <c r="F14" s="420">
        <v>222562.17</v>
      </c>
      <c r="G14" s="207">
        <v>0.045</v>
      </c>
      <c r="H14" s="43"/>
      <c r="I14" s="94"/>
      <c r="J14" s="270">
        <v>2496.96</v>
      </c>
      <c r="K14" s="276">
        <v>0</v>
      </c>
      <c r="L14" s="271">
        <f t="shared" si="7"/>
        <v>222562.17</v>
      </c>
      <c r="M14" s="271"/>
      <c r="N14" s="270">
        <v>2524.4</v>
      </c>
      <c r="O14" s="276">
        <v>0</v>
      </c>
      <c r="P14" s="271">
        <f t="shared" si="1"/>
        <v>222562.17</v>
      </c>
      <c r="Q14" s="273"/>
      <c r="R14" s="270">
        <v>2524.4</v>
      </c>
      <c r="S14" s="270"/>
      <c r="T14" s="271">
        <f t="shared" si="8"/>
        <v>222562.17</v>
      </c>
      <c r="U14" s="274"/>
      <c r="V14" s="270">
        <v>2503.82</v>
      </c>
      <c r="W14" s="270">
        <v>54710.37</v>
      </c>
      <c r="X14" s="270">
        <f t="shared" si="9"/>
        <v>167851.80000000002</v>
      </c>
      <c r="Y14" s="275">
        <f t="shared" si="10"/>
        <v>10049.58</v>
      </c>
      <c r="Z14" s="272">
        <f t="shared" si="10"/>
        <v>54710.37</v>
      </c>
      <c r="AA14" s="271">
        <f t="shared" si="11"/>
        <v>167851.80000000002</v>
      </c>
    </row>
    <row r="15" spans="2:27" ht="15" hidden="1" outlineLevel="1">
      <c r="B15" s="19">
        <v>9016011</v>
      </c>
      <c r="C15" s="113"/>
      <c r="D15" s="210">
        <v>44804</v>
      </c>
      <c r="E15" s="34"/>
      <c r="F15" s="420">
        <v>170424.48</v>
      </c>
      <c r="G15" s="207">
        <v>0.046</v>
      </c>
      <c r="H15" s="43"/>
      <c r="I15" s="94"/>
      <c r="J15" s="270">
        <v>1954.51</v>
      </c>
      <c r="K15" s="276">
        <v>0</v>
      </c>
      <c r="L15" s="271">
        <f t="shared" si="7"/>
        <v>170424.48</v>
      </c>
      <c r="M15" s="271"/>
      <c r="N15" s="270">
        <v>1975.99</v>
      </c>
      <c r="O15" s="276">
        <v>0</v>
      </c>
      <c r="P15" s="271">
        <f t="shared" si="1"/>
        <v>170424.48</v>
      </c>
      <c r="Q15" s="273"/>
      <c r="R15" s="270">
        <v>1975.99</v>
      </c>
      <c r="S15" s="270"/>
      <c r="T15" s="271">
        <f t="shared" si="8"/>
        <v>170424.48</v>
      </c>
      <c r="U15" s="274"/>
      <c r="V15" s="270">
        <v>1954.51</v>
      </c>
      <c r="W15" s="270">
        <v>0</v>
      </c>
      <c r="X15" s="270">
        <f t="shared" si="9"/>
        <v>170424.48</v>
      </c>
      <c r="Y15" s="275">
        <f t="shared" si="10"/>
        <v>7861</v>
      </c>
      <c r="Z15" s="272">
        <f t="shared" si="10"/>
        <v>0</v>
      </c>
      <c r="AA15" s="271">
        <f t="shared" si="11"/>
        <v>170424.48</v>
      </c>
    </row>
    <row r="16" spans="2:27" ht="15" hidden="1" outlineLevel="1">
      <c r="B16" s="19">
        <v>9016012</v>
      </c>
      <c r="C16" s="113"/>
      <c r="D16" s="210">
        <v>45169</v>
      </c>
      <c r="E16" s="34"/>
      <c r="F16" s="420">
        <v>161013.87</v>
      </c>
      <c r="G16" s="207">
        <v>0.047</v>
      </c>
      <c r="H16" s="43"/>
      <c r="I16" s="94"/>
      <c r="J16" s="270">
        <v>1886.73</v>
      </c>
      <c r="K16" s="276">
        <v>0</v>
      </c>
      <c r="L16" s="271">
        <f t="shared" si="7"/>
        <v>161013.87</v>
      </c>
      <c r="M16" s="271"/>
      <c r="N16" s="270">
        <v>1907.46</v>
      </c>
      <c r="O16" s="276">
        <v>0</v>
      </c>
      <c r="P16" s="271">
        <f t="shared" si="1"/>
        <v>161013.87</v>
      </c>
      <c r="Q16" s="273"/>
      <c r="R16" s="270">
        <v>1907.46</v>
      </c>
      <c r="S16" s="270"/>
      <c r="T16" s="271">
        <f t="shared" si="8"/>
        <v>161013.87</v>
      </c>
      <c r="U16" s="274"/>
      <c r="V16" s="270">
        <v>1886.73</v>
      </c>
      <c r="W16" s="270">
        <v>0</v>
      </c>
      <c r="X16" s="270">
        <f t="shared" si="9"/>
        <v>161013.87</v>
      </c>
      <c r="Y16" s="275">
        <f t="shared" si="10"/>
        <v>7588.379999999999</v>
      </c>
      <c r="Z16" s="272">
        <f t="shared" si="10"/>
        <v>0</v>
      </c>
      <c r="AA16" s="271">
        <f t="shared" si="11"/>
        <v>161013.87</v>
      </c>
    </row>
    <row r="17" spans="2:27" ht="15" hidden="1" outlineLevel="1">
      <c r="B17" s="19">
        <v>9016013</v>
      </c>
      <c r="C17" s="113"/>
      <c r="D17" s="210">
        <v>45535</v>
      </c>
      <c r="E17" s="34"/>
      <c r="F17" s="420">
        <v>169216.41</v>
      </c>
      <c r="G17" s="207">
        <v>0.048</v>
      </c>
      <c r="H17" s="43"/>
      <c r="I17" s="94"/>
      <c r="J17" s="270">
        <v>2025.03</v>
      </c>
      <c r="K17" s="276">
        <v>0</v>
      </c>
      <c r="L17" s="271">
        <f t="shared" si="7"/>
        <v>169216.41</v>
      </c>
      <c r="M17" s="271"/>
      <c r="N17" s="270">
        <v>2047.29</v>
      </c>
      <c r="O17" s="276">
        <v>0</v>
      </c>
      <c r="P17" s="271">
        <f t="shared" si="1"/>
        <v>169216.41</v>
      </c>
      <c r="Q17" s="273"/>
      <c r="R17" s="270">
        <v>2047.29</v>
      </c>
      <c r="S17" s="270"/>
      <c r="T17" s="271">
        <f t="shared" si="8"/>
        <v>169216.41</v>
      </c>
      <c r="U17" s="274"/>
      <c r="V17" s="270">
        <v>2025.03</v>
      </c>
      <c r="W17" s="270">
        <v>0</v>
      </c>
      <c r="X17" s="270">
        <f t="shared" si="9"/>
        <v>169216.41</v>
      </c>
      <c r="Y17" s="275">
        <f t="shared" si="10"/>
        <v>8144.639999999999</v>
      </c>
      <c r="Z17" s="272">
        <f t="shared" si="10"/>
        <v>0</v>
      </c>
      <c r="AA17" s="271">
        <f t="shared" si="11"/>
        <v>169216.41</v>
      </c>
    </row>
    <row r="18" spans="2:27" ht="15" hidden="1" outlineLevel="1">
      <c r="B18" s="19">
        <v>9016014</v>
      </c>
      <c r="C18" s="113"/>
      <c r="D18" s="210">
        <v>45900</v>
      </c>
      <c r="E18" s="34"/>
      <c r="F18" s="420">
        <v>152424.06</v>
      </c>
      <c r="G18" s="207">
        <v>0.049</v>
      </c>
      <c r="H18" s="43"/>
      <c r="I18" s="94"/>
      <c r="J18" s="270">
        <v>1862.08</v>
      </c>
      <c r="K18" s="276">
        <v>0</v>
      </c>
      <c r="L18" s="271">
        <f t="shared" si="7"/>
        <v>152424.06</v>
      </c>
      <c r="M18" s="271"/>
      <c r="N18" s="270">
        <v>1882.54</v>
      </c>
      <c r="O18" s="276">
        <v>0</v>
      </c>
      <c r="P18" s="271">
        <f t="shared" si="1"/>
        <v>152424.06</v>
      </c>
      <c r="Q18" s="273"/>
      <c r="R18" s="270">
        <v>1882.54</v>
      </c>
      <c r="S18" s="270"/>
      <c r="T18" s="271">
        <f t="shared" si="8"/>
        <v>152424.06</v>
      </c>
      <c r="U18" s="274"/>
      <c r="V18" s="270">
        <v>1862.08</v>
      </c>
      <c r="W18" s="270">
        <v>0</v>
      </c>
      <c r="X18" s="270">
        <f t="shared" si="9"/>
        <v>152424.06</v>
      </c>
      <c r="Y18" s="275">
        <f t="shared" si="10"/>
        <v>7489.24</v>
      </c>
      <c r="Z18" s="272">
        <f t="shared" si="10"/>
        <v>0</v>
      </c>
      <c r="AA18" s="271">
        <f t="shared" si="11"/>
        <v>152424.06</v>
      </c>
    </row>
    <row r="19" spans="2:27" ht="15" hidden="1" outlineLevel="1">
      <c r="B19" s="19">
        <v>9016015</v>
      </c>
      <c r="C19" s="113"/>
      <c r="D19" s="210">
        <v>46265</v>
      </c>
      <c r="E19" s="34"/>
      <c r="F19" s="420">
        <v>102295.74</v>
      </c>
      <c r="G19" s="207">
        <v>0.0495</v>
      </c>
      <c r="H19" s="43"/>
      <c r="I19" s="94"/>
      <c r="J19" s="270">
        <v>1262.44</v>
      </c>
      <c r="K19" s="276">
        <v>0</v>
      </c>
      <c r="L19" s="271">
        <f t="shared" si="7"/>
        <v>102295.74</v>
      </c>
      <c r="M19" s="271"/>
      <c r="N19" s="270">
        <v>1276.31</v>
      </c>
      <c r="O19" s="276">
        <v>0</v>
      </c>
      <c r="P19" s="271">
        <f t="shared" si="1"/>
        <v>102295.74</v>
      </c>
      <c r="Q19" s="273"/>
      <c r="R19" s="270">
        <v>1276.31</v>
      </c>
      <c r="S19" s="270"/>
      <c r="T19" s="271">
        <f t="shared" si="8"/>
        <v>102295.74</v>
      </c>
      <c r="U19" s="274"/>
      <c r="V19" s="270">
        <v>1262.44</v>
      </c>
      <c r="W19" s="270">
        <v>0</v>
      </c>
      <c r="X19" s="270">
        <f t="shared" si="9"/>
        <v>102295.74</v>
      </c>
      <c r="Y19" s="275">
        <f t="shared" si="10"/>
        <v>5077.5</v>
      </c>
      <c r="Z19" s="272">
        <f t="shared" si="10"/>
        <v>0</v>
      </c>
      <c r="AA19" s="271">
        <f t="shared" si="11"/>
        <v>102295.74</v>
      </c>
    </row>
    <row r="20" spans="2:27" ht="15" hidden="1" outlineLevel="1">
      <c r="B20" s="19">
        <v>9016016</v>
      </c>
      <c r="C20" s="113"/>
      <c r="D20" s="210">
        <v>46630</v>
      </c>
      <c r="E20" s="34"/>
      <c r="F20" s="420">
        <v>96918.96</v>
      </c>
      <c r="G20" s="207">
        <v>0.0505</v>
      </c>
      <c r="H20" s="43"/>
      <c r="I20" s="94"/>
      <c r="J20" s="270">
        <v>1220.25</v>
      </c>
      <c r="K20" s="276">
        <v>0</v>
      </c>
      <c r="L20" s="271">
        <f t="shared" si="7"/>
        <v>96918.96</v>
      </c>
      <c r="M20" s="271"/>
      <c r="N20" s="270">
        <v>1233.66</v>
      </c>
      <c r="O20" s="276">
        <v>0</v>
      </c>
      <c r="P20" s="271">
        <f t="shared" si="1"/>
        <v>96918.96</v>
      </c>
      <c r="Q20" s="273"/>
      <c r="R20" s="270">
        <v>1233.66</v>
      </c>
      <c r="S20" s="270"/>
      <c r="T20" s="271">
        <f t="shared" si="8"/>
        <v>96918.96</v>
      </c>
      <c r="U20" s="274"/>
      <c r="V20" s="270">
        <v>1220.25</v>
      </c>
      <c r="W20" s="270">
        <v>0</v>
      </c>
      <c r="X20" s="270">
        <f t="shared" si="9"/>
        <v>96918.96</v>
      </c>
      <c r="Y20" s="275">
        <f t="shared" si="10"/>
        <v>4907.82</v>
      </c>
      <c r="Z20" s="272">
        <f t="shared" si="10"/>
        <v>0</v>
      </c>
      <c r="AA20" s="271">
        <f t="shared" si="11"/>
        <v>96918.96</v>
      </c>
    </row>
    <row r="21" spans="1:27" ht="15" collapsed="1">
      <c r="A21" s="211" t="s">
        <v>105</v>
      </c>
      <c r="B21" s="19">
        <v>9016</v>
      </c>
      <c r="C21" s="231">
        <v>40868</v>
      </c>
      <c r="D21" s="232">
        <v>11636</v>
      </c>
      <c r="E21" s="233"/>
      <c r="F21" s="421">
        <f>SUM(F13:F20)</f>
        <v>1234378.76</v>
      </c>
      <c r="G21" s="207"/>
      <c r="H21" s="43"/>
      <c r="I21" s="94"/>
      <c r="J21" s="264">
        <f>SUM(J13:J20)</f>
        <v>14442.810000000001</v>
      </c>
      <c r="K21" s="265">
        <f>SUM(K13:K20)</f>
        <v>52600.27</v>
      </c>
      <c r="L21" s="269">
        <f>SUM(L13:L20)</f>
        <v>1181778.49</v>
      </c>
      <c r="M21" s="266"/>
      <c r="N21" s="265">
        <f>SUM(N13:N20)</f>
        <v>14010.44</v>
      </c>
      <c r="O21" s="265">
        <f>SUM(O13:O20)</f>
        <v>53172.29</v>
      </c>
      <c r="P21" s="269">
        <f>SUM(P13:P20)</f>
        <v>1128606.2</v>
      </c>
      <c r="Q21" s="267"/>
      <c r="R21" s="265">
        <f>SUM(R13:R20)</f>
        <v>13432.19</v>
      </c>
      <c r="S21" s="265">
        <f>SUM(S13:S20)</f>
        <v>53750.51</v>
      </c>
      <c r="T21" s="269">
        <f>SUM(T13:T20)</f>
        <v>1074855.69</v>
      </c>
      <c r="U21" s="268"/>
      <c r="V21" s="265">
        <f aca="true" t="shared" si="12" ref="V21:AA21">SUM(V13:V20)</f>
        <v>12714.86</v>
      </c>
      <c r="W21" s="265">
        <f t="shared" si="12"/>
        <v>54710.37</v>
      </c>
      <c r="X21" s="269">
        <f t="shared" si="12"/>
        <v>1020145.3200000001</v>
      </c>
      <c r="Y21" s="265">
        <f t="shared" si="12"/>
        <v>54600.299999999996</v>
      </c>
      <c r="Z21" s="265">
        <f t="shared" si="12"/>
        <v>214233.44</v>
      </c>
      <c r="AA21" s="269">
        <f t="shared" si="12"/>
        <v>1020145.3200000001</v>
      </c>
    </row>
    <row r="22" spans="1:27" ht="15" hidden="1" outlineLevel="1">
      <c r="A22" s="212">
        <v>42538</v>
      </c>
      <c r="B22" s="19">
        <v>9019004</v>
      </c>
      <c r="C22" s="231"/>
      <c r="D22" s="424">
        <v>43799</v>
      </c>
      <c r="E22" s="233"/>
      <c r="F22" s="157">
        <v>0</v>
      </c>
      <c r="G22" s="207">
        <v>0.029</v>
      </c>
      <c r="H22" s="43"/>
      <c r="I22" s="94"/>
      <c r="J22" s="272">
        <v>-10.9</v>
      </c>
      <c r="K22" s="272">
        <v>0</v>
      </c>
      <c r="L22" s="271">
        <f aca="true" t="shared" si="13" ref="L22:L42">F22-K22</f>
        <v>0</v>
      </c>
      <c r="M22" s="271"/>
      <c r="N22" s="272">
        <v>0</v>
      </c>
      <c r="O22" s="272">
        <v>0</v>
      </c>
      <c r="P22" s="271">
        <f>L22-O22</f>
        <v>0</v>
      </c>
      <c r="Q22" s="273"/>
      <c r="R22" s="285">
        <v>0</v>
      </c>
      <c r="S22" s="285">
        <v>0</v>
      </c>
      <c r="T22" s="271">
        <f aca="true" t="shared" si="14" ref="T22:T42">P22-S22</f>
        <v>0</v>
      </c>
      <c r="U22" s="274"/>
      <c r="V22" s="272">
        <v>0</v>
      </c>
      <c r="W22" s="272">
        <v>0</v>
      </c>
      <c r="X22" s="423">
        <f>T22-W22</f>
        <v>0</v>
      </c>
      <c r="Y22" s="272">
        <f aca="true" t="shared" si="15" ref="Y22:Z42">J22+N22+R22+V22</f>
        <v>-10.9</v>
      </c>
      <c r="Z22" s="272">
        <f t="shared" si="15"/>
        <v>0</v>
      </c>
      <c r="AA22" s="271">
        <f aca="true" t="shared" si="16" ref="AA22:AA42">F22-Z22</f>
        <v>0</v>
      </c>
    </row>
    <row r="23" spans="2:27" ht="15" customHeight="1" hidden="1" outlineLevel="1">
      <c r="B23" s="227">
        <v>9019005</v>
      </c>
      <c r="C23" s="231"/>
      <c r="D23" s="210">
        <v>44165</v>
      </c>
      <c r="E23" s="240"/>
      <c r="F23" s="157">
        <v>549386.93</v>
      </c>
      <c r="G23" s="217">
        <v>0.032</v>
      </c>
      <c r="H23" s="43"/>
      <c r="I23" s="94"/>
      <c r="J23" s="276">
        <v>4395.1</v>
      </c>
      <c r="K23" s="276">
        <v>135706.47</v>
      </c>
      <c r="L23" s="277">
        <f t="shared" si="13"/>
        <v>413680.4600000001</v>
      </c>
      <c r="M23" s="278"/>
      <c r="N23" s="276">
        <v>3309.44</v>
      </c>
      <c r="O23" s="276">
        <v>136792.13</v>
      </c>
      <c r="P23" s="277">
        <f aca="true" t="shared" si="17" ref="P23:P42">L23-O23</f>
        <v>276888.3300000001</v>
      </c>
      <c r="Q23" s="273"/>
      <c r="R23" s="270">
        <v>2215.11</v>
      </c>
      <c r="S23" s="270">
        <v>137886.46</v>
      </c>
      <c r="T23" s="271">
        <f t="shared" si="14"/>
        <v>139001.87000000008</v>
      </c>
      <c r="U23" s="274"/>
      <c r="V23" s="270">
        <v>1099.66</v>
      </c>
      <c r="W23" s="270">
        <v>139001.87</v>
      </c>
      <c r="X23" s="270">
        <f aca="true" t="shared" si="18" ref="X23:X42">T23-W23</f>
        <v>0</v>
      </c>
      <c r="Y23" s="275">
        <f t="shared" si="15"/>
        <v>11019.310000000001</v>
      </c>
      <c r="Z23" s="272">
        <f t="shared" si="15"/>
        <v>549386.9299999999</v>
      </c>
      <c r="AA23" s="271">
        <f t="shared" si="16"/>
        <v>0</v>
      </c>
    </row>
    <row r="24" spans="2:27" ht="15" customHeight="1" hidden="1" outlineLevel="1">
      <c r="B24" s="227">
        <v>9019006</v>
      </c>
      <c r="C24" s="231"/>
      <c r="D24" s="210">
        <v>44530</v>
      </c>
      <c r="E24" s="240"/>
      <c r="F24" s="157">
        <v>567959.46</v>
      </c>
      <c r="G24" s="217">
        <v>0.033</v>
      </c>
      <c r="H24" s="43"/>
      <c r="I24" s="94"/>
      <c r="J24" s="276">
        <v>4672.83</v>
      </c>
      <c r="K24" s="276">
        <v>0</v>
      </c>
      <c r="L24" s="277">
        <f t="shared" si="13"/>
        <v>567959.46</v>
      </c>
      <c r="M24" s="278"/>
      <c r="N24" s="276">
        <v>4724.18</v>
      </c>
      <c r="O24" s="276">
        <v>0</v>
      </c>
      <c r="P24" s="277">
        <f t="shared" si="17"/>
        <v>567959.46</v>
      </c>
      <c r="Q24" s="273"/>
      <c r="R24" s="270">
        <v>4724.18</v>
      </c>
      <c r="S24" s="270"/>
      <c r="T24" s="271">
        <f t="shared" si="14"/>
        <v>567959.46</v>
      </c>
      <c r="U24" s="274"/>
      <c r="V24" s="270">
        <v>4672.83</v>
      </c>
      <c r="W24" s="270">
        <v>0</v>
      </c>
      <c r="X24" s="270">
        <f t="shared" si="18"/>
        <v>567959.46</v>
      </c>
      <c r="Y24" s="275">
        <f t="shared" si="15"/>
        <v>18794.02</v>
      </c>
      <c r="Z24" s="272">
        <f t="shared" si="15"/>
        <v>0</v>
      </c>
      <c r="AA24" s="271">
        <f t="shared" si="16"/>
        <v>567959.46</v>
      </c>
    </row>
    <row r="25" spans="2:27" ht="15" customHeight="1" hidden="1" outlineLevel="1">
      <c r="B25" s="227">
        <v>9019007</v>
      </c>
      <c r="C25" s="231"/>
      <c r="D25" s="210">
        <v>44895</v>
      </c>
      <c r="E25" s="240"/>
      <c r="F25" s="157">
        <v>586254.55</v>
      </c>
      <c r="G25" s="217">
        <v>0.034</v>
      </c>
      <c r="H25" s="43"/>
      <c r="I25" s="94"/>
      <c r="J25" s="276">
        <v>4969.51</v>
      </c>
      <c r="K25" s="276">
        <v>0</v>
      </c>
      <c r="L25" s="277">
        <f t="shared" si="13"/>
        <v>586254.55</v>
      </c>
      <c r="M25" s="278"/>
      <c r="N25" s="276">
        <v>5024.12</v>
      </c>
      <c r="O25" s="276">
        <v>0</v>
      </c>
      <c r="P25" s="277">
        <f t="shared" si="17"/>
        <v>586254.55</v>
      </c>
      <c r="Q25" s="273"/>
      <c r="R25" s="270">
        <v>5024.12</v>
      </c>
      <c r="S25" s="270"/>
      <c r="T25" s="271">
        <f t="shared" si="14"/>
        <v>586254.55</v>
      </c>
      <c r="U25" s="274"/>
      <c r="V25" s="270">
        <v>4969.51</v>
      </c>
      <c r="W25" s="270">
        <v>0</v>
      </c>
      <c r="X25" s="270">
        <f t="shared" si="18"/>
        <v>586254.55</v>
      </c>
      <c r="Y25" s="275">
        <f t="shared" si="15"/>
        <v>19987.260000000002</v>
      </c>
      <c r="Z25" s="272">
        <f t="shared" si="15"/>
        <v>0</v>
      </c>
      <c r="AA25" s="271">
        <f t="shared" si="16"/>
        <v>586254.55</v>
      </c>
    </row>
    <row r="26" spans="2:27" ht="15" customHeight="1" hidden="1" outlineLevel="1">
      <c r="B26" s="227">
        <v>9019008</v>
      </c>
      <c r="C26" s="231"/>
      <c r="D26" s="210">
        <v>45260</v>
      </c>
      <c r="E26" s="240"/>
      <c r="F26" s="157">
        <v>605596.63</v>
      </c>
      <c r="G26" s="217">
        <v>0.0345</v>
      </c>
      <c r="H26" s="43"/>
      <c r="I26" s="94"/>
      <c r="J26" s="276">
        <v>5208.96</v>
      </c>
      <c r="K26" s="276">
        <v>0</v>
      </c>
      <c r="L26" s="277">
        <f t="shared" si="13"/>
        <v>605596.63</v>
      </c>
      <c r="M26" s="278"/>
      <c r="N26" s="276">
        <v>5266.2</v>
      </c>
      <c r="O26" s="276">
        <v>0</v>
      </c>
      <c r="P26" s="277">
        <f t="shared" si="17"/>
        <v>605596.63</v>
      </c>
      <c r="Q26" s="273"/>
      <c r="R26" s="270">
        <v>5266.2</v>
      </c>
      <c r="S26" s="270"/>
      <c r="T26" s="271">
        <f t="shared" si="14"/>
        <v>605596.63</v>
      </c>
      <c r="U26" s="274"/>
      <c r="V26" s="270">
        <v>5208.96</v>
      </c>
      <c r="W26" s="270">
        <v>0</v>
      </c>
      <c r="X26" s="270">
        <f t="shared" si="18"/>
        <v>605596.63</v>
      </c>
      <c r="Y26" s="275">
        <f t="shared" si="15"/>
        <v>20950.32</v>
      </c>
      <c r="Z26" s="272">
        <f t="shared" si="15"/>
        <v>0</v>
      </c>
      <c r="AA26" s="271">
        <f t="shared" si="16"/>
        <v>605596.63</v>
      </c>
    </row>
    <row r="27" spans="2:27" ht="15" customHeight="1" hidden="1" outlineLevel="1">
      <c r="B27" s="227">
        <v>9019009</v>
      </c>
      <c r="C27" s="231"/>
      <c r="D27" s="210">
        <v>45626</v>
      </c>
      <c r="E27" s="240"/>
      <c r="F27" s="157">
        <v>624807.27</v>
      </c>
      <c r="G27" s="217">
        <v>0.0355</v>
      </c>
      <c r="H27" s="43"/>
      <c r="I27" s="94"/>
      <c r="J27" s="276">
        <v>5529.97</v>
      </c>
      <c r="K27" s="276">
        <v>0</v>
      </c>
      <c r="L27" s="277">
        <f t="shared" si="13"/>
        <v>624807.27</v>
      </c>
      <c r="M27" s="278"/>
      <c r="N27" s="276">
        <v>5590.74</v>
      </c>
      <c r="O27" s="276">
        <v>0</v>
      </c>
      <c r="P27" s="277">
        <f t="shared" si="17"/>
        <v>624807.27</v>
      </c>
      <c r="Q27" s="273"/>
      <c r="R27" s="270">
        <v>5590.74</v>
      </c>
      <c r="S27" s="270"/>
      <c r="T27" s="271">
        <f t="shared" si="14"/>
        <v>624807.27</v>
      </c>
      <c r="U27" s="274"/>
      <c r="V27" s="270">
        <v>5529.97</v>
      </c>
      <c r="W27" s="270">
        <v>0</v>
      </c>
      <c r="X27" s="270">
        <f t="shared" si="18"/>
        <v>624807.27</v>
      </c>
      <c r="Y27" s="275">
        <f t="shared" si="15"/>
        <v>22241.42</v>
      </c>
      <c r="Z27" s="272">
        <f t="shared" si="15"/>
        <v>0</v>
      </c>
      <c r="AA27" s="271">
        <f t="shared" si="16"/>
        <v>624807.27</v>
      </c>
    </row>
    <row r="28" spans="2:27" ht="15" customHeight="1" hidden="1" outlineLevel="1">
      <c r="B28" s="227">
        <v>9019010</v>
      </c>
      <c r="C28" s="231"/>
      <c r="D28" s="210">
        <v>45991</v>
      </c>
      <c r="E28" s="240"/>
      <c r="F28" s="157">
        <v>647507.16</v>
      </c>
      <c r="G28" s="217">
        <v>0.036</v>
      </c>
      <c r="H28" s="43"/>
      <c r="I28" s="94"/>
      <c r="J28" s="276">
        <v>5811.6</v>
      </c>
      <c r="K28" s="276">
        <v>0</v>
      </c>
      <c r="L28" s="277">
        <f t="shared" si="13"/>
        <v>647507.16</v>
      </c>
      <c r="M28" s="278"/>
      <c r="N28" s="276">
        <v>5875.46</v>
      </c>
      <c r="O28" s="276">
        <v>0</v>
      </c>
      <c r="P28" s="277">
        <f t="shared" si="17"/>
        <v>647507.16</v>
      </c>
      <c r="Q28" s="273"/>
      <c r="R28" s="270">
        <v>5875.46</v>
      </c>
      <c r="S28" s="270"/>
      <c r="T28" s="271">
        <f t="shared" si="14"/>
        <v>647507.16</v>
      </c>
      <c r="U28" s="274"/>
      <c r="V28" s="270">
        <v>5811.6</v>
      </c>
      <c r="W28" s="270">
        <v>0</v>
      </c>
      <c r="X28" s="270">
        <f t="shared" si="18"/>
        <v>647507.16</v>
      </c>
      <c r="Y28" s="275">
        <f t="shared" si="15"/>
        <v>23374.120000000003</v>
      </c>
      <c r="Z28" s="272">
        <f t="shared" si="15"/>
        <v>0</v>
      </c>
      <c r="AA28" s="271">
        <f t="shared" si="16"/>
        <v>647507.16</v>
      </c>
    </row>
    <row r="29" spans="2:27" ht="15" customHeight="1" hidden="1" outlineLevel="1">
      <c r="B29" s="227">
        <v>9019011</v>
      </c>
      <c r="C29" s="231"/>
      <c r="D29" s="210">
        <v>46356</v>
      </c>
      <c r="E29" s="240"/>
      <c r="F29" s="157">
        <v>670123.3</v>
      </c>
      <c r="G29" s="217">
        <v>0.0365</v>
      </c>
      <c r="H29" s="43"/>
      <c r="I29" s="94"/>
      <c r="J29" s="276">
        <v>6098.12</v>
      </c>
      <c r="K29" s="276">
        <v>0</v>
      </c>
      <c r="L29" s="277">
        <f t="shared" si="13"/>
        <v>670123.3</v>
      </c>
      <c r="M29" s="278"/>
      <c r="N29" s="276">
        <v>6165.13</v>
      </c>
      <c r="O29" s="276">
        <v>0</v>
      </c>
      <c r="P29" s="277">
        <f t="shared" si="17"/>
        <v>670123.3</v>
      </c>
      <c r="Q29" s="273"/>
      <c r="R29" s="270">
        <v>6165.13</v>
      </c>
      <c r="S29" s="270"/>
      <c r="T29" s="271">
        <f t="shared" si="14"/>
        <v>670123.3</v>
      </c>
      <c r="U29" s="274"/>
      <c r="V29" s="270">
        <v>6098.12</v>
      </c>
      <c r="W29" s="270">
        <v>0</v>
      </c>
      <c r="X29" s="270">
        <f t="shared" si="18"/>
        <v>670123.3</v>
      </c>
      <c r="Y29" s="275">
        <f t="shared" si="15"/>
        <v>24526.5</v>
      </c>
      <c r="Z29" s="272">
        <f t="shared" si="15"/>
        <v>0</v>
      </c>
      <c r="AA29" s="271">
        <f t="shared" si="16"/>
        <v>670123.3</v>
      </c>
    </row>
    <row r="30" spans="2:27" ht="15" customHeight="1" hidden="1" outlineLevel="1">
      <c r="B30" s="227">
        <v>9019012</v>
      </c>
      <c r="C30" s="231"/>
      <c r="D30" s="210">
        <v>46721</v>
      </c>
      <c r="E30" s="240"/>
      <c r="F30" s="157">
        <v>693852.08</v>
      </c>
      <c r="G30" s="217">
        <v>0.037</v>
      </c>
      <c r="H30" s="43"/>
      <c r="I30" s="94"/>
      <c r="J30" s="276">
        <v>6400.55</v>
      </c>
      <c r="K30" s="276">
        <v>0</v>
      </c>
      <c r="L30" s="277">
        <f t="shared" si="13"/>
        <v>693852.08</v>
      </c>
      <c r="M30" s="278"/>
      <c r="N30" s="276">
        <v>6470.88</v>
      </c>
      <c r="O30" s="276">
        <v>0</v>
      </c>
      <c r="P30" s="277">
        <f t="shared" si="17"/>
        <v>693852.08</v>
      </c>
      <c r="Q30" s="273"/>
      <c r="R30" s="270">
        <v>6470.88</v>
      </c>
      <c r="S30" s="270"/>
      <c r="T30" s="271">
        <f t="shared" si="14"/>
        <v>693852.08</v>
      </c>
      <c r="U30" s="274"/>
      <c r="V30" s="270">
        <v>6400.55</v>
      </c>
      <c r="W30" s="270">
        <v>0</v>
      </c>
      <c r="X30" s="270">
        <f t="shared" si="18"/>
        <v>693852.08</v>
      </c>
      <c r="Y30" s="275">
        <f t="shared" si="15"/>
        <v>25742.86</v>
      </c>
      <c r="Z30" s="272">
        <f t="shared" si="15"/>
        <v>0</v>
      </c>
      <c r="AA30" s="271">
        <f t="shared" si="16"/>
        <v>693852.08</v>
      </c>
    </row>
    <row r="31" spans="2:27" ht="15" customHeight="1" hidden="1" outlineLevel="1">
      <c r="B31" s="227">
        <v>9019013</v>
      </c>
      <c r="C31" s="231"/>
      <c r="D31" s="210">
        <v>47087</v>
      </c>
      <c r="E31" s="240"/>
      <c r="F31" s="157">
        <v>717856.35</v>
      </c>
      <c r="G31" s="217">
        <v>0.0375</v>
      </c>
      <c r="H31" s="43"/>
      <c r="I31" s="94"/>
      <c r="J31" s="276">
        <v>6711.47</v>
      </c>
      <c r="K31" s="276">
        <v>0</v>
      </c>
      <c r="L31" s="277">
        <f t="shared" si="13"/>
        <v>717856.35</v>
      </c>
      <c r="M31" s="278"/>
      <c r="N31" s="276">
        <v>6785.22</v>
      </c>
      <c r="O31" s="276">
        <v>0</v>
      </c>
      <c r="P31" s="277">
        <f t="shared" si="17"/>
        <v>717856.35</v>
      </c>
      <c r="Q31" s="273"/>
      <c r="R31" s="270">
        <v>6785.22</v>
      </c>
      <c r="S31" s="270"/>
      <c r="T31" s="271">
        <f t="shared" si="14"/>
        <v>717856.35</v>
      </c>
      <c r="U31" s="274"/>
      <c r="V31" s="270">
        <v>6711.47</v>
      </c>
      <c r="W31" s="270">
        <v>0</v>
      </c>
      <c r="X31" s="270">
        <f t="shared" si="18"/>
        <v>717856.35</v>
      </c>
      <c r="Y31" s="275">
        <f t="shared" si="15"/>
        <v>26993.38</v>
      </c>
      <c r="Z31" s="272">
        <f t="shared" si="15"/>
        <v>0</v>
      </c>
      <c r="AA31" s="271">
        <f t="shared" si="16"/>
        <v>717856.35</v>
      </c>
    </row>
    <row r="32" spans="2:27" ht="15" customHeight="1" hidden="1" outlineLevel="1">
      <c r="B32" s="227">
        <v>9019014</v>
      </c>
      <c r="C32" s="231"/>
      <c r="D32" s="210">
        <v>47452</v>
      </c>
      <c r="E32" s="240"/>
      <c r="F32" s="157">
        <v>738073.55</v>
      </c>
      <c r="G32" s="217">
        <v>0.038</v>
      </c>
      <c r="H32" s="43"/>
      <c r="I32" s="94"/>
      <c r="J32" s="276">
        <v>6992.49</v>
      </c>
      <c r="K32" s="276">
        <v>0</v>
      </c>
      <c r="L32" s="277">
        <f t="shared" si="13"/>
        <v>738073.55</v>
      </c>
      <c r="M32" s="278"/>
      <c r="N32" s="276">
        <v>7069.33</v>
      </c>
      <c r="O32" s="276">
        <v>0</v>
      </c>
      <c r="P32" s="277">
        <f t="shared" si="17"/>
        <v>738073.55</v>
      </c>
      <c r="Q32" s="273"/>
      <c r="R32" s="270">
        <v>7069.33</v>
      </c>
      <c r="S32" s="270"/>
      <c r="T32" s="271">
        <f t="shared" si="14"/>
        <v>738073.55</v>
      </c>
      <c r="U32" s="274"/>
      <c r="V32" s="270">
        <v>6992.49</v>
      </c>
      <c r="W32" s="270">
        <v>0</v>
      </c>
      <c r="X32" s="270">
        <f t="shared" si="18"/>
        <v>738073.55</v>
      </c>
      <c r="Y32" s="275">
        <f t="shared" si="15"/>
        <v>28123.64</v>
      </c>
      <c r="Z32" s="272">
        <f t="shared" si="15"/>
        <v>0</v>
      </c>
      <c r="AA32" s="271">
        <f t="shared" si="16"/>
        <v>738073.55</v>
      </c>
    </row>
    <row r="33" spans="2:27" ht="15" customHeight="1" hidden="1" outlineLevel="1">
      <c r="B33" s="227">
        <v>9019015</v>
      </c>
      <c r="C33" s="231"/>
      <c r="D33" s="210">
        <v>47817</v>
      </c>
      <c r="E33" s="240"/>
      <c r="F33" s="157">
        <v>665482.38</v>
      </c>
      <c r="G33" s="217">
        <v>0.0385</v>
      </c>
      <c r="H33" s="43"/>
      <c r="I33" s="94"/>
      <c r="J33" s="276">
        <v>6387.72</v>
      </c>
      <c r="K33" s="276">
        <v>0</v>
      </c>
      <c r="L33" s="277">
        <f t="shared" si="13"/>
        <v>665482.38</v>
      </c>
      <c r="M33" s="278"/>
      <c r="N33" s="276">
        <v>6457.91</v>
      </c>
      <c r="O33" s="276">
        <v>0</v>
      </c>
      <c r="P33" s="277">
        <f t="shared" si="17"/>
        <v>665482.38</v>
      </c>
      <c r="Q33" s="273"/>
      <c r="R33" s="270">
        <v>6457.91</v>
      </c>
      <c r="S33" s="270"/>
      <c r="T33" s="271">
        <f t="shared" si="14"/>
        <v>665482.38</v>
      </c>
      <c r="U33" s="274"/>
      <c r="V33" s="270">
        <v>6387.72</v>
      </c>
      <c r="W33" s="270">
        <v>0</v>
      </c>
      <c r="X33" s="270">
        <f t="shared" si="18"/>
        <v>665482.38</v>
      </c>
      <c r="Y33" s="275">
        <f t="shared" si="15"/>
        <v>25691.260000000002</v>
      </c>
      <c r="Z33" s="272">
        <f t="shared" si="15"/>
        <v>0</v>
      </c>
      <c r="AA33" s="271">
        <f t="shared" si="16"/>
        <v>665482.38</v>
      </c>
    </row>
    <row r="34" spans="2:27" ht="15" customHeight="1" hidden="1" outlineLevel="1">
      <c r="B34" s="227">
        <v>9019016</v>
      </c>
      <c r="C34" s="231"/>
      <c r="D34" s="210">
        <v>48182</v>
      </c>
      <c r="E34" s="240"/>
      <c r="F34" s="157">
        <v>690285.68</v>
      </c>
      <c r="G34" s="217">
        <v>0.039</v>
      </c>
      <c r="H34" s="43"/>
      <c r="I34" s="94"/>
      <c r="J34" s="276">
        <v>6711.85</v>
      </c>
      <c r="K34" s="276">
        <v>0</v>
      </c>
      <c r="L34" s="277">
        <f t="shared" si="13"/>
        <v>690285.68</v>
      </c>
      <c r="M34" s="278"/>
      <c r="N34" s="276">
        <v>6785.6</v>
      </c>
      <c r="O34" s="276">
        <v>0</v>
      </c>
      <c r="P34" s="277">
        <f t="shared" si="17"/>
        <v>690285.68</v>
      </c>
      <c r="Q34" s="273"/>
      <c r="R34" s="270">
        <v>6785.6</v>
      </c>
      <c r="S34" s="270"/>
      <c r="T34" s="271">
        <f t="shared" si="14"/>
        <v>690285.68</v>
      </c>
      <c r="U34" s="274"/>
      <c r="V34" s="270">
        <v>6711.85</v>
      </c>
      <c r="W34" s="270">
        <v>0</v>
      </c>
      <c r="X34" s="270">
        <f t="shared" si="18"/>
        <v>690285.68</v>
      </c>
      <c r="Y34" s="275">
        <f t="shared" si="15"/>
        <v>26994.9</v>
      </c>
      <c r="Z34" s="272">
        <f t="shared" si="15"/>
        <v>0</v>
      </c>
      <c r="AA34" s="271">
        <f t="shared" si="16"/>
        <v>690285.68</v>
      </c>
    </row>
    <row r="35" spans="2:27" ht="15" customHeight="1" hidden="1" outlineLevel="1">
      <c r="B35" s="227">
        <v>9019017</v>
      </c>
      <c r="C35" s="231"/>
      <c r="D35" s="210">
        <v>48548</v>
      </c>
      <c r="E35" s="240"/>
      <c r="F35" s="157">
        <v>715641.43</v>
      </c>
      <c r="G35" s="217">
        <v>0.039</v>
      </c>
      <c r="H35" s="43"/>
      <c r="I35" s="94"/>
      <c r="J35" s="276">
        <v>6958.39</v>
      </c>
      <c r="K35" s="276">
        <v>0</v>
      </c>
      <c r="L35" s="277">
        <f t="shared" si="13"/>
        <v>715641.43</v>
      </c>
      <c r="M35" s="278"/>
      <c r="N35" s="276">
        <v>7034.85</v>
      </c>
      <c r="O35" s="276">
        <v>0</v>
      </c>
      <c r="P35" s="277">
        <f t="shared" si="17"/>
        <v>715641.43</v>
      </c>
      <c r="Q35" s="273"/>
      <c r="R35" s="270">
        <v>7034.85</v>
      </c>
      <c r="S35" s="270"/>
      <c r="T35" s="271">
        <f t="shared" si="14"/>
        <v>715641.43</v>
      </c>
      <c r="U35" s="274"/>
      <c r="V35" s="270">
        <v>6958.39</v>
      </c>
      <c r="W35" s="270">
        <v>0</v>
      </c>
      <c r="X35" s="270">
        <f t="shared" si="18"/>
        <v>715641.43</v>
      </c>
      <c r="Y35" s="275">
        <f t="shared" si="15"/>
        <v>27986.480000000003</v>
      </c>
      <c r="Z35" s="272">
        <f t="shared" si="15"/>
        <v>0</v>
      </c>
      <c r="AA35" s="271">
        <f t="shared" si="16"/>
        <v>715641.43</v>
      </c>
    </row>
    <row r="36" spans="2:27" ht="15" customHeight="1" hidden="1" outlineLevel="1">
      <c r="B36" s="227">
        <v>9019018</v>
      </c>
      <c r="C36" s="231"/>
      <c r="D36" s="210">
        <v>48913</v>
      </c>
      <c r="E36" s="240"/>
      <c r="F36" s="157">
        <v>743272.23</v>
      </c>
      <c r="G36" s="217">
        <v>0.0395</v>
      </c>
      <c r="H36" s="43"/>
      <c r="I36" s="94"/>
      <c r="J36" s="276">
        <v>7319.7</v>
      </c>
      <c r="K36" s="276">
        <v>0</v>
      </c>
      <c r="L36" s="277">
        <f t="shared" si="13"/>
        <v>743272.23</v>
      </c>
      <c r="M36" s="278"/>
      <c r="N36" s="276">
        <v>7400.14</v>
      </c>
      <c r="O36" s="276">
        <v>0</v>
      </c>
      <c r="P36" s="277">
        <f t="shared" si="17"/>
        <v>743272.23</v>
      </c>
      <c r="Q36" s="273"/>
      <c r="R36" s="270">
        <v>7400.14</v>
      </c>
      <c r="S36" s="270"/>
      <c r="T36" s="271">
        <f t="shared" si="14"/>
        <v>743272.23</v>
      </c>
      <c r="U36" s="274"/>
      <c r="V36" s="270">
        <v>7319.7</v>
      </c>
      <c r="W36" s="270">
        <v>0</v>
      </c>
      <c r="X36" s="270">
        <f t="shared" si="18"/>
        <v>743272.23</v>
      </c>
      <c r="Y36" s="275">
        <f t="shared" si="15"/>
        <v>29439.68</v>
      </c>
      <c r="Z36" s="272">
        <f t="shared" si="15"/>
        <v>0</v>
      </c>
      <c r="AA36" s="271">
        <f t="shared" si="16"/>
        <v>743272.23</v>
      </c>
    </row>
    <row r="37" spans="2:27" ht="15" customHeight="1" hidden="1" outlineLevel="1">
      <c r="B37" s="227">
        <v>9019019</v>
      </c>
      <c r="C37" s="231"/>
      <c r="D37" s="210">
        <v>49278</v>
      </c>
      <c r="E37" s="240"/>
      <c r="F37" s="157">
        <v>771562.48</v>
      </c>
      <c r="G37" s="217">
        <v>0.0395</v>
      </c>
      <c r="H37" s="43"/>
      <c r="I37" s="94"/>
      <c r="J37" s="276">
        <v>7598.31</v>
      </c>
      <c r="K37" s="276">
        <v>0</v>
      </c>
      <c r="L37" s="277">
        <f t="shared" si="13"/>
        <v>771562.48</v>
      </c>
      <c r="M37" s="278"/>
      <c r="N37" s="276">
        <v>7681.8</v>
      </c>
      <c r="O37" s="276">
        <v>0</v>
      </c>
      <c r="P37" s="277">
        <f t="shared" si="17"/>
        <v>771562.48</v>
      </c>
      <c r="Q37" s="273"/>
      <c r="R37" s="270">
        <v>7681.8</v>
      </c>
      <c r="S37" s="270"/>
      <c r="T37" s="271">
        <f t="shared" si="14"/>
        <v>771562.48</v>
      </c>
      <c r="U37" s="274"/>
      <c r="V37" s="270">
        <v>7598.31</v>
      </c>
      <c r="W37" s="270">
        <v>0</v>
      </c>
      <c r="X37" s="270">
        <f t="shared" si="18"/>
        <v>771562.48</v>
      </c>
      <c r="Y37" s="275">
        <f t="shared" si="15"/>
        <v>30560.22</v>
      </c>
      <c r="Z37" s="272">
        <f t="shared" si="15"/>
        <v>0</v>
      </c>
      <c r="AA37" s="271">
        <f t="shared" si="16"/>
        <v>771562.48</v>
      </c>
    </row>
    <row r="38" spans="2:27" ht="15" customHeight="1" hidden="1" outlineLevel="1">
      <c r="B38" s="227">
        <v>9019020</v>
      </c>
      <c r="C38" s="231"/>
      <c r="D38" s="210">
        <v>49643</v>
      </c>
      <c r="E38" s="240"/>
      <c r="F38" s="157">
        <v>801063.06</v>
      </c>
      <c r="G38" s="217">
        <v>0.04</v>
      </c>
      <c r="H38" s="43"/>
      <c r="I38" s="94"/>
      <c r="J38" s="276">
        <v>7988.68</v>
      </c>
      <c r="K38" s="276">
        <v>0</v>
      </c>
      <c r="L38" s="277">
        <f t="shared" si="13"/>
        <v>801063.06</v>
      </c>
      <c r="M38" s="278"/>
      <c r="N38" s="276">
        <v>8076.47</v>
      </c>
      <c r="O38" s="276">
        <v>0</v>
      </c>
      <c r="P38" s="277">
        <f t="shared" si="17"/>
        <v>801063.06</v>
      </c>
      <c r="Q38" s="273"/>
      <c r="R38" s="270">
        <v>8076.47</v>
      </c>
      <c r="S38" s="270"/>
      <c r="T38" s="271">
        <f t="shared" si="14"/>
        <v>801063.06</v>
      </c>
      <c r="U38" s="274"/>
      <c r="V38" s="270">
        <v>7988.68</v>
      </c>
      <c r="W38" s="270">
        <v>0</v>
      </c>
      <c r="X38" s="270">
        <f t="shared" si="18"/>
        <v>801063.06</v>
      </c>
      <c r="Y38" s="275">
        <f t="shared" si="15"/>
        <v>32130.300000000003</v>
      </c>
      <c r="Z38" s="272">
        <f t="shared" si="15"/>
        <v>0</v>
      </c>
      <c r="AA38" s="271">
        <f t="shared" si="16"/>
        <v>801063.06</v>
      </c>
    </row>
    <row r="39" spans="2:27" ht="15" customHeight="1" hidden="1" outlineLevel="1">
      <c r="B39" s="227">
        <v>9019021</v>
      </c>
      <c r="C39" s="231"/>
      <c r="D39" s="210">
        <v>50009</v>
      </c>
      <c r="E39" s="240"/>
      <c r="F39" s="157">
        <v>831668.48</v>
      </c>
      <c r="G39" s="217">
        <v>0.04</v>
      </c>
      <c r="H39" s="43"/>
      <c r="I39" s="94"/>
      <c r="J39" s="276">
        <v>8293.9</v>
      </c>
      <c r="K39" s="276">
        <v>0</v>
      </c>
      <c r="L39" s="277">
        <f t="shared" si="13"/>
        <v>831668.48</v>
      </c>
      <c r="M39" s="278"/>
      <c r="N39" s="276">
        <v>8385.04</v>
      </c>
      <c r="O39" s="276">
        <v>0</v>
      </c>
      <c r="P39" s="277">
        <f t="shared" si="17"/>
        <v>831668.48</v>
      </c>
      <c r="Q39" s="273"/>
      <c r="R39" s="270">
        <v>8385.04</v>
      </c>
      <c r="S39" s="270"/>
      <c r="T39" s="271">
        <f t="shared" si="14"/>
        <v>831668.48</v>
      </c>
      <c r="U39" s="274"/>
      <c r="V39" s="270">
        <v>8293.9</v>
      </c>
      <c r="W39" s="270">
        <v>0</v>
      </c>
      <c r="X39" s="270">
        <f t="shared" si="18"/>
        <v>831668.48</v>
      </c>
      <c r="Y39" s="275">
        <f t="shared" si="15"/>
        <v>33357.880000000005</v>
      </c>
      <c r="Z39" s="272">
        <f t="shared" si="15"/>
        <v>0</v>
      </c>
      <c r="AA39" s="271">
        <f t="shared" si="16"/>
        <v>831668.48</v>
      </c>
    </row>
    <row r="40" spans="2:27" ht="15" customHeight="1" hidden="1" outlineLevel="1">
      <c r="B40" s="227">
        <v>9019022</v>
      </c>
      <c r="C40" s="231"/>
      <c r="D40" s="210">
        <v>50374</v>
      </c>
      <c r="E40" s="240"/>
      <c r="F40" s="157">
        <v>863941.13</v>
      </c>
      <c r="G40" s="217">
        <v>0.04</v>
      </c>
      <c r="H40" s="43"/>
      <c r="I40" s="94"/>
      <c r="J40" s="276">
        <v>8615.74</v>
      </c>
      <c r="K40" s="276">
        <v>0</v>
      </c>
      <c r="L40" s="277">
        <f t="shared" si="13"/>
        <v>863941.13</v>
      </c>
      <c r="M40" s="278"/>
      <c r="N40" s="276">
        <v>8710.42</v>
      </c>
      <c r="O40" s="276">
        <v>0</v>
      </c>
      <c r="P40" s="277">
        <f t="shared" si="17"/>
        <v>863941.13</v>
      </c>
      <c r="Q40" s="273"/>
      <c r="R40" s="270">
        <v>8710.42</v>
      </c>
      <c r="S40" s="270"/>
      <c r="T40" s="271">
        <f t="shared" si="14"/>
        <v>863941.13</v>
      </c>
      <c r="U40" s="274"/>
      <c r="V40" s="270">
        <v>8615.74</v>
      </c>
      <c r="W40" s="270">
        <v>0</v>
      </c>
      <c r="X40" s="270">
        <f t="shared" si="18"/>
        <v>863941.13</v>
      </c>
      <c r="Y40" s="275">
        <f t="shared" si="15"/>
        <v>34652.32</v>
      </c>
      <c r="Z40" s="272">
        <f t="shared" si="15"/>
        <v>0</v>
      </c>
      <c r="AA40" s="271">
        <f t="shared" si="16"/>
        <v>863941.13</v>
      </c>
    </row>
    <row r="41" spans="2:27" ht="15" customHeight="1" hidden="1" outlineLevel="1">
      <c r="B41" s="227">
        <v>9019023</v>
      </c>
      <c r="C41" s="231"/>
      <c r="D41" s="210">
        <v>50739</v>
      </c>
      <c r="E41" s="240"/>
      <c r="F41" s="157">
        <v>897191.42</v>
      </c>
      <c r="G41" s="217">
        <v>0.04</v>
      </c>
      <c r="H41" s="43"/>
      <c r="I41" s="94"/>
      <c r="J41" s="276">
        <v>8947.33</v>
      </c>
      <c r="K41" s="276">
        <v>0</v>
      </c>
      <c r="L41" s="277">
        <f t="shared" si="13"/>
        <v>897191.42</v>
      </c>
      <c r="M41" s="278"/>
      <c r="N41" s="276">
        <v>9045.66</v>
      </c>
      <c r="O41" s="276">
        <v>0</v>
      </c>
      <c r="P41" s="277">
        <f t="shared" si="17"/>
        <v>897191.42</v>
      </c>
      <c r="Q41" s="273"/>
      <c r="R41" s="270">
        <v>9045.66</v>
      </c>
      <c r="S41" s="270"/>
      <c r="T41" s="271">
        <f t="shared" si="14"/>
        <v>897191.42</v>
      </c>
      <c r="U41" s="274"/>
      <c r="V41" s="270">
        <v>8947.33</v>
      </c>
      <c r="W41" s="270">
        <v>0</v>
      </c>
      <c r="X41" s="270">
        <f t="shared" si="18"/>
        <v>897191.42</v>
      </c>
      <c r="Y41" s="275">
        <f t="shared" si="15"/>
        <v>35985.979999999996</v>
      </c>
      <c r="Z41" s="272">
        <f t="shared" si="15"/>
        <v>0</v>
      </c>
      <c r="AA41" s="271">
        <f t="shared" si="16"/>
        <v>897191.42</v>
      </c>
    </row>
    <row r="42" spans="2:27" ht="15" customHeight="1" hidden="1" outlineLevel="1">
      <c r="B42" s="227">
        <v>9019024</v>
      </c>
      <c r="C42" s="231"/>
      <c r="D42" s="210">
        <v>51104</v>
      </c>
      <c r="E42" s="240"/>
      <c r="F42" s="157">
        <v>468387</v>
      </c>
      <c r="G42" s="217">
        <v>0.04</v>
      </c>
      <c r="H42" s="43"/>
      <c r="I42" s="94"/>
      <c r="J42" s="276">
        <v>4671.04</v>
      </c>
      <c r="K42" s="276">
        <v>0</v>
      </c>
      <c r="L42" s="277">
        <f t="shared" si="13"/>
        <v>468387</v>
      </c>
      <c r="M42" s="278"/>
      <c r="N42" s="276">
        <v>4722.37</v>
      </c>
      <c r="O42" s="276">
        <v>0</v>
      </c>
      <c r="P42" s="277">
        <f t="shared" si="17"/>
        <v>468387</v>
      </c>
      <c r="Q42" s="273"/>
      <c r="R42" s="270">
        <v>4722.37</v>
      </c>
      <c r="S42" s="270"/>
      <c r="T42" s="271">
        <f t="shared" si="14"/>
        <v>468387</v>
      </c>
      <c r="U42" s="274"/>
      <c r="V42" s="270">
        <v>4671.04</v>
      </c>
      <c r="W42" s="270">
        <v>0</v>
      </c>
      <c r="X42" s="270">
        <f t="shared" si="18"/>
        <v>468387</v>
      </c>
      <c r="Y42" s="280">
        <f t="shared" si="15"/>
        <v>18786.82</v>
      </c>
      <c r="Z42" s="281">
        <f t="shared" si="15"/>
        <v>0</v>
      </c>
      <c r="AA42" s="282">
        <f t="shared" si="16"/>
        <v>468387</v>
      </c>
    </row>
    <row r="43" spans="1:27" ht="15" collapsed="1">
      <c r="A43" s="211" t="s">
        <v>105</v>
      </c>
      <c r="B43" s="227">
        <v>9019</v>
      </c>
      <c r="C43" s="231">
        <v>42538</v>
      </c>
      <c r="D43" s="232">
        <v>51644</v>
      </c>
      <c r="E43" s="234"/>
      <c r="F43" s="421">
        <f>SUM(F23:F42)</f>
        <v>13849912.570000002</v>
      </c>
      <c r="G43" s="217"/>
      <c r="H43" s="43"/>
      <c r="I43" s="94"/>
      <c r="J43" s="283">
        <f>SUM(J22:J42)</f>
        <v>130272.36</v>
      </c>
      <c r="K43" s="283">
        <f>SUM(K23:K42)</f>
        <v>135706.47</v>
      </c>
      <c r="L43" s="284">
        <f>SUM(L23:L42)</f>
        <v>13714206.100000001</v>
      </c>
      <c r="M43" s="279"/>
      <c r="N43" s="283">
        <f>SUM(N23:N42)</f>
        <v>130580.96</v>
      </c>
      <c r="O43" s="283">
        <f>SUM(O23:O42)</f>
        <v>136792.13</v>
      </c>
      <c r="P43" s="284">
        <f>SUM(P23:P42)</f>
        <v>13577413.97</v>
      </c>
      <c r="Q43" s="272"/>
      <c r="R43" s="229">
        <f>SUM(R23:R42)</f>
        <v>129486.63000000002</v>
      </c>
      <c r="S43" s="229">
        <f>SUM(S23:S42)</f>
        <v>137886.46</v>
      </c>
      <c r="T43" s="285">
        <f>SUM(T23:T42)</f>
        <v>13439527.510000002</v>
      </c>
      <c r="U43" s="272"/>
      <c r="V43" s="229">
        <f aca="true" t="shared" si="19" ref="V43:AA43">SUM(V23:V42)</f>
        <v>126987.81999999999</v>
      </c>
      <c r="W43" s="229">
        <f t="shared" si="19"/>
        <v>139001.87</v>
      </c>
      <c r="X43" s="230">
        <f t="shared" si="19"/>
        <v>13300525.64</v>
      </c>
      <c r="Y43" s="229">
        <f>SUM(Y22:Y42)</f>
        <v>517327.7700000001</v>
      </c>
      <c r="Z43" s="229">
        <f t="shared" si="19"/>
        <v>549386.9299999999</v>
      </c>
      <c r="AA43" s="230">
        <f t="shared" si="19"/>
        <v>13300525.64</v>
      </c>
    </row>
    <row r="44" spans="2:27" ht="15">
      <c r="B44" s="34"/>
      <c r="C44" s="34"/>
      <c r="D44" s="34"/>
      <c r="E44" s="34"/>
      <c r="F44" s="208"/>
      <c r="G44" s="35"/>
      <c r="H44" s="43"/>
      <c r="I44" s="228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22"/>
      <c r="Z44" s="22"/>
      <c r="AA44" s="22"/>
    </row>
    <row r="45" spans="1:27" ht="18">
      <c r="A45" s="211"/>
      <c r="B45" s="34"/>
      <c r="C45" s="34"/>
      <c r="D45" s="34"/>
      <c r="E45" s="140" t="s">
        <v>128</v>
      </c>
      <c r="F45" s="141">
        <f>SUM(F6:F11)+F21+F43</f>
        <v>16979051.1</v>
      </c>
      <c r="G45" s="22"/>
      <c r="H45" s="35"/>
      <c r="I45" s="35"/>
      <c r="J45" s="242">
        <f>J12+J21+J43</f>
        <v>173061.61</v>
      </c>
      <c r="K45" s="242">
        <f>K12+K21+K43</f>
        <v>232205.99</v>
      </c>
      <c r="L45" s="243">
        <f>L12+L21+L43</f>
        <v>16746845.110000001</v>
      </c>
      <c r="M45" s="242"/>
      <c r="N45" s="242">
        <f>N12+N21+N43</f>
        <v>172295.94</v>
      </c>
      <c r="O45" s="242">
        <f>O12+O21+O43</f>
        <v>234558.3</v>
      </c>
      <c r="P45" s="243">
        <f>P12+P21+P43</f>
        <v>16512286.81</v>
      </c>
      <c r="Q45" s="242"/>
      <c r="R45" s="242">
        <f>R12+R21+R43</f>
        <v>169993.60000000003</v>
      </c>
      <c r="S45" s="242">
        <f>S12+S21+S43</f>
        <v>236936.63</v>
      </c>
      <c r="T45" s="243">
        <f>T12+T21+T43</f>
        <v>16275350.180000002</v>
      </c>
      <c r="U45" s="242"/>
      <c r="V45" s="242">
        <f aca="true" t="shared" si="20" ref="V45:AA45">V12+V21+V43</f>
        <v>166136.97</v>
      </c>
      <c r="W45" s="242">
        <f t="shared" si="20"/>
        <v>239729.09</v>
      </c>
      <c r="X45" s="243">
        <f t="shared" si="20"/>
        <v>16035621.09</v>
      </c>
      <c r="Y45" s="33">
        <f t="shared" si="20"/>
        <v>681488.1200000001</v>
      </c>
      <c r="Z45" s="33">
        <f t="shared" si="20"/>
        <v>943430.0099999999</v>
      </c>
      <c r="AA45" s="141">
        <f t="shared" si="20"/>
        <v>16035621.09</v>
      </c>
    </row>
    <row r="46" spans="8:25" ht="15">
      <c r="H46" s="22"/>
      <c r="I46" s="22"/>
      <c r="L46" s="109"/>
      <c r="P46" s="189"/>
      <c r="Q46" s="44"/>
      <c r="T46" s="189"/>
      <c r="U46" s="44"/>
      <c r="V46" s="22"/>
      <c r="X46" s="44"/>
      <c r="Y46" s="80"/>
    </row>
    <row r="47" spans="11:24" ht="15">
      <c r="K47" s="166"/>
      <c r="L47" s="109"/>
      <c r="M47" s="110"/>
      <c r="O47" s="166"/>
      <c r="P47" s="111"/>
      <c r="Q47" s="111"/>
      <c r="S47" s="110"/>
      <c r="T47" s="189"/>
      <c r="U47" s="111"/>
      <c r="W47" s="110"/>
      <c r="X47" s="118"/>
    </row>
    <row r="48" spans="4:31" ht="17.25" customHeight="1">
      <c r="D48" s="116"/>
      <c r="K48" s="166"/>
      <c r="L48" s="109"/>
      <c r="M48" s="110"/>
      <c r="O48" s="110"/>
      <c r="P48" s="111"/>
      <c r="Q48" s="111"/>
      <c r="S48" s="110"/>
      <c r="T48" s="189"/>
      <c r="U48" s="111"/>
      <c r="W48" s="110"/>
      <c r="X48" s="118"/>
      <c r="AC48" s="419"/>
      <c r="AD48" s="419" t="s">
        <v>241</v>
      </c>
      <c r="AE48" s="419"/>
    </row>
    <row r="49" spans="4:31" ht="15.75" thickBot="1">
      <c r="D49" s="116"/>
      <c r="T49" s="109"/>
      <c r="U49" s="109"/>
      <c r="W49" s="79"/>
      <c r="X49" s="110"/>
      <c r="AC49" s="236"/>
      <c r="AD49" s="419"/>
      <c r="AE49" s="419"/>
    </row>
    <row r="50" spans="4:31" ht="15">
      <c r="D50" s="361"/>
      <c r="F50" s="361" t="s">
        <v>123</v>
      </c>
      <c r="I50" s="127"/>
      <c r="J50" s="128" t="s">
        <v>124</v>
      </c>
      <c r="K50" s="128" t="s">
        <v>125</v>
      </c>
      <c r="L50" s="128"/>
      <c r="M50" s="128"/>
      <c r="N50" s="128" t="s">
        <v>124</v>
      </c>
      <c r="O50" s="128" t="s">
        <v>125</v>
      </c>
      <c r="P50" s="128"/>
      <c r="Q50" s="128"/>
      <c r="R50" s="128" t="s">
        <v>124</v>
      </c>
      <c r="S50" s="128" t="s">
        <v>125</v>
      </c>
      <c r="T50" s="128"/>
      <c r="U50" s="128"/>
      <c r="V50" s="128" t="s">
        <v>124</v>
      </c>
      <c r="W50" s="129" t="s">
        <v>125</v>
      </c>
      <c r="X50" s="219"/>
      <c r="Y50" s="218"/>
      <c r="Z50" s="128" t="s">
        <v>124</v>
      </c>
      <c r="AA50" s="129" t="s">
        <v>125</v>
      </c>
      <c r="AC50" s="419"/>
      <c r="AD50" s="419"/>
      <c r="AE50" s="436" t="s">
        <v>227</v>
      </c>
    </row>
    <row r="51" spans="5:31" ht="15">
      <c r="E51" s="371"/>
      <c r="I51" s="130" t="s">
        <v>211</v>
      </c>
      <c r="J51" s="170">
        <v>59792</v>
      </c>
      <c r="K51" s="171">
        <f>J51</f>
        <v>59792</v>
      </c>
      <c r="L51" s="365"/>
      <c r="M51" s="366" t="s">
        <v>38</v>
      </c>
      <c r="N51" s="170">
        <f>J53+F52</f>
        <v>170049.61</v>
      </c>
      <c r="O51" s="171">
        <f>F52</f>
        <v>56780</v>
      </c>
      <c r="P51" s="365"/>
      <c r="Q51" s="366" t="s">
        <v>120</v>
      </c>
      <c r="R51" s="170">
        <f>N53+F52</f>
        <v>342345.55</v>
      </c>
      <c r="S51" s="171">
        <f>F52</f>
        <v>56780</v>
      </c>
      <c r="T51" s="365"/>
      <c r="U51" s="366" t="s">
        <v>122</v>
      </c>
      <c r="V51" s="170">
        <f>R53+F52</f>
        <v>512339.15</v>
      </c>
      <c r="W51" s="174">
        <f>S51</f>
        <v>56780</v>
      </c>
      <c r="X51" s="221"/>
      <c r="Y51" s="222" t="s">
        <v>47</v>
      </c>
      <c r="Z51" s="363">
        <f>V53+F52</f>
        <v>678476.12</v>
      </c>
      <c r="AA51" s="174">
        <f>F52</f>
        <v>56780</v>
      </c>
      <c r="AC51" s="431" t="s">
        <v>242</v>
      </c>
      <c r="AD51" s="236">
        <f>+AA45</f>
        <v>16035621.09</v>
      </c>
      <c r="AE51" s="431" t="s">
        <v>229</v>
      </c>
    </row>
    <row r="52" spans="5:31" ht="15">
      <c r="E52" s="371" t="s">
        <v>127</v>
      </c>
      <c r="F52" s="372">
        <v>56780</v>
      </c>
      <c r="I52" s="131" t="s">
        <v>33</v>
      </c>
      <c r="J52" s="374">
        <f>F52</f>
        <v>56780</v>
      </c>
      <c r="K52" s="179">
        <f>F52+K51</f>
        <v>116572</v>
      </c>
      <c r="L52" s="365"/>
      <c r="M52" s="180" t="s">
        <v>39</v>
      </c>
      <c r="N52" s="374">
        <f>N51+F52</f>
        <v>226829.61</v>
      </c>
      <c r="O52" s="179">
        <f>F52*2</f>
        <v>113560</v>
      </c>
      <c r="P52" s="365"/>
      <c r="Q52" s="180" t="s">
        <v>121</v>
      </c>
      <c r="R52" s="374">
        <f>R51+F52</f>
        <v>399125.55</v>
      </c>
      <c r="S52" s="179">
        <f>F52*2</f>
        <v>113560</v>
      </c>
      <c r="T52" s="365"/>
      <c r="U52" s="180" t="s">
        <v>45</v>
      </c>
      <c r="V52" s="374">
        <f>V51+F52</f>
        <v>569119.15</v>
      </c>
      <c r="W52" s="181">
        <f>S52</f>
        <v>113560</v>
      </c>
      <c r="X52" s="221"/>
      <c r="Y52" s="223"/>
      <c r="Z52" s="223"/>
      <c r="AA52" s="224"/>
      <c r="AC52" s="433" t="s">
        <v>231</v>
      </c>
      <c r="AD52" s="438">
        <v>1050111.99</v>
      </c>
      <c r="AE52" s="435" t="s">
        <v>232</v>
      </c>
    </row>
    <row r="53" spans="5:31" ht="15.75" thickBot="1">
      <c r="E53" s="371"/>
      <c r="F53" s="372"/>
      <c r="I53" s="132" t="s">
        <v>37</v>
      </c>
      <c r="J53" s="379">
        <f>J45-J51</f>
        <v>113269.60999999999</v>
      </c>
      <c r="K53" s="182">
        <v>0</v>
      </c>
      <c r="L53" s="183"/>
      <c r="M53" s="183" t="s">
        <v>40</v>
      </c>
      <c r="N53" s="379">
        <f>J53+N45</f>
        <v>285565.55</v>
      </c>
      <c r="O53" s="182">
        <v>0</v>
      </c>
      <c r="P53" s="183"/>
      <c r="Q53" s="183" t="s">
        <v>43</v>
      </c>
      <c r="R53" s="379">
        <f>N53+R45</f>
        <v>455559.15</v>
      </c>
      <c r="S53" s="182">
        <v>0</v>
      </c>
      <c r="T53" s="183"/>
      <c r="U53" s="184" t="s">
        <v>46</v>
      </c>
      <c r="V53" s="185">
        <f>R53+V45</f>
        <v>621696.12</v>
      </c>
      <c r="W53" s="186">
        <v>0</v>
      </c>
      <c r="X53" s="220"/>
      <c r="Y53" s="225"/>
      <c r="Z53" s="225"/>
      <c r="AA53" s="226"/>
      <c r="AC53" s="431"/>
      <c r="AD53" s="236">
        <f>AD51-AD52</f>
        <v>14985509.1</v>
      </c>
      <c r="AE53" s="419"/>
    </row>
    <row r="54" spans="10:31" ht="15"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V54" s="236"/>
      <c r="AC54" s="431"/>
      <c r="AD54" s="419"/>
      <c r="AE54" s="419"/>
    </row>
    <row r="55" spans="9:31" ht="15">
      <c r="I55" s="123"/>
      <c r="J55" s="157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W55" s="79"/>
      <c r="AC55" s="431"/>
      <c r="AD55" s="419"/>
      <c r="AE55" s="419"/>
    </row>
    <row r="56" spans="9:31" ht="15">
      <c r="I56" s="111"/>
      <c r="J56" s="158"/>
      <c r="K56" s="257">
        <f>J45+K45</f>
        <v>405267.6</v>
      </c>
      <c r="L56" s="156"/>
      <c r="M56" s="156"/>
      <c r="N56" s="156"/>
      <c r="O56" s="257">
        <f>K56+N45+O45</f>
        <v>812121.8400000001</v>
      </c>
      <c r="P56" s="156"/>
      <c r="Q56" s="156"/>
      <c r="R56" s="156"/>
      <c r="S56" s="257">
        <f>O56+R45+S45</f>
        <v>1219052.0700000003</v>
      </c>
      <c r="T56" s="156"/>
      <c r="W56" s="257">
        <f>S56+V45+W45</f>
        <v>1624918.1300000004</v>
      </c>
      <c r="AC56" s="431" t="s">
        <v>237</v>
      </c>
      <c r="AD56" s="236">
        <f>+Y45</f>
        <v>681488.1200000001</v>
      </c>
      <c r="AE56" s="419"/>
    </row>
    <row r="57" spans="23:31" ht="15">
      <c r="W57" s="79"/>
      <c r="Z57" s="80"/>
      <c r="AC57" s="433" t="s">
        <v>238</v>
      </c>
      <c r="AD57" s="438">
        <f>+Z45</f>
        <v>943430.0099999999</v>
      </c>
      <c r="AE57" s="431" t="s">
        <v>236</v>
      </c>
    </row>
    <row r="58" spans="23:31" ht="15">
      <c r="W58" s="79"/>
      <c r="AC58" s="419"/>
      <c r="AD58" s="236">
        <f>AD56+AD57</f>
        <v>1624918.13</v>
      </c>
      <c r="AE58" s="419"/>
    </row>
    <row r="59" ht="15">
      <c r="W59" s="79"/>
    </row>
    <row r="60" ht="15">
      <c r="W60" s="79"/>
    </row>
    <row r="61" ht="15">
      <c r="W61" s="79"/>
    </row>
    <row r="62" ht="15">
      <c r="W62" s="79"/>
    </row>
    <row r="63" ht="15">
      <c r="W63" s="79"/>
    </row>
  </sheetData>
  <sheetProtection/>
  <mergeCells count="2">
    <mergeCell ref="J3:L3"/>
    <mergeCell ref="N3:P3"/>
  </mergeCells>
  <printOptions/>
  <pageMargins left="0.25" right="0.5" top="1" bottom="0.25" header="0" footer="0"/>
  <pageSetup fitToWidth="0" horizontalDpi="600" verticalDpi="600" orientation="landscape" scale="85" r:id="rId3"/>
  <colBreaks count="4" manualBreakCount="4">
    <brk id="12" max="46" man="1"/>
    <brk id="16" max="46" man="1"/>
    <brk id="20" max="46" man="1"/>
    <brk id="24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J7"/>
  <sheetViews>
    <sheetView zoomScalePageLayoutView="0" workbookViewId="0" topLeftCell="A1">
      <selection activeCell="G6" sqref="G6"/>
    </sheetView>
  </sheetViews>
  <sheetFormatPr defaultColWidth="8.88671875" defaultRowHeight="15"/>
  <cols>
    <col min="1" max="1" width="8.88671875" style="529" customWidth="1"/>
    <col min="2" max="2" width="12.3359375" style="529" bestFit="1" customWidth="1"/>
    <col min="3" max="3" width="13.10546875" style="529" bestFit="1" customWidth="1"/>
    <col min="4" max="4" width="8.88671875" style="529" customWidth="1"/>
    <col min="5" max="5" width="13.10546875" style="529" bestFit="1" customWidth="1"/>
    <col min="6" max="6" width="8.88671875" style="529" customWidth="1"/>
    <col min="7" max="7" width="13.99609375" style="529" bestFit="1" customWidth="1"/>
    <col min="8" max="8" width="8.88671875" style="529" customWidth="1"/>
    <col min="9" max="9" width="22.77734375" style="529" bestFit="1" customWidth="1"/>
    <col min="10" max="10" width="8.88671875" style="530" customWidth="1"/>
    <col min="11" max="16384" width="8.88671875" style="529" customWidth="1"/>
  </cols>
  <sheetData>
    <row r="2" spans="3:7" ht="14.25">
      <c r="C2" s="529" t="s">
        <v>299</v>
      </c>
      <c r="E2" s="529" t="s">
        <v>301</v>
      </c>
      <c r="G2" s="529" t="s">
        <v>307</v>
      </c>
    </row>
    <row r="3" spans="2:5" ht="14.25">
      <c r="B3" s="529" t="s">
        <v>292</v>
      </c>
      <c r="C3" s="536">
        <f>'RUS Payts'!AV9</f>
        <v>30217.441131550855</v>
      </c>
      <c r="E3" s="536">
        <f>'RUS Payts'!CI12</f>
        <v>203415.417200775</v>
      </c>
    </row>
    <row r="4" spans="2:9" ht="14.25">
      <c r="B4" s="529" t="s">
        <v>81</v>
      </c>
      <c r="C4" s="531">
        <f>'FFB Payts'!BM45</f>
        <v>1503529.9931215972</v>
      </c>
      <c r="E4" s="531">
        <f>'FFB Payts'!AV35</f>
        <v>1610768.4922418818</v>
      </c>
      <c r="I4" s="529" t="s">
        <v>298</v>
      </c>
    </row>
    <row r="5" spans="2:10" ht="14.25">
      <c r="B5" s="529" t="s">
        <v>293</v>
      </c>
      <c r="C5" s="531">
        <f>'CFC Payts'!AD50+J7</f>
        <v>600880.4299999999</v>
      </c>
      <c r="E5" s="531">
        <f>'CFC Payts'!AU43</f>
        <v>567394.1976229452</v>
      </c>
      <c r="I5" s="532" t="s">
        <v>294</v>
      </c>
      <c r="J5" s="530">
        <f>103613-50202</f>
        <v>53411</v>
      </c>
    </row>
    <row r="6" spans="2:10" ht="15" thickBot="1">
      <c r="B6" s="532" t="s">
        <v>300</v>
      </c>
      <c r="C6" s="537">
        <f>SUM(C3:C5)</f>
        <v>2134627.864253148</v>
      </c>
      <c r="E6" s="537">
        <f>SUM(E3:E5)</f>
        <v>2381578.1070656017</v>
      </c>
      <c r="G6" s="533">
        <f>E6-C6</f>
        <v>246950.24281245377</v>
      </c>
      <c r="I6" s="532" t="s">
        <v>295</v>
      </c>
      <c r="J6" s="530">
        <v>50202</v>
      </c>
    </row>
    <row r="7" spans="2:10" ht="15" thickBot="1" thickTop="1">
      <c r="B7" s="529" t="s">
        <v>297</v>
      </c>
      <c r="C7" s="530">
        <f>ROUND(2134628-C6,0)</f>
        <v>0</v>
      </c>
      <c r="I7" s="534" t="s">
        <v>296</v>
      </c>
      <c r="J7" s="535">
        <f>J6-J5</f>
        <v>-3209</v>
      </c>
    </row>
    <row r="8" ht="15" thickTop="1"/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S14" sqref="S14"/>
    </sheetView>
  </sheetViews>
  <sheetFormatPr defaultColWidth="8.88671875" defaultRowHeight="15"/>
  <cols>
    <col min="1" max="1" width="5.77734375" style="554" bestFit="1" customWidth="1"/>
    <col min="2" max="2" width="12.99609375" style="554" bestFit="1" customWidth="1"/>
    <col min="3" max="16384" width="8.88671875" style="554" customWidth="1"/>
  </cols>
  <sheetData>
    <row r="1" ht="12.75">
      <c r="A1" s="560" t="s">
        <v>333</v>
      </c>
    </row>
    <row r="2" ht="12.75">
      <c r="A2" s="560" t="s">
        <v>334</v>
      </c>
    </row>
    <row r="5" ht="12.75">
      <c r="A5" s="560" t="s">
        <v>335</v>
      </c>
    </row>
    <row r="7" spans="1:2" ht="12">
      <c r="A7" s="561" t="s">
        <v>331</v>
      </c>
      <c r="B7" s="562" t="s">
        <v>332</v>
      </c>
    </row>
    <row r="8" spans="1:2" ht="12">
      <c r="A8" s="554" t="s">
        <v>292</v>
      </c>
      <c r="B8" s="555">
        <f>SUM('RUS Payts'!CI6:CI8)</f>
        <v>27369.82815967911</v>
      </c>
    </row>
    <row r="9" spans="1:2" ht="12">
      <c r="A9" s="554" t="s">
        <v>81</v>
      </c>
      <c r="B9" s="559">
        <f>'FFB Payts'!AV35</f>
        <v>1610768.4922418818</v>
      </c>
    </row>
    <row r="10" spans="1:2" ht="12">
      <c r="A10" s="554" t="s">
        <v>293</v>
      </c>
      <c r="B10" s="559">
        <f>'CFC Payts'!AU43</f>
        <v>567394.1976229452</v>
      </c>
    </row>
    <row r="11" spans="1:3" ht="13.5" thickBot="1">
      <c r="A11" s="554" t="s">
        <v>300</v>
      </c>
      <c r="B11" s="557">
        <f>SUM(B8:B10)</f>
        <v>2205532.518024506</v>
      </c>
      <c r="C11" s="553"/>
    </row>
    <row r="12" ht="12.75" thickTop="1"/>
    <row r="13" ht="12.75">
      <c r="A13" s="560" t="s">
        <v>336</v>
      </c>
    </row>
    <row r="15" spans="1:2" ht="12">
      <c r="A15" s="561" t="s">
        <v>331</v>
      </c>
      <c r="B15" s="562" t="s">
        <v>332</v>
      </c>
    </row>
    <row r="16" spans="1:2" ht="12">
      <c r="A16" s="554" t="s">
        <v>292</v>
      </c>
      <c r="B16" s="555">
        <f>'RUS Payts'!CI12</f>
        <v>203415.417200775</v>
      </c>
    </row>
    <row r="17" spans="1:2" ht="12">
      <c r="A17" s="554" t="s">
        <v>81</v>
      </c>
      <c r="B17" s="559">
        <f>B9</f>
        <v>1610768.4922418818</v>
      </c>
    </row>
    <row r="18" spans="1:2" ht="12">
      <c r="A18" s="554" t="s">
        <v>293</v>
      </c>
      <c r="B18" s="559">
        <f>B10</f>
        <v>567394.1976229452</v>
      </c>
    </row>
    <row r="19" spans="1:10" ht="12.75" thickBot="1">
      <c r="A19" s="554" t="s">
        <v>300</v>
      </c>
      <c r="B19" s="557">
        <f>SUM(B16:B18)</f>
        <v>2381578.1070656017</v>
      </c>
      <c r="F19" s="556"/>
      <c r="J19" s="558"/>
    </row>
    <row r="20" ht="12.75" thickTop="1">
      <c r="J20" s="559"/>
    </row>
    <row r="21" ht="12">
      <c r="J21" s="559"/>
    </row>
    <row r="22" ht="12">
      <c r="J22" s="55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zoomScale="80" zoomScaleNormal="80" workbookViewId="0" topLeftCell="A1">
      <pane xSplit="8" ySplit="4" topLeftCell="AU5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H6" sqref="H6"/>
    </sheetView>
  </sheetViews>
  <sheetFormatPr defaultColWidth="9.6640625" defaultRowHeight="15"/>
  <cols>
    <col min="1" max="1" width="9.3359375" style="1" customWidth="1"/>
    <col min="2" max="2" width="8.4453125" style="1" bestFit="1" customWidth="1"/>
    <col min="3" max="3" width="8.99609375" style="1" customWidth="1"/>
    <col min="4" max="4" width="8.5546875" style="1" customWidth="1"/>
    <col min="5" max="5" width="12.4453125" style="1" customWidth="1"/>
    <col min="6" max="6" width="8.99609375" style="1" bestFit="1" customWidth="1"/>
    <col min="7" max="7" width="12.99609375" style="1" customWidth="1"/>
    <col min="8" max="8" width="1.77734375" style="1" customWidth="1"/>
    <col min="9" max="9" width="10.77734375" style="1" hidden="1" customWidth="1"/>
    <col min="10" max="10" width="12.21484375" style="1" hidden="1" customWidth="1"/>
    <col min="11" max="11" width="12.4453125" style="1" hidden="1" customWidth="1"/>
    <col min="12" max="12" width="10.77734375" style="1" hidden="1" customWidth="1"/>
    <col min="13" max="13" width="12.77734375" style="1" hidden="1" customWidth="1"/>
    <col min="14" max="14" width="11.3359375" style="1" hidden="1" customWidth="1"/>
    <col min="15" max="16" width="10.77734375" style="1" hidden="1" customWidth="1"/>
    <col min="17" max="17" width="11.3359375" style="1" hidden="1" customWidth="1"/>
    <col min="18" max="18" width="10.77734375" style="6" hidden="1" customWidth="1"/>
    <col min="19" max="19" width="10.77734375" style="1" hidden="1" customWidth="1"/>
    <col min="20" max="20" width="11.5546875" style="1" hidden="1" customWidth="1"/>
    <col min="21" max="21" width="13.4453125" style="1" hidden="1" customWidth="1"/>
    <col min="22" max="23" width="10.77734375" style="1" hidden="1" customWidth="1"/>
    <col min="24" max="24" width="11.21484375" style="1" hidden="1" customWidth="1"/>
    <col min="25" max="25" width="7.21484375" style="1" hidden="1" customWidth="1"/>
    <col min="26" max="27" width="10.77734375" style="1" hidden="1" customWidth="1"/>
    <col min="28" max="28" width="11.3359375" style="1" hidden="1" customWidth="1"/>
    <col min="29" max="29" width="10.77734375" style="6" hidden="1" customWidth="1"/>
    <col min="30" max="30" width="10.77734375" style="1" hidden="1" customWidth="1"/>
    <col min="31" max="31" width="11.3359375" style="1" hidden="1" customWidth="1"/>
    <col min="32" max="33" width="10.77734375" style="1" hidden="1" customWidth="1"/>
    <col min="34" max="34" width="11.3359375" style="1" hidden="1" customWidth="1"/>
    <col min="35" max="36" width="10.77734375" style="1" hidden="1" customWidth="1"/>
    <col min="37" max="37" width="11.21484375" style="1" hidden="1" customWidth="1"/>
    <col min="38" max="38" width="4.10546875" style="1" hidden="1" customWidth="1"/>
    <col min="39" max="39" width="10.77734375" style="6" hidden="1" customWidth="1"/>
    <col min="40" max="40" width="10.77734375" style="1" hidden="1" customWidth="1"/>
    <col min="41" max="41" width="11.3359375" style="1" hidden="1" customWidth="1"/>
    <col min="42" max="43" width="10.77734375" style="1" hidden="1" customWidth="1"/>
    <col min="44" max="44" width="11.3359375" style="1" hidden="1" customWidth="1"/>
    <col min="45" max="46" width="10.77734375" style="1" hidden="1" customWidth="1"/>
    <col min="47" max="47" width="11.3359375" style="1" bestFit="1" customWidth="1"/>
    <col min="48" max="50" width="11.3359375" style="1" hidden="1" customWidth="1"/>
    <col min="51" max="86" width="11.3359375" style="1" customWidth="1"/>
    <col min="87" max="88" width="9.6640625" style="1" customWidth="1"/>
    <col min="89" max="89" width="11.3359375" style="1" bestFit="1" customWidth="1"/>
    <col min="90" max="90" width="17.5546875" style="471" hidden="1" customWidth="1"/>
    <col min="91" max="91" width="14.21484375" style="1" hidden="1" customWidth="1"/>
    <col min="92" max="92" width="0" style="1" hidden="1" customWidth="1"/>
    <col min="93" max="93" width="8.5546875" style="1" hidden="1" customWidth="1"/>
    <col min="94" max="94" width="10.10546875" style="1" hidden="1" customWidth="1"/>
    <col min="95" max="95" width="13.4453125" style="1" hidden="1" customWidth="1"/>
    <col min="96" max="102" width="0" style="1" hidden="1" customWidth="1"/>
    <col min="103" max="16384" width="9.6640625" style="1" customWidth="1"/>
  </cols>
  <sheetData>
    <row r="1" spans="1:87" ht="18">
      <c r="A1" s="2"/>
      <c r="B1" s="425" t="s">
        <v>253</v>
      </c>
      <c r="C1" s="2"/>
      <c r="D1" s="2"/>
      <c r="E1" s="2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3"/>
      <c r="AI1" s="563"/>
      <c r="AJ1" s="563"/>
      <c r="AK1" s="563"/>
      <c r="AL1" s="563"/>
      <c r="AM1" s="563"/>
      <c r="AN1" s="563"/>
      <c r="AO1" s="563"/>
      <c r="AP1" s="563"/>
      <c r="AQ1" s="563"/>
      <c r="AR1" s="563"/>
      <c r="AS1" s="563"/>
      <c r="AT1" s="563"/>
      <c r="AU1" s="563"/>
      <c r="AV1" s="492"/>
      <c r="AW1" s="492"/>
      <c r="AX1" s="492"/>
      <c r="AY1" s="576">
        <v>2023</v>
      </c>
      <c r="AZ1" s="576"/>
      <c r="BA1" s="576"/>
      <c r="BB1" s="576"/>
      <c r="BC1" s="576"/>
      <c r="BD1" s="576"/>
      <c r="BE1" s="576"/>
      <c r="BF1" s="576"/>
      <c r="BG1" s="576"/>
      <c r="BH1" s="576"/>
      <c r="BI1" s="576"/>
      <c r="BJ1" s="576"/>
      <c r="BK1" s="576"/>
      <c r="BL1" s="576"/>
      <c r="BM1" s="576"/>
      <c r="BN1" s="576"/>
      <c r="BO1" s="576"/>
      <c r="BP1" s="576"/>
      <c r="BQ1" s="576"/>
      <c r="BR1" s="576"/>
      <c r="BS1" s="576"/>
      <c r="BT1" s="576"/>
      <c r="BU1" s="576"/>
      <c r="BV1" s="576"/>
      <c r="BW1" s="576"/>
      <c r="BX1" s="576"/>
      <c r="BY1" s="576"/>
      <c r="BZ1" s="576"/>
      <c r="CA1" s="576"/>
      <c r="CB1" s="576"/>
      <c r="CC1" s="576"/>
      <c r="CD1" s="576"/>
      <c r="CE1" s="576"/>
      <c r="CF1" s="576"/>
      <c r="CG1" s="576"/>
      <c r="CH1" s="576"/>
      <c r="CI1" s="4"/>
    </row>
    <row r="2" spans="1:89" ht="13.5" customHeight="1">
      <c r="A2" s="5"/>
      <c r="B2" s="5"/>
      <c r="C2" s="7" t="s">
        <v>112</v>
      </c>
      <c r="D2" s="7" t="s">
        <v>114</v>
      </c>
      <c r="E2" s="7" t="s">
        <v>115</v>
      </c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O2" s="102"/>
      <c r="CI2" s="111"/>
      <c r="CJ2" s="111"/>
      <c r="CK2" s="111"/>
    </row>
    <row r="3" spans="1:89" ht="13.5" customHeight="1">
      <c r="A3" s="7" t="s">
        <v>1</v>
      </c>
      <c r="B3" s="7" t="s">
        <v>134</v>
      </c>
      <c r="C3" s="7" t="s">
        <v>73</v>
      </c>
      <c r="D3" s="7" t="s">
        <v>73</v>
      </c>
      <c r="E3" s="7" t="s">
        <v>73</v>
      </c>
      <c r="F3" s="7" t="s">
        <v>31</v>
      </c>
      <c r="G3" s="7" t="s">
        <v>32</v>
      </c>
      <c r="H3" s="7"/>
      <c r="I3" s="8" t="s">
        <v>33</v>
      </c>
      <c r="J3" s="9"/>
      <c r="K3" s="107"/>
      <c r="L3" s="11" t="s">
        <v>37</v>
      </c>
      <c r="M3" s="10"/>
      <c r="N3" s="10"/>
      <c r="O3" s="11" t="s">
        <v>38</v>
      </c>
      <c r="P3" s="10"/>
      <c r="Q3" s="10"/>
      <c r="R3" s="8" t="s">
        <v>39</v>
      </c>
      <c r="S3" s="10"/>
      <c r="T3" s="83"/>
      <c r="U3" s="10" t="s">
        <v>40</v>
      </c>
      <c r="V3" s="81" t="s">
        <v>40</v>
      </c>
      <c r="W3" s="11"/>
      <c r="X3" s="103"/>
      <c r="Y3" s="256"/>
      <c r="Z3" s="11" t="s">
        <v>41</v>
      </c>
      <c r="AA3" s="10"/>
      <c r="AB3" s="83"/>
      <c r="AC3" s="11" t="s">
        <v>42</v>
      </c>
      <c r="AD3" s="12"/>
      <c r="AE3" s="85"/>
      <c r="AF3" s="11" t="s">
        <v>43</v>
      </c>
      <c r="AG3" s="12"/>
      <c r="AH3" s="83"/>
      <c r="AI3" s="11" t="s">
        <v>44</v>
      </c>
      <c r="AJ3" s="12"/>
      <c r="AK3" s="85"/>
      <c r="AL3" s="287"/>
      <c r="AM3" s="11" t="s">
        <v>45</v>
      </c>
      <c r="AN3" s="12"/>
      <c r="AO3" s="85"/>
      <c r="AP3" s="147" t="s">
        <v>46</v>
      </c>
      <c r="AQ3" s="12"/>
      <c r="AR3" s="12"/>
      <c r="AS3" s="519"/>
      <c r="AT3" s="520"/>
      <c r="AU3" s="521" t="s">
        <v>304</v>
      </c>
      <c r="AV3" s="13" t="s">
        <v>48</v>
      </c>
      <c r="AW3" s="12"/>
      <c r="AX3" s="85"/>
      <c r="AY3" s="8" t="s">
        <v>33</v>
      </c>
      <c r="AZ3" s="9"/>
      <c r="BA3" s="107"/>
      <c r="BB3" s="11" t="s">
        <v>37</v>
      </c>
      <c r="BC3" s="10"/>
      <c r="BD3" s="10"/>
      <c r="BE3" s="11" t="s">
        <v>38</v>
      </c>
      <c r="BF3" s="10"/>
      <c r="BG3" s="10"/>
      <c r="BH3" s="8" t="s">
        <v>39</v>
      </c>
      <c r="BI3" s="10"/>
      <c r="BJ3" s="83"/>
      <c r="BK3" s="81" t="s">
        <v>40</v>
      </c>
      <c r="BL3" s="11"/>
      <c r="BM3" s="103"/>
      <c r="BN3" s="11" t="s">
        <v>41</v>
      </c>
      <c r="BO3" s="10"/>
      <c r="BP3" s="83"/>
      <c r="BQ3" s="11" t="s">
        <v>42</v>
      </c>
      <c r="BR3" s="12"/>
      <c r="BS3" s="85"/>
      <c r="BT3" s="11" t="s">
        <v>43</v>
      </c>
      <c r="BU3" s="12"/>
      <c r="BV3" s="83"/>
      <c r="BW3" s="11" t="s">
        <v>44</v>
      </c>
      <c r="BX3" s="12"/>
      <c r="BY3" s="83"/>
      <c r="BZ3" s="11"/>
      <c r="CA3" s="12" t="s">
        <v>45</v>
      </c>
      <c r="CB3" s="83"/>
      <c r="CC3" s="11" t="s">
        <v>46</v>
      </c>
      <c r="CD3" s="12"/>
      <c r="CE3" s="83"/>
      <c r="CF3" s="572" t="s">
        <v>47</v>
      </c>
      <c r="CG3" s="573"/>
      <c r="CH3" s="574"/>
      <c r="CI3" s="522" t="s">
        <v>48</v>
      </c>
      <c r="CJ3" s="523"/>
      <c r="CK3" s="524"/>
    </row>
    <row r="4" spans="6:91" ht="32.25" customHeight="1">
      <c r="F4" s="16">
        <v>44561</v>
      </c>
      <c r="G4" s="17"/>
      <c r="H4" s="17"/>
      <c r="I4" s="247" t="s">
        <v>34</v>
      </c>
      <c r="J4" s="248" t="s">
        <v>35</v>
      </c>
      <c r="K4" s="84" t="s">
        <v>36</v>
      </c>
      <c r="L4" s="248" t="s">
        <v>34</v>
      </c>
      <c r="M4" s="248" t="s">
        <v>35</v>
      </c>
      <c r="N4" s="248" t="s">
        <v>36</v>
      </c>
      <c r="O4" s="248" t="s">
        <v>34</v>
      </c>
      <c r="P4" s="248" t="s">
        <v>35</v>
      </c>
      <c r="Q4" s="248" t="s">
        <v>36</v>
      </c>
      <c r="R4" s="247" t="s">
        <v>34</v>
      </c>
      <c r="S4" s="248" t="s">
        <v>35</v>
      </c>
      <c r="T4" s="84" t="s">
        <v>36</v>
      </c>
      <c r="U4" s="454" t="s">
        <v>258</v>
      </c>
      <c r="V4" s="249" t="s">
        <v>34</v>
      </c>
      <c r="W4" s="248" t="s">
        <v>35</v>
      </c>
      <c r="X4" s="84" t="s">
        <v>36</v>
      </c>
      <c r="Y4" s="248" t="s">
        <v>32</v>
      </c>
      <c r="Z4" s="248" t="s">
        <v>34</v>
      </c>
      <c r="AA4" s="248" t="s">
        <v>35</v>
      </c>
      <c r="AB4" s="84" t="s">
        <v>36</v>
      </c>
      <c r="AC4" s="248" t="s">
        <v>34</v>
      </c>
      <c r="AD4" s="248" t="s">
        <v>35</v>
      </c>
      <c r="AE4" s="84" t="s">
        <v>36</v>
      </c>
      <c r="AF4" s="248" t="s">
        <v>34</v>
      </c>
      <c r="AG4" s="248" t="s">
        <v>35</v>
      </c>
      <c r="AH4" s="84" t="s">
        <v>36</v>
      </c>
      <c r="AI4" s="248" t="s">
        <v>34</v>
      </c>
      <c r="AJ4" s="248" t="s">
        <v>35</v>
      </c>
      <c r="AK4" s="84" t="s">
        <v>36</v>
      </c>
      <c r="AL4" s="249" t="s">
        <v>32</v>
      </c>
      <c r="AM4" s="248" t="s">
        <v>34</v>
      </c>
      <c r="AN4" s="248" t="s">
        <v>35</v>
      </c>
      <c r="AO4" s="84" t="s">
        <v>36</v>
      </c>
      <c r="AP4" s="248" t="s">
        <v>34</v>
      </c>
      <c r="AQ4" s="248" t="s">
        <v>35</v>
      </c>
      <c r="AR4" s="248" t="s">
        <v>36</v>
      </c>
      <c r="AS4" s="247" t="s">
        <v>34</v>
      </c>
      <c r="AT4" s="248" t="s">
        <v>35</v>
      </c>
      <c r="AU4" s="84" t="s">
        <v>36</v>
      </c>
      <c r="AV4" s="247" t="s">
        <v>34</v>
      </c>
      <c r="AW4" s="248" t="s">
        <v>35</v>
      </c>
      <c r="AX4" s="84" t="s">
        <v>36</v>
      </c>
      <c r="AY4" s="247" t="s">
        <v>34</v>
      </c>
      <c r="AZ4" s="248" t="s">
        <v>35</v>
      </c>
      <c r="BA4" s="84" t="s">
        <v>36</v>
      </c>
      <c r="BB4" s="248" t="s">
        <v>34</v>
      </c>
      <c r="BC4" s="248" t="s">
        <v>35</v>
      </c>
      <c r="BD4" s="248" t="s">
        <v>36</v>
      </c>
      <c r="BE4" s="248" t="s">
        <v>34</v>
      </c>
      <c r="BF4" s="248" t="s">
        <v>35</v>
      </c>
      <c r="BG4" s="248" t="s">
        <v>36</v>
      </c>
      <c r="BH4" s="247" t="s">
        <v>34</v>
      </c>
      <c r="BI4" s="248" t="s">
        <v>35</v>
      </c>
      <c r="BJ4" s="84" t="s">
        <v>36</v>
      </c>
      <c r="BK4" s="249" t="s">
        <v>34</v>
      </c>
      <c r="BL4" s="248" t="s">
        <v>35</v>
      </c>
      <c r="BM4" s="84" t="s">
        <v>36</v>
      </c>
      <c r="BN4" s="248" t="s">
        <v>34</v>
      </c>
      <c r="BO4" s="248" t="s">
        <v>35</v>
      </c>
      <c r="BP4" s="84" t="s">
        <v>36</v>
      </c>
      <c r="BQ4" s="248" t="s">
        <v>34</v>
      </c>
      <c r="BR4" s="248" t="s">
        <v>35</v>
      </c>
      <c r="BS4" s="84" t="s">
        <v>36</v>
      </c>
      <c r="BT4" s="248" t="s">
        <v>34</v>
      </c>
      <c r="BU4" s="248" t="s">
        <v>35</v>
      </c>
      <c r="BV4" s="84" t="s">
        <v>36</v>
      </c>
      <c r="BW4" s="248" t="s">
        <v>34</v>
      </c>
      <c r="BX4" s="248" t="s">
        <v>35</v>
      </c>
      <c r="BY4" s="84" t="s">
        <v>36</v>
      </c>
      <c r="BZ4" s="248" t="s">
        <v>34</v>
      </c>
      <c r="CA4" s="248" t="s">
        <v>35</v>
      </c>
      <c r="CB4" s="84" t="s">
        <v>36</v>
      </c>
      <c r="CC4" s="248" t="s">
        <v>34</v>
      </c>
      <c r="CD4" s="248" t="s">
        <v>35</v>
      </c>
      <c r="CE4" s="84" t="s">
        <v>36</v>
      </c>
      <c r="CF4" s="247" t="s">
        <v>34</v>
      </c>
      <c r="CG4" s="248" t="s">
        <v>35</v>
      </c>
      <c r="CH4" s="84" t="s">
        <v>36</v>
      </c>
      <c r="CI4" s="247" t="s">
        <v>34</v>
      </c>
      <c r="CJ4" s="248" t="s">
        <v>35</v>
      </c>
      <c r="CK4" s="84" t="s">
        <v>36</v>
      </c>
      <c r="CL4" s="476" t="s">
        <v>284</v>
      </c>
      <c r="CM4" s="478" t="s">
        <v>285</v>
      </c>
    </row>
    <row r="5" spans="6:91" ht="13.5" customHeight="1">
      <c r="F5" s="16"/>
      <c r="G5" s="17"/>
      <c r="H5" s="17"/>
      <c r="I5" s="18"/>
      <c r="J5" s="19"/>
      <c r="K5" s="87"/>
      <c r="L5" s="101"/>
      <c r="M5" s="19"/>
      <c r="N5" s="19"/>
      <c r="O5" s="101"/>
      <c r="P5" s="19"/>
      <c r="Q5" s="19"/>
      <c r="R5" s="255"/>
      <c r="S5" s="19"/>
      <c r="T5" s="87"/>
      <c r="U5" s="101"/>
      <c r="V5" s="255"/>
      <c r="W5" s="19"/>
      <c r="X5" s="87"/>
      <c r="Y5" s="101"/>
      <c r="Z5" s="101"/>
      <c r="AA5" s="19"/>
      <c r="AB5" s="87"/>
      <c r="AC5" s="101"/>
      <c r="AD5" s="19"/>
      <c r="AE5" s="87"/>
      <c r="AF5" s="101"/>
      <c r="AG5" s="19"/>
      <c r="AH5" s="87"/>
      <c r="AI5" s="101"/>
      <c r="AJ5" s="19"/>
      <c r="AK5" s="87"/>
      <c r="AL5" s="82"/>
      <c r="AM5" s="25"/>
      <c r="AN5" s="19"/>
      <c r="AO5" s="87"/>
      <c r="AP5" s="101"/>
      <c r="AQ5" s="19"/>
      <c r="AR5" s="124"/>
      <c r="AS5" s="101"/>
      <c r="AT5" s="19"/>
      <c r="AU5" s="87"/>
      <c r="AV5" s="15"/>
      <c r="AX5" s="250"/>
      <c r="AY5" s="101"/>
      <c r="AZ5" s="101"/>
      <c r="BA5" s="73"/>
      <c r="BB5" s="72"/>
      <c r="BC5" s="101"/>
      <c r="BD5" s="73"/>
      <c r="BE5" s="101"/>
      <c r="BF5" s="101"/>
      <c r="BG5" s="73"/>
      <c r="BH5" s="101"/>
      <c r="BI5" s="101"/>
      <c r="BJ5" s="73"/>
      <c r="BK5" s="101"/>
      <c r="BL5" s="101"/>
      <c r="BM5" s="73"/>
      <c r="BN5" s="101"/>
      <c r="BO5" s="101"/>
      <c r="BP5" s="73"/>
      <c r="BQ5" s="101"/>
      <c r="BR5" s="101"/>
      <c r="BS5" s="73"/>
      <c r="BT5" s="101"/>
      <c r="BU5" s="101"/>
      <c r="BV5" s="73"/>
      <c r="BW5" s="101"/>
      <c r="BX5" s="101"/>
      <c r="BY5" s="73"/>
      <c r="BZ5" s="101"/>
      <c r="CA5" s="101"/>
      <c r="CB5" s="73"/>
      <c r="CC5" s="101"/>
      <c r="CD5" s="101"/>
      <c r="CE5" s="73"/>
      <c r="CF5" s="101"/>
      <c r="CG5" s="101"/>
      <c r="CH5" s="101"/>
      <c r="CI5" s="525"/>
      <c r="CJ5" s="111"/>
      <c r="CK5" s="526"/>
      <c r="CM5" s="478"/>
    </row>
    <row r="6" spans="1:91" ht="13.5" customHeight="1">
      <c r="A6" s="21" t="s">
        <v>94</v>
      </c>
      <c r="B6" s="21" t="s">
        <v>137</v>
      </c>
      <c r="C6" s="113">
        <v>35961</v>
      </c>
      <c r="D6" s="113">
        <v>48670</v>
      </c>
      <c r="E6" s="115">
        <v>45473</v>
      </c>
      <c r="F6" s="420">
        <v>753121.25</v>
      </c>
      <c r="G6" s="45">
        <v>0.02</v>
      </c>
      <c r="H6" s="45" t="s">
        <v>113</v>
      </c>
      <c r="I6" s="31">
        <v>1320.54</v>
      </c>
      <c r="J6" s="30">
        <v>4913.71</v>
      </c>
      <c r="K6" s="73">
        <f>F6-J6</f>
        <v>748207.54</v>
      </c>
      <c r="L6" s="30">
        <v>1147.93</v>
      </c>
      <c r="M6" s="30">
        <v>5086.32</v>
      </c>
      <c r="N6" s="73">
        <f>K6-M6</f>
        <v>743121.2200000001</v>
      </c>
      <c r="O6" s="30">
        <v>1262.29</v>
      </c>
      <c r="P6" s="30">
        <v>4971.96</v>
      </c>
      <c r="Q6" s="73">
        <f>N6-P6</f>
        <v>738149.2600000001</v>
      </c>
      <c r="R6" s="30">
        <v>1334.7356482191783</v>
      </c>
      <c r="S6" s="30">
        <v>4899.51</v>
      </c>
      <c r="T6" s="73">
        <f>Q6-S6</f>
        <v>733249.7500000001</v>
      </c>
      <c r="U6" s="72">
        <v>105.37</v>
      </c>
      <c r="V6" s="77">
        <v>1124.82</v>
      </c>
      <c r="W6" s="30">
        <v>5109.43</v>
      </c>
      <c r="X6" s="73">
        <f>T6-W6-U6</f>
        <v>728034.9500000001</v>
      </c>
      <c r="Y6" s="254"/>
      <c r="Z6" s="397">
        <v>1196.77</v>
      </c>
      <c r="AA6" s="397">
        <v>5037.48</v>
      </c>
      <c r="AB6" s="73">
        <f>X6-AA6</f>
        <v>722997.4700000001</v>
      </c>
      <c r="AC6" s="30">
        <f>(AB6*G6)/365*29</f>
        <v>1148.8726920547947</v>
      </c>
      <c r="AD6" s="30">
        <f>+AA13-AC6</f>
        <v>5085.377307945206</v>
      </c>
      <c r="AE6" s="73">
        <f>AB6-AD6</f>
        <v>717912.0926920549</v>
      </c>
      <c r="AF6" s="30">
        <v>1298.14</v>
      </c>
      <c r="AG6" s="30">
        <v>4936.11</v>
      </c>
      <c r="AH6" s="73">
        <f>AE6-AG6</f>
        <v>712975.9826920549</v>
      </c>
      <c r="AI6" s="30">
        <v>1172.02</v>
      </c>
      <c r="AJ6" s="30">
        <v>5062.23</v>
      </c>
      <c r="AK6" s="73">
        <f>AH6-AJ6</f>
        <v>707913.752692055</v>
      </c>
      <c r="AL6" s="254"/>
      <c r="AM6" s="397">
        <v>1202.48</v>
      </c>
      <c r="AN6" s="397">
        <v>5031.77</v>
      </c>
      <c r="AO6" s="73">
        <f>AK6-AN6</f>
        <v>702881.9826920549</v>
      </c>
      <c r="AP6" s="30">
        <v>1155.42</v>
      </c>
      <c r="AQ6" s="30">
        <v>5078.83</v>
      </c>
      <c r="AR6" s="73">
        <f>AO6-AQ6</f>
        <v>697803.152692055</v>
      </c>
      <c r="AS6" s="30">
        <f>(AR6*$G$6)/365*30</f>
        <v>1147.0736756581728</v>
      </c>
      <c r="AT6" s="30">
        <f>6234.25-AS6</f>
        <v>5087.176324341827</v>
      </c>
      <c r="AU6" s="73">
        <f>ROUND(AR6-AT6,2)-0.01</f>
        <v>692715.97</v>
      </c>
      <c r="AV6" s="244">
        <f>L6+O6+R6+V6+Z6+AC6+AF6+AI6+AM6+AP6+AS6+I6</f>
        <v>14511.092015932147</v>
      </c>
      <c r="AW6" s="244">
        <f>M6+P6+S6+V6+Y6+AB6+AE6+AH6+AK6+AN6+AQ6+AT6</f>
        <v>2893079.684400507</v>
      </c>
      <c r="AX6" s="251"/>
      <c r="AY6" s="30">
        <f>(AU6*$G$6)/365*30</f>
        <v>1138.7111835616438</v>
      </c>
      <c r="AZ6" s="30">
        <f>6234.25-AY6</f>
        <v>5095.538816438357</v>
      </c>
      <c r="BA6" s="73">
        <f>ROUND(AU6-AZ6,2)-0.01</f>
        <v>687620.42</v>
      </c>
      <c r="BB6" s="30">
        <f>(BA6*$G$6)/365*30</f>
        <v>1130.3349369863013</v>
      </c>
      <c r="BC6" s="30">
        <f>6234.25-BB6</f>
        <v>5103.915063013699</v>
      </c>
      <c r="BD6" s="73">
        <f>ROUND(BA6-BC6,2)-0.01</f>
        <v>682516.49</v>
      </c>
      <c r="BE6" s="30">
        <f>(BD6*$G$6)/365*30</f>
        <v>1121.9449150684932</v>
      </c>
      <c r="BF6" s="30">
        <f>6234.25-BE6</f>
        <v>5112.305084931507</v>
      </c>
      <c r="BG6" s="73">
        <f>ROUND(BD6-BF6,2)-0.01</f>
        <v>677404.17</v>
      </c>
      <c r="BH6" s="30">
        <f>(BG6*$G$6)/365*30</f>
        <v>1113.541101369863</v>
      </c>
      <c r="BI6" s="30">
        <f>6234.25-BH6</f>
        <v>5120.708898630137</v>
      </c>
      <c r="BJ6" s="73">
        <f>ROUND(BG6-BI6,2)-0.01</f>
        <v>672283.45</v>
      </c>
      <c r="BK6" s="30">
        <f>(BJ6*$G$6)/365*30</f>
        <v>1105.1234794520547</v>
      </c>
      <c r="BL6" s="30">
        <f>6234.25-BK6</f>
        <v>5129.126520547945</v>
      </c>
      <c r="BM6" s="73">
        <f>ROUND(BJ6-BL6,2)-0.01</f>
        <v>667154.3099999999</v>
      </c>
      <c r="BN6" s="30">
        <f>(BM6*$G$6)/365*30</f>
        <v>1096.692016438356</v>
      </c>
      <c r="BO6" s="30">
        <f>6234.25-BN6</f>
        <v>5137.5579835616445</v>
      </c>
      <c r="BP6" s="73">
        <f>ROUND(BM6-BO6,2)-0.01</f>
        <v>662016.74</v>
      </c>
      <c r="BQ6" s="30">
        <f>(BP6*$G$6)/365*30</f>
        <v>1088.246695890411</v>
      </c>
      <c r="BR6" s="30">
        <f>6234.25-BQ6</f>
        <v>5146.0033041095885</v>
      </c>
      <c r="BS6" s="73">
        <f>ROUND(BP6-BR6,2)-0.01</f>
        <v>656870.73</v>
      </c>
      <c r="BT6" s="30">
        <f>(BS6*$G$6)/365*30</f>
        <v>1079.7875013698629</v>
      </c>
      <c r="BU6" s="30">
        <f>6234.25-BT6</f>
        <v>5154.462498630137</v>
      </c>
      <c r="BV6" s="73">
        <f>ROUND(BS6-BU6,2)-0.01</f>
        <v>651716.26</v>
      </c>
      <c r="BW6" s="30">
        <f>(BV6*$G$6)/365*30</f>
        <v>1071.3144000000002</v>
      </c>
      <c r="BX6" s="30">
        <f>6234.25-BW6</f>
        <v>5162.9356</v>
      </c>
      <c r="BY6" s="73">
        <f>ROUND(BV6-BX6,2)-0.01</f>
        <v>646553.3099999999</v>
      </c>
      <c r="BZ6" s="30">
        <f>(BY6*$G$6)/365*30</f>
        <v>1062.8273589041096</v>
      </c>
      <c r="CA6" s="30">
        <f>6234.25-BZ6</f>
        <v>5171.422641095891</v>
      </c>
      <c r="CB6" s="73">
        <f>ROUND(BY6-CA6,2)-0.01</f>
        <v>641381.88</v>
      </c>
      <c r="CC6" s="30">
        <f>(CB6*$G$6)/365*30</f>
        <v>1054.326378082192</v>
      </c>
      <c r="CD6" s="30">
        <f>6234.25-CC6</f>
        <v>5179.923621917808</v>
      </c>
      <c r="CE6" s="73">
        <f>ROUND(CB6-CD6,2)-0.01</f>
        <v>636201.95</v>
      </c>
      <c r="CF6" s="30">
        <f>(CE6*$G$6)/365*30</f>
        <v>1045.8114246575342</v>
      </c>
      <c r="CG6" s="30">
        <f>6234.25-CF6</f>
        <v>5188.438575342466</v>
      </c>
      <c r="CH6" s="73">
        <f>ROUND(CE6-CG6,2)-0.01</f>
        <v>631013.5</v>
      </c>
      <c r="CI6" s="527">
        <f aca="true" t="shared" si="0" ref="CI6:CJ10">AY6+BB6+BE6+BH6+BK6+BN6+BQ6+BT6+BW6+BZ6+CC6+CF6</f>
        <v>13108.66139178082</v>
      </c>
      <c r="CJ6" s="527">
        <f t="shared" si="0"/>
        <v>61702.33860821917</v>
      </c>
      <c r="CK6" s="155">
        <f>AU6-CJ6</f>
        <v>631013.6313917808</v>
      </c>
      <c r="CL6" s="477">
        <v>965378.75</v>
      </c>
      <c r="CM6" s="479">
        <f>ROUND(CL6+CJ6,2)</f>
        <v>1027081.09</v>
      </c>
    </row>
    <row r="7" spans="1:91" ht="13.5" customHeight="1">
      <c r="A7" s="390" t="s">
        <v>95</v>
      </c>
      <c r="B7" s="390" t="s">
        <v>138</v>
      </c>
      <c r="C7" s="115">
        <v>36180</v>
      </c>
      <c r="D7" s="115">
        <v>48670</v>
      </c>
      <c r="E7" s="115"/>
      <c r="F7" s="420">
        <v>482411.69</v>
      </c>
      <c r="G7" s="394">
        <v>0.03</v>
      </c>
      <c r="H7" s="394"/>
      <c r="I7" s="396">
        <v>1268.81</v>
      </c>
      <c r="J7" s="397">
        <v>2946.78</v>
      </c>
      <c r="K7" s="398">
        <f>F7-J7</f>
        <v>479464.91</v>
      </c>
      <c r="L7" s="397">
        <v>1103.43</v>
      </c>
      <c r="M7" s="397">
        <v>3112.16</v>
      </c>
      <c r="N7" s="398">
        <f>K7-M7</f>
        <v>476352.75</v>
      </c>
      <c r="O7" s="397">
        <v>1213.72</v>
      </c>
      <c r="P7" s="397">
        <v>3001.87</v>
      </c>
      <c r="Q7" s="398">
        <f>N7-P7</f>
        <v>473350.88</v>
      </c>
      <c r="R7" s="397">
        <v>1283.8832087671233</v>
      </c>
      <c r="S7" s="397">
        <v>2931.71</v>
      </c>
      <c r="T7" s="398">
        <f>Q7-S7</f>
        <v>470419.17</v>
      </c>
      <c r="U7" s="157">
        <v>95.49</v>
      </c>
      <c r="V7" s="77">
        <v>1082.39</v>
      </c>
      <c r="W7" s="30">
        <v>3133.2</v>
      </c>
      <c r="X7" s="73">
        <f>T7-W7-U7</f>
        <v>467190.48</v>
      </c>
      <c r="Y7" s="254"/>
      <c r="Z7" s="397">
        <v>1151.98</v>
      </c>
      <c r="AA7" s="397">
        <v>3063.61</v>
      </c>
      <c r="AB7" s="73">
        <f>X7-AA7</f>
        <v>464126.87</v>
      </c>
      <c r="AC7" s="30">
        <f>(AB7*G7)/365*29</f>
        <v>1106.2750052054796</v>
      </c>
      <c r="AD7" s="30">
        <f>+AA14-AC7</f>
        <v>3109.3149947945203</v>
      </c>
      <c r="AE7" s="73">
        <f>AB7-AD7</f>
        <v>461017.55500520545</v>
      </c>
      <c r="AF7" s="30">
        <v>1250.43</v>
      </c>
      <c r="AG7" s="30">
        <v>2965.16</v>
      </c>
      <c r="AH7" s="73">
        <f>AE7-AG7</f>
        <v>458052.3950052055</v>
      </c>
      <c r="AI7" s="30">
        <v>1129.44</v>
      </c>
      <c r="AJ7" s="30">
        <v>3086.15</v>
      </c>
      <c r="AK7" s="73">
        <f>AH7-AJ7</f>
        <v>454966.24500520545</v>
      </c>
      <c r="AL7" s="254"/>
      <c r="AM7" s="397">
        <v>1159.23</v>
      </c>
      <c r="AN7" s="397">
        <v>3056.36</v>
      </c>
      <c r="AO7" s="73">
        <f>AK7-AN7</f>
        <v>451909.88500520546</v>
      </c>
      <c r="AP7" s="30">
        <v>1114.3</v>
      </c>
      <c r="AQ7" s="30">
        <v>3101.29</v>
      </c>
      <c r="AR7" s="73">
        <f>AO7-AQ7</f>
        <v>448808.5950052055</v>
      </c>
      <c r="AS7" s="30">
        <f>(AR7*G7)/365*30</f>
        <v>1106.6513301498217</v>
      </c>
      <c r="AT7" s="30">
        <f>4215.59-AS7</f>
        <v>3108.9386698501785</v>
      </c>
      <c r="AU7" s="73">
        <f>ROUND(AR7-AT7,2)</f>
        <v>445699.66</v>
      </c>
      <c r="AV7" s="244">
        <f>L7+O7+R7+V7+Z7+AC7+AF7+AI7+AM7+AP7+AS7+I7</f>
        <v>13970.539544122425</v>
      </c>
      <c r="AW7" s="244">
        <f>M7+P7+S7+V7+Y7+AB7+AE7+AH7+AK7+AN7+AQ7+AT7</f>
        <v>1857557.7836854667</v>
      </c>
      <c r="AX7" s="251"/>
      <c r="AY7" s="30">
        <f>(AU7*$G$7)/365*30</f>
        <v>1098.9854630136986</v>
      </c>
      <c r="AZ7" s="30">
        <f>4215.59-AY7</f>
        <v>3116.6045369863014</v>
      </c>
      <c r="BA7" s="73">
        <f>ROUND(AU7-AZ7,2)</f>
        <v>442583.06</v>
      </c>
      <c r="BB7" s="30">
        <f>(BA7*$G$7)/365*30</f>
        <v>1091.300695890411</v>
      </c>
      <c r="BC7" s="30">
        <f>4215.59-BB7</f>
        <v>3124.2893041095895</v>
      </c>
      <c r="BD7" s="73">
        <f>ROUND(BA7-BC7,2)</f>
        <v>439458.77</v>
      </c>
      <c r="BE7" s="30">
        <f>(BD7*$G$7)/365*30</f>
        <v>1083.5969671232876</v>
      </c>
      <c r="BF7" s="30">
        <f>4215.59-BE7</f>
        <v>3131.9930328767123</v>
      </c>
      <c r="BG7" s="73">
        <f>ROUND(BD7-BF7,2)</f>
        <v>436326.78</v>
      </c>
      <c r="BH7" s="30">
        <f>(BG7*$G$7)/365*30</f>
        <v>1075.8742520547946</v>
      </c>
      <c r="BI7" s="30">
        <f>4215.59-BH7</f>
        <v>3139.7157479452053</v>
      </c>
      <c r="BJ7" s="73">
        <f>ROUND(BG7-BI7,2)</f>
        <v>433187.06</v>
      </c>
      <c r="BK7" s="30">
        <f>(BJ7*$G$7)/365*30</f>
        <v>1068.1324767123288</v>
      </c>
      <c r="BL7" s="30">
        <f>4215.59-BK7</f>
        <v>3147.4575232876714</v>
      </c>
      <c r="BM7" s="73">
        <f>ROUND(BJ7-BL7,2)</f>
        <v>430039.6</v>
      </c>
      <c r="BN7" s="30">
        <f>(BM7*$G$7)/365*30</f>
        <v>1060.3716164383559</v>
      </c>
      <c r="BO7" s="30">
        <f>4215.59-BN7</f>
        <v>3155.2183835616443</v>
      </c>
      <c r="BP7" s="73">
        <f>ROUND(BM7-BO7,2)</f>
        <v>426884.38</v>
      </c>
      <c r="BQ7" s="30">
        <f>(BP7*$G$7)/365*30</f>
        <v>1052.5916219178082</v>
      </c>
      <c r="BR7" s="30">
        <f>4215.59-BQ7</f>
        <v>3162.998378082192</v>
      </c>
      <c r="BS7" s="73">
        <f>ROUND(BP7-BR7,2)</f>
        <v>423721.38</v>
      </c>
      <c r="BT7" s="30">
        <f>(BS7*$G$7)/365*30</f>
        <v>1044.7924438356165</v>
      </c>
      <c r="BU7" s="30">
        <f>4215.59-BT7</f>
        <v>3170.7975561643834</v>
      </c>
      <c r="BV7" s="73">
        <f>ROUND(BS7-BU7,2)</f>
        <v>420550.58</v>
      </c>
      <c r="BW7" s="30">
        <f>(BV7*$G$7)/365*30</f>
        <v>1036.9740328767125</v>
      </c>
      <c r="BX7" s="30">
        <f>4215.59-BW7</f>
        <v>3178.6159671232876</v>
      </c>
      <c r="BY7" s="73">
        <f>ROUND(BV7-BX7,2)</f>
        <v>417371.96</v>
      </c>
      <c r="BZ7" s="30">
        <f>(BY7*$G$7)/365*30</f>
        <v>1029.1363397260275</v>
      </c>
      <c r="CA7" s="30">
        <f>4215.59-BZ7</f>
        <v>3186.4536602739727</v>
      </c>
      <c r="CB7" s="73">
        <f>ROUND(BY7-CA7,2)</f>
        <v>414185.51</v>
      </c>
      <c r="CC7" s="30">
        <f>(CB7*$G$7)/365*30</f>
        <v>1021.2793397260274</v>
      </c>
      <c r="CD7" s="30">
        <f>4215.59-CC7</f>
        <v>3194.3106602739726</v>
      </c>
      <c r="CE7" s="73">
        <f>ROUND(CB7-CD7,2)</f>
        <v>410991.2</v>
      </c>
      <c r="CF7" s="30">
        <f>(CE7*$G$7)/365*30</f>
        <v>1013.4029589041097</v>
      </c>
      <c r="CG7" s="30">
        <f>4215.59-CF7</f>
        <v>3202.1870410958904</v>
      </c>
      <c r="CH7" s="73">
        <f>ROUND(CE7-CG7,2)</f>
        <v>407789.01</v>
      </c>
      <c r="CI7" s="527">
        <f t="shared" si="0"/>
        <v>12676.438208219179</v>
      </c>
      <c r="CJ7" s="527">
        <f t="shared" si="0"/>
        <v>37910.64179178082</v>
      </c>
      <c r="CK7" s="155">
        <f>AU7-CJ7</f>
        <v>407789.01820821915</v>
      </c>
      <c r="CL7" s="477">
        <v>497588.31</v>
      </c>
      <c r="CM7" s="479">
        <f>ROUND(CL7+CJ7,2)</f>
        <v>535498.95</v>
      </c>
    </row>
    <row r="8" spans="1:91" ht="13.5" customHeight="1">
      <c r="A8" s="390" t="s">
        <v>161</v>
      </c>
      <c r="B8" s="390" t="s">
        <v>139</v>
      </c>
      <c r="C8" s="115">
        <v>36250</v>
      </c>
      <c r="D8" s="115">
        <v>48670</v>
      </c>
      <c r="E8" s="115"/>
      <c r="F8" s="420">
        <v>39848.85</v>
      </c>
      <c r="G8" s="394">
        <v>0.045</v>
      </c>
      <c r="H8" s="394"/>
      <c r="I8" s="399">
        <v>157.21</v>
      </c>
      <c r="J8" s="400">
        <v>220.18</v>
      </c>
      <c r="K8" s="401">
        <f>F8-J8</f>
        <v>39628.67</v>
      </c>
      <c r="L8" s="400">
        <v>136.8</v>
      </c>
      <c r="M8" s="400">
        <v>240.59</v>
      </c>
      <c r="N8" s="401">
        <f>K8-M8</f>
        <v>39388.08</v>
      </c>
      <c r="O8" s="400">
        <v>150.54</v>
      </c>
      <c r="P8" s="400">
        <v>226.85</v>
      </c>
      <c r="Q8" s="401">
        <f>N8-P8</f>
        <v>39161.23</v>
      </c>
      <c r="R8" s="400">
        <v>159.3271960273973</v>
      </c>
      <c r="S8" s="400">
        <v>218.06</v>
      </c>
      <c r="T8" s="401">
        <f>Q8-S8</f>
        <v>38943.170000000006</v>
      </c>
      <c r="U8" s="453">
        <v>12.16</v>
      </c>
      <c r="V8" s="455">
        <v>134.39</v>
      </c>
      <c r="W8" s="204">
        <v>243</v>
      </c>
      <c r="X8" s="88">
        <f>T8-W8-U8</f>
        <v>38688.01</v>
      </c>
      <c r="Y8" s="74"/>
      <c r="Z8" s="400">
        <v>143.09</v>
      </c>
      <c r="AA8" s="400">
        <v>234.3</v>
      </c>
      <c r="AB8" s="88">
        <f>X8-AA8</f>
        <v>38453.71</v>
      </c>
      <c r="AC8" s="204">
        <f>(AB8*G8)/365*29</f>
        <v>137.4851823287671</v>
      </c>
      <c r="AD8" s="204">
        <f>+AA15-AC8</f>
        <v>239.90481767123288</v>
      </c>
      <c r="AE8" s="88">
        <f>AB8-AD8</f>
        <v>38213.80518232877</v>
      </c>
      <c r="AF8" s="204">
        <v>155.47</v>
      </c>
      <c r="AG8" s="204">
        <v>221.92</v>
      </c>
      <c r="AH8" s="88">
        <f>AE8-AG8</f>
        <v>37991.88518232877</v>
      </c>
      <c r="AI8" s="204">
        <v>140.52</v>
      </c>
      <c r="AJ8" s="204">
        <v>236.87</v>
      </c>
      <c r="AK8" s="88">
        <f>AH8-AJ8</f>
        <v>37755.01518232877</v>
      </c>
      <c r="AL8" s="74"/>
      <c r="AM8" s="400">
        <v>144.3</v>
      </c>
      <c r="AN8" s="400">
        <v>233.09</v>
      </c>
      <c r="AO8" s="88">
        <f>AK8-AN8</f>
        <v>37521.92518232877</v>
      </c>
      <c r="AP8" s="204">
        <v>138.78</v>
      </c>
      <c r="AQ8" s="204">
        <v>238.61</v>
      </c>
      <c r="AR8" s="88">
        <f>AO8-AQ8</f>
        <v>37283.31518232877</v>
      </c>
      <c r="AS8" s="30">
        <f>(AR8*G8)/365*30</f>
        <v>137.89719314012012</v>
      </c>
      <c r="AT8" s="30">
        <f>377.39-AS8</f>
        <v>239.49280685987986</v>
      </c>
      <c r="AU8" s="88">
        <f>AR8-AT8</f>
        <v>37043.82237546889</v>
      </c>
      <c r="AV8" s="244">
        <f>L8+O8+R8+V8+Z8+AC8+AF8+AI8+AM8+AP8+AS8+I8</f>
        <v>1735.8095714962847</v>
      </c>
      <c r="AW8" s="244">
        <f>M8+P8+S8+V8+Y8+AB8+AE8+AH8+AK8+AN8+AQ8+AT8</f>
        <v>153945.49835384617</v>
      </c>
      <c r="AX8" s="252"/>
      <c r="AY8" s="30">
        <f>(AU8*$G$8)/365*30</f>
        <v>137.0113978270767</v>
      </c>
      <c r="AZ8" s="30">
        <f>377.39-AY8</f>
        <v>240.37860217292328</v>
      </c>
      <c r="BA8" s="73">
        <f>AU8-AZ8</f>
        <v>36803.44377329596</v>
      </c>
      <c r="BB8" s="30">
        <f>(BA8*$G$8)/365*30</f>
        <v>136.12232628479327</v>
      </c>
      <c r="BC8" s="30">
        <f>377.39-BB8</f>
        <v>241.2676737152067</v>
      </c>
      <c r="BD8" s="73">
        <f>BA8-BC8</f>
        <v>36562.176099580756</v>
      </c>
      <c r="BE8" s="30">
        <f>(BD8*$G$8)/365*30</f>
        <v>135.22996639570965</v>
      </c>
      <c r="BF8" s="30">
        <f>377.39-BE8</f>
        <v>242.16003360429033</v>
      </c>
      <c r="BG8" s="73">
        <f>BD8-BF8</f>
        <v>36320.016065976466</v>
      </c>
      <c r="BH8" s="30">
        <f>(BG8*$G$8)/365*30</f>
        <v>134.3343059974472</v>
      </c>
      <c r="BI8" s="30">
        <f>377.39-BH8</f>
        <v>243.0556940025528</v>
      </c>
      <c r="BJ8" s="73">
        <f>BG8-BI8</f>
        <v>36076.96037197391</v>
      </c>
      <c r="BK8" s="30">
        <f>(BJ8*$G$8)/365*30</f>
        <v>133.43533288264322</v>
      </c>
      <c r="BL8" s="30">
        <f>377.39-BK8</f>
        <v>243.95466711735676</v>
      </c>
      <c r="BM8" s="73">
        <f>BJ8-BL8</f>
        <v>35833.00570485655</v>
      </c>
      <c r="BN8" s="30">
        <f>(BM8*$G$8)/365*30</f>
        <v>132.53303479878448</v>
      </c>
      <c r="BO8" s="30">
        <f>377.39-BN8</f>
        <v>244.8569652012155</v>
      </c>
      <c r="BP8" s="73">
        <f>BM8-BO8</f>
        <v>35588.148739655335</v>
      </c>
      <c r="BQ8" s="30">
        <f>(BP8*$G$8)/365*30</f>
        <v>131.62739944804025</v>
      </c>
      <c r="BR8" s="30">
        <f>377.39-BQ8</f>
        <v>245.76260055195974</v>
      </c>
      <c r="BS8" s="73">
        <f>BP8-BR8</f>
        <v>35342.38613910337</v>
      </c>
      <c r="BT8" s="30">
        <f>(BS8*$G$8)/365*30</f>
        <v>130.71841448709466</v>
      </c>
      <c r="BU8" s="30">
        <f>377.39-BT8</f>
        <v>246.67158551290532</v>
      </c>
      <c r="BV8" s="73">
        <f>BS8-BU8</f>
        <v>35095.714553590464</v>
      </c>
      <c r="BW8" s="30">
        <f>(BV8*$G$8)/365*30</f>
        <v>129.8060675269784</v>
      </c>
      <c r="BX8" s="30">
        <f>377.39-BW8</f>
        <v>247.58393247302158</v>
      </c>
      <c r="BY8" s="73">
        <f>BV8-BX8</f>
        <v>34848.130621117445</v>
      </c>
      <c r="BZ8" s="30">
        <f>(BY8*$G$8)/365*30</f>
        <v>128.89034613290016</v>
      </c>
      <c r="CA8" s="30">
        <f>377.39-BZ8</f>
        <v>248.49965386709982</v>
      </c>
      <c r="CB8" s="73">
        <f>BY8-CA8</f>
        <v>34599.63096725035</v>
      </c>
      <c r="CC8" s="30">
        <f>(CB8*$G$8)/365*30</f>
        <v>127.97123782407664</v>
      </c>
      <c r="CD8" s="30">
        <f>377.39-CC8</f>
        <v>249.41876217592335</v>
      </c>
      <c r="CE8" s="73">
        <f>CB8-CD8</f>
        <v>34350.21220507442</v>
      </c>
      <c r="CF8" s="30">
        <f>(CE8*$G$8)/365*30</f>
        <v>127.04873007356294</v>
      </c>
      <c r="CG8" s="30">
        <f>377.39-CF8</f>
        <v>250.34126992643706</v>
      </c>
      <c r="CH8" s="73">
        <f>CE8-CG8</f>
        <v>34099.870935147985</v>
      </c>
      <c r="CI8" s="527">
        <f t="shared" si="0"/>
        <v>1584.7285596791073</v>
      </c>
      <c r="CJ8" s="527">
        <f t="shared" si="0"/>
        <v>2943.9514403208923</v>
      </c>
      <c r="CK8" s="155">
        <f>AU8-CJ8</f>
        <v>34099.87093514799</v>
      </c>
      <c r="CL8" s="477">
        <v>38651.15</v>
      </c>
      <c r="CM8" s="479">
        <f>ROUND(CL8+CJ8,2)</f>
        <v>41595.1</v>
      </c>
    </row>
    <row r="9" spans="1:89" ht="13.5" customHeight="1">
      <c r="A9" s="21" t="s">
        <v>305</v>
      </c>
      <c r="B9" s="21"/>
      <c r="C9" s="113">
        <v>45049</v>
      </c>
      <c r="D9" s="21"/>
      <c r="E9" s="21"/>
      <c r="F9" s="72">
        <v>0</v>
      </c>
      <c r="G9" s="394">
        <v>0.0384</v>
      </c>
      <c r="H9" s="108"/>
      <c r="I9" s="78">
        <f>SUM(I6:I8)</f>
        <v>2746.56</v>
      </c>
      <c r="J9" s="22">
        <f>SUM(J6:J8)</f>
        <v>8080.67</v>
      </c>
      <c r="K9" s="73"/>
      <c r="L9" s="22">
        <f>SUM(L6:L8)</f>
        <v>2388.1600000000003</v>
      </c>
      <c r="M9" s="22">
        <f>SUM(M6:M8)</f>
        <v>8439.07</v>
      </c>
      <c r="N9" s="73"/>
      <c r="O9" s="22">
        <f>SUM(O6:O8)</f>
        <v>2626.55</v>
      </c>
      <c r="P9" s="22">
        <f>SUM(P6:P8)</f>
        <v>8200.68</v>
      </c>
      <c r="Q9" s="73"/>
      <c r="R9" s="22">
        <f>SUM(R6:R8)</f>
        <v>2777.946053013699</v>
      </c>
      <c r="S9" s="22">
        <f>SUM(S6:S8)</f>
        <v>8049.280000000001</v>
      </c>
      <c r="T9" s="73"/>
      <c r="U9" s="72">
        <f>SUM(U6:U8)</f>
        <v>213.02</v>
      </c>
      <c r="V9" s="78">
        <f>SUM(V6:V8)</f>
        <v>2341.6</v>
      </c>
      <c r="W9" s="22">
        <f>SUM(W6:W8)</f>
        <v>8485.630000000001</v>
      </c>
      <c r="X9" s="73"/>
      <c r="Y9" s="72"/>
      <c r="Z9" s="22">
        <f>SUM(Z6:Z8)</f>
        <v>2491.84</v>
      </c>
      <c r="AA9" s="22">
        <f>SUM(AA6:AA8)</f>
        <v>8335.39</v>
      </c>
      <c r="AB9" s="73"/>
      <c r="AC9" s="22">
        <f>SUM(AC6:AC8)</f>
        <v>2392.6328795890413</v>
      </c>
      <c r="AD9" s="22">
        <f>SUM(AD6:AD8)</f>
        <v>8434.59712041096</v>
      </c>
      <c r="AE9" s="73"/>
      <c r="AF9" s="22">
        <f>SUM(AF6:AF8)</f>
        <v>2704.04</v>
      </c>
      <c r="AG9" s="22">
        <f>SUM(AG6:AG8)</f>
        <v>8123.19</v>
      </c>
      <c r="AH9" s="73"/>
      <c r="AI9" s="22">
        <f>SUM(AI6:AI8)</f>
        <v>2441.98</v>
      </c>
      <c r="AJ9" s="22">
        <f>SUM(AJ6:AJ8)</f>
        <v>8385.25</v>
      </c>
      <c r="AK9" s="73"/>
      <c r="AL9" s="72"/>
      <c r="AM9" s="22">
        <f>SUM(AM6:AM8)</f>
        <v>2506.01</v>
      </c>
      <c r="AN9" s="22">
        <f>SUM(AN6:AN8)</f>
        <v>8321.220000000001</v>
      </c>
      <c r="AO9" s="73"/>
      <c r="AP9" s="22">
        <f>SUM(AP6:AP8)</f>
        <v>2408.5000000000005</v>
      </c>
      <c r="AQ9" s="22">
        <f>SUM(AQ6:AQ8)</f>
        <v>8418.73</v>
      </c>
      <c r="AR9" s="73"/>
      <c r="AS9" s="22">
        <f>SUM(AS6:AS8)</f>
        <v>2391.6221989481146</v>
      </c>
      <c r="AT9" s="22">
        <f>SUM(AT6:AT8)</f>
        <v>8435.607801051885</v>
      </c>
      <c r="AU9" s="73"/>
      <c r="AV9" s="80">
        <f>SUM(AV6:AV8)</f>
        <v>30217.441131550855</v>
      </c>
      <c r="AW9" s="80">
        <f>SUM(AW6:AW8)</f>
        <v>4904582.96643982</v>
      </c>
      <c r="AX9" s="251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>
        <f>(4700000*G9)/365*29</f>
        <v>14339.506849315067</v>
      </c>
      <c r="BL9" s="72">
        <v>0</v>
      </c>
      <c r="BM9" s="72">
        <v>4700000</v>
      </c>
      <c r="BN9" s="72">
        <f>(BM9*G9)/365*30</f>
        <v>14833.972602739725</v>
      </c>
      <c r="BO9" s="72">
        <v>0</v>
      </c>
      <c r="BP9" s="72">
        <f>BM9-BO9</f>
        <v>4700000</v>
      </c>
      <c r="BQ9" s="72">
        <f>(BP9*$G$9)/365*31</f>
        <v>15328.43835616438</v>
      </c>
      <c r="BR9" s="72">
        <v>0</v>
      </c>
      <c r="BS9" s="72">
        <f>BP9-BR9</f>
        <v>4700000</v>
      </c>
      <c r="BT9" s="72">
        <f>(BS9*$G$9)/365*31</f>
        <v>15328.43835616438</v>
      </c>
      <c r="BU9" s="72">
        <v>0</v>
      </c>
      <c r="BV9" s="72">
        <f>BS9-BU9</f>
        <v>4700000</v>
      </c>
      <c r="BW9" s="72">
        <f>(BV9*$G$9)/365*30</f>
        <v>14833.972602739725</v>
      </c>
      <c r="BX9" s="72">
        <v>0</v>
      </c>
      <c r="BY9" s="72">
        <f>BV9-BX9</f>
        <v>4700000</v>
      </c>
      <c r="BZ9" s="72">
        <f>(BY9*$G$9)/365*31</f>
        <v>15328.43835616438</v>
      </c>
      <c r="CA9" s="72">
        <v>0</v>
      </c>
      <c r="CB9" s="72">
        <f>BY9-CA9</f>
        <v>4700000</v>
      </c>
      <c r="CC9" s="72">
        <f>(CB9*$G$9)/365*30</f>
        <v>14833.972602739725</v>
      </c>
      <c r="CD9" s="72">
        <v>0</v>
      </c>
      <c r="CE9" s="72">
        <f>CB9-CD9</f>
        <v>4700000</v>
      </c>
      <c r="CF9" s="72">
        <f>(CE9*$G$9)/365*31</f>
        <v>15328.43835616438</v>
      </c>
      <c r="CG9" s="72">
        <v>0</v>
      </c>
      <c r="CH9" s="72">
        <f>CE9-CG9</f>
        <v>4700000</v>
      </c>
      <c r="CI9" s="527">
        <f t="shared" si="0"/>
        <v>120155.17808219176</v>
      </c>
      <c r="CJ9" s="527">
        <f t="shared" si="0"/>
        <v>0</v>
      </c>
      <c r="CK9" s="155">
        <f>CH9</f>
        <v>4700000</v>
      </c>
    </row>
    <row r="10" spans="1:89" ht="13.5" customHeight="1">
      <c r="A10" s="21" t="s">
        <v>306</v>
      </c>
      <c r="B10" s="239"/>
      <c r="C10" s="113">
        <v>45167</v>
      </c>
      <c r="D10" s="34"/>
      <c r="E10" s="34"/>
      <c r="F10" s="72">
        <v>0</v>
      </c>
      <c r="G10" s="394">
        <v>0.0544</v>
      </c>
      <c r="H10" s="163"/>
      <c r="I10" s="32"/>
      <c r="J10" s="32"/>
      <c r="K10" s="88"/>
      <c r="L10" s="32"/>
      <c r="M10" s="32"/>
      <c r="N10" s="88"/>
      <c r="O10" s="32"/>
      <c r="P10" s="32"/>
      <c r="Q10" s="88"/>
      <c r="R10" s="32"/>
      <c r="S10" s="32"/>
      <c r="T10" s="88"/>
      <c r="U10" s="74"/>
      <c r="V10" s="106"/>
      <c r="W10" s="32"/>
      <c r="X10" s="88"/>
      <c r="Y10" s="74"/>
      <c r="Z10" s="22"/>
      <c r="AA10" s="238"/>
      <c r="AB10" s="88"/>
      <c r="AC10" s="32"/>
      <c r="AD10" s="32"/>
      <c r="AE10" s="88"/>
      <c r="AF10" s="32"/>
      <c r="AG10" s="32"/>
      <c r="AH10" s="88"/>
      <c r="AI10" s="32"/>
      <c r="AJ10" s="32"/>
      <c r="AK10" s="88"/>
      <c r="AL10" s="74"/>
      <c r="AM10" s="32"/>
      <c r="AN10" s="32"/>
      <c r="AO10" s="88"/>
      <c r="AP10" s="32"/>
      <c r="AQ10" s="32"/>
      <c r="AR10" s="88"/>
      <c r="AS10" s="32"/>
      <c r="AT10" s="32"/>
      <c r="AU10" s="88"/>
      <c r="AV10" s="74"/>
      <c r="AW10" s="74"/>
      <c r="AX10" s="74"/>
      <c r="AY10" s="74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>
        <f>(3000000*G10)/365*3</f>
        <v>1341.3698630136987</v>
      </c>
      <c r="BU10" s="72">
        <v>0</v>
      </c>
      <c r="BV10" s="72">
        <v>3000000</v>
      </c>
      <c r="BW10" s="72">
        <f>(BV10*$G$10)/365*30</f>
        <v>13413.698630136987</v>
      </c>
      <c r="BX10" s="72">
        <v>0</v>
      </c>
      <c r="BY10" s="72">
        <f>BV10-BX10</f>
        <v>3000000</v>
      </c>
      <c r="BZ10" s="72">
        <f>(BY10*$G$10)/365*31</f>
        <v>13860.82191780822</v>
      </c>
      <c r="CA10" s="72">
        <v>0</v>
      </c>
      <c r="CB10" s="72">
        <f>BY10-CA10</f>
        <v>3000000</v>
      </c>
      <c r="CC10" s="72">
        <f>(CB10*$G$10)/365*30</f>
        <v>13413.698630136987</v>
      </c>
      <c r="CD10" s="72">
        <v>0</v>
      </c>
      <c r="CE10" s="72">
        <f>CB10-CD10</f>
        <v>3000000</v>
      </c>
      <c r="CF10" s="72">
        <f>(CE10*$G$10)/365*31</f>
        <v>13860.82191780822</v>
      </c>
      <c r="CG10" s="72">
        <v>0</v>
      </c>
      <c r="CH10" s="72">
        <f>CE10-CG10</f>
        <v>3000000</v>
      </c>
      <c r="CI10" s="527">
        <f t="shared" si="0"/>
        <v>55890.41095890412</v>
      </c>
      <c r="CJ10" s="527">
        <f t="shared" si="0"/>
        <v>0</v>
      </c>
      <c r="CK10" s="155">
        <f>CH10</f>
        <v>3000000</v>
      </c>
    </row>
    <row r="11" spans="1:89" ht="13.5" customHeight="1">
      <c r="A11" s="34"/>
      <c r="B11" s="34"/>
      <c r="C11" s="34"/>
      <c r="D11" s="34"/>
      <c r="E11" s="34"/>
      <c r="F11" s="33"/>
      <c r="G11" s="162"/>
      <c r="H11" s="163"/>
      <c r="I11" s="32"/>
      <c r="J11" s="32"/>
      <c r="K11" s="88"/>
      <c r="L11" s="32"/>
      <c r="M11" s="32"/>
      <c r="N11" s="88"/>
      <c r="O11" s="192"/>
      <c r="P11" s="32"/>
      <c r="Q11" s="88"/>
      <c r="R11" s="32"/>
      <c r="S11" s="32"/>
      <c r="T11" s="88"/>
      <c r="U11" s="74"/>
      <c r="V11" s="106"/>
      <c r="W11" s="32"/>
      <c r="X11" s="88"/>
      <c r="Y11" s="74"/>
      <c r="Z11" s="192"/>
      <c r="AA11" s="32"/>
      <c r="AB11" s="88"/>
      <c r="AC11" s="32"/>
      <c r="AD11" s="32"/>
      <c r="AE11" s="88"/>
      <c r="AF11" s="32"/>
      <c r="AG11" s="32"/>
      <c r="AH11" s="88"/>
      <c r="AI11" s="32"/>
      <c r="AJ11" s="32"/>
      <c r="AK11" s="88"/>
      <c r="AL11" s="74"/>
      <c r="AM11" s="192"/>
      <c r="AN11" s="32"/>
      <c r="AO11" s="88"/>
      <c r="AP11" s="32"/>
      <c r="AQ11" s="32"/>
      <c r="AR11" s="88"/>
      <c r="AS11" s="32"/>
      <c r="AT11" s="32"/>
      <c r="AU11" s="88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111"/>
      <c r="CJ11" s="111"/>
      <c r="CK11" s="528"/>
    </row>
    <row r="12" spans="1:89" ht="13.5" customHeight="1">
      <c r="A12" s="34"/>
      <c r="B12" s="34"/>
      <c r="C12" s="34"/>
      <c r="D12" s="34"/>
      <c r="E12" s="235"/>
      <c r="F12" s="237"/>
      <c r="G12" s="72"/>
      <c r="H12" s="73"/>
      <c r="I12" s="22"/>
      <c r="J12" s="22"/>
      <c r="K12" s="237">
        <f>SUM(K6:K8)</f>
        <v>1267301.1199999999</v>
      </c>
      <c r="L12" s="22"/>
      <c r="M12" s="22"/>
      <c r="N12" s="237">
        <f>SUM(N6:N8)</f>
        <v>1258862.0500000003</v>
      </c>
      <c r="O12" s="22"/>
      <c r="P12" s="22"/>
      <c r="Q12" s="237">
        <f>SUM(Q6:Q8)</f>
        <v>1250661.37</v>
      </c>
      <c r="R12" s="22"/>
      <c r="S12" s="22"/>
      <c r="T12" s="237">
        <f>SUM(T6:T8)</f>
        <v>1242612.09</v>
      </c>
      <c r="U12" s="32" t="s">
        <v>259</v>
      </c>
      <c r="V12" s="22"/>
      <c r="W12" s="22"/>
      <c r="X12" s="237">
        <f>SUM(X6:X8)</f>
        <v>1233913.4400000002</v>
      </c>
      <c r="Y12" s="237"/>
      <c r="Z12" s="22"/>
      <c r="AA12" s="22"/>
      <c r="AB12" s="237">
        <f>SUM(AB6:AB8)</f>
        <v>1225578.05</v>
      </c>
      <c r="AC12" s="22"/>
      <c r="AD12" s="22"/>
      <c r="AE12" s="237">
        <f>SUM(AE6:AE8)</f>
        <v>1217143.452879589</v>
      </c>
      <c r="AF12" s="22"/>
      <c r="AG12" s="22"/>
      <c r="AH12" s="237">
        <f>SUM(AH6:AH8)</f>
        <v>1209020.262879589</v>
      </c>
      <c r="AI12" s="22"/>
      <c r="AJ12" s="22"/>
      <c r="AK12" s="237">
        <f>SUM(AK6:AK8)</f>
        <v>1200635.0128795893</v>
      </c>
      <c r="AL12" s="237"/>
      <c r="AM12" s="22"/>
      <c r="AN12" s="22"/>
      <c r="AO12" s="237">
        <f>SUM(AO6:AO8)</f>
        <v>1192313.7928795891</v>
      </c>
      <c r="AP12" s="72"/>
      <c r="AQ12" s="72"/>
      <c r="AR12" s="237">
        <f>SUM(AR6:AR8)</f>
        <v>1183895.0628795892</v>
      </c>
      <c r="AS12" s="22"/>
      <c r="AT12" s="22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2">
        <f>SUM(CI6:CI10)</f>
        <v>203415.417200775</v>
      </c>
      <c r="CJ12" s="22">
        <f>SUM(CJ6:CJ10)</f>
        <v>102556.93184032089</v>
      </c>
      <c r="CK12" s="22">
        <f>SUM(CK6:CK10)</f>
        <v>8772902.520535149</v>
      </c>
    </row>
    <row r="13" spans="1:95" ht="18" customHeight="1">
      <c r="A13" s="260"/>
      <c r="B13" s="260"/>
      <c r="C13" s="564"/>
      <c r="D13" s="564"/>
      <c r="E13" s="258"/>
      <c r="F13" s="258"/>
      <c r="G13" s="259"/>
      <c r="H13" s="72"/>
      <c r="I13" s="22"/>
      <c r="J13" s="262"/>
      <c r="K13" s="263"/>
      <c r="L13" s="32"/>
      <c r="M13" s="32"/>
      <c r="N13" s="263"/>
      <c r="O13" s="32"/>
      <c r="P13" s="32"/>
      <c r="Q13" s="263"/>
      <c r="R13" s="575" t="s">
        <v>257</v>
      </c>
      <c r="S13" s="575"/>
      <c r="T13" s="575"/>
      <c r="U13" s="575"/>
      <c r="V13" s="32"/>
      <c r="X13" s="263"/>
      <c r="Y13" s="263"/>
      <c r="Z13" s="32"/>
      <c r="AA13" s="465">
        <f>+Z6+AA6</f>
        <v>6234.25</v>
      </c>
      <c r="AB13" s="263"/>
      <c r="AC13" s="32"/>
      <c r="AD13" s="32"/>
      <c r="AE13" s="263"/>
      <c r="AF13" s="32"/>
      <c r="AG13" s="32"/>
      <c r="AH13" s="263"/>
      <c r="AI13" s="32"/>
      <c r="AJ13" s="32"/>
      <c r="AK13" s="263"/>
      <c r="AL13" s="263"/>
      <c r="AM13" s="32"/>
      <c r="AN13" s="32"/>
      <c r="AO13" s="263"/>
      <c r="AP13" s="74"/>
      <c r="AQ13" s="74"/>
      <c r="AR13" s="263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111"/>
      <c r="CK13" s="111"/>
      <c r="CL13" s="577" t="s">
        <v>276</v>
      </c>
      <c r="CM13" s="577"/>
      <c r="CN13" s="577"/>
      <c r="CO13" s="577"/>
      <c r="CP13" s="577"/>
      <c r="CQ13" s="577"/>
    </row>
    <row r="14" spans="1:89" ht="18" customHeight="1">
      <c r="A14" s="386"/>
      <c r="B14" s="261"/>
      <c r="C14" s="565"/>
      <c r="D14" s="566"/>
      <c r="E14" s="392"/>
      <c r="F14" s="387"/>
      <c r="G14" s="22"/>
      <c r="H14" s="72"/>
      <c r="I14" s="22"/>
      <c r="J14" s="262"/>
      <c r="K14" s="237"/>
      <c r="L14" s="22"/>
      <c r="M14" s="22"/>
      <c r="N14" s="237"/>
      <c r="O14" s="191">
        <f>+(N6*G6)*(31/365)</f>
        <v>1262.2880997260274</v>
      </c>
      <c r="P14" s="191">
        <f>+O6+P6</f>
        <v>6234.25</v>
      </c>
      <c r="Q14" s="458"/>
      <c r="R14" s="191"/>
      <c r="S14" s="191"/>
      <c r="T14" s="458"/>
      <c r="U14" s="458"/>
      <c r="V14" s="191"/>
      <c r="W14" s="191"/>
      <c r="X14" s="237"/>
      <c r="Y14" s="237"/>
      <c r="Z14" s="22"/>
      <c r="AA14" s="466">
        <f>+Z7+AA7</f>
        <v>4215.59</v>
      </c>
      <c r="AB14" s="237"/>
      <c r="AC14" s="22"/>
      <c r="AD14" s="22"/>
      <c r="AE14" s="237"/>
      <c r="AF14" s="22"/>
      <c r="AG14" s="22"/>
      <c r="AH14" s="237"/>
      <c r="AI14" s="22"/>
      <c r="AJ14" s="22"/>
      <c r="AK14" s="237"/>
      <c r="AL14" s="237"/>
      <c r="AM14" s="22"/>
      <c r="AN14" s="22"/>
      <c r="AO14" s="237"/>
      <c r="AP14" s="72"/>
      <c r="AQ14" s="72"/>
      <c r="AR14" s="237"/>
      <c r="AS14" s="22"/>
      <c r="AT14" s="22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111"/>
      <c r="CJ14" s="111"/>
      <c r="CK14" s="111"/>
    </row>
    <row r="15" spans="1:95" ht="18" customHeight="1">
      <c r="A15" s="34"/>
      <c r="B15" s="261"/>
      <c r="C15" s="566"/>
      <c r="D15" s="566"/>
      <c r="E15" s="402"/>
      <c r="F15" s="286"/>
      <c r="G15" s="22"/>
      <c r="H15" s="72"/>
      <c r="I15" s="22"/>
      <c r="J15" s="22"/>
      <c r="K15" s="237"/>
      <c r="L15" s="22"/>
      <c r="M15" s="22"/>
      <c r="N15" s="237"/>
      <c r="O15" s="191">
        <f>+(N7*G7)*(31/365)</f>
        <v>1213.720705479452</v>
      </c>
      <c r="P15" s="191">
        <f>+O7+P7</f>
        <v>4215.59</v>
      </c>
      <c r="Q15" s="458"/>
      <c r="R15" s="191"/>
      <c r="S15" s="191"/>
      <c r="T15" s="458"/>
      <c r="U15" s="458"/>
      <c r="V15" s="191"/>
      <c r="W15" s="191"/>
      <c r="X15" s="237"/>
      <c r="Y15" s="237"/>
      <c r="Z15" s="22"/>
      <c r="AA15" s="466">
        <f>+Z8+AA8</f>
        <v>377.39</v>
      </c>
      <c r="AB15" s="237"/>
      <c r="AC15" s="22"/>
      <c r="AD15" s="22"/>
      <c r="AE15" s="237"/>
      <c r="AF15" s="22"/>
      <c r="AG15" s="22"/>
      <c r="AH15" s="237"/>
      <c r="AI15" s="22"/>
      <c r="AJ15" s="22"/>
      <c r="AK15" s="237"/>
      <c r="AL15" s="237"/>
      <c r="AM15" s="22"/>
      <c r="AN15" s="22"/>
      <c r="AO15" s="237"/>
      <c r="AP15" s="72"/>
      <c r="AQ15" s="72"/>
      <c r="AR15" s="237"/>
      <c r="AS15" s="22"/>
      <c r="AT15" s="22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111"/>
      <c r="CJ15" s="111"/>
      <c r="CK15" s="111"/>
      <c r="CM15" s="1" t="s">
        <v>226</v>
      </c>
      <c r="CQ15" s="1" t="s">
        <v>275</v>
      </c>
    </row>
    <row r="16" spans="2:86" ht="15">
      <c r="B16" s="261"/>
      <c r="C16" s="566"/>
      <c r="D16" s="566"/>
      <c r="E16" s="402"/>
      <c r="F16" s="286"/>
      <c r="G16" s="22"/>
      <c r="H16" s="89"/>
      <c r="I16" s="89"/>
      <c r="J16" s="166"/>
      <c r="K16" s="164"/>
      <c r="L16" s="89"/>
      <c r="M16" s="166"/>
      <c r="N16" s="165"/>
      <c r="O16" s="191">
        <f>+(N8*G8)*(31/365)</f>
        <v>150.53800438356166</v>
      </c>
      <c r="P16" s="459">
        <f>+O8+P8</f>
        <v>377.39</v>
      </c>
      <c r="Q16" s="460"/>
      <c r="R16" s="191"/>
      <c r="S16" s="190"/>
      <c r="T16" s="458"/>
      <c r="U16" s="458"/>
      <c r="V16" s="191"/>
      <c r="W16" s="191"/>
      <c r="X16" s="237"/>
      <c r="Y16" s="165"/>
      <c r="Z16" s="89"/>
      <c r="AA16" s="166"/>
      <c r="AB16" s="165"/>
      <c r="AC16" s="75"/>
      <c r="AD16" s="109"/>
      <c r="AE16" s="165"/>
      <c r="AF16" s="89"/>
      <c r="AG16" s="109"/>
      <c r="AH16" s="165"/>
      <c r="AI16" s="72"/>
      <c r="AJ16" s="109"/>
      <c r="AK16" s="165"/>
      <c r="AL16" s="165"/>
      <c r="AM16" s="75"/>
      <c r="AN16" s="109"/>
      <c r="AO16" s="165"/>
      <c r="AP16" s="89"/>
      <c r="AQ16" s="166"/>
      <c r="AR16" s="167"/>
      <c r="AS16" s="89"/>
      <c r="AT16" s="166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</row>
    <row r="17" spans="2:96" ht="15">
      <c r="B17" s="261"/>
      <c r="C17" s="566"/>
      <c r="D17" s="566"/>
      <c r="E17" s="402"/>
      <c r="F17" s="286"/>
      <c r="G17" s="22"/>
      <c r="H17" s="89"/>
      <c r="I17" s="89"/>
      <c r="J17" s="166"/>
      <c r="K17" s="134"/>
      <c r="L17" s="89"/>
      <c r="M17" s="166"/>
      <c r="N17" s="134"/>
      <c r="O17" s="460"/>
      <c r="P17" s="461"/>
      <c r="Q17" s="461"/>
      <c r="R17" s="191"/>
      <c r="S17" s="191"/>
      <c r="T17" s="460"/>
      <c r="U17" s="460"/>
      <c r="V17" s="460"/>
      <c r="W17" s="460"/>
      <c r="X17" s="452"/>
      <c r="Y17" s="168"/>
      <c r="Z17" s="89"/>
      <c r="AA17" s="109"/>
      <c r="AB17" s="89"/>
      <c r="AC17" s="75"/>
      <c r="AD17" s="166"/>
      <c r="AE17" s="89"/>
      <c r="AF17" s="89"/>
      <c r="AG17" s="166"/>
      <c r="AH17" s="89"/>
      <c r="AI17" s="89"/>
      <c r="AJ17" s="166"/>
      <c r="AK17" s="89"/>
      <c r="AL17" s="89"/>
      <c r="AM17" s="75"/>
      <c r="AN17" s="166"/>
      <c r="AO17" s="89"/>
      <c r="AP17" s="89"/>
      <c r="AQ17" s="134"/>
      <c r="AR17" s="91"/>
      <c r="AS17" s="89"/>
      <c r="AT17" s="166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L17" s="471" t="s">
        <v>240</v>
      </c>
      <c r="CM17" s="80">
        <f>+CK12</f>
        <v>8772902.520535149</v>
      </c>
      <c r="CP17" s="1" t="s">
        <v>277</v>
      </c>
      <c r="CQ17" s="80" t="e">
        <f>+CM19+'FFB Payts'!BM42+'CFC Payts'!#REF!</f>
        <v>#REF!</v>
      </c>
      <c r="CR17" s="1" t="s">
        <v>281</v>
      </c>
    </row>
    <row r="18" spans="2:91" ht="15">
      <c r="B18" s="261"/>
      <c r="C18" s="566"/>
      <c r="D18" s="566"/>
      <c r="E18" s="402"/>
      <c r="F18" s="286"/>
      <c r="G18" s="22"/>
      <c r="J18" s="110"/>
      <c r="O18" s="198"/>
      <c r="P18" s="198"/>
      <c r="Q18" s="198"/>
      <c r="R18" s="462"/>
      <c r="S18" s="463"/>
      <c r="T18" s="198"/>
      <c r="U18" s="198"/>
      <c r="V18" s="198"/>
      <c r="W18" s="198"/>
      <c r="X18" s="112"/>
      <c r="Y18" s="112"/>
      <c r="AA18" s="109"/>
      <c r="AD18" s="109"/>
      <c r="AG18" s="109"/>
      <c r="AJ18" s="109"/>
      <c r="AK18" s="109"/>
      <c r="AL18" s="109"/>
      <c r="AM18" s="75"/>
      <c r="AN18" s="109"/>
      <c r="AQ18" s="110"/>
      <c r="AT18" s="109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K18" s="80"/>
      <c r="CL18" s="472" t="s">
        <v>280</v>
      </c>
      <c r="CM18" s="473">
        <f>+CJ12</f>
        <v>102556.93184032089</v>
      </c>
    </row>
    <row r="19" spans="2:96" ht="15">
      <c r="B19" s="261"/>
      <c r="C19" s="566"/>
      <c r="D19" s="566"/>
      <c r="E19" s="402"/>
      <c r="F19" s="286"/>
      <c r="G19" s="22"/>
      <c r="S19" s="109"/>
      <c r="X19" s="112"/>
      <c r="Y19" s="112"/>
      <c r="AA19" s="109"/>
      <c r="AD19" s="109"/>
      <c r="AG19" s="109"/>
      <c r="AJ19" s="109"/>
      <c r="AK19" s="109"/>
      <c r="AL19" s="109"/>
      <c r="AM19" s="125"/>
      <c r="AN19" s="109"/>
      <c r="AQ19" s="117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M19" s="80">
        <f>+CM17-CM18</f>
        <v>8670345.588694828</v>
      </c>
      <c r="CN19" s="1" t="s">
        <v>273</v>
      </c>
      <c r="CP19" s="475" t="s">
        <v>283</v>
      </c>
      <c r="CQ19" s="473">
        <f>+CM18+'FFB Payts'!BM41+'CFC Payts'!AD49</f>
        <v>2605860.088793809</v>
      </c>
      <c r="CR19" s="1" t="s">
        <v>282</v>
      </c>
    </row>
    <row r="20" spans="2:95" ht="15">
      <c r="B20" s="261"/>
      <c r="C20" s="566"/>
      <c r="D20" s="566"/>
      <c r="E20" s="402"/>
      <c r="F20" s="286"/>
      <c r="G20" s="22"/>
      <c r="H20" s="126"/>
      <c r="I20" s="126" t="s">
        <v>118</v>
      </c>
      <c r="J20" s="126"/>
      <c r="K20" s="126"/>
      <c r="L20" s="135">
        <f>I9+L9</f>
        <v>5134.72</v>
      </c>
      <c r="M20" s="135"/>
      <c r="N20" s="135"/>
      <c r="O20" s="135">
        <f>L20+O9</f>
        <v>7761.27</v>
      </c>
      <c r="P20" s="135"/>
      <c r="Q20" s="135"/>
      <c r="R20" s="136">
        <f>O20+R9</f>
        <v>10539.216053013699</v>
      </c>
      <c r="S20" s="135"/>
      <c r="T20" s="135"/>
      <c r="U20" s="135"/>
      <c r="V20" s="135">
        <f>R20+V9</f>
        <v>12880.8160530137</v>
      </c>
      <c r="W20" s="135"/>
      <c r="X20" s="137"/>
      <c r="Y20" s="137"/>
      <c r="Z20" s="135">
        <f>V20+Z9</f>
        <v>15372.6560530137</v>
      </c>
      <c r="AA20" s="135"/>
      <c r="AB20" s="135"/>
      <c r="AC20" s="136">
        <f>Z20+AC9</f>
        <v>17765.28893260274</v>
      </c>
      <c r="AD20" s="135"/>
      <c r="AE20" s="135"/>
      <c r="AF20" s="135">
        <f>AC20+AF9</f>
        <v>20469.32893260274</v>
      </c>
      <c r="AG20" s="138"/>
      <c r="AH20" s="135"/>
      <c r="AI20" s="135">
        <f>AF20+AI9</f>
        <v>22911.30893260274</v>
      </c>
      <c r="AJ20" s="135"/>
      <c r="AK20" s="135"/>
      <c r="AL20" s="135"/>
      <c r="AM20" s="136">
        <f>AI20+AM9</f>
        <v>25417.318932602742</v>
      </c>
      <c r="AN20" s="135"/>
      <c r="AO20" s="135"/>
      <c r="AP20" s="135">
        <f>AM20+AP9</f>
        <v>27825.818932602742</v>
      </c>
      <c r="AR20" s="135"/>
      <c r="AS20" s="135"/>
      <c r="AT20" s="126"/>
      <c r="AU20" s="126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1"/>
      <c r="CQ20" s="80" t="e">
        <f>+CQ17+CQ19</f>
        <v>#REF!</v>
      </c>
    </row>
    <row r="21" spans="2:7" ht="15">
      <c r="B21" s="261"/>
      <c r="C21" s="566"/>
      <c r="D21" s="566"/>
      <c r="E21" s="402"/>
      <c r="F21" s="286"/>
      <c r="G21" s="22"/>
    </row>
    <row r="22" spans="2:91" ht="15">
      <c r="B22" s="261"/>
      <c r="C22" s="566"/>
      <c r="D22" s="566"/>
      <c r="E22" s="402"/>
      <c r="F22" s="389"/>
      <c r="G22" s="22"/>
      <c r="K22" s="80"/>
      <c r="M22" s="80"/>
      <c r="V22" s="89"/>
      <c r="CL22" s="471" t="s">
        <v>278</v>
      </c>
      <c r="CM22" s="80">
        <f>+CI12</f>
        <v>203415.417200775</v>
      </c>
    </row>
    <row r="23" spans="2:91" ht="15">
      <c r="B23" s="261"/>
      <c r="C23" s="566"/>
      <c r="D23" s="566"/>
      <c r="E23" s="402"/>
      <c r="F23" s="389"/>
      <c r="G23" s="22"/>
      <c r="I23" s="1" t="s">
        <v>179</v>
      </c>
      <c r="K23" s="80"/>
      <c r="P23" s="80">
        <f>I9+J9+L9+M9+O9+P9</f>
        <v>32481.69</v>
      </c>
      <c r="AA23" s="80">
        <f>P23+R9+S9+U9+V9+W9+Z9+AA9</f>
        <v>65176.39605301368</v>
      </c>
      <c r="AJ23" s="80">
        <f>AA23+AC8+AD6+AF9+AG9+AI9+AJ9+AD7+AD8+AC7+AC6</f>
        <v>97658.08605301367</v>
      </c>
      <c r="AT23" s="80"/>
      <c r="CL23" s="472" t="s">
        <v>279</v>
      </c>
      <c r="CM23" s="473">
        <f>+CJ12</f>
        <v>102556.93184032089</v>
      </c>
    </row>
    <row r="24" spans="2:92" ht="15">
      <c r="B24" s="261"/>
      <c r="C24" s="566"/>
      <c r="D24" s="566"/>
      <c r="E24" s="402"/>
      <c r="F24" s="286"/>
      <c r="G24" s="22"/>
      <c r="S24" s="22"/>
      <c r="CM24" s="80">
        <f>+CM22+CM23</f>
        <v>305972.3490410959</v>
      </c>
      <c r="CN24" s="1" t="s">
        <v>274</v>
      </c>
    </row>
    <row r="25" spans="2:14" ht="15">
      <c r="B25" s="261"/>
      <c r="C25" s="566"/>
      <c r="D25" s="566"/>
      <c r="E25" s="402"/>
      <c r="F25" s="389"/>
      <c r="G25" s="22"/>
      <c r="N25" s="80"/>
    </row>
    <row r="26" spans="2:16" ht="15">
      <c r="B26" s="261"/>
      <c r="C26" s="566"/>
      <c r="D26" s="566"/>
      <c r="E26" s="402"/>
      <c r="F26" s="389"/>
      <c r="G26" s="22"/>
      <c r="L26" s="22"/>
      <c r="N26" s="80"/>
      <c r="P26" s="30"/>
    </row>
    <row r="27" spans="2:16" ht="15">
      <c r="B27" s="261"/>
      <c r="C27" s="566"/>
      <c r="D27" s="566"/>
      <c r="E27" s="402"/>
      <c r="F27" s="286"/>
      <c r="G27" s="22"/>
      <c r="P27" s="30"/>
    </row>
    <row r="28" spans="5:16" ht="15">
      <c r="E28" s="188"/>
      <c r="F28" s="188"/>
      <c r="P28" s="30"/>
    </row>
    <row r="29" spans="5:16" ht="15">
      <c r="E29" s="188"/>
      <c r="F29" s="188"/>
      <c r="G29" s="80"/>
      <c r="P29" s="30"/>
    </row>
    <row r="30" spans="3:16" ht="15">
      <c r="C30" s="395"/>
      <c r="E30" s="188"/>
      <c r="F30" s="188"/>
      <c r="G30" s="80"/>
      <c r="P30" s="30"/>
    </row>
    <row r="31" spans="3:16" ht="15">
      <c r="C31" s="395"/>
      <c r="E31" s="188"/>
      <c r="F31" s="188"/>
      <c r="G31" s="391"/>
      <c r="K31" s="80"/>
      <c r="P31" s="30"/>
    </row>
    <row r="32" spans="5:16" ht="15">
      <c r="E32" s="188"/>
      <c r="F32" s="188"/>
      <c r="P32" s="30"/>
    </row>
    <row r="33" spans="5:16" ht="15">
      <c r="E33" s="188"/>
      <c r="F33" s="188"/>
      <c r="P33" s="30"/>
    </row>
    <row r="34" spans="5:16" ht="15">
      <c r="E34" s="188"/>
      <c r="F34" s="188"/>
      <c r="P34" s="30"/>
    </row>
    <row r="35" spans="5:16" ht="15">
      <c r="E35" s="188"/>
      <c r="F35" s="188"/>
      <c r="P35" s="72"/>
    </row>
    <row r="36" spans="5:16" ht="15">
      <c r="E36" s="188"/>
      <c r="F36" s="188"/>
      <c r="P36" s="22"/>
    </row>
    <row r="37" spans="6:16" ht="15">
      <c r="F37" s="80"/>
      <c r="P37" s="32"/>
    </row>
    <row r="38" ht="15">
      <c r="F38" s="188"/>
    </row>
  </sheetData>
  <sheetProtection/>
  <mergeCells count="21">
    <mergeCell ref="C15:D15"/>
    <mergeCell ref="AI1:AU1"/>
    <mergeCell ref="C24:D24"/>
    <mergeCell ref="C14:D14"/>
    <mergeCell ref="CL13:CQ13"/>
    <mergeCell ref="C26:D26"/>
    <mergeCell ref="C27:D27"/>
    <mergeCell ref="C19:D19"/>
    <mergeCell ref="C20:D20"/>
    <mergeCell ref="C22:D22"/>
    <mergeCell ref="C23:D23"/>
    <mergeCell ref="C13:D13"/>
    <mergeCell ref="C25:D25"/>
    <mergeCell ref="R13:U13"/>
    <mergeCell ref="C21:D21"/>
    <mergeCell ref="CF3:CH3"/>
    <mergeCell ref="AY1:CH1"/>
    <mergeCell ref="C16:D16"/>
    <mergeCell ref="C17:D17"/>
    <mergeCell ref="C18:D18"/>
    <mergeCell ref="V1:AH1"/>
  </mergeCells>
  <printOptions horizontalCentered="1"/>
  <pageMargins left="0.25" right="0.5" top="1" bottom="0.25" header="0" footer="0"/>
  <pageSetup fitToHeight="1" fitToWidth="1" horizontalDpi="600" verticalDpi="600" orientation="landscape" scale="22" r:id="rId1"/>
  <colBreaks count="4" manualBreakCount="4">
    <brk id="17" max="19" man="1"/>
    <brk id="28" max="19" man="1"/>
    <brk id="38" max="19" man="1"/>
    <brk id="14037" min="1" max="147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13">
      <selection activeCell="A13" sqref="A13"/>
    </sheetView>
  </sheetViews>
  <sheetFormatPr defaultColWidth="9.6640625" defaultRowHeight="15"/>
  <cols>
    <col min="1" max="2" width="7.88671875" style="1" bestFit="1" customWidth="1"/>
    <col min="3" max="3" width="10.6640625" style="1" customWidth="1"/>
    <col min="4" max="4" width="10.88671875" style="1" customWidth="1"/>
    <col min="5" max="5" width="10.6640625" style="1" customWidth="1"/>
    <col min="6" max="6" width="6.77734375" style="1" customWidth="1"/>
    <col min="7" max="7" width="1.5625" style="1" bestFit="1" customWidth="1"/>
    <col min="8" max="8" width="6.21484375" style="1" customWidth="1"/>
    <col min="9" max="9" width="9.99609375" style="1" bestFit="1" customWidth="1"/>
    <col min="10" max="10" width="10.77734375" style="1" customWidth="1"/>
    <col min="11" max="11" width="10.6640625" style="1" customWidth="1"/>
    <col min="12" max="12" width="3.77734375" style="1" customWidth="1"/>
    <col min="13" max="14" width="9.6640625" style="1" customWidth="1"/>
    <col min="15" max="15" width="10.6640625" style="1" customWidth="1"/>
    <col min="16" max="16" width="4.5546875" style="1" customWidth="1"/>
    <col min="17" max="18" width="9.6640625" style="1" customWidth="1"/>
    <col min="19" max="19" width="10.6640625" style="1" customWidth="1"/>
    <col min="20" max="20" width="5.21484375" style="1" customWidth="1"/>
    <col min="21" max="21" width="9.6640625" style="6" customWidth="1"/>
    <col min="22" max="22" width="9.6640625" style="1" customWidth="1"/>
    <col min="23" max="23" width="10.6640625" style="1" customWidth="1"/>
    <col min="24" max="25" width="9.6640625" style="1" customWidth="1"/>
    <col min="26" max="26" width="10.6640625" style="1" customWidth="1"/>
    <col min="27" max="29" width="11.10546875" style="1" customWidth="1"/>
    <col min="30" max="30" width="11.10546875" style="6" customWidth="1"/>
    <col min="31" max="37" width="11.10546875" style="1" customWidth="1"/>
    <col min="38" max="16384" width="9.6640625" style="1" customWidth="1"/>
  </cols>
  <sheetData>
    <row r="1" spans="1:37" ht="18" customHeight="1">
      <c r="A1" s="2">
        <f ca="1">NOW()</f>
        <v>45234.445947685184</v>
      </c>
      <c r="B1" s="2"/>
      <c r="C1" s="2"/>
      <c r="D1" s="2"/>
      <c r="E1" s="578" t="s">
        <v>131</v>
      </c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9" t="s">
        <v>131</v>
      </c>
      <c r="AB1" s="580"/>
      <c r="AC1" s="580"/>
      <c r="AD1" s="580"/>
      <c r="AE1" s="580"/>
      <c r="AF1" s="580"/>
      <c r="AG1" s="580"/>
      <c r="AH1" s="580"/>
      <c r="AI1" s="580"/>
      <c r="AJ1" s="580"/>
      <c r="AK1" s="580"/>
    </row>
    <row r="2" spans="1:16" ht="15">
      <c r="A2" s="5" t="s">
        <v>0</v>
      </c>
      <c r="B2" s="7" t="s">
        <v>112</v>
      </c>
      <c r="C2" s="7" t="s">
        <v>114</v>
      </c>
      <c r="D2" s="7" t="s">
        <v>115</v>
      </c>
      <c r="I2" s="4"/>
      <c r="J2" s="4"/>
      <c r="K2" s="4"/>
      <c r="L2" s="4"/>
      <c r="M2" s="4"/>
      <c r="N2" s="4"/>
      <c r="O2" s="4"/>
      <c r="P2" s="4"/>
    </row>
    <row r="3" spans="1:38" ht="15">
      <c r="A3" s="7" t="s">
        <v>1</v>
      </c>
      <c r="B3" s="7" t="s">
        <v>73</v>
      </c>
      <c r="C3" s="7" t="s">
        <v>73</v>
      </c>
      <c r="D3" s="7" t="s">
        <v>73</v>
      </c>
      <c r="E3" s="7" t="s">
        <v>31</v>
      </c>
      <c r="F3" s="7" t="s">
        <v>32</v>
      </c>
      <c r="G3" s="7"/>
      <c r="H3" s="7"/>
      <c r="I3" s="572" t="s">
        <v>37</v>
      </c>
      <c r="J3" s="573"/>
      <c r="K3" s="574"/>
      <c r="L3" s="83"/>
      <c r="M3" s="573" t="s">
        <v>40</v>
      </c>
      <c r="N3" s="573"/>
      <c r="O3" s="574"/>
      <c r="P3" s="103"/>
      <c r="Q3" s="11" t="s">
        <v>43</v>
      </c>
      <c r="R3" s="12"/>
      <c r="S3" s="83"/>
      <c r="T3" s="148"/>
      <c r="U3" s="147" t="s">
        <v>46</v>
      </c>
      <c r="V3" s="12"/>
      <c r="W3" s="12"/>
      <c r="X3" s="13" t="s">
        <v>48</v>
      </c>
      <c r="Y3" s="12"/>
      <c r="Z3" s="85"/>
      <c r="AA3" s="152" t="s">
        <v>49</v>
      </c>
      <c r="AB3" s="14" t="s">
        <v>49</v>
      </c>
      <c r="AC3" s="14" t="s">
        <v>49</v>
      </c>
      <c r="AD3" s="14" t="s">
        <v>49</v>
      </c>
      <c r="AE3" s="63" t="s">
        <v>49</v>
      </c>
      <c r="AF3" s="14" t="s">
        <v>49</v>
      </c>
      <c r="AG3" s="14" t="s">
        <v>49</v>
      </c>
      <c r="AH3" s="14" t="s">
        <v>49</v>
      </c>
      <c r="AI3" s="14" t="s">
        <v>49</v>
      </c>
      <c r="AJ3" s="14" t="s">
        <v>49</v>
      </c>
      <c r="AK3" s="96" t="s">
        <v>59</v>
      </c>
      <c r="AL3" s="75"/>
    </row>
    <row r="4" spans="5:38" ht="15.75" customHeight="1">
      <c r="E4" s="16">
        <v>42369</v>
      </c>
      <c r="F4" s="17"/>
      <c r="G4" s="17"/>
      <c r="H4" s="17"/>
      <c r="I4" s="18" t="s">
        <v>34</v>
      </c>
      <c r="J4" s="19" t="s">
        <v>35</v>
      </c>
      <c r="K4" s="87" t="s">
        <v>36</v>
      </c>
      <c r="L4" s="87"/>
      <c r="M4" s="101" t="s">
        <v>34</v>
      </c>
      <c r="N4" s="19" t="s">
        <v>35</v>
      </c>
      <c r="O4" s="87" t="s">
        <v>36</v>
      </c>
      <c r="P4" s="87"/>
      <c r="Q4" s="101" t="s">
        <v>34</v>
      </c>
      <c r="R4" s="19" t="s">
        <v>35</v>
      </c>
      <c r="S4" s="87" t="s">
        <v>36</v>
      </c>
      <c r="T4" s="149"/>
      <c r="U4" s="101" t="s">
        <v>34</v>
      </c>
      <c r="V4" s="19" t="s">
        <v>35</v>
      </c>
      <c r="W4" s="19" t="s">
        <v>36</v>
      </c>
      <c r="X4" s="18" t="s">
        <v>34</v>
      </c>
      <c r="Y4" s="19" t="s">
        <v>35</v>
      </c>
      <c r="Z4" s="87" t="s">
        <v>36</v>
      </c>
      <c r="AA4" s="153" t="s">
        <v>50</v>
      </c>
      <c r="AB4" s="20" t="s">
        <v>51</v>
      </c>
      <c r="AC4" s="20" t="s">
        <v>52</v>
      </c>
      <c r="AD4" s="20" t="s">
        <v>53</v>
      </c>
      <c r="AE4" s="64" t="s">
        <v>54</v>
      </c>
      <c r="AF4" s="20" t="s">
        <v>55</v>
      </c>
      <c r="AG4" s="20" t="s">
        <v>56</v>
      </c>
      <c r="AH4" s="20" t="s">
        <v>57</v>
      </c>
      <c r="AI4" s="20">
        <v>2006</v>
      </c>
      <c r="AJ4" s="20">
        <v>2007</v>
      </c>
      <c r="AK4" s="97" t="s">
        <v>36</v>
      </c>
      <c r="AL4" s="75"/>
    </row>
    <row r="5" spans="5:38" ht="18" customHeight="1">
      <c r="E5" s="16"/>
      <c r="F5" s="17"/>
      <c r="G5" s="17"/>
      <c r="H5" s="17"/>
      <c r="I5" s="24"/>
      <c r="J5" s="25"/>
      <c r="K5" s="124"/>
      <c r="L5" s="124"/>
      <c r="M5" s="25"/>
      <c r="N5" s="25"/>
      <c r="O5" s="124"/>
      <c r="P5" s="124"/>
      <c r="Q5" s="25"/>
      <c r="R5" s="25"/>
      <c r="S5" s="124"/>
      <c r="T5" s="150"/>
      <c r="U5" s="25"/>
      <c r="V5" s="25"/>
      <c r="W5" s="25"/>
      <c r="X5" s="39"/>
      <c r="Y5" s="40"/>
      <c r="Z5" s="95"/>
      <c r="AA5" s="154"/>
      <c r="AB5" s="41"/>
      <c r="AC5" s="41"/>
      <c r="AD5" s="41"/>
      <c r="AE5" s="65"/>
      <c r="AF5" s="24"/>
      <c r="AG5" s="24"/>
      <c r="AH5" s="24"/>
      <c r="AI5" s="24"/>
      <c r="AJ5" s="24"/>
      <c r="AK5" s="98"/>
      <c r="AL5" s="75"/>
    </row>
    <row r="6" spans="1:38" ht="17.25" customHeight="1">
      <c r="A6" s="21">
        <v>9001001</v>
      </c>
      <c r="B6" s="21"/>
      <c r="C6" s="21"/>
      <c r="D6" s="21"/>
      <c r="E6" s="22">
        <v>0</v>
      </c>
      <c r="F6" s="42">
        <v>0.07</v>
      </c>
      <c r="G6" s="42"/>
      <c r="H6" s="42"/>
      <c r="I6" s="29"/>
      <c r="J6" s="72"/>
      <c r="K6" s="73">
        <f aca="true" t="shared" si="0" ref="K6:K19">E6-J6</f>
        <v>0</v>
      </c>
      <c r="L6" s="73"/>
      <c r="M6" s="72"/>
      <c r="N6" s="72"/>
      <c r="O6" s="73">
        <f aca="true" t="shared" si="1" ref="O6:O11">K6-N6</f>
        <v>0</v>
      </c>
      <c r="P6" s="73"/>
      <c r="Q6" s="72"/>
      <c r="R6" s="72"/>
      <c r="S6" s="73">
        <f aca="true" t="shared" si="2" ref="S6:S20">O6-R6</f>
        <v>0</v>
      </c>
      <c r="T6" s="151"/>
      <c r="U6" s="72"/>
      <c r="V6" s="72"/>
      <c r="W6" s="22">
        <f aca="true" t="shared" si="3" ref="W6:W20">S6-V6</f>
        <v>0</v>
      </c>
      <c r="X6" s="29"/>
      <c r="Y6" s="22"/>
      <c r="Z6" s="73">
        <f aca="true" t="shared" si="4" ref="Z6:Z22">E6-Y6</f>
        <v>0</v>
      </c>
      <c r="AA6" s="155">
        <v>26047.38</v>
      </c>
      <c r="AB6" s="29">
        <v>28274.91</v>
      </c>
      <c r="AC6" s="29">
        <v>30662.51</v>
      </c>
      <c r="AD6" s="29">
        <v>33221.68</v>
      </c>
      <c r="AE6" s="66">
        <v>35964.73</v>
      </c>
      <c r="AF6" s="29">
        <v>38904.93</v>
      </c>
      <c r="AG6" s="29">
        <v>42056.42</v>
      </c>
      <c r="AH6" s="29">
        <v>45434.37</v>
      </c>
      <c r="AI6" s="29">
        <v>49055.04</v>
      </c>
      <c r="AJ6" s="29">
        <f>Y6+AI6</f>
        <v>49055.04</v>
      </c>
      <c r="AK6" s="99">
        <f>E6+AJ6+0.06</f>
        <v>49055.1</v>
      </c>
      <c r="AL6" s="75"/>
    </row>
    <row r="7" spans="1:38" ht="18" customHeight="1">
      <c r="A7" s="21">
        <v>9003001</v>
      </c>
      <c r="B7" s="21"/>
      <c r="C7" s="21"/>
      <c r="D7" s="21"/>
      <c r="E7" s="22">
        <v>0</v>
      </c>
      <c r="F7" s="42">
        <v>0.07</v>
      </c>
      <c r="G7" s="42"/>
      <c r="H7" s="42"/>
      <c r="I7" s="29"/>
      <c r="J7" s="72"/>
      <c r="K7" s="73">
        <f t="shared" si="0"/>
        <v>0</v>
      </c>
      <c r="L7" s="73"/>
      <c r="M7" s="72"/>
      <c r="N7" s="72"/>
      <c r="O7" s="73">
        <f t="shared" si="1"/>
        <v>0</v>
      </c>
      <c r="P7" s="73"/>
      <c r="Q7" s="72"/>
      <c r="R7" s="72"/>
      <c r="S7" s="73">
        <f t="shared" si="2"/>
        <v>0</v>
      </c>
      <c r="T7" s="151"/>
      <c r="U7" s="72"/>
      <c r="V7" s="72"/>
      <c r="W7" s="22">
        <f t="shared" si="3"/>
        <v>0</v>
      </c>
      <c r="X7" s="29"/>
      <c r="Y7" s="22"/>
      <c r="Z7" s="73">
        <f t="shared" si="4"/>
        <v>0</v>
      </c>
      <c r="AA7" s="155">
        <v>77218.43</v>
      </c>
      <c r="AB7" s="29">
        <v>83907.21</v>
      </c>
      <c r="AC7" s="29">
        <v>91076.64</v>
      </c>
      <c r="AD7" s="29">
        <v>98761.25</v>
      </c>
      <c r="AE7" s="66">
        <v>106998.08</v>
      </c>
      <c r="AF7" s="29">
        <v>115826.79</v>
      </c>
      <c r="AG7" s="29">
        <v>125289.93</v>
      </c>
      <c r="AH7" s="29">
        <v>135433.08</v>
      </c>
      <c r="AI7" s="29">
        <v>146305.1</v>
      </c>
      <c r="AJ7" s="29">
        <f aca="true" t="shared" si="5" ref="AJ7:AJ20">Y7+AI7</f>
        <v>146305.1</v>
      </c>
      <c r="AK7" s="99">
        <f>E7+AJ7</f>
        <v>146305.1</v>
      </c>
      <c r="AL7" s="75"/>
    </row>
    <row r="8" spans="1:38" ht="18" customHeight="1">
      <c r="A8" s="21">
        <v>9004001</v>
      </c>
      <c r="B8" s="21"/>
      <c r="C8" s="21"/>
      <c r="D8" s="21"/>
      <c r="E8" s="22">
        <v>0</v>
      </c>
      <c r="F8" s="42">
        <v>0.07</v>
      </c>
      <c r="G8" s="42"/>
      <c r="H8" s="42"/>
      <c r="I8" s="29"/>
      <c r="J8" s="72"/>
      <c r="K8" s="73">
        <f t="shared" si="0"/>
        <v>0</v>
      </c>
      <c r="L8" s="73"/>
      <c r="M8" s="72"/>
      <c r="N8" s="72"/>
      <c r="O8" s="73">
        <f t="shared" si="1"/>
        <v>0</v>
      </c>
      <c r="P8" s="73"/>
      <c r="Q8" s="72"/>
      <c r="R8" s="72"/>
      <c r="S8" s="73">
        <f t="shared" si="2"/>
        <v>0</v>
      </c>
      <c r="T8" s="151"/>
      <c r="U8" s="72"/>
      <c r="V8" s="72"/>
      <c r="W8" s="22">
        <f t="shared" si="3"/>
        <v>0</v>
      </c>
      <c r="X8" s="29"/>
      <c r="Y8" s="22"/>
      <c r="Z8" s="73">
        <f t="shared" si="4"/>
        <v>0</v>
      </c>
      <c r="AA8" s="155">
        <v>88072.82</v>
      </c>
      <c r="AB8" s="29">
        <v>95815.99</v>
      </c>
      <c r="AC8" s="29">
        <v>104115.58</v>
      </c>
      <c r="AD8" s="29">
        <v>113011.57</v>
      </c>
      <c r="AE8" s="66">
        <v>122546.82</v>
      </c>
      <c r="AF8" s="29">
        <v>132767.27</v>
      </c>
      <c r="AG8" s="29">
        <v>143722.16</v>
      </c>
      <c r="AH8" s="29">
        <v>155464.25</v>
      </c>
      <c r="AI8" s="29">
        <v>168050.1</v>
      </c>
      <c r="AJ8" s="29">
        <f t="shared" si="5"/>
        <v>168050.1</v>
      </c>
      <c r="AK8" s="99">
        <f aca="true" t="shared" si="6" ref="AK8:AK20">E8+AJ8</f>
        <v>168050.1</v>
      </c>
      <c r="AL8" s="75"/>
    </row>
    <row r="9" spans="1:38" ht="18" customHeight="1">
      <c r="A9" s="21">
        <v>9005001</v>
      </c>
      <c r="B9" s="21"/>
      <c r="C9" s="21"/>
      <c r="D9" s="21"/>
      <c r="E9" s="22">
        <v>0</v>
      </c>
      <c r="F9" s="42">
        <v>0.035</v>
      </c>
      <c r="G9" s="42"/>
      <c r="H9" s="42"/>
      <c r="I9" s="29"/>
      <c r="J9" s="72"/>
      <c r="K9" s="73">
        <f t="shared" si="0"/>
        <v>0</v>
      </c>
      <c r="L9" s="73"/>
      <c r="M9" s="72"/>
      <c r="N9" s="72"/>
      <c r="O9" s="73">
        <f t="shared" si="1"/>
        <v>0</v>
      </c>
      <c r="P9" s="73"/>
      <c r="Q9" s="72"/>
      <c r="R9" s="72"/>
      <c r="S9" s="73">
        <f t="shared" si="2"/>
        <v>0</v>
      </c>
      <c r="T9" s="151"/>
      <c r="U9" s="72"/>
      <c r="V9" s="72"/>
      <c r="W9" s="22">
        <f t="shared" si="3"/>
        <v>0</v>
      </c>
      <c r="X9" s="29"/>
      <c r="Y9" s="22"/>
      <c r="Z9" s="73">
        <f t="shared" si="4"/>
        <v>0</v>
      </c>
      <c r="AA9" s="155">
        <v>58642</v>
      </c>
      <c r="AB9" s="29">
        <v>65434.51</v>
      </c>
      <c r="AC9" s="29">
        <v>72675.83</v>
      </c>
      <c r="AD9" s="29">
        <v>80050.57</v>
      </c>
      <c r="AE9" s="66">
        <v>87884.53</v>
      </c>
      <c r="AF9" s="29">
        <v>96347.65</v>
      </c>
      <c r="AG9" s="29">
        <v>105490.45</v>
      </c>
      <c r="AH9" s="29">
        <v>115367.52</v>
      </c>
      <c r="AI9" s="29">
        <v>126358.72</v>
      </c>
      <c r="AJ9" s="29">
        <f t="shared" si="5"/>
        <v>126358.72</v>
      </c>
      <c r="AK9" s="99">
        <f>E9+AJ9+0.01</f>
        <v>126358.73</v>
      </c>
      <c r="AL9" s="75"/>
    </row>
    <row r="10" spans="1:38" ht="18" customHeight="1">
      <c r="A10" s="21">
        <v>9006001</v>
      </c>
      <c r="B10" s="21"/>
      <c r="C10" s="21"/>
      <c r="D10" s="21"/>
      <c r="E10" s="22">
        <v>0</v>
      </c>
      <c r="F10" s="42">
        <v>0.06225</v>
      </c>
      <c r="G10" s="42"/>
      <c r="H10" s="42"/>
      <c r="I10" s="29"/>
      <c r="J10" s="72"/>
      <c r="K10" s="73">
        <f t="shared" si="0"/>
        <v>0</v>
      </c>
      <c r="L10" s="73"/>
      <c r="M10" s="72"/>
      <c r="N10" s="72"/>
      <c r="O10" s="73">
        <f t="shared" si="1"/>
        <v>0</v>
      </c>
      <c r="P10" s="73"/>
      <c r="Q10" s="72"/>
      <c r="R10" s="72"/>
      <c r="S10" s="73">
        <f t="shared" si="2"/>
        <v>0</v>
      </c>
      <c r="T10" s="151"/>
      <c r="U10" s="72"/>
      <c r="V10" s="72"/>
      <c r="W10" s="22">
        <f t="shared" si="3"/>
        <v>0</v>
      </c>
      <c r="X10" s="29"/>
      <c r="Y10" s="22"/>
      <c r="Z10" s="73">
        <f t="shared" si="4"/>
        <v>0</v>
      </c>
      <c r="AA10" s="155">
        <v>54037.75</v>
      </c>
      <c r="AB10" s="29">
        <v>60539.72</v>
      </c>
      <c r="AC10" s="29">
        <v>67464.5</v>
      </c>
      <c r="AD10" s="29">
        <v>74839.59</v>
      </c>
      <c r="AE10" s="66">
        <v>82694.26</v>
      </c>
      <c r="AF10" s="29">
        <v>91800.64</v>
      </c>
      <c r="AG10" s="29">
        <v>101498.74</v>
      </c>
      <c r="AH10" s="29">
        <v>111525.83</v>
      </c>
      <c r="AI10" s="29">
        <v>121319.55</v>
      </c>
      <c r="AJ10" s="29">
        <f t="shared" si="5"/>
        <v>121319.55</v>
      </c>
      <c r="AK10" s="99">
        <f>E10+AJ10+0.02</f>
        <v>121319.57</v>
      </c>
      <c r="AL10" s="75"/>
    </row>
    <row r="11" spans="1:38" ht="18" customHeight="1">
      <c r="A11" s="21">
        <v>9007001</v>
      </c>
      <c r="B11" s="21"/>
      <c r="C11" s="21"/>
      <c r="D11" s="21"/>
      <c r="E11" s="22">
        <v>0</v>
      </c>
      <c r="F11" s="42">
        <v>0.06225</v>
      </c>
      <c r="G11" s="42"/>
      <c r="H11" s="42"/>
      <c r="I11" s="29"/>
      <c r="J11" s="72"/>
      <c r="K11" s="73">
        <f t="shared" si="0"/>
        <v>0</v>
      </c>
      <c r="L11" s="73"/>
      <c r="M11" s="72"/>
      <c r="N11" s="72"/>
      <c r="O11" s="73">
        <f t="shared" si="1"/>
        <v>0</v>
      </c>
      <c r="P11" s="73"/>
      <c r="Q11" s="72"/>
      <c r="R11" s="72"/>
      <c r="S11" s="73">
        <f t="shared" si="2"/>
        <v>0</v>
      </c>
      <c r="T11" s="151"/>
      <c r="U11" s="72"/>
      <c r="V11" s="72"/>
      <c r="W11" s="22">
        <f t="shared" si="3"/>
        <v>0</v>
      </c>
      <c r="X11" s="29"/>
      <c r="Y11" s="22"/>
      <c r="Z11" s="73">
        <f t="shared" si="4"/>
        <v>0</v>
      </c>
      <c r="AA11" s="155">
        <v>106875.59</v>
      </c>
      <c r="AB11" s="29">
        <v>119495.81</v>
      </c>
      <c r="AC11" s="29">
        <v>132936.7</v>
      </c>
      <c r="AD11" s="29">
        <v>147251.63</v>
      </c>
      <c r="AE11" s="66">
        <v>162497.42</v>
      </c>
      <c r="AF11" s="29">
        <v>180463.78</v>
      </c>
      <c r="AG11" s="29">
        <v>199687.13</v>
      </c>
      <c r="AH11" s="29">
        <v>219562.59</v>
      </c>
      <c r="AI11" s="29">
        <v>238593.64</v>
      </c>
      <c r="AJ11" s="29">
        <f t="shared" si="5"/>
        <v>238593.64</v>
      </c>
      <c r="AK11" s="99">
        <f>E11+AJ11+0.01</f>
        <v>238593.65000000002</v>
      </c>
      <c r="AL11" s="75"/>
    </row>
    <row r="12" spans="1:38" ht="18" customHeight="1">
      <c r="A12" s="21">
        <v>9008001</v>
      </c>
      <c r="B12" s="21"/>
      <c r="C12" s="21"/>
      <c r="D12" s="21"/>
      <c r="E12" s="22">
        <v>0</v>
      </c>
      <c r="F12" s="42">
        <v>0.035</v>
      </c>
      <c r="G12" s="42"/>
      <c r="H12" s="42"/>
      <c r="I12" s="29"/>
      <c r="J12" s="72"/>
      <c r="K12" s="73">
        <f t="shared" si="0"/>
        <v>0</v>
      </c>
      <c r="L12" s="73"/>
      <c r="M12" s="72"/>
      <c r="N12" s="72"/>
      <c r="O12" s="73">
        <f aca="true" t="shared" si="7" ref="O12:O21">K12-N12</f>
        <v>0</v>
      </c>
      <c r="P12" s="73"/>
      <c r="Q12" s="72"/>
      <c r="R12" s="72"/>
      <c r="S12" s="73">
        <f t="shared" si="2"/>
        <v>0</v>
      </c>
      <c r="T12" s="151"/>
      <c r="U12" s="72"/>
      <c r="V12" s="72"/>
      <c r="W12" s="22">
        <f t="shared" si="3"/>
        <v>0</v>
      </c>
      <c r="X12" s="29"/>
      <c r="Y12" s="22"/>
      <c r="Z12" s="73">
        <f>E12-Y12</f>
        <v>0</v>
      </c>
      <c r="AA12" s="155">
        <v>148583.06</v>
      </c>
      <c r="AB12" s="29">
        <v>167380.76</v>
      </c>
      <c r="AC12" s="29">
        <v>188363.45</v>
      </c>
      <c r="AD12" s="29">
        <v>210622.75</v>
      </c>
      <c r="AE12" s="66">
        <v>234236.32</v>
      </c>
      <c r="AF12" s="29">
        <v>259286.57</v>
      </c>
      <c r="AG12" s="29">
        <v>285860.89</v>
      </c>
      <c r="AH12" s="29">
        <v>314052.01</v>
      </c>
      <c r="AI12" s="29">
        <v>343648.16</v>
      </c>
      <c r="AJ12" s="29">
        <f t="shared" si="5"/>
        <v>343648.16</v>
      </c>
      <c r="AK12" s="99">
        <f t="shared" si="6"/>
        <v>343648.16</v>
      </c>
      <c r="AL12" s="75"/>
    </row>
    <row r="13" spans="1:38" ht="18" customHeight="1">
      <c r="A13" s="21">
        <v>9009001</v>
      </c>
      <c r="B13" s="113">
        <v>36129</v>
      </c>
      <c r="C13" s="113">
        <v>42339</v>
      </c>
      <c r="D13" s="21"/>
      <c r="E13" s="22">
        <v>0</v>
      </c>
      <c r="F13" s="42">
        <v>0.063</v>
      </c>
      <c r="G13" s="42"/>
      <c r="H13" s="42"/>
      <c r="I13" s="29">
        <v>-10.06</v>
      </c>
      <c r="J13" s="72">
        <v>0</v>
      </c>
      <c r="K13" s="73">
        <f t="shared" si="0"/>
        <v>0</v>
      </c>
      <c r="L13" s="73"/>
      <c r="M13" s="72"/>
      <c r="N13" s="72"/>
      <c r="O13" s="73">
        <f t="shared" si="7"/>
        <v>0</v>
      </c>
      <c r="P13" s="73"/>
      <c r="Q13" s="72"/>
      <c r="R13" s="72"/>
      <c r="S13" s="73">
        <f t="shared" si="2"/>
        <v>0</v>
      </c>
      <c r="T13" s="151"/>
      <c r="U13" s="72"/>
      <c r="V13" s="72"/>
      <c r="W13" s="22">
        <f t="shared" si="3"/>
        <v>0</v>
      </c>
      <c r="X13" s="29">
        <f>I13+M13+Q13+U13</f>
        <v>-10.06</v>
      </c>
      <c r="Y13" s="22">
        <f>J13+N13+R13+V13</f>
        <v>0</v>
      </c>
      <c r="Z13" s="73" t="s">
        <v>119</v>
      </c>
      <c r="AA13" s="155">
        <v>84486.08</v>
      </c>
      <c r="AB13" s="29">
        <v>95820.65</v>
      </c>
      <c r="AC13" s="29">
        <v>107904.17</v>
      </c>
      <c r="AD13" s="29">
        <v>119776.24</v>
      </c>
      <c r="AE13" s="66">
        <v>132229.34</v>
      </c>
      <c r="AF13" s="29">
        <v>145682.56</v>
      </c>
      <c r="AG13" s="29">
        <v>160216.23</v>
      </c>
      <c r="AH13" s="29">
        <v>175917.12</v>
      </c>
      <c r="AI13" s="29">
        <v>194195.66</v>
      </c>
      <c r="AJ13" s="29">
        <f t="shared" si="5"/>
        <v>194195.66</v>
      </c>
      <c r="AK13" s="99">
        <f t="shared" si="6"/>
        <v>194195.66</v>
      </c>
      <c r="AL13" s="75"/>
    </row>
    <row r="14" spans="1:38" ht="18" customHeight="1">
      <c r="A14" s="21">
        <v>9010001</v>
      </c>
      <c r="B14" s="113">
        <v>36129</v>
      </c>
      <c r="C14" s="113">
        <v>43252</v>
      </c>
      <c r="D14" s="21"/>
      <c r="E14" s="22">
        <v>41280.38</v>
      </c>
      <c r="F14" s="42">
        <v>0.064</v>
      </c>
      <c r="G14" s="42"/>
      <c r="H14" s="42"/>
      <c r="I14" s="29">
        <v>647.59</v>
      </c>
      <c r="J14" s="72">
        <v>3839.49</v>
      </c>
      <c r="K14" s="73">
        <f t="shared" si="0"/>
        <v>37440.89</v>
      </c>
      <c r="L14" s="73"/>
      <c r="M14" s="72">
        <v>587.35</v>
      </c>
      <c r="N14" s="72">
        <v>3900.93</v>
      </c>
      <c r="O14" s="73">
        <f t="shared" si="7"/>
        <v>33539.96</v>
      </c>
      <c r="P14" s="73"/>
      <c r="Q14" s="72"/>
      <c r="R14" s="72"/>
      <c r="S14" s="73">
        <f t="shared" si="2"/>
        <v>33539.96</v>
      </c>
      <c r="T14" s="151"/>
      <c r="U14" s="72"/>
      <c r="V14" s="72"/>
      <c r="W14" s="22">
        <f t="shared" si="3"/>
        <v>33539.96</v>
      </c>
      <c r="X14" s="29">
        <f aca="true" t="shared" si="8" ref="X14:X21">I14+M14+Q14+U14</f>
        <v>1234.94</v>
      </c>
      <c r="Y14" s="22">
        <f aca="true" t="shared" si="9" ref="Y14:Y22">J14+N14+R14+V14</f>
        <v>7740.42</v>
      </c>
      <c r="Z14" s="73">
        <f t="shared" si="4"/>
        <v>33539.96</v>
      </c>
      <c r="AA14" s="155">
        <v>37596.76</v>
      </c>
      <c r="AB14" s="29">
        <v>43151.82</v>
      </c>
      <c r="AC14" s="29">
        <v>49068.11</v>
      </c>
      <c r="AD14" s="29">
        <v>55369.13</v>
      </c>
      <c r="AE14" s="66">
        <v>62079.88</v>
      </c>
      <c r="AF14" s="29">
        <v>70707.79</v>
      </c>
      <c r="AG14" s="29">
        <v>80157.31</v>
      </c>
      <c r="AH14" s="29">
        <v>89927.39</v>
      </c>
      <c r="AI14" s="29">
        <v>98264.1</v>
      </c>
      <c r="AJ14" s="29">
        <f t="shared" si="5"/>
        <v>106004.52</v>
      </c>
      <c r="AK14" s="99">
        <f>E14+AJ14+0.01</f>
        <v>147284.91</v>
      </c>
      <c r="AL14" s="75"/>
    </row>
    <row r="15" spans="1:38" ht="18" customHeight="1">
      <c r="A15" s="21">
        <v>9011001</v>
      </c>
      <c r="B15" s="113">
        <v>36129</v>
      </c>
      <c r="C15" s="113">
        <v>44440</v>
      </c>
      <c r="D15" s="21"/>
      <c r="E15" s="22">
        <v>192163.7</v>
      </c>
      <c r="F15" s="42">
        <v>0.0655</v>
      </c>
      <c r="G15" s="42"/>
      <c r="H15" s="42"/>
      <c r="I15" s="29">
        <v>3086.63</v>
      </c>
      <c r="J15" s="72">
        <v>6947.56</v>
      </c>
      <c r="K15" s="73">
        <f t="shared" si="0"/>
        <v>185216.14</v>
      </c>
      <c r="L15" s="73"/>
      <c r="M15" s="72">
        <v>2975.03</v>
      </c>
      <c r="N15" s="72">
        <v>7061.33</v>
      </c>
      <c r="O15" s="73">
        <f t="shared" si="7"/>
        <v>178154.81000000003</v>
      </c>
      <c r="P15" s="73"/>
      <c r="Q15" s="72"/>
      <c r="R15" s="72"/>
      <c r="S15" s="73">
        <f t="shared" si="2"/>
        <v>178154.81000000003</v>
      </c>
      <c r="T15" s="151"/>
      <c r="U15" s="72"/>
      <c r="V15" s="72"/>
      <c r="W15" s="22">
        <f t="shared" si="3"/>
        <v>178154.81000000003</v>
      </c>
      <c r="X15" s="29">
        <f t="shared" si="8"/>
        <v>6061.66</v>
      </c>
      <c r="Y15" s="22">
        <f t="shared" si="9"/>
        <v>14008.89</v>
      </c>
      <c r="Z15" s="73">
        <f t="shared" si="4"/>
        <v>178154.81</v>
      </c>
      <c r="AA15" s="155">
        <v>67690.04</v>
      </c>
      <c r="AB15" s="29">
        <v>77718.17</v>
      </c>
      <c r="AC15" s="29">
        <v>88398.43</v>
      </c>
      <c r="AD15" s="29">
        <v>99773.2</v>
      </c>
      <c r="AE15" s="66">
        <v>111887.65</v>
      </c>
      <c r="AF15" s="29">
        <v>128243.38</v>
      </c>
      <c r="AG15" s="29">
        <v>146373.26</v>
      </c>
      <c r="AH15" s="29">
        <v>165118.18</v>
      </c>
      <c r="AI15" s="29">
        <v>179990.74</v>
      </c>
      <c r="AJ15" s="29">
        <f t="shared" si="5"/>
        <v>193999.63</v>
      </c>
      <c r="AK15" s="99">
        <f t="shared" si="6"/>
        <v>386163.33</v>
      </c>
      <c r="AL15" s="75"/>
    </row>
    <row r="16" spans="1:38" ht="18" customHeight="1">
      <c r="A16" s="21">
        <v>9012001</v>
      </c>
      <c r="B16" s="113">
        <v>36129</v>
      </c>
      <c r="C16" s="113">
        <v>45717</v>
      </c>
      <c r="D16" s="21"/>
      <c r="E16" s="22">
        <v>285328.53</v>
      </c>
      <c r="F16" s="42">
        <v>0.0655</v>
      </c>
      <c r="G16" s="42"/>
      <c r="H16" s="42"/>
      <c r="I16" s="29">
        <v>4583.08</v>
      </c>
      <c r="J16" s="72">
        <v>5671.02</v>
      </c>
      <c r="K16" s="73">
        <f t="shared" si="0"/>
        <v>279657.51</v>
      </c>
      <c r="L16" s="73"/>
      <c r="M16" s="72">
        <v>4492</v>
      </c>
      <c r="N16" s="72">
        <v>5763.88</v>
      </c>
      <c r="O16" s="73">
        <f t="shared" si="7"/>
        <v>273893.63</v>
      </c>
      <c r="P16" s="73"/>
      <c r="Q16" s="72"/>
      <c r="R16" s="72"/>
      <c r="S16" s="73">
        <f t="shared" si="2"/>
        <v>273893.63</v>
      </c>
      <c r="T16" s="151"/>
      <c r="U16" s="72"/>
      <c r="V16" s="72"/>
      <c r="W16" s="22">
        <f t="shared" si="3"/>
        <v>273893.63</v>
      </c>
      <c r="X16" s="29">
        <f t="shared" si="8"/>
        <v>9075.08</v>
      </c>
      <c r="Y16" s="22">
        <f t="shared" si="9"/>
        <v>11434.900000000001</v>
      </c>
      <c r="Z16" s="73">
        <f t="shared" si="4"/>
        <v>273893.63</v>
      </c>
      <c r="AA16" s="155">
        <v>46988.68</v>
      </c>
      <c r="AB16" s="29">
        <v>55195.43</v>
      </c>
      <c r="AC16" s="29">
        <v>63935.86</v>
      </c>
      <c r="AD16" s="29">
        <v>73244.67</v>
      </c>
      <c r="AE16" s="66">
        <v>83158.8</v>
      </c>
      <c r="AF16" s="29">
        <v>97306.36</v>
      </c>
      <c r="AG16" s="29">
        <v>113190.15</v>
      </c>
      <c r="AH16" s="29">
        <v>129612.77</v>
      </c>
      <c r="AI16" s="29">
        <v>141752.65</v>
      </c>
      <c r="AJ16" s="29">
        <f t="shared" si="5"/>
        <v>153187.55</v>
      </c>
      <c r="AK16" s="99">
        <f>E16+AJ16+0.01</f>
        <v>438516.09</v>
      </c>
      <c r="AL16" s="75"/>
    </row>
    <row r="17" spans="1:38" ht="18" customHeight="1">
      <c r="A17" s="21">
        <v>9013001</v>
      </c>
      <c r="B17" s="113">
        <v>36129</v>
      </c>
      <c r="C17" s="113">
        <v>46539</v>
      </c>
      <c r="D17" s="21"/>
      <c r="E17" s="22">
        <v>460171.14</v>
      </c>
      <c r="F17" s="42">
        <v>0.066</v>
      </c>
      <c r="G17" s="42"/>
      <c r="H17" s="42"/>
      <c r="I17" s="29">
        <v>7449.02</v>
      </c>
      <c r="J17" s="72">
        <v>6761.52</v>
      </c>
      <c r="K17" s="73">
        <f t="shared" si="0"/>
        <v>453409.62</v>
      </c>
      <c r="L17" s="73"/>
      <c r="M17" s="72">
        <v>7339.57</v>
      </c>
      <c r="N17" s="72">
        <v>6873.08</v>
      </c>
      <c r="O17" s="73">
        <f t="shared" si="7"/>
        <v>446536.54</v>
      </c>
      <c r="P17" s="73"/>
      <c r="Q17" s="72"/>
      <c r="R17" s="72"/>
      <c r="S17" s="73">
        <f t="shared" si="2"/>
        <v>446536.54</v>
      </c>
      <c r="T17" s="151"/>
      <c r="U17" s="72"/>
      <c r="V17" s="72"/>
      <c r="W17" s="22">
        <f t="shared" si="3"/>
        <v>446536.54</v>
      </c>
      <c r="X17" s="29">
        <f t="shared" si="8"/>
        <v>14788.59</v>
      </c>
      <c r="Y17" s="22">
        <f t="shared" si="9"/>
        <v>13634.6</v>
      </c>
      <c r="Z17" s="73">
        <f t="shared" si="4"/>
        <v>446536.54000000004</v>
      </c>
      <c r="AA17" s="155">
        <v>37042.41</v>
      </c>
      <c r="AB17" s="29">
        <v>45432.2</v>
      </c>
      <c r="AC17" s="29">
        <v>54029.96</v>
      </c>
      <c r="AD17" s="29">
        <v>63136.72</v>
      </c>
      <c r="AE17" s="66">
        <v>72931.51</v>
      </c>
      <c r="AF17" s="29">
        <v>83466.3</v>
      </c>
      <c r="AG17" s="29">
        <v>94796.99</v>
      </c>
      <c r="AH17" s="29">
        <v>106983.72</v>
      </c>
      <c r="AI17" s="29">
        <v>121389.7</v>
      </c>
      <c r="AJ17" s="29">
        <f t="shared" si="5"/>
        <v>135024.3</v>
      </c>
      <c r="AK17" s="99">
        <f t="shared" si="6"/>
        <v>595195.44</v>
      </c>
      <c r="AL17" s="75"/>
    </row>
    <row r="18" spans="1:38" ht="18" customHeight="1">
      <c r="A18" s="21">
        <v>9014001</v>
      </c>
      <c r="B18" s="113">
        <v>36129</v>
      </c>
      <c r="C18" s="113">
        <v>47453</v>
      </c>
      <c r="D18" s="21"/>
      <c r="E18" s="22">
        <v>507708.46</v>
      </c>
      <c r="F18" s="42">
        <v>0.0665</v>
      </c>
      <c r="G18" s="42"/>
      <c r="H18" s="42"/>
      <c r="I18" s="29">
        <v>8281.99</v>
      </c>
      <c r="J18" s="72">
        <v>5561.49</v>
      </c>
      <c r="K18" s="73">
        <f t="shared" si="0"/>
        <v>502146.97000000003</v>
      </c>
      <c r="L18" s="73"/>
      <c r="M18" s="72">
        <v>8191.27</v>
      </c>
      <c r="N18" s="72">
        <v>5653.95</v>
      </c>
      <c r="O18" s="73">
        <f t="shared" si="7"/>
        <v>496493.02</v>
      </c>
      <c r="P18" s="73"/>
      <c r="Q18" s="72"/>
      <c r="R18" s="72"/>
      <c r="S18" s="73">
        <f t="shared" si="2"/>
        <v>496493.02</v>
      </c>
      <c r="T18" s="151"/>
      <c r="U18" s="72"/>
      <c r="V18" s="72"/>
      <c r="W18" s="22">
        <f t="shared" si="3"/>
        <v>496493.02</v>
      </c>
      <c r="X18" s="29">
        <f t="shared" si="8"/>
        <v>16473.260000000002</v>
      </c>
      <c r="Y18" s="22">
        <f t="shared" si="9"/>
        <v>11215.439999999999</v>
      </c>
      <c r="Z18" s="73">
        <f t="shared" si="4"/>
        <v>496493.02</v>
      </c>
      <c r="AA18" s="155">
        <v>18599.06</v>
      </c>
      <c r="AB18" s="29">
        <v>26718.34</v>
      </c>
      <c r="AC18" s="29">
        <v>35365.61</v>
      </c>
      <c r="AD18" s="29">
        <v>44575.19</v>
      </c>
      <c r="AE18" s="66">
        <v>54383.65</v>
      </c>
      <c r="AF18" s="29">
        <v>69541.8</v>
      </c>
      <c r="AG18" s="29">
        <v>86850.7</v>
      </c>
      <c r="AH18" s="29">
        <v>104746.77</v>
      </c>
      <c r="AI18" s="29">
        <v>116540.05</v>
      </c>
      <c r="AJ18" s="29">
        <f t="shared" si="5"/>
        <v>127755.49</v>
      </c>
      <c r="AK18" s="99">
        <f>E18+AJ18+0.01</f>
        <v>635463.9600000001</v>
      </c>
      <c r="AL18" s="75"/>
    </row>
    <row r="19" spans="1:38" ht="18" customHeight="1">
      <c r="A19" s="21">
        <v>9015001</v>
      </c>
      <c r="B19" s="113">
        <v>35982</v>
      </c>
      <c r="C19" s="113">
        <v>48638</v>
      </c>
      <c r="D19" s="21"/>
      <c r="E19" s="22">
        <v>735103.41</v>
      </c>
      <c r="F19" s="42">
        <v>0.0665</v>
      </c>
      <c r="G19" s="42"/>
      <c r="H19" s="42"/>
      <c r="I19" s="29">
        <v>11991.37</v>
      </c>
      <c r="J19" s="72">
        <v>5765.78</v>
      </c>
      <c r="K19" s="73">
        <f t="shared" si="0"/>
        <v>729337.63</v>
      </c>
      <c r="L19" s="73"/>
      <c r="M19" s="72">
        <v>11897.32</v>
      </c>
      <c r="N19" s="72">
        <v>5861.63</v>
      </c>
      <c r="O19" s="73">
        <f t="shared" si="7"/>
        <v>723476</v>
      </c>
      <c r="P19" s="73"/>
      <c r="Q19" s="72"/>
      <c r="R19" s="72"/>
      <c r="S19" s="73">
        <f t="shared" si="2"/>
        <v>723476</v>
      </c>
      <c r="T19" s="151"/>
      <c r="U19" s="72"/>
      <c r="V19" s="72"/>
      <c r="W19" s="22">
        <f t="shared" si="3"/>
        <v>723476</v>
      </c>
      <c r="X19" s="29">
        <f t="shared" si="8"/>
        <v>23888.690000000002</v>
      </c>
      <c r="Y19" s="22">
        <f t="shared" si="9"/>
        <v>11627.41</v>
      </c>
      <c r="Z19" s="73">
        <f t="shared" si="4"/>
        <v>723476</v>
      </c>
      <c r="AA19" s="155">
        <v>0</v>
      </c>
      <c r="AB19" s="29">
        <v>9895.49</v>
      </c>
      <c r="AC19" s="29">
        <v>20362.03</v>
      </c>
      <c r="AD19" s="29">
        <v>31432.58</v>
      </c>
      <c r="AE19" s="66">
        <v>43142</v>
      </c>
      <c r="AF19" s="29">
        <v>55527.14</v>
      </c>
      <c r="AG19" s="29">
        <v>75093.82</v>
      </c>
      <c r="AH19" s="29">
        <v>97417.84</v>
      </c>
      <c r="AI19" s="29">
        <v>109644.32</v>
      </c>
      <c r="AJ19" s="29">
        <f t="shared" si="5"/>
        <v>121271.73000000001</v>
      </c>
      <c r="AK19" s="99">
        <f t="shared" si="6"/>
        <v>856375.14</v>
      </c>
      <c r="AL19" s="75"/>
    </row>
    <row r="20" spans="1:38" ht="18" customHeight="1">
      <c r="A20" s="21">
        <v>9015002</v>
      </c>
      <c r="B20" s="113">
        <v>35796</v>
      </c>
      <c r="C20" s="113">
        <v>48638</v>
      </c>
      <c r="D20" s="115">
        <v>42736</v>
      </c>
      <c r="E20" s="22">
        <v>331424.35</v>
      </c>
      <c r="F20" s="42">
        <v>0.032</v>
      </c>
      <c r="G20" s="42" t="s">
        <v>113</v>
      </c>
      <c r="H20" s="42"/>
      <c r="I20" s="29">
        <v>2547.82</v>
      </c>
      <c r="J20" s="72">
        <v>3617.6</v>
      </c>
      <c r="K20" s="73">
        <f>E20-J20</f>
        <v>327806.75</v>
      </c>
      <c r="L20" s="73"/>
      <c r="M20" s="72">
        <f>2520.01</f>
        <v>2520.01</v>
      </c>
      <c r="N20" s="72">
        <v>3646.54</v>
      </c>
      <c r="O20" s="73">
        <f t="shared" si="7"/>
        <v>324160.21</v>
      </c>
      <c r="P20" s="73"/>
      <c r="Q20" s="72"/>
      <c r="R20" s="72"/>
      <c r="S20" s="73">
        <f t="shared" si="2"/>
        <v>324160.21</v>
      </c>
      <c r="T20" s="151"/>
      <c r="U20" s="72"/>
      <c r="V20" s="72"/>
      <c r="W20" s="22">
        <f t="shared" si="3"/>
        <v>324160.21</v>
      </c>
      <c r="X20" s="29">
        <f t="shared" si="8"/>
        <v>5067.83</v>
      </c>
      <c r="Y20" s="22">
        <f t="shared" si="9"/>
        <v>7264.139999999999</v>
      </c>
      <c r="Z20" s="73">
        <f t="shared" si="4"/>
        <v>324160.20999999996</v>
      </c>
      <c r="AA20" s="155">
        <v>0</v>
      </c>
      <c r="AB20" s="29">
        <v>4482.93</v>
      </c>
      <c r="AC20" s="29">
        <v>9233.93</v>
      </c>
      <c r="AD20" s="29">
        <v>14269.02</v>
      </c>
      <c r="AE20" s="66">
        <v>19605.18</v>
      </c>
      <c r="AF20" s="29">
        <v>25260.42</v>
      </c>
      <c r="AG20" s="29">
        <v>31253.83</v>
      </c>
      <c r="AH20" s="29">
        <v>37605.62</v>
      </c>
      <c r="AI20" s="29">
        <v>44337.23</v>
      </c>
      <c r="AJ20" s="29">
        <f t="shared" si="5"/>
        <v>51601.37</v>
      </c>
      <c r="AK20" s="99">
        <f t="shared" si="6"/>
        <v>383025.72</v>
      </c>
      <c r="AL20" s="75"/>
    </row>
    <row r="21" spans="1:37" ht="15">
      <c r="A21" s="34" t="s">
        <v>105</v>
      </c>
      <c r="B21" s="113">
        <v>40868</v>
      </c>
      <c r="C21" s="114" t="s">
        <v>116</v>
      </c>
      <c r="D21" s="34"/>
      <c r="E21" s="72">
        <v>2091965.03</v>
      </c>
      <c r="F21" s="43" t="s">
        <v>117</v>
      </c>
      <c r="G21" s="43"/>
      <c r="H21" s="94"/>
      <c r="I21" s="22">
        <f>1532.61+2002.93+2142.24+2108.4+2294.38+2496.96+1954.51+1886.73+2025.03+1862.08+1262.44+1220.25</f>
        <v>22788.56</v>
      </c>
      <c r="J21" s="22">
        <v>57877.16</v>
      </c>
      <c r="K21" s="73">
        <f>E21-J21</f>
        <v>2034087.87</v>
      </c>
      <c r="L21" s="73"/>
      <c r="M21" s="22">
        <f>1026.18+2024.94+2165.78+2131.57+2319.6+2524.4+1975.99+1907.46+2047.29+1882.54+1276.31+1233.66</f>
        <v>22515.72</v>
      </c>
      <c r="N21" s="22">
        <v>58383.59</v>
      </c>
      <c r="O21" s="73">
        <f t="shared" si="7"/>
        <v>1975704.28</v>
      </c>
      <c r="P21" s="73"/>
      <c r="Q21" s="22"/>
      <c r="R21" s="22"/>
      <c r="S21" s="73">
        <f>O21-R21</f>
        <v>1975704.28</v>
      </c>
      <c r="T21" s="151"/>
      <c r="U21" s="22"/>
      <c r="V21" s="22"/>
      <c r="W21" s="22">
        <f>S21-V21</f>
        <v>1975704.28</v>
      </c>
      <c r="X21" s="29">
        <f t="shared" si="8"/>
        <v>45304.28</v>
      </c>
      <c r="Y21" s="22">
        <f t="shared" si="9"/>
        <v>116260.75</v>
      </c>
      <c r="Z21" s="73">
        <f t="shared" si="4"/>
        <v>1975704.28</v>
      </c>
      <c r="AA21" s="22"/>
      <c r="AB21" s="22"/>
      <c r="AC21" s="22"/>
      <c r="AD21" s="22"/>
      <c r="AE21" s="22"/>
      <c r="AK21" s="22"/>
    </row>
    <row r="22" spans="1:37" ht="15">
      <c r="A22" s="34" t="s">
        <v>105</v>
      </c>
      <c r="B22" s="113">
        <v>42538</v>
      </c>
      <c r="C22" s="206">
        <v>51104</v>
      </c>
      <c r="D22" s="201"/>
      <c r="E22" s="120">
        <v>15684215.2</v>
      </c>
      <c r="F22" s="205"/>
      <c r="G22" s="43"/>
      <c r="H22" s="94"/>
      <c r="I22" s="202"/>
      <c r="J22" s="202"/>
      <c r="K22" s="203"/>
      <c r="L22" s="151"/>
      <c r="M22" s="202"/>
      <c r="N22" s="202"/>
      <c r="O22" s="203"/>
      <c r="P22" s="151"/>
      <c r="Q22" s="22"/>
      <c r="R22" s="22"/>
      <c r="S22" s="73">
        <f>E22-R22</f>
        <v>15684215.2</v>
      </c>
      <c r="T22" s="151"/>
      <c r="U22" s="22"/>
      <c r="V22" s="22"/>
      <c r="W22" s="22">
        <f>S22-V22</f>
        <v>15684215.2</v>
      </c>
      <c r="X22" s="29">
        <f>I22+M22+Q22+U22</f>
        <v>0</v>
      </c>
      <c r="Y22" s="22">
        <f t="shared" si="9"/>
        <v>0</v>
      </c>
      <c r="Z22" s="73">
        <f t="shared" si="4"/>
        <v>15684215.2</v>
      </c>
      <c r="AA22" s="22"/>
      <c r="AB22" s="22"/>
      <c r="AC22" s="22"/>
      <c r="AD22" s="22"/>
      <c r="AE22" s="22"/>
      <c r="AK22" s="22"/>
    </row>
    <row r="23" spans="1:37" ht="15">
      <c r="A23" s="34"/>
      <c r="B23" s="34"/>
      <c r="C23" s="34"/>
      <c r="D23" s="34"/>
      <c r="E23" s="22">
        <f>SUM(E6:E22)</f>
        <v>20329360.2</v>
      </c>
      <c r="F23" s="35"/>
      <c r="G23" s="35"/>
      <c r="H23" s="35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22"/>
      <c r="Y23" s="22"/>
      <c r="Z23" s="22"/>
      <c r="AA23" s="22"/>
      <c r="AB23" s="22"/>
      <c r="AC23" s="22"/>
      <c r="AD23" s="22"/>
      <c r="AE23" s="22"/>
      <c r="AK23" s="22"/>
    </row>
    <row r="24" spans="1:37" ht="15">
      <c r="A24" s="34"/>
      <c r="B24" s="34"/>
      <c r="C24" s="34"/>
      <c r="D24" s="140" t="s">
        <v>128</v>
      </c>
      <c r="F24" s="22"/>
      <c r="G24" s="22"/>
      <c r="H24" s="22"/>
      <c r="I24" s="22">
        <f>SUM(I6:I22)</f>
        <v>61366</v>
      </c>
      <c r="J24" s="22">
        <f>SUM(J6:J22)</f>
        <v>96041.62</v>
      </c>
      <c r="K24" s="141">
        <f>SUM(K6:K22)</f>
        <v>4549103.380000001</v>
      </c>
      <c r="L24" s="22"/>
      <c r="M24" s="22">
        <f>SUM(M6:M22)</f>
        <v>60518.270000000004</v>
      </c>
      <c r="N24" s="22">
        <f>SUM(N6:N22)</f>
        <v>97144.93</v>
      </c>
      <c r="O24" s="141">
        <f>SUM(O6:O22)</f>
        <v>4451958.45</v>
      </c>
      <c r="P24" s="22"/>
      <c r="Q24" s="22">
        <f>SUM(Q6:Q22)</f>
        <v>0</v>
      </c>
      <c r="R24" s="22">
        <f>SUM(R6:R22)</f>
        <v>0</v>
      </c>
      <c r="S24" s="141">
        <f>SUM(S6:S22)</f>
        <v>20136173.65</v>
      </c>
      <c r="T24" s="22"/>
      <c r="U24" s="22">
        <f>SUM(U6:U22)</f>
        <v>0</v>
      </c>
      <c r="V24" s="22">
        <f>SUM(V6:V22)</f>
        <v>0</v>
      </c>
      <c r="W24" s="141">
        <f>SUM(W6:W22)</f>
        <v>20136173.65</v>
      </c>
      <c r="X24" s="22">
        <f>SUM(X6:X23)</f>
        <v>121884.27</v>
      </c>
      <c r="Y24" s="22">
        <f>SUM(Y6:Y23)</f>
        <v>193186.55</v>
      </c>
      <c r="Z24" s="22">
        <f>SUM(Z6:Z23)</f>
        <v>20136173.65</v>
      </c>
      <c r="AA24" s="22">
        <f>SUM(AA6:AA20)</f>
        <v>851880.0600000002</v>
      </c>
      <c r="AB24" s="22">
        <f>SUM(AB6:AB23)</f>
        <v>979263.94</v>
      </c>
      <c r="AC24" s="22">
        <f>SUM(AC6:AC23)</f>
        <v>1115593.31</v>
      </c>
      <c r="AD24" s="22">
        <f>SUM(AD6:AD23)</f>
        <v>1259335.79</v>
      </c>
      <c r="AE24" s="22">
        <f>SUM(AE6:AE23)</f>
        <v>1412240.17</v>
      </c>
      <c r="AF24" s="22">
        <f>SUM(AF6:AF20)</f>
        <v>1591133.3800000004</v>
      </c>
      <c r="AG24" s="22">
        <f>SUM(AG5:AG20)</f>
        <v>1791538.0100000002</v>
      </c>
      <c r="AH24" s="22">
        <f>SUM(AH5:AH20)</f>
        <v>2004169.06</v>
      </c>
      <c r="AI24" s="22">
        <f>SUM(AI5:AI20)</f>
        <v>2199444.76</v>
      </c>
      <c r="AJ24" s="22">
        <f>SUM(AJ5:AJ20)</f>
        <v>2276370.5600000005</v>
      </c>
      <c r="AK24" s="22">
        <f>SUM(AK6:AK21)</f>
        <v>4829550.659999999</v>
      </c>
    </row>
    <row r="25" spans="11:23" ht="15">
      <c r="K25" s="109" t="s">
        <v>148</v>
      </c>
      <c r="O25" s="189" t="s">
        <v>157</v>
      </c>
      <c r="P25" s="44"/>
      <c r="S25" s="44"/>
      <c r="T25" s="44"/>
      <c r="W25" s="44"/>
    </row>
    <row r="26" spans="11:23" ht="15">
      <c r="K26" s="109" t="s">
        <v>149</v>
      </c>
      <c r="L26" s="110"/>
      <c r="O26" s="111" t="s">
        <v>158</v>
      </c>
      <c r="P26" s="111"/>
      <c r="S26" s="111"/>
      <c r="T26" s="111"/>
      <c r="W26" s="118"/>
    </row>
    <row r="27" spans="3:23" ht="15.75" thickBot="1">
      <c r="C27" s="116"/>
      <c r="S27" s="109"/>
      <c r="T27" s="109"/>
      <c r="V27" s="79"/>
      <c r="W27" s="110"/>
    </row>
    <row r="28" spans="3:31" ht="15">
      <c r="C28" s="116"/>
      <c r="E28" s="126" t="s">
        <v>123</v>
      </c>
      <c r="H28" s="127"/>
      <c r="I28" s="128" t="s">
        <v>124</v>
      </c>
      <c r="J28" s="128" t="s">
        <v>125</v>
      </c>
      <c r="K28" s="128"/>
      <c r="L28" s="128"/>
      <c r="M28" s="128" t="s">
        <v>124</v>
      </c>
      <c r="N28" s="128" t="s">
        <v>125</v>
      </c>
      <c r="O28" s="128"/>
      <c r="P28" s="128"/>
      <c r="Q28" s="128" t="s">
        <v>124</v>
      </c>
      <c r="R28" s="128" t="s">
        <v>125</v>
      </c>
      <c r="S28" s="128"/>
      <c r="T28" s="128"/>
      <c r="U28" s="128" t="s">
        <v>124</v>
      </c>
      <c r="V28" s="129" t="s">
        <v>125</v>
      </c>
      <c r="W28" s="161"/>
      <c r="X28" s="159"/>
      <c r="Y28" s="128" t="s">
        <v>124</v>
      </c>
      <c r="Z28" s="129" t="s">
        <v>125</v>
      </c>
      <c r="AD28" s="1"/>
      <c r="AE28" s="6"/>
    </row>
    <row r="29" spans="8:31" ht="15.75" thickBot="1">
      <c r="H29" s="130" t="s">
        <v>129</v>
      </c>
      <c r="I29" s="170">
        <v>23167</v>
      </c>
      <c r="J29" s="171">
        <f>I29</f>
        <v>23167</v>
      </c>
      <c r="K29" s="172"/>
      <c r="L29" s="173" t="s">
        <v>38</v>
      </c>
      <c r="M29" s="170">
        <f>I31+E30</f>
        <v>59449</v>
      </c>
      <c r="N29" s="171">
        <f>E30</f>
        <v>21250</v>
      </c>
      <c r="O29" s="172"/>
      <c r="P29" s="173" t="s">
        <v>120</v>
      </c>
      <c r="Q29" s="170">
        <f>M31+E30</f>
        <v>119967.27</v>
      </c>
      <c r="R29" s="171">
        <f>N29</f>
        <v>21250</v>
      </c>
      <c r="S29" s="172"/>
      <c r="T29" s="173" t="s">
        <v>122</v>
      </c>
      <c r="U29" s="170">
        <f>Q31+E30</f>
        <v>119967.27</v>
      </c>
      <c r="V29" s="174">
        <f>R29</f>
        <v>21250</v>
      </c>
      <c r="W29" s="160"/>
      <c r="X29" s="175" t="s">
        <v>47</v>
      </c>
      <c r="Y29" s="176">
        <f>U31+E30</f>
        <v>119967.27</v>
      </c>
      <c r="Z29" s="177">
        <f>E30</f>
        <v>21250</v>
      </c>
      <c r="AD29" s="1"/>
      <c r="AE29" s="6"/>
    </row>
    <row r="30" spans="4:31" ht="15">
      <c r="D30" s="133" t="s">
        <v>127</v>
      </c>
      <c r="E30" s="187">
        <v>21250</v>
      </c>
      <c r="H30" s="131" t="s">
        <v>33</v>
      </c>
      <c r="I30" s="178">
        <f>E30</f>
        <v>21250</v>
      </c>
      <c r="J30" s="179">
        <f>E30</f>
        <v>21250</v>
      </c>
      <c r="K30" s="172"/>
      <c r="L30" s="180" t="s">
        <v>39</v>
      </c>
      <c r="M30" s="178">
        <f>M29+E30</f>
        <v>80699</v>
      </c>
      <c r="N30" s="179">
        <f>E30*2</f>
        <v>42500</v>
      </c>
      <c r="O30" s="172"/>
      <c r="P30" s="180" t="s">
        <v>121</v>
      </c>
      <c r="Q30" s="178">
        <f>Q29+E30</f>
        <v>141217.27000000002</v>
      </c>
      <c r="R30" s="179">
        <f>N30</f>
        <v>42500</v>
      </c>
      <c r="S30" s="172"/>
      <c r="T30" s="180" t="s">
        <v>45</v>
      </c>
      <c r="U30" s="178">
        <f>U29+E30</f>
        <v>141217.27000000002</v>
      </c>
      <c r="V30" s="181">
        <f>R30</f>
        <v>42500</v>
      </c>
      <c r="W30" s="160"/>
      <c r="X30" s="156"/>
      <c r="Y30" s="156"/>
      <c r="Z30" s="156"/>
      <c r="AD30" s="1"/>
      <c r="AE30" s="6"/>
    </row>
    <row r="31" spans="8:31" ht="15.75" thickBot="1">
      <c r="H31" s="132" t="s">
        <v>37</v>
      </c>
      <c r="I31" s="176">
        <f>I24-I29</f>
        <v>38199</v>
      </c>
      <c r="J31" s="182">
        <v>0</v>
      </c>
      <c r="K31" s="183"/>
      <c r="L31" s="183" t="s">
        <v>40</v>
      </c>
      <c r="M31" s="176">
        <f>I31+M24</f>
        <v>98717.27</v>
      </c>
      <c r="N31" s="182">
        <v>0</v>
      </c>
      <c r="O31" s="183"/>
      <c r="P31" s="183" t="s">
        <v>43</v>
      </c>
      <c r="Q31" s="176">
        <f>M31+Q24</f>
        <v>98717.27</v>
      </c>
      <c r="R31" s="182">
        <v>0</v>
      </c>
      <c r="S31" s="183"/>
      <c r="T31" s="184" t="s">
        <v>46</v>
      </c>
      <c r="U31" s="185">
        <f>Q31+U24</f>
        <v>98717.27</v>
      </c>
      <c r="V31" s="186">
        <v>0</v>
      </c>
      <c r="W31" s="160"/>
      <c r="X31" s="156"/>
      <c r="Y31" s="156"/>
      <c r="Z31" s="156"/>
      <c r="AD31" s="1"/>
      <c r="AE31" s="6"/>
    </row>
    <row r="32" spans="9:19" ht="15"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</row>
    <row r="33" spans="8:22" ht="15">
      <c r="H33" s="123"/>
      <c r="I33" s="157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V33" s="79"/>
    </row>
    <row r="34" spans="8:22" ht="15">
      <c r="H34" s="111"/>
      <c r="I34" s="158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V34" s="79"/>
    </row>
    <row r="35" spans="22:25" ht="15">
      <c r="V35" s="79"/>
      <c r="Y35" s="80"/>
    </row>
    <row r="36" ht="15">
      <c r="V36" s="79"/>
    </row>
    <row r="37" ht="15">
      <c r="V37" s="79"/>
    </row>
    <row r="38" ht="15">
      <c r="V38" s="79"/>
    </row>
    <row r="39" ht="15">
      <c r="V39" s="79"/>
    </row>
    <row r="40" ht="15">
      <c r="V40" s="79"/>
    </row>
    <row r="41" ht="15">
      <c r="V41" s="79"/>
    </row>
  </sheetData>
  <sheetProtection/>
  <mergeCells count="4">
    <mergeCell ref="E1:Z1"/>
    <mergeCell ref="AA1:AK1"/>
    <mergeCell ref="I3:K3"/>
    <mergeCell ref="M3:O3"/>
  </mergeCells>
  <printOptions/>
  <pageMargins left="0.25" right="0.5" top="1" bottom="0.25" header="0" footer="0"/>
  <pageSetup horizontalDpi="600" verticalDpi="600" orientation="landscape" scale="73" r:id="rId1"/>
  <headerFooter alignWithMargins="0">
    <oddHeader>&amp;C&amp;"Arial,Bold"&amp;14CFC PRINCIPAL &amp; INTEREST PAYMENTS - 2016
</oddHeader>
  </headerFooter>
  <colBreaks count="2" manualBreakCount="2">
    <brk id="16" min="1" max="23" man="1"/>
    <brk id="26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Lancaster</dc:creator>
  <cp:keywords/>
  <dc:description/>
  <cp:lastModifiedBy>Michael Moriarty</cp:lastModifiedBy>
  <cp:lastPrinted>2023-02-22T18:06:01Z</cp:lastPrinted>
  <dcterms:created xsi:type="dcterms:W3CDTF">2012-02-15T20:15:48Z</dcterms:created>
  <dcterms:modified xsi:type="dcterms:W3CDTF">2023-11-04T14:45:11Z</dcterms:modified>
  <cp:category/>
  <cp:version/>
  <cp:contentType/>
  <cp:contentStatus/>
</cp:coreProperties>
</file>