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92300xxx Rider PMM Phase 2 Application/Discovery/STAFF 1st Set/"/>
    </mc:Choice>
  </mc:AlternateContent>
  <xr:revisionPtr revIDLastSave="0" documentId="13_ncr:1_{E31143F0-A96F-4711-8594-CC91CB41337C}" xr6:coauthVersionLast="47" xr6:coauthVersionMax="47" xr10:uidLastSave="{00000000-0000-0000-0000-000000000000}"/>
  <bookViews>
    <workbookView xWindow="-120" yWindow="-120" windowWidth="29040" windowHeight="15840" tabRatio="870" xr2:uid="{00000000-000D-0000-FFFF-FFFF00000000}"/>
  </bookViews>
  <sheets>
    <sheet name=" Summary" sheetId="2" r:id="rId1"/>
    <sheet name="Sch 1.0" sheetId="3" r:id="rId2"/>
    <sheet name="Sch 1.1" sheetId="4" r:id="rId3"/>
    <sheet name="Sch 1.2" sheetId="5" r:id="rId4"/>
    <sheet name="Sch 2.0" sheetId="7" r:id="rId5"/>
    <sheet name="Sch 2.1" sheetId="8" r:id="rId6"/>
    <sheet name="Sch 2.2" sheetId="9" r:id="rId7"/>
    <sheet name="Sch 3.0" sheetId="10" r:id="rId8"/>
    <sheet name="Sch 4.1" sheetId="14" r:id="rId9"/>
    <sheet name="Sch 4.2" sheetId="15" r:id="rId10"/>
    <sheet name="Sch 4.3" sheetId="16" r:id="rId11"/>
    <sheet name="Sch 4.4 (old)" sheetId="17" state="hidden" r:id="rId12"/>
    <sheet name="Sch 4.4" sheetId="19" r:id="rId13"/>
    <sheet name="Sch 4.5" sheetId="18" r:id="rId14"/>
  </sheets>
  <externalReferences>
    <externalReference r:id="rId15"/>
  </externalReferences>
  <definedNames>
    <definedName name="_xlnm.Print_Area" localSheetId="0">' Summary'!$A$1:$K$23</definedName>
    <definedName name="_xlnm.Print_Area" localSheetId="1">'Sch 1.0'!$A$1:$J$23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3" l="1"/>
  <c r="F22" i="14"/>
  <c r="F22" i="4"/>
  <c r="F16" i="14"/>
  <c r="F16" i="4" l="1"/>
  <c r="R33" i="8" l="1"/>
  <c r="R34" i="8"/>
  <c r="R35" i="8"/>
  <c r="R36" i="8"/>
  <c r="R37" i="8"/>
  <c r="R38" i="8"/>
  <c r="R39" i="8"/>
  <c r="R40" i="8"/>
  <c r="R41" i="8"/>
  <c r="R42" i="8"/>
  <c r="R43" i="8"/>
  <c r="R32" i="8"/>
  <c r="N43" i="8"/>
  <c r="N42" i="8"/>
  <c r="N41" i="8"/>
  <c r="N40" i="8"/>
  <c r="N39" i="8"/>
  <c r="N38" i="8"/>
  <c r="N37" i="8"/>
  <c r="N36" i="8"/>
  <c r="N35" i="8"/>
  <c r="N34" i="8"/>
  <c r="N33" i="8"/>
  <c r="N32" i="8"/>
  <c r="N30" i="8"/>
  <c r="R22" i="8"/>
  <c r="R21" i="8"/>
  <c r="R20" i="8"/>
  <c r="R19" i="8"/>
  <c r="R18" i="8"/>
  <c r="R17" i="8"/>
  <c r="R16" i="8"/>
  <c r="R15" i="8"/>
  <c r="R14" i="8"/>
  <c r="R13" i="8"/>
  <c r="R12" i="8"/>
  <c r="R11" i="8"/>
  <c r="S11" i="8" s="1"/>
  <c r="S12" i="8" s="1"/>
  <c r="S13" i="8" s="1"/>
  <c r="S14" i="8" s="1"/>
  <c r="S15" i="8" s="1"/>
  <c r="S16" i="8" s="1"/>
  <c r="S17" i="8" s="1"/>
  <c r="S18" i="8" s="1"/>
  <c r="S19" i="8" s="1"/>
  <c r="S20" i="8" s="1"/>
  <c r="S21" i="8" s="1"/>
  <c r="S22" i="8" s="1"/>
  <c r="O12" i="8"/>
  <c r="O13" i="8"/>
  <c r="O14" i="8" s="1"/>
  <c r="O15" i="8" s="1"/>
  <c r="O16" i="8" s="1"/>
  <c r="O17" i="8" s="1"/>
  <c r="O18" i="8" s="1"/>
  <c r="O19" i="8" s="1"/>
  <c r="O20" i="8" s="1"/>
  <c r="O21" i="8" s="1"/>
  <c r="O22" i="8" s="1"/>
  <c r="O11" i="8"/>
  <c r="O10" i="8"/>
  <c r="N11" i="8"/>
  <c r="N12" i="8"/>
  <c r="N13" i="8"/>
  <c r="N14" i="8"/>
  <c r="N15" i="8"/>
  <c r="N16" i="8"/>
  <c r="N17" i="8"/>
  <c r="N18" i="8"/>
  <c r="N19" i="8"/>
  <c r="N20" i="8"/>
  <c r="N21" i="8"/>
  <c r="N22" i="8"/>
  <c r="N10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R46" i="7" l="1"/>
  <c r="G46" i="7"/>
  <c r="H46" i="7" s="1"/>
  <c r="I46" i="7" s="1"/>
  <c r="J46" i="7" s="1"/>
  <c r="K46" i="7" s="1"/>
  <c r="L46" i="7" s="1"/>
  <c r="M46" i="7" s="1"/>
  <c r="N46" i="7" s="1"/>
  <c r="O46" i="7" s="1"/>
  <c r="P46" i="7" s="1"/>
  <c r="Q46" i="7" s="1"/>
  <c r="F46" i="7"/>
  <c r="E46" i="7"/>
  <c r="A43" i="7"/>
  <c r="A44" i="7" s="1"/>
  <c r="A42" i="7"/>
  <c r="A41" i="7"/>
  <c r="Q43" i="7"/>
  <c r="P43" i="7"/>
  <c r="O43" i="7"/>
  <c r="N43" i="7"/>
  <c r="M43" i="7"/>
  <c r="L43" i="7"/>
  <c r="K43" i="7"/>
  <c r="J43" i="7"/>
  <c r="I43" i="7"/>
  <c r="H43" i="7"/>
  <c r="G43" i="7"/>
  <c r="F43" i="7"/>
  <c r="Q42" i="7"/>
  <c r="P42" i="7"/>
  <c r="O42" i="7"/>
  <c r="N42" i="7"/>
  <c r="M42" i="7"/>
  <c r="L42" i="7"/>
  <c r="K42" i="7"/>
  <c r="J42" i="7"/>
  <c r="I42" i="7"/>
  <c r="H42" i="7"/>
  <c r="G42" i="7"/>
  <c r="F42" i="7"/>
  <c r="Q41" i="7"/>
  <c r="P41" i="7"/>
  <c r="O41" i="7"/>
  <c r="N41" i="7"/>
  <c r="M41" i="7"/>
  <c r="L41" i="7"/>
  <c r="K41" i="7"/>
  <c r="J41" i="7"/>
  <c r="I41" i="7"/>
  <c r="H41" i="7"/>
  <c r="G41" i="7"/>
  <c r="F41" i="7"/>
  <c r="E44" i="7"/>
  <c r="K11" i="8"/>
  <c r="K12" i="8" s="1"/>
  <c r="K13" i="8" s="1"/>
  <c r="K10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I11" i="8" s="1"/>
  <c r="L11" i="8" s="1"/>
  <c r="C22" i="8"/>
  <c r="C21" i="8"/>
  <c r="C20" i="8"/>
  <c r="C19" i="8"/>
  <c r="C18" i="8"/>
  <c r="C17" i="8"/>
  <c r="C16" i="8"/>
  <c r="C15" i="8"/>
  <c r="C14" i="8"/>
  <c r="C13" i="8"/>
  <c r="C12" i="8"/>
  <c r="C11" i="8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C10" i="8"/>
  <c r="H11" i="8" s="1"/>
  <c r="P32" i="8"/>
  <c r="Q38" i="8" s="1"/>
  <c r="O30" i="8"/>
  <c r="S30" i="8" s="1"/>
  <c r="R33" i="19"/>
  <c r="R34" i="19"/>
  <c r="R35" i="19"/>
  <c r="R36" i="19"/>
  <c r="R37" i="19"/>
  <c r="R38" i="19"/>
  <c r="R39" i="19"/>
  <c r="R40" i="19"/>
  <c r="R41" i="19"/>
  <c r="R42" i="19"/>
  <c r="R43" i="19"/>
  <c r="R32" i="19"/>
  <c r="Q34" i="19"/>
  <c r="Q35" i="19"/>
  <c r="Q36" i="19"/>
  <c r="Q37" i="19"/>
  <c r="Q38" i="19"/>
  <c r="Q39" i="19"/>
  <c r="Q40" i="19"/>
  <c r="Q41" i="19"/>
  <c r="Q42" i="19"/>
  <c r="Q43" i="19"/>
  <c r="Q33" i="19"/>
  <c r="Q32" i="19"/>
  <c r="O33" i="19"/>
  <c r="O34" i="19" s="1"/>
  <c r="O35" i="19" s="1"/>
  <c r="O36" i="19" s="1"/>
  <c r="O37" i="19" s="1"/>
  <c r="O38" i="19" s="1"/>
  <c r="O39" i="19" s="1"/>
  <c r="O40" i="19" s="1"/>
  <c r="O41" i="19" s="1"/>
  <c r="O42" i="19" s="1"/>
  <c r="O43" i="19" s="1"/>
  <c r="O32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0" i="19"/>
  <c r="O30" i="19" s="1"/>
  <c r="S30" i="19" s="1"/>
  <c r="P32" i="19"/>
  <c r="S10" i="19"/>
  <c r="R12" i="19"/>
  <c r="R13" i="19"/>
  <c r="R14" i="19"/>
  <c r="R15" i="19"/>
  <c r="R16" i="19"/>
  <c r="R17" i="19"/>
  <c r="R18" i="19"/>
  <c r="R20" i="19"/>
  <c r="R21" i="19"/>
  <c r="R22" i="19"/>
  <c r="R11" i="19"/>
  <c r="O12" i="19"/>
  <c r="O13" i="19"/>
  <c r="O14" i="19" s="1"/>
  <c r="O15" i="19" s="1"/>
  <c r="O16" i="19" s="1"/>
  <c r="O17" i="19" s="1"/>
  <c r="O18" i="19" s="1"/>
  <c r="O19" i="19" s="1"/>
  <c r="O20" i="19" s="1"/>
  <c r="O21" i="19" s="1"/>
  <c r="O22" i="19" s="1"/>
  <c r="O11" i="19"/>
  <c r="O10" i="19"/>
  <c r="N23" i="19"/>
  <c r="M23" i="19"/>
  <c r="L23" i="19"/>
  <c r="K23" i="19"/>
  <c r="J23" i="19"/>
  <c r="I23" i="19"/>
  <c r="H23" i="19"/>
  <c r="D23" i="19"/>
  <c r="E23" i="19"/>
  <c r="F23" i="19"/>
  <c r="N10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10" i="19"/>
  <c r="K14" i="8" l="1"/>
  <c r="K15" i="8" s="1"/>
  <c r="K16" i="8" s="1"/>
  <c r="K17" i="8" s="1"/>
  <c r="K18" i="8" s="1"/>
  <c r="K19" i="8" s="1"/>
  <c r="K20" i="8" s="1"/>
  <c r="K21" i="8" s="1"/>
  <c r="K22" i="8" s="1"/>
  <c r="J10" i="8"/>
  <c r="L10" i="8" s="1"/>
  <c r="J23" i="8"/>
  <c r="F16" i="8"/>
  <c r="F15" i="8"/>
  <c r="F11" i="8"/>
  <c r="F19" i="8"/>
  <c r="F12" i="8"/>
  <c r="F20" i="8"/>
  <c r="F13" i="8"/>
  <c r="F21" i="8"/>
  <c r="F14" i="8"/>
  <c r="F22" i="8"/>
  <c r="F17" i="8"/>
  <c r="F18" i="8"/>
  <c r="I12" i="8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H12" i="8"/>
  <c r="Q33" i="8"/>
  <c r="D23" i="8"/>
  <c r="Q41" i="8"/>
  <c r="C23" i="8"/>
  <c r="F10" i="8"/>
  <c r="Q36" i="8"/>
  <c r="E23" i="8"/>
  <c r="O32" i="8"/>
  <c r="O33" i="8" s="1"/>
  <c r="O34" i="8" s="1"/>
  <c r="O35" i="8" s="1"/>
  <c r="O36" i="8" s="1"/>
  <c r="O37" i="8" s="1"/>
  <c r="O38" i="8" s="1"/>
  <c r="O39" i="8" s="1"/>
  <c r="O40" i="8" s="1"/>
  <c r="O41" i="8" s="1"/>
  <c r="O42" i="8" s="1"/>
  <c r="O43" i="8" s="1"/>
  <c r="Q43" i="8"/>
  <c r="Q32" i="8"/>
  <c r="Q40" i="8"/>
  <c r="Q35" i="8"/>
  <c r="Q37" i="8"/>
  <c r="Q42" i="8"/>
  <c r="N44" i="8"/>
  <c r="Q34" i="8"/>
  <c r="Q39" i="8"/>
  <c r="P44" i="8"/>
  <c r="R19" i="19"/>
  <c r="R44" i="19"/>
  <c r="N44" i="19"/>
  <c r="P44" i="19"/>
  <c r="H13" i="8" l="1"/>
  <c r="L12" i="8"/>
  <c r="I23" i="8"/>
  <c r="R44" i="8"/>
  <c r="S32" i="8"/>
  <c r="S33" i="8" s="1"/>
  <c r="S34" i="8" s="1"/>
  <c r="S35" i="8" s="1"/>
  <c r="S36" i="8" s="1"/>
  <c r="S37" i="8" s="1"/>
  <c r="S38" i="8" s="1"/>
  <c r="S39" i="8" s="1"/>
  <c r="S40" i="8" s="1"/>
  <c r="S41" i="8" s="1"/>
  <c r="S42" i="8" s="1"/>
  <c r="S43" i="8" s="1"/>
  <c r="S48" i="8" s="1"/>
  <c r="S32" i="19"/>
  <c r="S33" i="19" s="1"/>
  <c r="S34" i="19" s="1"/>
  <c r="S35" i="19" s="1"/>
  <c r="S36" i="19" s="1"/>
  <c r="S37" i="19" s="1"/>
  <c r="S38" i="19" s="1"/>
  <c r="S39" i="19" s="1"/>
  <c r="S40" i="19" s="1"/>
  <c r="S41" i="19" s="1"/>
  <c r="S42" i="19" s="1"/>
  <c r="S43" i="19" s="1"/>
  <c r="S48" i="19" s="1"/>
  <c r="H14" i="8" l="1"/>
  <c r="L13" i="8"/>
  <c r="H15" i="8" l="1"/>
  <c r="L14" i="8"/>
  <c r="H16" i="8" l="1"/>
  <c r="L15" i="8"/>
  <c r="H17" i="8" l="1"/>
  <c r="L16" i="8"/>
  <c r="H18" i="8" l="1"/>
  <c r="L17" i="8"/>
  <c r="H19" i="8" l="1"/>
  <c r="L18" i="8"/>
  <c r="H20" i="8" l="1"/>
  <c r="L19" i="8"/>
  <c r="H21" i="8" l="1"/>
  <c r="L20" i="8"/>
  <c r="H22" i="8" l="1"/>
  <c r="L22" i="8" s="1"/>
  <c r="L21" i="8"/>
  <c r="H23" i="8" l="1"/>
  <c r="L11" i="19" l="1"/>
  <c r="L12" i="19"/>
  <c r="L13" i="19"/>
  <c r="L14" i="19"/>
  <c r="L15" i="19"/>
  <c r="L16" i="19"/>
  <c r="L17" i="19"/>
  <c r="L18" i="19"/>
  <c r="L19" i="19"/>
  <c r="L20" i="19"/>
  <c r="L21" i="19"/>
  <c r="L22" i="19"/>
  <c r="L10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I22" i="19"/>
  <c r="I13" i="19"/>
  <c r="I14" i="19" s="1"/>
  <c r="I15" i="19" s="1"/>
  <c r="I16" i="19" s="1"/>
  <c r="I17" i="19" s="1"/>
  <c r="I18" i="19" s="1"/>
  <c r="I19" i="19" s="1"/>
  <c r="I20" i="19" s="1"/>
  <c r="I21" i="19" s="1"/>
  <c r="I12" i="19"/>
  <c r="I11" i="19"/>
  <c r="H22" i="19"/>
  <c r="H13" i="19"/>
  <c r="H14" i="19" s="1"/>
  <c r="H15" i="19" s="1"/>
  <c r="H16" i="19" s="1"/>
  <c r="H17" i="19" s="1"/>
  <c r="H18" i="19" s="1"/>
  <c r="H19" i="19" s="1"/>
  <c r="H20" i="19" s="1"/>
  <c r="H21" i="19" s="1"/>
  <c r="H12" i="19"/>
  <c r="H11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D22" i="19"/>
  <c r="D21" i="19"/>
  <c r="D20" i="19"/>
  <c r="D19" i="19"/>
  <c r="D18" i="19"/>
  <c r="D17" i="19"/>
  <c r="F17" i="19" s="1"/>
  <c r="D16" i="19"/>
  <c r="D15" i="19"/>
  <c r="D14" i="19"/>
  <c r="D13" i="19"/>
  <c r="D12" i="19"/>
  <c r="D11" i="19"/>
  <c r="D10" i="19"/>
  <c r="C21" i="19"/>
  <c r="F21" i="19" s="1"/>
  <c r="C20" i="19"/>
  <c r="F20" i="19" s="1"/>
  <c r="C19" i="19"/>
  <c r="C18" i="19"/>
  <c r="C17" i="19"/>
  <c r="C16" i="19"/>
  <c r="C15" i="19"/>
  <c r="C14" i="19"/>
  <c r="F14" i="19" s="1"/>
  <c r="C13" i="19"/>
  <c r="F13" i="19" s="1"/>
  <c r="C12" i="19"/>
  <c r="F12" i="19" s="1"/>
  <c r="C11" i="19"/>
  <c r="C10" i="19"/>
  <c r="F11" i="19" l="1"/>
  <c r="F19" i="19"/>
  <c r="F18" i="19"/>
  <c r="F15" i="19"/>
  <c r="F16" i="19"/>
  <c r="F10" i="19"/>
  <c r="F12" i="14"/>
  <c r="A36" i="14" l="1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E38" i="16"/>
  <c r="G36" i="16"/>
  <c r="C22" i="19" l="1"/>
  <c r="P11" i="19"/>
  <c r="Q20" i="19" s="1"/>
  <c r="A2" i="19"/>
  <c r="A1" i="19"/>
  <c r="F22" i="19" l="1"/>
  <c r="C23" i="19"/>
  <c r="Q15" i="19"/>
  <c r="Q22" i="19"/>
  <c r="P23" i="19"/>
  <c r="Q12" i="19"/>
  <c r="Q14" i="19"/>
  <c r="Q16" i="19"/>
  <c r="Q18" i="19"/>
  <c r="Q11" i="19"/>
  <c r="Q13" i="19"/>
  <c r="Q17" i="19"/>
  <c r="Q19" i="19"/>
  <c r="Q21" i="19"/>
  <c r="S11" i="19" l="1"/>
  <c r="S12" i="19" s="1"/>
  <c r="S13" i="19" s="1"/>
  <c r="S14" i="19" s="1"/>
  <c r="S15" i="19" s="1"/>
  <c r="S16" i="19" s="1"/>
  <c r="S17" i="19" s="1"/>
  <c r="S18" i="19" s="1"/>
  <c r="R23" i="19" l="1"/>
  <c r="S19" i="19"/>
  <c r="S20" i="19" s="1"/>
  <c r="S21" i="19" s="1"/>
  <c r="S22" i="19" s="1"/>
  <c r="S27" i="19" s="1"/>
  <c r="S51" i="19" l="1"/>
  <c r="H36" i="16"/>
  <c r="I36" i="16"/>
  <c r="J36" i="16"/>
  <c r="K36" i="16"/>
  <c r="L36" i="16"/>
  <c r="M36" i="16"/>
  <c r="N36" i="16"/>
  <c r="O36" i="16"/>
  <c r="P36" i="16"/>
  <c r="Q36" i="16"/>
  <c r="F36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N38" i="16" l="1"/>
  <c r="H26" i="18"/>
  <c r="H25" i="18"/>
  <c r="H24" i="18"/>
  <c r="H23" i="18"/>
  <c r="H22" i="18"/>
  <c r="H21" i="18"/>
  <c r="H20" i="18"/>
  <c r="H19" i="18"/>
  <c r="H18" i="18"/>
  <c r="H17" i="18"/>
  <c r="H16" i="18"/>
  <c r="H15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D26" i="18"/>
  <c r="D25" i="18"/>
  <c r="D24" i="18"/>
  <c r="D23" i="18"/>
  <c r="D22" i="18"/>
  <c r="D21" i="18"/>
  <c r="D20" i="18"/>
  <c r="D19" i="18"/>
  <c r="D18" i="18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H14" i="18" s="1"/>
  <c r="Q42" i="16"/>
  <c r="P42" i="16"/>
  <c r="O42" i="16"/>
  <c r="N42" i="16"/>
  <c r="M42" i="16"/>
  <c r="L42" i="16"/>
  <c r="K42" i="16"/>
  <c r="J42" i="16"/>
  <c r="I42" i="16"/>
  <c r="H42" i="16"/>
  <c r="G42" i="16"/>
  <c r="F42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Q35" i="16"/>
  <c r="Q38" i="16" s="1"/>
  <c r="P35" i="16"/>
  <c r="P38" i="16" s="1"/>
  <c r="O35" i="16"/>
  <c r="O38" i="16" s="1"/>
  <c r="N35" i="16"/>
  <c r="M35" i="16"/>
  <c r="M38" i="16" s="1"/>
  <c r="L35" i="16"/>
  <c r="L38" i="16" s="1"/>
  <c r="K35" i="16"/>
  <c r="K38" i="16" s="1"/>
  <c r="J35" i="16"/>
  <c r="J38" i="16" s="1"/>
  <c r="I35" i="16"/>
  <c r="I38" i="16" s="1"/>
  <c r="H35" i="16"/>
  <c r="H38" i="16" s="1"/>
  <c r="G35" i="16"/>
  <c r="G38" i="16" s="1"/>
  <c r="F35" i="16"/>
  <c r="F38" i="16" s="1"/>
  <c r="R25" i="16" l="1"/>
  <c r="R26" i="16"/>
  <c r="R19" i="16"/>
  <c r="R20" i="16"/>
  <c r="R13" i="16"/>
  <c r="R14" i="16"/>
  <c r="A31" i="4" l="1"/>
  <c r="A2" i="8" l="1"/>
  <c r="A1" i="8"/>
  <c r="P11" i="8"/>
  <c r="Q11" i="8" s="1"/>
  <c r="S10" i="8"/>
  <c r="G36" i="7"/>
  <c r="H36" i="7"/>
  <c r="I36" i="7"/>
  <c r="J36" i="7"/>
  <c r="K36" i="7"/>
  <c r="L36" i="7"/>
  <c r="M36" i="7"/>
  <c r="N36" i="7"/>
  <c r="O36" i="7"/>
  <c r="P36" i="7"/>
  <c r="Q36" i="7"/>
  <c r="F36" i="7"/>
  <c r="G37" i="7"/>
  <c r="H37" i="7"/>
  <c r="I37" i="7"/>
  <c r="J37" i="7"/>
  <c r="K37" i="7"/>
  <c r="L37" i="7"/>
  <c r="M37" i="7"/>
  <c r="N37" i="7"/>
  <c r="O37" i="7"/>
  <c r="P37" i="7"/>
  <c r="Q37" i="7"/>
  <c r="F37" i="7"/>
  <c r="P35" i="7"/>
  <c r="E38" i="7"/>
  <c r="P15" i="7"/>
  <c r="Q15" i="7"/>
  <c r="F27" i="7"/>
  <c r="H15" i="9" s="1"/>
  <c r="G27" i="7"/>
  <c r="H16" i="9" s="1"/>
  <c r="H27" i="7"/>
  <c r="H17" i="9" s="1"/>
  <c r="I27" i="7"/>
  <c r="H18" i="9" s="1"/>
  <c r="J27" i="7"/>
  <c r="H19" i="9" s="1"/>
  <c r="K27" i="7"/>
  <c r="H20" i="9" s="1"/>
  <c r="L27" i="7"/>
  <c r="H21" i="9" s="1"/>
  <c r="M27" i="7"/>
  <c r="H22" i="9" s="1"/>
  <c r="N27" i="7"/>
  <c r="H23" i="9" s="1"/>
  <c r="O27" i="7"/>
  <c r="H24" i="9" s="1"/>
  <c r="P27" i="7"/>
  <c r="H25" i="9" s="1"/>
  <c r="Q27" i="7"/>
  <c r="H26" i="9" s="1"/>
  <c r="E27" i="7"/>
  <c r="I14" i="9" s="1"/>
  <c r="N15" i="7"/>
  <c r="D23" i="9" s="1"/>
  <c r="O15" i="7"/>
  <c r="Q21" i="7"/>
  <c r="R20" i="7"/>
  <c r="F26" i="9" l="1"/>
  <c r="D24" i="9"/>
  <c r="D25" i="9"/>
  <c r="D26" i="9"/>
  <c r="Q17" i="8"/>
  <c r="Q13" i="8"/>
  <c r="Q19" i="8"/>
  <c r="Q20" i="8"/>
  <c r="Q21" i="8"/>
  <c r="Q15" i="8"/>
  <c r="Q12" i="8"/>
  <c r="Q14" i="8"/>
  <c r="Q16" i="8"/>
  <c r="Q18" i="8"/>
  <c r="Q22" i="8"/>
  <c r="P23" i="8"/>
  <c r="P38" i="7"/>
  <c r="R19" i="7"/>
  <c r="R13" i="7"/>
  <c r="R14" i="7"/>
  <c r="C16" i="9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15" i="9"/>
  <c r="F23" i="8" l="1"/>
  <c r="K23" i="8"/>
  <c r="L23" i="8" l="1"/>
  <c r="O16" i="10"/>
  <c r="O15" i="10"/>
  <c r="O14" i="10"/>
  <c r="O13" i="10"/>
  <c r="A1" i="7" l="1"/>
  <c r="E33" i="16" l="1"/>
  <c r="E12" i="15" l="1"/>
  <c r="F12" i="15" s="1"/>
  <c r="E11" i="15"/>
  <c r="E10" i="15"/>
  <c r="E33" i="7"/>
  <c r="E12" i="5"/>
  <c r="F12" i="5" s="1"/>
  <c r="E11" i="5"/>
  <c r="E10" i="5"/>
  <c r="A7" i="2" l="1"/>
  <c r="A6" i="2" l="1"/>
  <c r="A15" i="9"/>
  <c r="D14" i="17"/>
  <c r="A15" i="18"/>
  <c r="F22" i="17" l="1"/>
  <c r="F11" i="17"/>
  <c r="F15" i="17" s="1"/>
  <c r="F19" i="17" s="1"/>
  <c r="F20" i="17" s="1"/>
  <c r="F24" i="17" s="1"/>
  <c r="F27" i="17" s="1"/>
  <c r="F14" i="17" l="1"/>
  <c r="F29" i="17" l="1"/>
  <c r="F30" i="17"/>
  <c r="F31" i="17" l="1"/>
  <c r="E15" i="7" l="1"/>
  <c r="E14" i="9" l="1"/>
  <c r="F35" i="7"/>
  <c r="F38" i="7" s="1"/>
  <c r="F44" i="7" l="1"/>
  <c r="I14" i="18"/>
  <c r="I15" i="18" l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15" i="9"/>
  <c r="I27" i="18" l="1"/>
  <c r="I29" i="18" s="1"/>
  <c r="A2" i="17"/>
  <c r="A2" i="15"/>
  <c r="A3" i="18"/>
  <c r="A2" i="18"/>
  <c r="A3" i="17"/>
  <c r="A2" i="16"/>
  <c r="A3" i="15"/>
  <c r="A3" i="14"/>
  <c r="A2" i="14"/>
  <c r="F13" i="14" l="1"/>
  <c r="G26" i="17"/>
  <c r="H26" i="17" s="1"/>
  <c r="C16" i="18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G15" i="18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8" i="18" s="1"/>
  <c r="A29" i="18" s="1"/>
  <c r="A19" i="17"/>
  <c r="A20" i="17" s="1"/>
  <c r="A15" i="17"/>
  <c r="E46" i="16"/>
  <c r="A35" i="16"/>
  <c r="Q21" i="16"/>
  <c r="F26" i="18" s="1"/>
  <c r="P21" i="16"/>
  <c r="O21" i="16"/>
  <c r="N21" i="16"/>
  <c r="M21" i="16"/>
  <c r="L21" i="16"/>
  <c r="K21" i="16"/>
  <c r="J21" i="16"/>
  <c r="I21" i="16"/>
  <c r="H21" i="16"/>
  <c r="F21" i="16"/>
  <c r="D17" i="18"/>
  <c r="D16" i="18"/>
  <c r="C13" i="15"/>
  <c r="F11" i="15"/>
  <c r="A11" i="15"/>
  <c r="A12" i="15" s="1"/>
  <c r="A13" i="15" s="1"/>
  <c r="A13" i="14"/>
  <c r="A14" i="14" s="1"/>
  <c r="A15" i="14" s="1"/>
  <c r="A16" i="14" s="1"/>
  <c r="A17" i="14" s="1"/>
  <c r="A18" i="14" s="1"/>
  <c r="A19" i="14" s="1"/>
  <c r="A22" i="14" s="1"/>
  <c r="A23" i="14" s="1"/>
  <c r="G26" i="18" l="1"/>
  <c r="G27" i="18" s="1"/>
  <c r="G29" i="18" s="1"/>
  <c r="A24" i="14"/>
  <c r="A25" i="14" s="1"/>
  <c r="A27" i="14" s="1"/>
  <c r="A22" i="17"/>
  <c r="A24" i="17" s="1"/>
  <c r="A26" i="17" s="1"/>
  <c r="A27" i="17" s="1"/>
  <c r="A29" i="17" s="1"/>
  <c r="R27" i="16"/>
  <c r="R18" i="16"/>
  <c r="R21" i="16" s="1"/>
  <c r="R12" i="16"/>
  <c r="R15" i="16" s="1"/>
  <c r="R24" i="16"/>
  <c r="E13" i="15"/>
  <c r="F10" i="15"/>
  <c r="F13" i="15" s="1"/>
  <c r="F18" i="14" s="1"/>
  <c r="G21" i="16"/>
  <c r="D15" i="18"/>
  <c r="E21" i="16"/>
  <c r="H46" i="16" l="1"/>
  <c r="G46" i="16"/>
  <c r="N46" i="16"/>
  <c r="I46" i="16"/>
  <c r="P46" i="16"/>
  <c r="M46" i="16"/>
  <c r="Q46" i="16"/>
  <c r="O46" i="16"/>
  <c r="L46" i="16"/>
  <c r="J46" i="16"/>
  <c r="K46" i="16"/>
  <c r="F46" i="16"/>
  <c r="D15" i="17" l="1"/>
  <c r="D19" i="17" s="1"/>
  <c r="I16" i="9"/>
  <c r="D18" i="17" l="1"/>
  <c r="D20" i="17" s="1"/>
  <c r="D24" i="17" s="1"/>
  <c r="D27" i="17" s="1"/>
  <c r="I17" i="9"/>
  <c r="I18" i="9" l="1"/>
  <c r="R46" i="16"/>
  <c r="A5" i="2"/>
  <c r="F14" i="14" l="1"/>
  <c r="G22" i="17"/>
  <c r="H22" i="17" s="1"/>
  <c r="I19" i="9"/>
  <c r="A3" i="10"/>
  <c r="A2" i="10"/>
  <c r="A3" i="9"/>
  <c r="A2" i="9"/>
  <c r="A2" i="7"/>
  <c r="A3" i="5"/>
  <c r="A2" i="5"/>
  <c r="A3" i="4"/>
  <c r="A2" i="4"/>
  <c r="I20" i="9" l="1"/>
  <c r="P21" i="7"/>
  <c r="F25" i="9" s="1"/>
  <c r="O21" i="7"/>
  <c r="F24" i="9" s="1"/>
  <c r="N21" i="7"/>
  <c r="F23" i="9" s="1"/>
  <c r="M21" i="7"/>
  <c r="F22" i="9" s="1"/>
  <c r="L21" i="7"/>
  <c r="F21" i="9" s="1"/>
  <c r="K21" i="7"/>
  <c r="F20" i="9" s="1"/>
  <c r="J21" i="7"/>
  <c r="F19" i="9" s="1"/>
  <c r="I21" i="7"/>
  <c r="F18" i="9" s="1"/>
  <c r="H21" i="7"/>
  <c r="F17" i="9" s="1"/>
  <c r="G21" i="7"/>
  <c r="F16" i="9" s="1"/>
  <c r="F21" i="7"/>
  <c r="F15" i="9" s="1"/>
  <c r="M15" i="7"/>
  <c r="D22" i="9" s="1"/>
  <c r="L15" i="7"/>
  <c r="D21" i="9" s="1"/>
  <c r="K15" i="7"/>
  <c r="D20" i="9" s="1"/>
  <c r="J15" i="7"/>
  <c r="D19" i="9" s="1"/>
  <c r="I15" i="7"/>
  <c r="D18" i="9" s="1"/>
  <c r="H15" i="7"/>
  <c r="D17" i="9" s="1"/>
  <c r="G15" i="7"/>
  <c r="D16" i="9" s="1"/>
  <c r="F15" i="7"/>
  <c r="D15" i="9" l="1"/>
  <c r="Q44" i="7"/>
  <c r="K44" i="7"/>
  <c r="L44" i="7"/>
  <c r="G44" i="7"/>
  <c r="E21" i="7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R21" i="7"/>
  <c r="M35" i="7"/>
  <c r="M38" i="7" s="1"/>
  <c r="I35" i="7"/>
  <c r="I38" i="7" s="1"/>
  <c r="L35" i="7"/>
  <c r="L38" i="7" s="1"/>
  <c r="N35" i="7"/>
  <c r="N38" i="7" s="1"/>
  <c r="O35" i="7"/>
  <c r="O38" i="7" s="1"/>
  <c r="Q35" i="7"/>
  <c r="Q38" i="7" s="1"/>
  <c r="K35" i="7"/>
  <c r="K38" i="7" s="1"/>
  <c r="H35" i="7"/>
  <c r="H38" i="7" s="1"/>
  <c r="J35" i="7"/>
  <c r="J38" i="7" s="1"/>
  <c r="G35" i="7"/>
  <c r="G38" i="7" s="1"/>
  <c r="D30" i="17"/>
  <c r="D29" i="17"/>
  <c r="I21" i="9"/>
  <c r="M44" i="7" l="1"/>
  <c r="I44" i="7"/>
  <c r="O44" i="7"/>
  <c r="N44" i="7"/>
  <c r="H44" i="7"/>
  <c r="J44" i="7"/>
  <c r="P44" i="7"/>
  <c r="D31" i="17"/>
  <c r="I22" i="9"/>
  <c r="M23" i="8" l="1"/>
  <c r="N23" i="8"/>
  <c r="I23" i="9"/>
  <c r="R23" i="8" l="1"/>
  <c r="S27" i="8"/>
  <c r="I24" i="9"/>
  <c r="R18" i="7"/>
  <c r="R12" i="7"/>
  <c r="R15" i="7" s="1"/>
  <c r="S51" i="8" l="1"/>
  <c r="I25" i="9"/>
  <c r="I26" i="9" l="1"/>
  <c r="I27" i="9" s="1"/>
  <c r="R27" i="7" l="1"/>
  <c r="F14" i="4" l="1"/>
  <c r="E15" i="9"/>
  <c r="E16" i="9" l="1"/>
  <c r="E17" i="9" l="1"/>
  <c r="E18" i="9" l="1"/>
  <c r="E19" i="9" l="1"/>
  <c r="E20" i="9" l="1"/>
  <c r="E21" i="9" l="1"/>
  <c r="E22" i="9" l="1"/>
  <c r="E23" i="9" l="1"/>
  <c r="E24" i="9" l="1"/>
  <c r="E25" i="9" l="1"/>
  <c r="G27" i="9" l="1"/>
  <c r="G29" i="9" s="1"/>
  <c r="E26" i="9"/>
  <c r="E27" i="9" s="1"/>
  <c r="E29" i="9" s="1"/>
  <c r="F12" i="4" l="1"/>
  <c r="A13" i="4"/>
  <c r="H13" i="3" l="1"/>
  <c r="H14" i="3"/>
  <c r="H15" i="3"/>
  <c r="H12" i="3"/>
  <c r="A14" i="10" l="1"/>
  <c r="A15" i="10" s="1"/>
  <c r="A16" i="10" s="1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8" i="9" s="1"/>
  <c r="A29" i="9" s="1"/>
  <c r="I29" i="9" l="1"/>
  <c r="F11" i="5"/>
  <c r="F10" i="5"/>
  <c r="E13" i="5"/>
  <c r="C13" i="5"/>
  <c r="A11" i="5"/>
  <c r="A12" i="5" s="1"/>
  <c r="A13" i="5" s="1"/>
  <c r="A14" i="4"/>
  <c r="A15" i="4" s="1"/>
  <c r="A16" i="4" s="1"/>
  <c r="A17" i="4" s="1"/>
  <c r="A18" i="4" s="1"/>
  <c r="A19" i="4" s="1"/>
  <c r="A22" i="4" s="1"/>
  <c r="A23" i="4" s="1"/>
  <c r="A24" i="4" s="1"/>
  <c r="A25" i="4" s="1"/>
  <c r="D16" i="3"/>
  <c r="A13" i="3"/>
  <c r="A14" i="3" s="1"/>
  <c r="A15" i="3" s="1"/>
  <c r="A16" i="3" s="1"/>
  <c r="A27" i="4" l="1"/>
  <c r="F13" i="4"/>
  <c r="F13" i="5"/>
  <c r="F18" i="4" s="1"/>
  <c r="F15" i="4" l="1"/>
  <c r="F23" i="4" s="1"/>
  <c r="F17" i="4" l="1"/>
  <c r="F19" i="4" s="1"/>
  <c r="F24" i="4" s="1"/>
  <c r="F25" i="4" l="1"/>
  <c r="F27" i="4" s="1"/>
  <c r="E16" i="3" s="1"/>
  <c r="E14" i="3" l="1"/>
  <c r="E12" i="3"/>
  <c r="E15" i="3"/>
  <c r="E13" i="3"/>
  <c r="D14" i="18"/>
  <c r="E14" i="18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l="1"/>
  <c r="E29" i="18" l="1"/>
  <c r="G11" i="17" s="1"/>
  <c r="E33" i="18"/>
  <c r="F15" i="14" l="1"/>
  <c r="F23" i="14" s="1"/>
  <c r="G15" i="17"/>
  <c r="H11" i="17"/>
  <c r="G14" i="17"/>
  <c r="H15" i="17" l="1"/>
  <c r="G19" i="17"/>
  <c r="H19" i="17" s="1"/>
  <c r="G18" i="17"/>
  <c r="H14" i="17"/>
  <c r="G20" i="17" l="1"/>
  <c r="H18" i="17"/>
  <c r="G24" i="17" l="1"/>
  <c r="H20" i="17"/>
  <c r="H24" i="17" l="1"/>
  <c r="G27" i="17"/>
  <c r="H27" i="17" l="1"/>
  <c r="G30" i="17"/>
  <c r="H30" i="17" s="1"/>
  <c r="H35" i="17" s="1"/>
  <c r="G29" i="17"/>
  <c r="G31" i="17" l="1"/>
  <c r="H29" i="17"/>
  <c r="H31" i="17" l="1"/>
  <c r="H33" i="17"/>
  <c r="F17" i="14" s="1"/>
  <c r="F19" i="14" s="1"/>
  <c r="F24" i="14" s="1"/>
  <c r="F25" i="14" l="1"/>
  <c r="F27" i="14" s="1"/>
  <c r="F30" i="14" s="1"/>
  <c r="F33" i="14" s="1"/>
  <c r="F16" i="3" s="1"/>
  <c r="G16" i="3" l="1"/>
  <c r="F14" i="3"/>
  <c r="G14" i="3" s="1"/>
  <c r="I14" i="3" s="1"/>
  <c r="G12" i="3"/>
  <c r="I12" i="3" s="1"/>
  <c r="F15" i="3"/>
  <c r="G15" i="3" s="1"/>
  <c r="I15" i="3" s="1"/>
  <c r="F13" i="3"/>
  <c r="G13" i="3" s="1"/>
  <c r="I13" i="3" s="1"/>
</calcChain>
</file>

<file path=xl/sharedStrings.xml><?xml version="1.0" encoding="utf-8"?>
<sst xmlns="http://schemas.openxmlformats.org/spreadsheetml/2006/main" count="649" uniqueCount="255">
  <si>
    <t>Duke Energy Kentucky</t>
  </si>
  <si>
    <t>Table of Contents</t>
  </si>
  <si>
    <t>1.0</t>
  </si>
  <si>
    <t>1.1</t>
  </si>
  <si>
    <t>1.2</t>
  </si>
  <si>
    <t>2.0</t>
  </si>
  <si>
    <t>2.1</t>
  </si>
  <si>
    <t>2.2</t>
  </si>
  <si>
    <t>3.0</t>
  </si>
  <si>
    <t>Description</t>
  </si>
  <si>
    <t>Revenue Requirement</t>
  </si>
  <si>
    <t>Cost of Capital</t>
  </si>
  <si>
    <t>Plant Additions and Depreciation</t>
  </si>
  <si>
    <t>Tax Depreciation</t>
  </si>
  <si>
    <t>Billing Determinants</t>
  </si>
  <si>
    <t>Rate Schedule</t>
  </si>
  <si>
    <t>Revenue</t>
  </si>
  <si>
    <t>Requirement</t>
  </si>
  <si>
    <t>Billing</t>
  </si>
  <si>
    <t>Determinants</t>
  </si>
  <si>
    <t>Monthly</t>
  </si>
  <si>
    <t>Total</t>
  </si>
  <si>
    <t>Reference</t>
  </si>
  <si>
    <t>Return on Investment</t>
  </si>
  <si>
    <t>Rate Base</t>
  </si>
  <si>
    <t>Cost of Removal</t>
  </si>
  <si>
    <t>Accumulated Reserve for Depreciation</t>
  </si>
  <si>
    <t>Net PP&amp;E</t>
  </si>
  <si>
    <t>Deferred Taxes on Liberalized Depreciation</t>
  </si>
  <si>
    <t>Net Rate Base</t>
  </si>
  <si>
    <t>Authorized Rate of Return, Adjusted for Income Taxes</t>
  </si>
  <si>
    <t>Operating Expenses</t>
  </si>
  <si>
    <t>Depreciation</t>
  </si>
  <si>
    <t>Property Tax</t>
  </si>
  <si>
    <t>PSC Assessment</t>
  </si>
  <si>
    <t>Total Operating Expenses</t>
  </si>
  <si>
    <t>Total Annual Revenue Requirement</t>
  </si>
  <si>
    <t>Line 4 + Line 5</t>
  </si>
  <si>
    <t>Line 6 * Line 7</t>
  </si>
  <si>
    <t>Sum Lines 9 thru 11</t>
  </si>
  <si>
    <t>Line 8 + Line 12</t>
  </si>
  <si>
    <t>Notes:</t>
  </si>
  <si>
    <t>Capital Structure</t>
  </si>
  <si>
    <t>Ratio</t>
  </si>
  <si>
    <t>Cost</t>
  </si>
  <si>
    <t xml:space="preserve">Weighted </t>
  </si>
  <si>
    <t>Pre-Tax @ Effect.</t>
  </si>
  <si>
    <t>Short term Debt</t>
  </si>
  <si>
    <t>Long term Debt</t>
  </si>
  <si>
    <t>Equity</t>
  </si>
  <si>
    <t>Acct</t>
  </si>
  <si>
    <t>Number</t>
  </si>
  <si>
    <t>Additions</t>
  </si>
  <si>
    <t>Total Additions</t>
  </si>
  <si>
    <t>Retirements</t>
  </si>
  <si>
    <t>Total Retirements</t>
  </si>
  <si>
    <t>Total Cost of removal</t>
  </si>
  <si>
    <t>Month</t>
  </si>
  <si>
    <t xml:space="preserve">Number of </t>
  </si>
  <si>
    <t>Months</t>
  </si>
  <si>
    <t>RS- Residential</t>
  </si>
  <si>
    <t>IT - Interruptible Transportation</t>
  </si>
  <si>
    <t>GS - General Service</t>
  </si>
  <si>
    <t>(A)</t>
  </si>
  <si>
    <t>(B)</t>
  </si>
  <si>
    <t>Thirteen Month Average Additions and Retirements</t>
  </si>
  <si>
    <t>(C)</t>
  </si>
  <si>
    <t>FT - Firm Transportation (Includes DGS)</t>
  </si>
  <si>
    <t>Tax Base In-service subject to :</t>
  </si>
  <si>
    <t>MACRS on Balance</t>
  </si>
  <si>
    <t>Vintage</t>
  </si>
  <si>
    <t xml:space="preserve">Total Tax Depreciation </t>
  </si>
  <si>
    <t>Book Depreciation</t>
  </si>
  <si>
    <t>Tax Depreciation in Excess of Book Depreciation</t>
  </si>
  <si>
    <t>Deferred Taxes @</t>
  </si>
  <si>
    <t>Total Difference</t>
  </si>
  <si>
    <t>Schedule</t>
  </si>
  <si>
    <t xml:space="preserve">MACRS </t>
  </si>
  <si>
    <t>FT - Firm Transportation (CCF)</t>
  </si>
  <si>
    <t>IT - Interruptible Transportation (CCF)</t>
  </si>
  <si>
    <t>Per CCF</t>
  </si>
  <si>
    <t>Line 4 *</t>
  </si>
  <si>
    <t>TOTAL</t>
  </si>
  <si>
    <t>By Month</t>
  </si>
  <si>
    <t>(D)</t>
  </si>
  <si>
    <t>( F)</t>
  </si>
  <si>
    <t>( G)</t>
  </si>
  <si>
    <t>Cumulative</t>
  </si>
  <si>
    <t>Number of months</t>
  </si>
  <si>
    <t>13 Month Average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</si>
  <si>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</si>
  <si>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</si>
  <si>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</si>
  <si>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</si>
  <si>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</si>
  <si>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</si>
  <si>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</si>
  <si>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</si>
  <si>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</si>
  <si>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</si>
  <si>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</si>
  <si>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</si>
  <si>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EOY</t>
  </si>
  <si>
    <t xml:space="preserve"> </t>
  </si>
  <si>
    <t>Rate</t>
  </si>
  <si>
    <t>Annual</t>
  </si>
  <si>
    <t>13 month</t>
  </si>
  <si>
    <t>Average</t>
  </si>
  <si>
    <t>Total Accumulated Depreciation Reserve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</si>
  <si>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</si>
  <si>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</si>
  <si>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</si>
  <si>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</si>
  <si>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</si>
  <si>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</si>
  <si>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</si>
  <si>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</si>
  <si>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</si>
  <si>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</si>
  <si>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</si>
  <si>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</si>
  <si>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Accumulated Depreciation Reserve</t>
  </si>
  <si>
    <t>(Q)</t>
  </si>
  <si>
    <t>Accumulated Deferred Taxes on Liberalized Depreciation</t>
  </si>
  <si>
    <r>
      <t xml:space="preserve">Gas Plant Investments </t>
    </r>
    <r>
      <rPr>
        <b/>
        <u/>
        <vertAlign val="superscript"/>
        <sz val="11"/>
        <color theme="1"/>
        <rFont val="Calibri"/>
        <family val="2"/>
        <scheme val="minor"/>
      </rPr>
      <t>(1)</t>
    </r>
  </si>
  <si>
    <t>( E)</t>
  </si>
  <si>
    <t>( H)</t>
  </si>
  <si>
    <t>Accumlated Deferred Income Tax</t>
  </si>
  <si>
    <t>Collections/(Refunds) for prior years</t>
  </si>
  <si>
    <t>Adjusted Revenue Requirement</t>
  </si>
  <si>
    <t>Total (Over)/Under Collections</t>
  </si>
  <si>
    <t>Bonus Depreciation- 50%</t>
  </si>
  <si>
    <t>Tax Rate of 24.925%</t>
  </si>
  <si>
    <t>Excess Deferred Income Taxes (EDIT)</t>
  </si>
  <si>
    <t>Pipeline Modernization Mechanism ("Rider PMM")</t>
  </si>
  <si>
    <t>Rider PMM by Rate Schedule</t>
  </si>
  <si>
    <t>Line</t>
  </si>
  <si>
    <t>No.</t>
  </si>
  <si>
    <t>Approved KyPSC</t>
  </si>
  <si>
    <t>Case No. 2021-00190</t>
  </si>
  <si>
    <t>Rider PMM</t>
  </si>
  <si>
    <t>PMM Investment</t>
  </si>
  <si>
    <t>December 31, 2023</t>
  </si>
  <si>
    <t>PMM Rates by Rate Schedule</t>
  </si>
  <si>
    <t>PMM Additions and Retirements</t>
  </si>
  <si>
    <t>Capital structure approved in Case No. 2021-00190</t>
  </si>
  <si>
    <t>Total PMM Plant Additions</t>
  </si>
  <si>
    <t>PMM Capex</t>
  </si>
  <si>
    <t>Net PMM Investment  - Property, Plant and Equipment</t>
  </si>
  <si>
    <t>Required Return on PMM Related Investment</t>
  </si>
  <si>
    <t>PMM Rider Billing Determinants by Rate Schedule</t>
  </si>
  <si>
    <t>Sch. 1.1</t>
  </si>
  <si>
    <t>Sch. 4.1</t>
  </si>
  <si>
    <t>Sch. 2.2</t>
  </si>
  <si>
    <t>Sch. 2.0</t>
  </si>
  <si>
    <t>Sch. 2.1</t>
  </si>
  <si>
    <t>Sch. 1.2</t>
  </si>
  <si>
    <t>Sch. 4.5</t>
  </si>
  <si>
    <t>Sch. 4.3</t>
  </si>
  <si>
    <t>Sch. 4.4</t>
  </si>
  <si>
    <t>Sch. 4.2</t>
  </si>
  <si>
    <t>Tax Year 2023</t>
  </si>
  <si>
    <t>Balance @ 12/31/2022</t>
  </si>
  <si>
    <t>Test Year 12/31/23 PMM Investment Summary</t>
  </si>
  <si>
    <t>Mains - Feeder</t>
  </si>
  <si>
    <t>Tax Year 2024</t>
  </si>
  <si>
    <t>Capital structure and cost of debt approved in Case No. 2021-00190</t>
  </si>
  <si>
    <t>Sum Lines 9 thru 12</t>
  </si>
  <si>
    <t>Sch. 3.0</t>
  </si>
  <si>
    <t>Gross Distribution Plant</t>
  </si>
  <si>
    <t>Land and Land Rights</t>
  </si>
  <si>
    <t>System M&amp;R Station Equipment</t>
  </si>
  <si>
    <t>ADFIT balance when proration is applied</t>
  </si>
  <si>
    <t>A</t>
  </si>
  <si>
    <t>B</t>
  </si>
  <si>
    <t>projected</t>
  </si>
  <si>
    <t>Tax Rate</t>
  </si>
  <si>
    <t>Forecasted ADIT</t>
  </si>
  <si>
    <t>Book Adds/Retires - 15 YR MACRS</t>
  </si>
  <si>
    <t>Book Adds/Retires - Non-Depreciable Land</t>
  </si>
  <si>
    <t>Total MACRS Depreciation</t>
  </si>
  <si>
    <t>1st Yr 15 Yr MACRS for Tax - 5%</t>
  </si>
  <si>
    <t>Days to Prorate</t>
  </si>
  <si>
    <t>Future Days in Period</t>
  </si>
  <si>
    <t>Total Book Additions/ Retirements</t>
  </si>
  <si>
    <t>1st Yr 20 Yr MACRS for Tax - 3.75%</t>
  </si>
  <si>
    <t>Book Adds/Retires - 20 YR MACRS</t>
  </si>
  <si>
    <t>C</t>
  </si>
  <si>
    <t>A + B + C = D</t>
  </si>
  <si>
    <t>Book/Tax Difference</t>
  </si>
  <si>
    <t>Accumulated Book/Tax Difference</t>
  </si>
  <si>
    <t>J</t>
  </si>
  <si>
    <t>L</t>
  </si>
  <si>
    <t>Prorated Book/Tax Difference</t>
  </si>
  <si>
    <t>Prorated Accumulated Book/Tax Difference</t>
  </si>
  <si>
    <t>N</t>
  </si>
  <si>
    <t>Return on equity approved in Case No. 2021-00190 for use in natural gas capital riders</t>
  </si>
  <si>
    <t>Natural gas revenue is defined to include base, gas cost and miscellaneous revenue</t>
  </si>
  <si>
    <t>The cap for the annual PMM revenue requirement is no more than 5% increase in natural gas revenue per year</t>
  </si>
  <si>
    <t>4.1</t>
  </si>
  <si>
    <t>Revenue Requirement - True Up</t>
  </si>
  <si>
    <t>4.2</t>
  </si>
  <si>
    <t>Cost of Captial - True Up</t>
  </si>
  <si>
    <t>4.3</t>
  </si>
  <si>
    <t>Plant Additions and Depreciation - True Up</t>
  </si>
  <si>
    <t>4.4</t>
  </si>
  <si>
    <t>PMM Additions and Retirements - True Up</t>
  </si>
  <si>
    <t>2024 Projection Filing</t>
  </si>
  <si>
    <r>
      <t>RS - Residential (CCF)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</si>
  <si>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GS - General Service (CCF)</t>
    </r>
    <r>
      <rPr>
        <vertAlign val="superscript"/>
        <sz val="11"/>
        <color theme="1"/>
        <rFont val="Calibri"/>
        <family val="2"/>
        <scheme val="minor"/>
      </rPr>
      <t xml:space="preserve"> (1) (2)</t>
    </r>
  </si>
  <si>
    <t xml:space="preserve">(1) General Service includes Commercial, Industrial, OPA, Street Lighting and Interdepartmental. </t>
  </si>
  <si>
    <t>per  CCF</t>
  </si>
  <si>
    <t>2025 Projected</t>
  </si>
  <si>
    <t>Forecasted PMM Revenue Requirement for 2025</t>
  </si>
  <si>
    <t>December 31, 2025</t>
  </si>
  <si>
    <t>Projected 2025 Depreciation Expense</t>
  </si>
  <si>
    <t>Projected 2025 Additions</t>
  </si>
  <si>
    <t>Balance @ 12/31/2024</t>
  </si>
  <si>
    <t>Test Year 12/31/25 PMM Investment Summary</t>
  </si>
  <si>
    <t>for the Twelve Month Ending December, 2025</t>
  </si>
  <si>
    <t>Actual 2023 Additions</t>
  </si>
  <si>
    <t>Actual 2023 Depreciation Expense</t>
  </si>
  <si>
    <t>Copy Sch 2.1 from the 2022 AS Filed</t>
  </si>
  <si>
    <t>(Sum Line 8 thru 11) * (0.1302% / (1-0.1302%))</t>
  </si>
  <si>
    <t>2023 Projection Filing</t>
  </si>
  <si>
    <r>
      <rPr>
        <b/>
        <sz val="11"/>
        <color rgb="FF0000FF"/>
        <rFont val="Calibri"/>
        <family val="2"/>
        <scheme val="minor"/>
      </rPr>
      <t xml:space="preserve">2023 </t>
    </r>
    <r>
      <rPr>
        <b/>
        <sz val="11"/>
        <color theme="1"/>
        <rFont val="Calibri"/>
        <family val="2"/>
        <scheme val="minor"/>
      </rPr>
      <t>True Up</t>
    </r>
  </si>
  <si>
    <r>
      <t xml:space="preserve">(1) See Schedule 2.2 for detail of </t>
    </r>
    <r>
      <rPr>
        <sz val="11"/>
        <color rgb="FF0000FF"/>
        <rFont val="Calibri"/>
        <family val="2"/>
        <scheme val="minor"/>
      </rPr>
      <t xml:space="preserve">2025 </t>
    </r>
    <r>
      <rPr>
        <sz val="11"/>
        <color theme="1"/>
        <rFont val="Calibri"/>
        <family val="2"/>
        <scheme val="minor"/>
      </rPr>
      <t>PMM eligible additions.</t>
    </r>
  </si>
  <si>
    <t>(2) Per Order 2022-00229, all Rider PMM rates should be in volumetric format starting with the 2024 calendar year.</t>
  </si>
  <si>
    <r>
      <t xml:space="preserve">(1) See Sch 4.5 for detail of </t>
    </r>
    <r>
      <rPr>
        <sz val="11"/>
        <color rgb="FF0000FF"/>
        <rFont val="Calibri"/>
        <family val="2"/>
        <scheme val="minor"/>
      </rPr>
      <t xml:space="preserve">2023 </t>
    </r>
    <r>
      <rPr>
        <sz val="11"/>
        <color theme="1"/>
        <rFont val="Calibri"/>
        <family val="2"/>
        <scheme val="minor"/>
      </rPr>
      <t>PMM eligible additions.</t>
    </r>
  </si>
  <si>
    <t>(2) PSC Assessment using Fiscal Year 2023 rate of 0.1302%</t>
  </si>
  <si>
    <t>1st Yr 20 Yr MACRS for Tax - 7.219%</t>
  </si>
  <si>
    <t>1st Yr 15 Yr MACRS for Tax - 9.5%</t>
  </si>
  <si>
    <t>B * 7.219% = F</t>
  </si>
  <si>
    <t>A * 9.5% = E</t>
  </si>
  <si>
    <t>A * 5% = G</t>
  </si>
  <si>
    <t>B * 3.75% = H</t>
  </si>
  <si>
    <t>E + F + G + H = I</t>
  </si>
  <si>
    <t>I - J = K</t>
  </si>
  <si>
    <t>M</t>
  </si>
  <si>
    <t>(K * N) / M = N</t>
  </si>
  <si>
    <t>O</t>
  </si>
  <si>
    <t>Book vs Tax Depreciation</t>
  </si>
  <si>
    <t>Cost of Removal Book/Tax Difference</t>
  </si>
  <si>
    <t>Prorated 2024 Book/Tax Difference</t>
  </si>
  <si>
    <t>n/a</t>
  </si>
  <si>
    <t>Total Forecasted ADIT</t>
  </si>
  <si>
    <r>
      <t xml:space="preserve">Deferred Taxes on Liberalized Depreciation - </t>
    </r>
    <r>
      <rPr>
        <b/>
        <sz val="11"/>
        <color rgb="FF0000FF"/>
        <rFont val="Calibri"/>
        <family val="2"/>
        <scheme val="minor"/>
      </rPr>
      <t>2023</t>
    </r>
  </si>
  <si>
    <r>
      <t xml:space="preserve">Depreciation - </t>
    </r>
    <r>
      <rPr>
        <b/>
        <sz val="11"/>
        <color rgb="FF0000FF"/>
        <rFont val="Calibri"/>
        <family val="2"/>
        <scheme val="minor"/>
      </rPr>
      <t>2023</t>
    </r>
  </si>
  <si>
    <r>
      <t xml:space="preserve">Cost of Capital - </t>
    </r>
    <r>
      <rPr>
        <b/>
        <sz val="11"/>
        <color rgb="FF0000FF"/>
        <rFont val="Calibri"/>
        <family val="2"/>
        <scheme val="minor"/>
      </rPr>
      <t>2023</t>
    </r>
  </si>
  <si>
    <r>
      <t xml:space="preserve">PMM Revenue Requirement for </t>
    </r>
    <r>
      <rPr>
        <b/>
        <sz val="11"/>
        <color rgb="FF0000FF"/>
        <rFont val="Calibri"/>
        <family val="2"/>
        <scheme val="minor"/>
      </rPr>
      <t>2023</t>
    </r>
  </si>
  <si>
    <r>
      <t>Thirteen Month Average Additions and Retirements -</t>
    </r>
    <r>
      <rPr>
        <b/>
        <sz val="11"/>
        <color rgb="FF0000FF"/>
        <rFont val="Calibri"/>
        <family val="2"/>
        <scheme val="minor"/>
      </rPr>
      <t xml:space="preserve"> 2023</t>
    </r>
  </si>
  <si>
    <t>Deferred Taxes on Liberalized Depreciation- True Up</t>
  </si>
  <si>
    <r>
      <rPr>
        <b/>
        <sz val="11"/>
        <color rgb="FF0000FF"/>
        <rFont val="Calibri"/>
        <family val="2"/>
        <scheme val="minor"/>
      </rPr>
      <t>2023</t>
    </r>
    <r>
      <rPr>
        <sz val="11"/>
        <color theme="1"/>
        <rFont val="Calibri"/>
        <family val="2"/>
        <scheme val="minor"/>
      </rPr>
      <t xml:space="preserve"> Billed Revenues</t>
    </r>
  </si>
  <si>
    <r>
      <t>Per CCF</t>
    </r>
    <r>
      <rPr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</si>
  <si>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Per Order 2022-00229, all Rider PMM rates should be in volumetric format for the 2024 calendar year going forward.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</si>
</sst>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[$-409]mmm\-yy;@"/>
    <numFmt numFmtId="168" formatCode="_(&quot;$&quot;* #,##0.00000_);_(&quot;$&quot;* \(#,##0.00000\);_(&quot;$&quot;* &quot;-&quot;?????_);_(@_)"/>
    <numFmt numFmtId="169" formatCode="0.0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rgb="FF0070C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6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4" fontId="0" fillId="0" borderId="0" xfId="2" applyFon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3" applyNumberFormat="1" applyFont="1"/>
    <xf numFmtId="165" fontId="0" fillId="0" borderId="2" xfId="3" applyNumberFormat="1" applyFont="1" applyBorder="1"/>
    <xf numFmtId="10" fontId="0" fillId="0" borderId="0" xfId="0" applyNumberFormat="1"/>
    <xf numFmtId="0" fontId="0" fillId="0" borderId="0" xfId="0" quotePrefix="1"/>
    <xf numFmtId="0" fontId="2" fillId="0" borderId="0" xfId="0" quotePrefix="1" applyFont="1" applyAlignment="1">
      <alignment horizontal="center"/>
    </xf>
    <xf numFmtId="165" fontId="0" fillId="0" borderId="0" xfId="3" quotePrefix="1" applyNumberFormat="1" applyFont="1"/>
    <xf numFmtId="164" fontId="0" fillId="0" borderId="0" xfId="1" applyNumberFormat="1" applyFont="1" applyBorder="1"/>
    <xf numFmtId="164" fontId="7" fillId="0" borderId="0" xfId="1" applyNumberFormat="1" applyFont="1" applyBorder="1"/>
    <xf numFmtId="0" fontId="0" fillId="0" borderId="0" xfId="0" applyFont="1"/>
    <xf numFmtId="0" fontId="0" fillId="0" borderId="0" xfId="0" applyBorder="1"/>
    <xf numFmtId="164" fontId="0" fillId="0" borderId="0" xfId="0" applyNumberFormat="1" applyBorder="1"/>
    <xf numFmtId="164" fontId="6" fillId="0" borderId="0" xfId="1" applyNumberFormat="1" applyFont="1"/>
    <xf numFmtId="0" fontId="2" fillId="0" borderId="0" xfId="0" applyFont="1" applyAlignment="1">
      <alignment horizontal="left"/>
    </xf>
    <xf numFmtId="167" fontId="0" fillId="0" borderId="0" xfId="0" applyNumberFormat="1"/>
    <xf numFmtId="10" fontId="4" fillId="0" borderId="0" xfId="3" applyNumberFormat="1" applyFont="1" applyBorder="1"/>
    <xf numFmtId="166" fontId="5" fillId="0" borderId="0" xfId="2" applyNumberFormat="1" applyFont="1"/>
    <xf numFmtId="164" fontId="5" fillId="0" borderId="0" xfId="1" applyNumberFormat="1" applyFont="1"/>
    <xf numFmtId="1" fontId="0" fillId="0" borderId="0" xfId="3" quotePrefix="1" applyNumberFormat="1" applyFont="1"/>
    <xf numFmtId="1" fontId="0" fillId="0" borderId="0" xfId="3" applyNumberFormat="1" applyFont="1" applyBorder="1"/>
    <xf numFmtId="164" fontId="5" fillId="0" borderId="0" xfId="1" applyNumberFormat="1" applyFont="1" applyBorder="1"/>
    <xf numFmtId="0" fontId="8" fillId="0" borderId="0" xfId="0" applyFont="1"/>
    <xf numFmtId="3" fontId="0" fillId="0" borderId="0" xfId="0" applyNumberFormat="1"/>
    <xf numFmtId="3" fontId="0" fillId="0" borderId="0" xfId="0" applyNumberFormat="1" applyBorder="1"/>
    <xf numFmtId="0" fontId="0" fillId="0" borderId="0" xfId="0" applyFill="1"/>
    <xf numFmtId="167" fontId="0" fillId="0" borderId="0" xfId="0" applyNumberFormat="1" applyAlignment="1">
      <alignment wrapText="1"/>
    </xf>
    <xf numFmtId="168" fontId="0" fillId="0" borderId="0" xfId="2" applyNumberFormat="1" applyFont="1" applyAlignment="1">
      <alignment horizontal="center"/>
    </xf>
    <xf numFmtId="165" fontId="0" fillId="0" borderId="0" xfId="0" applyNumberFormat="1"/>
    <xf numFmtId="0" fontId="0" fillId="0" borderId="0" xfId="0" applyFill="1" applyBorder="1"/>
    <xf numFmtId="37" fontId="0" fillId="0" borderId="0" xfId="0" applyNumberFormat="1"/>
    <xf numFmtId="165" fontId="0" fillId="0" borderId="0" xfId="3" quotePrefix="1" applyNumberFormat="1" applyFont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43" fontId="0" fillId="0" borderId="0" xfId="0" applyNumberFormat="1"/>
    <xf numFmtId="167" fontId="0" fillId="0" borderId="0" xfId="0" applyNumberFormat="1" applyAlignment="1">
      <alignment horizontal="left"/>
    </xf>
    <xf numFmtId="1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0" fontId="0" fillId="0" borderId="0" xfId="0" applyBorder="1" applyAlignment="1">
      <alignment horizontal="center"/>
    </xf>
    <xf numFmtId="0" fontId="5" fillId="0" borderId="0" xfId="0" applyFont="1" applyFill="1"/>
    <xf numFmtId="164" fontId="1" fillId="0" borderId="0" xfId="1" applyNumberFormat="1" applyFont="1" applyBorder="1"/>
    <xf numFmtId="0" fontId="0" fillId="0" borderId="0" xfId="0" applyAlignment="1">
      <alignment horizontal="center" vertical="center"/>
    </xf>
    <xf numFmtId="42" fontId="0" fillId="0" borderId="0" xfId="1" applyNumberFormat="1" applyFont="1" applyAlignment="1">
      <alignment horizontal="center"/>
    </xf>
    <xf numFmtId="42" fontId="0" fillId="0" borderId="1" xfId="1" applyNumberFormat="1" applyFont="1" applyBorder="1"/>
    <xf numFmtId="42" fontId="0" fillId="0" borderId="2" xfId="1" applyNumberFormat="1" applyFont="1" applyBorder="1"/>
    <xf numFmtId="42" fontId="0" fillId="0" borderId="0" xfId="1" applyNumberFormat="1" applyFont="1"/>
    <xf numFmtId="42" fontId="0" fillId="0" borderId="3" xfId="0" applyNumberFormat="1" applyBorder="1"/>
    <xf numFmtId="0" fontId="2" fillId="0" borderId="0" xfId="0" applyFont="1" applyAlignment="1">
      <alignment horizontal="center"/>
    </xf>
    <xf numFmtId="42" fontId="0" fillId="0" borderId="0" xfId="0" applyNumberFormat="1" applyBorder="1"/>
    <xf numFmtId="42" fontId="0" fillId="0" borderId="0" xfId="1" applyNumberFormat="1" applyFont="1" applyBorder="1"/>
    <xf numFmtId="42" fontId="0" fillId="0" borderId="2" xfId="0" applyNumberFormat="1" applyBorder="1"/>
    <xf numFmtId="42" fontId="0" fillId="0" borderId="0" xfId="1" applyNumberFormat="1" applyFont="1" applyFill="1"/>
    <xf numFmtId="42" fontId="0" fillId="0" borderId="1" xfId="0" applyNumberFormat="1" applyBorder="1"/>
    <xf numFmtId="42" fontId="0" fillId="0" borderId="4" xfId="0" applyNumberFormat="1" applyBorder="1"/>
    <xf numFmtId="42" fontId="0" fillId="0" borderId="0" xfId="0" applyNumberFormat="1"/>
    <xf numFmtId="42" fontId="0" fillId="0" borderId="1" xfId="0" applyNumberFormat="1" applyFill="1" applyBorder="1"/>
    <xf numFmtId="42" fontId="0" fillId="0" borderId="0" xfId="0" applyNumberFormat="1" applyFill="1" applyBorder="1"/>
    <xf numFmtId="0" fontId="0" fillId="0" borderId="0" xfId="0" applyAlignment="1">
      <alignment horizontal="center"/>
    </xf>
    <xf numFmtId="165" fontId="5" fillId="0" borderId="0" xfId="3" applyNumberFormat="1" applyFont="1"/>
    <xf numFmtId="0" fontId="5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6" fillId="0" borderId="0" xfId="1" applyNumberFormat="1" applyFont="1" applyFill="1"/>
    <xf numFmtId="10" fontId="4" fillId="0" borderId="0" xfId="3" applyNumberFormat="1" applyFont="1" applyFill="1" applyBorder="1"/>
    <xf numFmtId="164" fontId="5" fillId="0" borderId="0" xfId="1" applyNumberFormat="1" applyFont="1" applyFill="1" applyBorder="1"/>
    <xf numFmtId="3" fontId="0" fillId="0" borderId="0" xfId="0" applyNumberFormat="1" applyFill="1" applyBorder="1"/>
    <xf numFmtId="42" fontId="0" fillId="0" borderId="4" xfId="0" applyNumberFormat="1" applyFill="1" applyBorder="1"/>
    <xf numFmtId="42" fontId="5" fillId="0" borderId="4" xfId="1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42" fontId="4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42" fontId="1" fillId="0" borderId="0" xfId="1" applyNumberFormat="1" applyFont="1" applyBorder="1"/>
    <xf numFmtId="42" fontId="0" fillId="0" borderId="0" xfId="1" applyNumberFormat="1" applyFont="1" applyFill="1" applyBorder="1"/>
    <xf numFmtId="42" fontId="0" fillId="0" borderId="5" xfId="1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42" fontId="5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2" xfId="0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164" fontId="0" fillId="0" borderId="0" xfId="1" applyNumberFormat="1" applyFont="1" applyFill="1" applyBorder="1"/>
    <xf numFmtId="37" fontId="0" fillId="0" borderId="0" xfId="0" applyNumberFormat="1" applyBorder="1"/>
    <xf numFmtId="41" fontId="5" fillId="0" borderId="0" xfId="1" applyNumberFormat="1" applyFont="1" applyFill="1" applyBorder="1"/>
    <xf numFmtId="41" fontId="5" fillId="0" borderId="2" xfId="1" applyNumberFormat="1" applyFont="1" applyFill="1" applyBorder="1"/>
    <xf numFmtId="41" fontId="0" fillId="0" borderId="0" xfId="0" applyNumberFormat="1"/>
    <xf numFmtId="41" fontId="0" fillId="0" borderId="0" xfId="3" applyNumberFormat="1" applyFont="1" applyBorder="1"/>
    <xf numFmtId="41" fontId="0" fillId="0" borderId="2" xfId="0" applyNumberFormat="1" applyBorder="1"/>
    <xf numFmtId="41" fontId="4" fillId="0" borderId="0" xfId="3" applyNumberFormat="1" applyFont="1"/>
    <xf numFmtId="41" fontId="0" fillId="0" borderId="0" xfId="0" applyNumberFormat="1" applyBorder="1"/>
    <xf numFmtId="41" fontId="0" fillId="0" borderId="0" xfId="1" quotePrefix="1" applyNumberFormat="1" applyFont="1"/>
    <xf numFmtId="41" fontId="5" fillId="0" borderId="0" xfId="1" applyNumberFormat="1" applyFont="1" applyBorder="1"/>
    <xf numFmtId="41" fontId="5" fillId="0" borderId="2" xfId="1" applyNumberFormat="1" applyFont="1" applyBorder="1"/>
    <xf numFmtId="41" fontId="12" fillId="0" borderId="0" xfId="0" applyNumberFormat="1" applyFont="1"/>
    <xf numFmtId="41" fontId="12" fillId="0" borderId="0" xfId="0" applyNumberFormat="1" applyFont="1" applyBorder="1"/>
    <xf numFmtId="41" fontId="12" fillId="0" borderId="0" xfId="3" applyNumberFormat="1" applyFont="1" applyFill="1" applyBorder="1"/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/>
    <xf numFmtId="165" fontId="0" fillId="0" borderId="2" xfId="0" applyNumberFormat="1" applyFill="1" applyBorder="1"/>
    <xf numFmtId="42" fontId="12" fillId="0" borderId="0" xfId="1" applyNumberFormat="1" applyFont="1" applyBorder="1"/>
    <xf numFmtId="42" fontId="12" fillId="0" borderId="0" xfId="1" applyNumberFormat="1" applyFont="1" applyAlignment="1">
      <alignment horizontal="center"/>
    </xf>
    <xf numFmtId="165" fontId="0" fillId="0" borderId="0" xfId="0" applyNumberFormat="1" applyFill="1"/>
    <xf numFmtId="0" fontId="3" fillId="0" borderId="0" xfId="0" applyFont="1" applyBorder="1" applyAlignment="1">
      <alignment horizontal="center"/>
    </xf>
    <xf numFmtId="17" fontId="1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42" fontId="5" fillId="0" borderId="2" xfId="1" applyNumberFormat="1" applyFont="1" applyFill="1" applyBorder="1"/>
    <xf numFmtId="42" fontId="0" fillId="0" borderId="2" xfId="1" applyNumberFormat="1" applyFont="1" applyFill="1" applyBorder="1"/>
    <xf numFmtId="0" fontId="0" fillId="0" borderId="0" xfId="3" quotePrefix="1" applyNumberFormat="1" applyFont="1" applyAlignment="1">
      <alignment horizontal="center"/>
    </xf>
    <xf numFmtId="41" fontId="5" fillId="0" borderId="0" xfId="0" applyNumberFormat="1" applyFont="1" applyFill="1" applyBorder="1"/>
    <xf numFmtId="41" fontId="0" fillId="0" borderId="0" xfId="0" applyNumberFormat="1" applyFill="1" applyBorder="1"/>
    <xf numFmtId="42" fontId="5" fillId="0" borderId="0" xfId="1" applyNumberFormat="1" applyFont="1" applyBorder="1"/>
    <xf numFmtId="41" fontId="0" fillId="0" borderId="0" xfId="3" applyNumberFormat="1" applyFont="1" applyFill="1" applyBorder="1"/>
    <xf numFmtId="41" fontId="0" fillId="0" borderId="2" xfId="0" applyNumberFormat="1" applyFill="1" applyBorder="1"/>
    <xf numFmtId="41" fontId="0" fillId="0" borderId="0" xfId="0" applyNumberFormat="1" applyFill="1"/>
    <xf numFmtId="41" fontId="4" fillId="0" borderId="0" xfId="3" applyNumberFormat="1" applyFont="1" applyFill="1"/>
    <xf numFmtId="0" fontId="0" fillId="0" borderId="0" xfId="1" quotePrefix="1" applyNumberFormat="1" applyFont="1" applyAlignment="1">
      <alignment horizontal="center"/>
    </xf>
    <xf numFmtId="41" fontId="0" fillId="0" borderId="0" xfId="1" applyNumberFormat="1" applyFont="1"/>
    <xf numFmtId="41" fontId="0" fillId="0" borderId="2" xfId="1" applyNumberFormat="1" applyFont="1" applyBorder="1"/>
    <xf numFmtId="41" fontId="5" fillId="0" borderId="0" xfId="1" applyNumberFormat="1" applyFont="1"/>
    <xf numFmtId="42" fontId="5" fillId="0" borderId="0" xfId="2" applyNumberFormat="1" applyFont="1"/>
    <xf numFmtId="41" fontId="0" fillId="0" borderId="0" xfId="1" applyNumberFormat="1" applyFont="1" applyAlignment="1">
      <alignment horizontal="center"/>
    </xf>
    <xf numFmtId="41" fontId="0" fillId="0" borderId="2" xfId="1" applyNumberFormat="1" applyFont="1" applyFill="1" applyBorder="1"/>
    <xf numFmtId="41" fontId="12" fillId="0" borderId="2" xfId="1" applyNumberFormat="1" applyFont="1" applyBorder="1"/>
    <xf numFmtId="0" fontId="12" fillId="0" borderId="0" xfId="0" applyFont="1"/>
    <xf numFmtId="0" fontId="12" fillId="0" borderId="0" xfId="0" applyFont="1" applyBorder="1"/>
    <xf numFmtId="37" fontId="12" fillId="0" borderId="0" xfId="3" applyNumberFormat="1" applyFont="1" applyFill="1" applyBorder="1"/>
    <xf numFmtId="167" fontId="12" fillId="0" borderId="0" xfId="0" applyNumberFormat="1" applyFont="1" applyAlignment="1">
      <alignment horizontal="right"/>
    </xf>
    <xf numFmtId="167" fontId="12" fillId="0" borderId="0" xfId="0" applyNumberFormat="1" applyFont="1"/>
    <xf numFmtId="0" fontId="2" fillId="0" borderId="0" xfId="0" applyFont="1" applyFill="1" applyAlignment="1">
      <alignment horizontal="lef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Fill="1"/>
    <xf numFmtId="42" fontId="12" fillId="0" borderId="0" xfId="1" applyNumberFormat="1" applyFont="1" applyFill="1" applyBorder="1"/>
    <xf numFmtId="0" fontId="13" fillId="0" borderId="0" xfId="0" quotePrefix="1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0" fillId="0" borderId="0" xfId="0" quotePrefix="1" applyFill="1"/>
    <xf numFmtId="0" fontId="0" fillId="0" borderId="0" xfId="3" quotePrefix="1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42" fontId="12" fillId="0" borderId="2" xfId="1" applyNumberFormat="1" applyFont="1" applyFill="1" applyBorder="1"/>
    <xf numFmtId="10" fontId="12" fillId="0" borderId="0" xfId="0" applyNumberFormat="1" applyFont="1" applyFill="1" applyAlignment="1">
      <alignment horizontal="center"/>
    </xf>
    <xf numFmtId="165" fontId="1" fillId="0" borderId="0" xfId="3" applyNumberFormat="1" applyFont="1" applyBorder="1" applyAlignment="1">
      <alignment horizontal="center"/>
    </xf>
    <xf numFmtId="165" fontId="12" fillId="0" borderId="0" xfId="3" applyNumberFormat="1" applyFont="1" applyFill="1"/>
    <xf numFmtId="165" fontId="12" fillId="0" borderId="2" xfId="3" applyNumberFormat="1" applyFont="1" applyFill="1" applyBorder="1"/>
    <xf numFmtId="165" fontId="12" fillId="0" borderId="2" xfId="0" applyNumberFormat="1" applyFont="1" applyFill="1" applyBorder="1"/>
    <xf numFmtId="0" fontId="0" fillId="0" borderId="0" xfId="0" applyFill="1" applyAlignment="1">
      <alignment horizontal="centerContinuous"/>
    </xf>
    <xf numFmtId="15" fontId="13" fillId="0" borderId="0" xfId="0" quotePrefix="1" applyNumberFormat="1" applyFont="1" applyFill="1" applyAlignment="1">
      <alignment horizontal="center"/>
    </xf>
    <xf numFmtId="42" fontId="0" fillId="0" borderId="0" xfId="1" applyNumberFormat="1" applyFont="1" applyFill="1" applyAlignment="1">
      <alignment horizontal="center"/>
    </xf>
    <xf numFmtId="41" fontId="0" fillId="0" borderId="0" xfId="1" applyNumberFormat="1" applyFont="1" applyFill="1" applyAlignment="1">
      <alignment horizontal="center"/>
    </xf>
    <xf numFmtId="42" fontId="0" fillId="0" borderId="1" xfId="1" applyNumberFormat="1" applyFont="1" applyFill="1" applyBorder="1"/>
    <xf numFmtId="165" fontId="12" fillId="0" borderId="0" xfId="1" applyNumberFormat="1" applyFont="1" applyFill="1"/>
    <xf numFmtId="165" fontId="12" fillId="0" borderId="2" xfId="1" applyNumberFormat="1" applyFont="1" applyFill="1" applyBorder="1"/>
    <xf numFmtId="165" fontId="12" fillId="0" borderId="1" xfId="1" applyNumberFormat="1" applyFont="1" applyFill="1" applyBorder="1"/>
    <xf numFmtId="0" fontId="10" fillId="0" borderId="0" xfId="0" applyFont="1" applyFill="1" applyAlignment="1">
      <alignment horizontal="centerContinuous"/>
    </xf>
    <xf numFmtId="42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42" fontId="5" fillId="0" borderId="0" xfId="1" applyNumberFormat="1" applyFont="1" applyFill="1" applyBorder="1"/>
    <xf numFmtId="0" fontId="0" fillId="0" borderId="0" xfId="3" quotePrefix="1" applyNumberFormat="1" applyFont="1" applyFill="1" applyBorder="1" applyAlignment="1">
      <alignment horizontal="center"/>
    </xf>
    <xf numFmtId="165" fontId="0" fillId="0" borderId="0" xfId="3" quotePrefix="1" applyNumberFormat="1" applyFont="1" applyBorder="1" applyAlignment="1">
      <alignment horizontal="center"/>
    </xf>
    <xf numFmtId="44" fontId="5" fillId="0" borderId="0" xfId="2" applyFont="1" applyFill="1" applyBorder="1"/>
    <xf numFmtId="41" fontId="5" fillId="0" borderId="0" xfId="3" applyNumberFormat="1" applyFont="1" applyFill="1" applyBorder="1"/>
    <xf numFmtId="42" fontId="12" fillId="0" borderId="2" xfId="1" applyNumberFormat="1" applyFont="1" applyBorder="1"/>
    <xf numFmtId="0" fontId="2" fillId="0" borderId="0" xfId="0" applyFont="1" applyAlignment="1">
      <alignment horizontal="center"/>
    </xf>
    <xf numFmtId="0" fontId="17" fillId="0" borderId="0" xfId="0" applyFo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left" indent="1"/>
    </xf>
    <xf numFmtId="167" fontId="0" fillId="0" borderId="0" xfId="0" applyNumberFormat="1" applyAlignment="1">
      <alignment horizontal="left" wrapText="1"/>
    </xf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left" wrapText="1"/>
    </xf>
    <xf numFmtId="164" fontId="0" fillId="0" borderId="2" xfId="1" applyNumberFormat="1" applyFont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0" borderId="5" xfId="1" applyNumberFormat="1" applyFont="1" applyBorder="1" applyAlignment="1"/>
    <xf numFmtId="164" fontId="0" fillId="0" borderId="0" xfId="1" applyNumberFormat="1" applyFont="1" applyBorder="1" applyAlignment="1"/>
    <xf numFmtId="164" fontId="0" fillId="0" borderId="1" xfId="1" applyNumberFormat="1" applyFont="1" applyBorder="1" applyAlignment="1"/>
    <xf numFmtId="164" fontId="0" fillId="0" borderId="6" xfId="1" applyNumberFormat="1" applyFont="1" applyBorder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10" fillId="3" borderId="0" xfId="0" applyFont="1" applyFill="1" applyBorder="1"/>
    <xf numFmtId="0" fontId="0" fillId="0" borderId="0" xfId="0" applyBorder="1" applyAlignment="1">
      <alignment horizontal="left" indent="1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left"/>
    </xf>
    <xf numFmtId="43" fontId="0" fillId="0" borderId="0" xfId="0" applyNumberFormat="1" applyAlignment="1">
      <alignment horizontal="center"/>
    </xf>
    <xf numFmtId="0" fontId="0" fillId="3" borderId="0" xfId="0" applyFill="1"/>
    <xf numFmtId="164" fontId="0" fillId="3" borderId="0" xfId="1" applyNumberFormat="1" applyFont="1" applyFill="1" applyAlignment="1"/>
    <xf numFmtId="169" fontId="12" fillId="0" borderId="0" xfId="3" applyNumberFormat="1" applyFont="1" applyFill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12" fillId="2" borderId="0" xfId="3" quotePrefix="1" applyNumberFormat="1" applyFont="1" applyFill="1"/>
    <xf numFmtId="0" fontId="19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3" fontId="15" fillId="0" borderId="0" xfId="4" applyNumberFormat="1" applyFont="1" applyFill="1" applyBorder="1"/>
    <xf numFmtId="15" fontId="3" fillId="0" borderId="0" xfId="0" quotePrefix="1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2" fillId="0" borderId="0" xfId="0" applyFont="1" applyFill="1"/>
    <xf numFmtId="41" fontId="12" fillId="0" borderId="0" xfId="1" applyNumberFormat="1" applyFont="1" applyFill="1" applyBorder="1"/>
    <xf numFmtId="0" fontId="14" fillId="0" borderId="2" xfId="0" applyFont="1" applyFill="1" applyBorder="1" applyAlignment="1">
      <alignment horizontal="centerContinuous"/>
    </xf>
    <xf numFmtId="164" fontId="0" fillId="0" borderId="0" xfId="1" applyNumberFormat="1" applyFont="1" applyFill="1" applyAlignment="1"/>
    <xf numFmtId="43" fontId="0" fillId="0" borderId="0" xfId="1" applyFont="1" applyAlignment="1">
      <alignment horizontal="left" wrapText="1"/>
    </xf>
    <xf numFmtId="43" fontId="0" fillId="0" borderId="0" xfId="1" applyFont="1" applyAlignment="1">
      <alignment horizontal="right"/>
    </xf>
    <xf numFmtId="43" fontId="0" fillId="0" borderId="0" xfId="1" applyFont="1" applyBorder="1" applyAlignment="1">
      <alignment horizontal="left" wrapText="1"/>
    </xf>
    <xf numFmtId="43" fontId="0" fillId="0" borderId="2" xfId="1" applyFont="1" applyBorder="1" applyAlignment="1">
      <alignment horizontal="left" wrapText="1"/>
    </xf>
    <xf numFmtId="43" fontId="0" fillId="0" borderId="0" xfId="1" applyFont="1" applyAlignment="1">
      <alignment horizontal="left"/>
    </xf>
    <xf numFmtId="164" fontId="0" fillId="0" borderId="0" xfId="1" applyNumberFormat="1" applyFont="1" applyBorder="1" applyAlignment="1">
      <alignment horizontal="right" wrapText="1"/>
    </xf>
    <xf numFmtId="43" fontId="0" fillId="0" borderId="0" xfId="1" applyNumberFormat="1" applyFont="1" applyBorder="1" applyAlignment="1">
      <alignment horizontal="right" wrapText="1"/>
    </xf>
    <xf numFmtId="164" fontId="0" fillId="0" borderId="2" xfId="1" applyNumberFormat="1" applyFont="1" applyBorder="1" applyAlignment="1"/>
    <xf numFmtId="43" fontId="0" fillId="0" borderId="0" xfId="1" applyFont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164" fontId="0" fillId="0" borderId="6" xfId="0" applyNumberFormat="1" applyBorder="1"/>
    <xf numFmtId="43" fontId="0" fillId="0" borderId="0" xfId="0" applyNumberFormat="1" applyAlignment="1">
      <alignment horizontal="left" wrapText="1"/>
    </xf>
    <xf numFmtId="43" fontId="0" fillId="0" borderId="0" xfId="0" applyNumberFormat="1" applyBorder="1" applyAlignment="1">
      <alignment horizontal="left" wrapText="1"/>
    </xf>
    <xf numFmtId="43" fontId="0" fillId="0" borderId="0" xfId="1" applyNumberFormat="1" applyFont="1" applyAlignment="1">
      <alignment horizontal="left" wrapText="1"/>
    </xf>
    <xf numFmtId="43" fontId="0" fillId="0" borderId="0" xfId="1" applyNumberFormat="1" applyFont="1" applyBorder="1" applyAlignment="1">
      <alignment horizontal="left" wrapText="1"/>
    </xf>
    <xf numFmtId="43" fontId="0" fillId="0" borderId="2" xfId="1" applyNumberFormat="1" applyFont="1" applyBorder="1" applyAlignment="1">
      <alignment horizontal="left" wrapText="1"/>
    </xf>
    <xf numFmtId="43" fontId="0" fillId="0" borderId="2" xfId="0" applyNumberFormat="1" applyBorder="1" applyAlignment="1">
      <alignment horizontal="left" wrapText="1"/>
    </xf>
    <xf numFmtId="164" fontId="0" fillId="0" borderId="0" xfId="1" applyNumberFormat="1" applyFont="1" applyAlignment="1">
      <alignment horizontal="right" wrapText="1"/>
    </xf>
    <xf numFmtId="164" fontId="0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0000FF"/>
      <color rgb="FF00FF00"/>
      <color rgb="FF0A1CC2"/>
      <color rgb="FF0070C0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K%20Rider%20Filings/DEK%20PMM/DEK%20PMM%20Filing%202022%20Projected%202023/Rider%20PMM%20Filing%20-%20As%20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ummary"/>
      <sheetName val="Sch 1.0"/>
      <sheetName val="Sch 1.1"/>
      <sheetName val="Sch 1.2"/>
      <sheetName val="Sch 2.0"/>
      <sheetName val="Sch 2.1"/>
      <sheetName val="Sch 2.2"/>
      <sheetName val="Sch 3.0"/>
      <sheetName val="Sch 4.1"/>
      <sheetName val="Sch 4.2"/>
      <sheetName val="Sch 4.3"/>
      <sheetName val="Sch 4.4"/>
      <sheetName val="Sch 4.5"/>
    </sheetNames>
    <sheetDataSet>
      <sheetData sheetId="0"/>
      <sheetData sheetId="1">
        <row r="2">
          <cell r="A2" t="str">
            <v>Duke Energy Kentucky</v>
          </cell>
        </row>
        <row r="3">
          <cell r="A3" t="str">
            <v>Pipeline Modernization Mechanism ("Rider PMM")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23"/>
  <sheetViews>
    <sheetView tabSelected="1" zoomScaleNormal="100" workbookViewId="0">
      <selection activeCell="H19" sqref="H19"/>
    </sheetView>
  </sheetViews>
  <sheetFormatPr defaultRowHeight="15" x14ac:dyDescent="0.25"/>
  <cols>
    <col min="4" max="4" width="2.5703125" customWidth="1"/>
    <col min="5" max="5" width="44.42578125" customWidth="1"/>
    <col min="8" max="8" width="25" customWidth="1"/>
  </cols>
  <sheetData>
    <row r="5" spans="1:12" x14ac:dyDescent="0.25">
      <c r="A5" s="110" t="str">
        <f>'Sch 1.0'!A2:J2</f>
        <v>Duke Energy Kentucky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x14ac:dyDescent="0.25">
      <c r="A6" s="110" t="str">
        <f>'Sch 1.0'!A3:J3</f>
        <v>Pipeline Modernization Mechanism ("Rider PMM")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2" x14ac:dyDescent="0.25">
      <c r="A7" s="186" t="str">
        <f>"Forecasted Period Ending "&amp;'Sch 1.1'!F7</f>
        <v>Forecasted Period Ending December 31, 2025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32"/>
    </row>
    <row r="8" spans="1:12" x14ac:dyDescent="0.25">
      <c r="A8" s="110" t="s">
        <v>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11" spans="1:12" x14ac:dyDescent="0.25">
      <c r="C11" s="9" t="s">
        <v>76</v>
      </c>
      <c r="D11" s="10"/>
      <c r="E11" s="11" t="s">
        <v>9</v>
      </c>
      <c r="F11" s="10"/>
    </row>
    <row r="12" spans="1:12" x14ac:dyDescent="0.25">
      <c r="C12" s="6" t="s">
        <v>2</v>
      </c>
      <c r="E12" s="7" t="s">
        <v>143</v>
      </c>
    </row>
    <row r="13" spans="1:12" x14ac:dyDescent="0.25">
      <c r="C13" s="6" t="s">
        <v>3</v>
      </c>
      <c r="E13" s="7" t="s">
        <v>10</v>
      </c>
    </row>
    <row r="14" spans="1:12" x14ac:dyDescent="0.25">
      <c r="C14" s="6" t="s">
        <v>4</v>
      </c>
      <c r="E14" s="7" t="s">
        <v>11</v>
      </c>
    </row>
    <row r="15" spans="1:12" x14ac:dyDescent="0.25">
      <c r="C15" s="6" t="s">
        <v>5</v>
      </c>
      <c r="E15" s="7" t="s">
        <v>12</v>
      </c>
    </row>
    <row r="16" spans="1:12" x14ac:dyDescent="0.25">
      <c r="C16" s="6" t="s">
        <v>6</v>
      </c>
      <c r="E16" s="7" t="s">
        <v>28</v>
      </c>
    </row>
    <row r="17" spans="3:9" x14ac:dyDescent="0.25">
      <c r="C17" s="6" t="s">
        <v>7</v>
      </c>
      <c r="E17" s="7" t="s">
        <v>144</v>
      </c>
      <c r="I17" s="129"/>
    </row>
    <row r="18" spans="3:9" x14ac:dyDescent="0.25">
      <c r="C18" s="6" t="s">
        <v>8</v>
      </c>
      <c r="E18" s="7" t="s">
        <v>14</v>
      </c>
      <c r="I18" s="129"/>
    </row>
    <row r="19" spans="3:9" x14ac:dyDescent="0.25">
      <c r="C19" s="6" t="s">
        <v>199</v>
      </c>
      <c r="E19" s="7" t="s">
        <v>200</v>
      </c>
    </row>
    <row r="20" spans="3:9" x14ac:dyDescent="0.25">
      <c r="C20" s="6" t="s">
        <v>201</v>
      </c>
      <c r="E20" s="7" t="s">
        <v>202</v>
      </c>
    </row>
    <row r="21" spans="3:9" x14ac:dyDescent="0.25">
      <c r="C21" s="6" t="s">
        <v>203</v>
      </c>
      <c r="E21" s="7" t="s">
        <v>204</v>
      </c>
    </row>
    <row r="22" spans="3:9" x14ac:dyDescent="0.25">
      <c r="C22" s="6" t="s">
        <v>205</v>
      </c>
      <c r="E22" s="7" t="s">
        <v>251</v>
      </c>
    </row>
    <row r="23" spans="3:9" x14ac:dyDescent="0.25">
      <c r="C23" s="130">
        <v>4.5</v>
      </c>
      <c r="E23" s="7" t="s">
        <v>206</v>
      </c>
    </row>
  </sheetData>
  <pageMargins left="0.7" right="0.7" top="0.75" bottom="0.75" header="0.3" footer="0.3"/>
  <pageSetup scale="84" orientation="landscape" r:id="rId1"/>
  <headerFooter>
    <oddHeader>&amp;RCase No 2023-00209
STAFF-DR-01-002c
Page &amp;P of &amp;N
&amp;A</oddHeader>
  </headerFooter>
  <ignoredErrors>
    <ignoredError sqref="C12 C13:C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K19"/>
  <sheetViews>
    <sheetView zoomScaleNormal="100" workbookViewId="0">
      <selection activeCell="H19" sqref="H19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4" width="17.42578125" customWidth="1"/>
    <col min="5" max="5" width="16.7109375" customWidth="1"/>
    <col min="6" max="6" width="17.7109375" customWidth="1"/>
  </cols>
  <sheetData>
    <row r="1" spans="1:11" x14ac:dyDescent="0.25">
      <c r="A1" s="91"/>
      <c r="E1" s="91"/>
      <c r="F1" s="84"/>
      <c r="H1" s="91"/>
    </row>
    <row r="2" spans="1:11" x14ac:dyDescent="0.25">
      <c r="A2" s="110" t="str">
        <f>'Sch 1.0'!A2:J2</f>
        <v>Duke Energy Kentucky</v>
      </c>
      <c r="B2" s="110"/>
      <c r="C2" s="110"/>
      <c r="D2" s="110"/>
      <c r="E2" s="110"/>
      <c r="F2" s="110"/>
      <c r="H2" s="110"/>
      <c r="I2" s="110"/>
    </row>
    <row r="3" spans="1:11" x14ac:dyDescent="0.25">
      <c r="A3" s="110" t="str">
        <f>'Sch 1.0'!A4:J4</f>
        <v>Rider PMM by Rate Schedule</v>
      </c>
      <c r="B3" s="110"/>
      <c r="C3" s="110"/>
      <c r="D3" s="110"/>
      <c r="E3" s="110"/>
      <c r="F3" s="110"/>
      <c r="H3" s="110"/>
      <c r="I3" s="110"/>
    </row>
    <row r="4" spans="1:11" x14ac:dyDescent="0.25">
      <c r="A4" s="110" t="s">
        <v>248</v>
      </c>
      <c r="B4" s="110"/>
      <c r="C4" s="110"/>
      <c r="D4" s="110"/>
      <c r="E4" s="110"/>
      <c r="F4" s="110"/>
      <c r="H4" s="110"/>
      <c r="I4" s="110"/>
    </row>
    <row r="5" spans="1:11" x14ac:dyDescent="0.25">
      <c r="A5" s="105"/>
      <c r="B5" s="105"/>
      <c r="C5" s="105"/>
      <c r="D5" s="105"/>
      <c r="E5" s="105"/>
      <c r="F5" s="105"/>
      <c r="H5" s="105"/>
      <c r="I5" s="105"/>
      <c r="J5" s="105"/>
      <c r="K5" s="105"/>
    </row>
    <row r="6" spans="1:11" x14ac:dyDescent="0.25">
      <c r="A6" s="104" t="s">
        <v>136</v>
      </c>
      <c r="B6" s="90"/>
      <c r="C6" s="90"/>
      <c r="D6" s="90"/>
      <c r="E6" s="90" t="s">
        <v>45</v>
      </c>
      <c r="F6" s="90" t="s">
        <v>46</v>
      </c>
    </row>
    <row r="7" spans="1:11" x14ac:dyDescent="0.25">
      <c r="A7" s="9" t="s">
        <v>137</v>
      </c>
      <c r="B7" s="9" t="s">
        <v>42</v>
      </c>
      <c r="C7" s="9" t="s">
        <v>43</v>
      </c>
      <c r="D7" s="9" t="s">
        <v>44</v>
      </c>
      <c r="E7" s="9" t="s">
        <v>44</v>
      </c>
      <c r="F7" s="76" t="s">
        <v>132</v>
      </c>
    </row>
    <row r="8" spans="1:11" x14ac:dyDescent="0.25">
      <c r="A8" s="9"/>
      <c r="B8" s="92" t="s">
        <v>63</v>
      </c>
      <c r="C8" s="90" t="s">
        <v>64</v>
      </c>
      <c r="D8" s="90" t="s">
        <v>66</v>
      </c>
      <c r="E8" s="90" t="s">
        <v>84</v>
      </c>
      <c r="F8" s="90" t="s">
        <v>109</v>
      </c>
    </row>
    <row r="10" spans="1:11" x14ac:dyDescent="0.25">
      <c r="A10" s="105">
        <v>1</v>
      </c>
      <c r="B10" t="s">
        <v>47</v>
      </c>
      <c r="C10" s="175">
        <v>2.6169999999999999E-2</v>
      </c>
      <c r="D10" s="175">
        <v>1.6670000000000001E-2</v>
      </c>
      <c r="E10" s="14">
        <f>ROUND(C10*D10,5)</f>
        <v>4.4000000000000002E-4</v>
      </c>
      <c r="F10" s="40">
        <f>E10</f>
        <v>4.4000000000000002E-4</v>
      </c>
    </row>
    <row r="11" spans="1:11" x14ac:dyDescent="0.25">
      <c r="A11" s="105">
        <f>A10+1</f>
        <v>2</v>
      </c>
      <c r="B11" t="s">
        <v>48</v>
      </c>
      <c r="C11" s="175">
        <v>0.46039000000000002</v>
      </c>
      <c r="D11" s="175">
        <v>3.6560000000000002E-2</v>
      </c>
      <c r="E11" s="14">
        <f>ROUND(C11*D11,5)</f>
        <v>1.6830000000000001E-2</v>
      </c>
      <c r="F11" s="40">
        <f>E11</f>
        <v>1.6830000000000001E-2</v>
      </c>
    </row>
    <row r="12" spans="1:11" x14ac:dyDescent="0.25">
      <c r="A12" s="105">
        <f t="shared" ref="A12:A13" si="0">A11+1</f>
        <v>3</v>
      </c>
      <c r="B12" t="s">
        <v>49</v>
      </c>
      <c r="C12" s="176">
        <v>0.51344000000000001</v>
      </c>
      <c r="D12" s="175">
        <v>9.2999999999999999E-2</v>
      </c>
      <c r="E12" s="15">
        <f>ROUND(C12*D12,5)</f>
        <v>4.7750000000000001E-2</v>
      </c>
      <c r="F12" s="133">
        <f>ROUND(E12/(1-0.24925),5)</f>
        <v>6.3600000000000004E-2</v>
      </c>
    </row>
    <row r="13" spans="1:11" x14ac:dyDescent="0.25">
      <c r="A13" s="105">
        <f t="shared" si="0"/>
        <v>4</v>
      </c>
      <c r="B13" t="s">
        <v>21</v>
      </c>
      <c r="C13" s="14">
        <f>SUM(C10:C12)</f>
        <v>1</v>
      </c>
      <c r="E13" s="40">
        <f>SUM(E10:E12)</f>
        <v>6.5019999999999994E-2</v>
      </c>
      <c r="F13" s="40">
        <f>SUM(F10:F12)</f>
        <v>8.0869999999999997E-2</v>
      </c>
    </row>
    <row r="18" spans="2:5" x14ac:dyDescent="0.25">
      <c r="B18" s="37" t="s">
        <v>145</v>
      </c>
      <c r="C18" s="37"/>
      <c r="D18" s="37"/>
      <c r="E18" s="37"/>
    </row>
    <row r="19" spans="2:5" x14ac:dyDescent="0.25">
      <c r="B19" t="s">
        <v>196</v>
      </c>
      <c r="C19" s="37"/>
      <c r="D19" s="37"/>
      <c r="E19" s="37"/>
    </row>
  </sheetData>
  <pageMargins left="0.7" right="0.7" top="0.75" bottom="0.75" header="0.3" footer="0.3"/>
  <pageSetup orientation="landscape" r:id="rId1"/>
  <headerFooter>
    <oddHeader>&amp;RCase No 2023-00209
STAFF-DR-01-002c
Page &amp;P of &amp;N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S50"/>
  <sheetViews>
    <sheetView zoomScaleNormal="100" zoomScaleSheetLayoutView="93" workbookViewId="0">
      <selection activeCell="H19" sqref="H19"/>
    </sheetView>
  </sheetViews>
  <sheetFormatPr defaultRowHeight="15" x14ac:dyDescent="0.25"/>
  <cols>
    <col min="1" max="1" width="8.28515625" bestFit="1" customWidth="1"/>
    <col min="2" max="2" width="30.42578125" customWidth="1"/>
    <col min="3" max="4" width="13.5703125" customWidth="1"/>
    <col min="5" max="5" width="15.28515625" bestFit="1" customWidth="1"/>
    <col min="6" max="12" width="11.7109375" customWidth="1"/>
    <col min="13" max="14" width="12.28515625" bestFit="1" customWidth="1"/>
    <col min="15" max="16" width="11.7109375" customWidth="1"/>
    <col min="17" max="17" width="12.5703125" bestFit="1" customWidth="1"/>
    <col min="18" max="18" width="13" bestFit="1" customWidth="1"/>
    <col min="19" max="19" width="10.5703125" bestFit="1" customWidth="1"/>
  </cols>
  <sheetData>
    <row r="1" spans="1:18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8" x14ac:dyDescent="0.25">
      <c r="A2" s="110" t="str">
        <f>'Sch 1.0'!A3:J3</f>
        <v>Pipeline Modernization Mechanism ("Rider PMM")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x14ac:dyDescent="0.25">
      <c r="A3" s="110" t="s">
        <v>247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x14ac:dyDescent="0.25">
      <c r="A4" s="91"/>
      <c r="P4" s="37"/>
    </row>
    <row r="5" spans="1:18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R5" s="90"/>
    </row>
    <row r="6" spans="1:18" x14ac:dyDescent="0.25">
      <c r="A6" s="104" t="s">
        <v>136</v>
      </c>
      <c r="B6" s="90"/>
      <c r="C6" s="90" t="s">
        <v>50</v>
      </c>
      <c r="D6" s="90"/>
      <c r="E6" s="104" t="s">
        <v>102</v>
      </c>
      <c r="F6" s="242" t="s">
        <v>220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04" t="s">
        <v>102</v>
      </c>
    </row>
    <row r="7" spans="1:18" x14ac:dyDescent="0.25">
      <c r="A7" s="9" t="s">
        <v>137</v>
      </c>
      <c r="B7" s="9" t="s">
        <v>9</v>
      </c>
      <c r="C7" s="9" t="s">
        <v>51</v>
      </c>
      <c r="D7" s="9"/>
      <c r="E7" s="167">
        <v>2022</v>
      </c>
      <c r="F7" s="9" t="s">
        <v>91</v>
      </c>
      <c r="G7" s="9" t="s">
        <v>92</v>
      </c>
      <c r="H7" s="9" t="s">
        <v>93</v>
      </c>
      <c r="I7" s="9" t="s">
        <v>94</v>
      </c>
      <c r="J7" s="9" t="s">
        <v>95</v>
      </c>
      <c r="K7" s="9" t="s">
        <v>96</v>
      </c>
      <c r="L7" s="9" t="s">
        <v>97</v>
      </c>
      <c r="M7" s="9" t="s">
        <v>98</v>
      </c>
      <c r="N7" s="9" t="s">
        <v>99</v>
      </c>
      <c r="O7" s="9" t="s">
        <v>100</v>
      </c>
      <c r="P7" s="9" t="s">
        <v>101</v>
      </c>
      <c r="Q7" s="9" t="s">
        <v>90</v>
      </c>
      <c r="R7" s="167">
        <v>2023</v>
      </c>
    </row>
    <row r="8" spans="1:18" x14ac:dyDescent="0.25">
      <c r="B8" s="92" t="s">
        <v>63</v>
      </c>
      <c r="C8" s="92" t="s">
        <v>64</v>
      </c>
      <c r="D8" s="92" t="s">
        <v>66</v>
      </c>
      <c r="E8" s="92" t="s">
        <v>84</v>
      </c>
      <c r="F8" s="92" t="s">
        <v>109</v>
      </c>
      <c r="G8" s="92" t="s">
        <v>110</v>
      </c>
      <c r="H8" s="92" t="s">
        <v>111</v>
      </c>
      <c r="I8" s="92" t="s">
        <v>112</v>
      </c>
      <c r="J8" s="92" t="s">
        <v>113</v>
      </c>
      <c r="K8" s="92" t="s">
        <v>114</v>
      </c>
      <c r="L8" s="92" t="s">
        <v>115</v>
      </c>
      <c r="M8" s="92" t="s">
        <v>116</v>
      </c>
      <c r="N8" s="92" t="s">
        <v>117</v>
      </c>
      <c r="O8" s="92" t="s">
        <v>118</v>
      </c>
      <c r="P8" s="92" t="s">
        <v>119</v>
      </c>
      <c r="Q8" s="92" t="s">
        <v>120</v>
      </c>
      <c r="R8" s="92" t="s">
        <v>122</v>
      </c>
    </row>
    <row r="10" spans="1:18" ht="17.25" x14ac:dyDescent="0.25">
      <c r="B10" s="10" t="s">
        <v>124</v>
      </c>
    </row>
    <row r="11" spans="1:18" x14ac:dyDescent="0.25">
      <c r="B11" s="10" t="s">
        <v>52</v>
      </c>
      <c r="R11" s="23"/>
    </row>
    <row r="12" spans="1:18" x14ac:dyDescent="0.25">
      <c r="A12" s="130">
        <v>1</v>
      </c>
      <c r="B12" s="37" t="s">
        <v>164</v>
      </c>
      <c r="C12" s="170">
        <v>376</v>
      </c>
      <c r="D12" s="43"/>
      <c r="E12" s="166">
        <v>0</v>
      </c>
      <c r="F12" s="166">
        <v>0</v>
      </c>
      <c r="G12" s="166">
        <v>0</v>
      </c>
      <c r="H12" s="166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66">
        <v>0</v>
      </c>
      <c r="R12" s="63">
        <f>SUM(E12:Q12)</f>
        <v>0</v>
      </c>
    </row>
    <row r="13" spans="1:18" x14ac:dyDescent="0.25">
      <c r="A13" s="130">
        <v>2</v>
      </c>
      <c r="B13" s="37" t="s">
        <v>171</v>
      </c>
      <c r="C13" s="170">
        <v>378</v>
      </c>
      <c r="D13" s="43"/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63">
        <f t="shared" ref="R13:R14" si="0">SUM(E13:Q13)</f>
        <v>0</v>
      </c>
    </row>
    <row r="14" spans="1:18" x14ac:dyDescent="0.25">
      <c r="A14" s="130">
        <v>3</v>
      </c>
      <c r="B14" s="37" t="s">
        <v>170</v>
      </c>
      <c r="C14" s="170">
        <v>374</v>
      </c>
      <c r="D14" s="43"/>
      <c r="E14" s="172">
        <v>0</v>
      </c>
      <c r="F14" s="172">
        <v>0</v>
      </c>
      <c r="G14" s="172">
        <v>0</v>
      </c>
      <c r="H14" s="172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72">
        <v>0</v>
      </c>
      <c r="R14" s="65">
        <f t="shared" si="0"/>
        <v>0</v>
      </c>
    </row>
    <row r="15" spans="1:18" x14ac:dyDescent="0.25">
      <c r="A15" s="91">
        <v>4</v>
      </c>
      <c r="B15" t="s">
        <v>53</v>
      </c>
      <c r="C15" s="44"/>
      <c r="D15" s="44"/>
      <c r="E15" s="64">
        <f t="shared" ref="E15:Q15" si="1">SUM(E12:E14)</f>
        <v>0</v>
      </c>
      <c r="F15" s="64">
        <f t="shared" si="1"/>
        <v>0</v>
      </c>
      <c r="G15" s="64">
        <f t="shared" si="1"/>
        <v>0</v>
      </c>
      <c r="H15" s="64">
        <f t="shared" si="1"/>
        <v>0</v>
      </c>
      <c r="I15" s="64">
        <f t="shared" si="1"/>
        <v>0</v>
      </c>
      <c r="J15" s="64">
        <f t="shared" si="1"/>
        <v>0</v>
      </c>
      <c r="K15" s="64">
        <f t="shared" si="1"/>
        <v>0</v>
      </c>
      <c r="L15" s="64">
        <f t="shared" si="1"/>
        <v>0</v>
      </c>
      <c r="M15" s="64">
        <f t="shared" si="1"/>
        <v>0</v>
      </c>
      <c r="N15" s="64">
        <f t="shared" si="1"/>
        <v>0</v>
      </c>
      <c r="O15" s="64">
        <f t="shared" si="1"/>
        <v>0</v>
      </c>
      <c r="P15" s="64">
        <f t="shared" si="1"/>
        <v>0</v>
      </c>
      <c r="Q15" s="64">
        <f t="shared" si="1"/>
        <v>0</v>
      </c>
      <c r="R15" s="64">
        <f>SUM(R12:R14)</f>
        <v>0</v>
      </c>
    </row>
    <row r="16" spans="1:18" x14ac:dyDescent="0.25">
      <c r="A16" s="91"/>
      <c r="C16" s="44"/>
      <c r="D16" s="4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0"/>
    </row>
    <row r="17" spans="1:19" x14ac:dyDescent="0.25">
      <c r="B17" s="10" t="s">
        <v>54</v>
      </c>
      <c r="C17" s="91"/>
      <c r="D17" s="91"/>
      <c r="E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53"/>
    </row>
    <row r="18" spans="1:19" x14ac:dyDescent="0.25">
      <c r="A18" s="130">
        <v>5</v>
      </c>
      <c r="B18" s="37" t="s">
        <v>164</v>
      </c>
      <c r="C18" s="170">
        <v>376</v>
      </c>
      <c r="D18" s="43"/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63">
        <f>SUM(E18:Q18)</f>
        <v>0</v>
      </c>
    </row>
    <row r="19" spans="1:19" x14ac:dyDescent="0.25">
      <c r="A19" s="53">
        <v>6</v>
      </c>
      <c r="B19" s="37" t="s">
        <v>171</v>
      </c>
      <c r="C19" s="192">
        <v>378</v>
      </c>
      <c r="D19" s="43"/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63">
        <f t="shared" ref="R19:R20" si="2">SUM(E19:Q19)</f>
        <v>0</v>
      </c>
    </row>
    <row r="20" spans="1:19" x14ac:dyDescent="0.25">
      <c r="A20" s="53">
        <v>7</v>
      </c>
      <c r="B20" s="41" t="s">
        <v>170</v>
      </c>
      <c r="C20" s="192">
        <v>374</v>
      </c>
      <c r="D20" s="43"/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65">
        <f t="shared" si="2"/>
        <v>0</v>
      </c>
    </row>
    <row r="21" spans="1:19" x14ac:dyDescent="0.25">
      <c r="A21" s="91">
        <v>8</v>
      </c>
      <c r="B21" t="s">
        <v>55</v>
      </c>
      <c r="C21" s="91"/>
      <c r="D21" s="91"/>
      <c r="E21" s="60">
        <f t="shared" ref="E21:R21" si="3">SUM(E18:E18)</f>
        <v>0</v>
      </c>
      <c r="F21" s="60">
        <f t="shared" si="3"/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4">
        <f t="shared" si="3"/>
        <v>0</v>
      </c>
    </row>
    <row r="22" spans="1:19" x14ac:dyDescent="0.25">
      <c r="C22" s="91"/>
      <c r="D22" s="91"/>
      <c r="E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9" x14ac:dyDescent="0.25">
      <c r="B23" s="10" t="s">
        <v>25</v>
      </c>
      <c r="C23" s="91"/>
      <c r="D23" s="91"/>
      <c r="E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53"/>
      <c r="S23" s="23"/>
    </row>
    <row r="24" spans="1:19" x14ac:dyDescent="0.25">
      <c r="A24" s="91">
        <v>9</v>
      </c>
      <c r="B24" s="37" t="s">
        <v>164</v>
      </c>
      <c r="C24" s="170">
        <v>376</v>
      </c>
      <c r="D24" s="43"/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63">
        <f>SUM(E24:Q24)</f>
        <v>0</v>
      </c>
      <c r="S24" s="23"/>
    </row>
    <row r="25" spans="1:19" x14ac:dyDescent="0.25">
      <c r="A25" s="130">
        <v>10</v>
      </c>
      <c r="B25" s="37" t="s">
        <v>171</v>
      </c>
      <c r="C25" s="192">
        <v>378</v>
      </c>
      <c r="D25" s="43"/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63">
        <f t="shared" ref="R25:R26" si="4">SUM(E25:Q25)</f>
        <v>0</v>
      </c>
      <c r="S25" s="23"/>
    </row>
    <row r="26" spans="1:19" x14ac:dyDescent="0.25">
      <c r="A26" s="130">
        <v>11</v>
      </c>
      <c r="B26" s="41" t="s">
        <v>170</v>
      </c>
      <c r="C26" s="192">
        <v>374</v>
      </c>
      <c r="D26" s="43"/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65">
        <f t="shared" si="4"/>
        <v>0</v>
      </c>
      <c r="S26" s="23"/>
    </row>
    <row r="27" spans="1:19" x14ac:dyDescent="0.25">
      <c r="A27" s="91">
        <v>12</v>
      </c>
      <c r="B27" s="22" t="s">
        <v>56</v>
      </c>
      <c r="E27" s="60">
        <f t="shared" ref="E27:Q27" si="5">SUM(E24:E24)</f>
        <v>0</v>
      </c>
      <c r="F27" s="60">
        <f t="shared" si="5"/>
        <v>0</v>
      </c>
      <c r="G27" s="60">
        <f t="shared" si="5"/>
        <v>0</v>
      </c>
      <c r="H27" s="60">
        <f t="shared" si="5"/>
        <v>0</v>
      </c>
      <c r="I27" s="60">
        <f t="shared" si="5"/>
        <v>0</v>
      </c>
      <c r="J27" s="60">
        <f t="shared" si="5"/>
        <v>0</v>
      </c>
      <c r="K27" s="60">
        <f t="shared" si="5"/>
        <v>0</v>
      </c>
      <c r="L27" s="60">
        <f t="shared" si="5"/>
        <v>0</v>
      </c>
      <c r="M27" s="60">
        <f t="shared" si="5"/>
        <v>0</v>
      </c>
      <c r="N27" s="60">
        <f t="shared" si="5"/>
        <v>0</v>
      </c>
      <c r="O27" s="60">
        <f t="shared" si="5"/>
        <v>0</v>
      </c>
      <c r="P27" s="60">
        <f t="shared" si="5"/>
        <v>0</v>
      </c>
      <c r="Q27" s="60">
        <f t="shared" si="5"/>
        <v>0</v>
      </c>
      <c r="R27" s="63">
        <f>SUM(E27:Q27)</f>
        <v>0</v>
      </c>
      <c r="S27" s="23"/>
    </row>
    <row r="28" spans="1:19" x14ac:dyDescent="0.25">
      <c r="R28" s="23"/>
      <c r="S28" s="23"/>
    </row>
    <row r="29" spans="1:19" x14ac:dyDescent="0.25">
      <c r="B29" s="10"/>
      <c r="C29" s="47"/>
      <c r="D29" s="47"/>
      <c r="E29" s="9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0"/>
      <c r="S29" s="23"/>
    </row>
    <row r="30" spans="1:19" x14ac:dyDescent="0.25">
      <c r="A30" s="91"/>
      <c r="B30" s="46"/>
      <c r="C30" s="47"/>
      <c r="D30" s="47" t="s">
        <v>105</v>
      </c>
      <c r="E30" s="95"/>
      <c r="H30" s="49"/>
      <c r="I30" s="92"/>
      <c r="J30" s="92"/>
      <c r="K30" s="92"/>
      <c r="L30" s="92"/>
      <c r="M30" s="92"/>
      <c r="N30" s="92"/>
      <c r="O30" s="92"/>
      <c r="P30" s="92"/>
      <c r="Q30" s="92"/>
      <c r="R30" s="1"/>
    </row>
    <row r="31" spans="1:19" x14ac:dyDescent="0.25">
      <c r="A31" s="91"/>
      <c r="B31" s="46"/>
      <c r="D31" s="90" t="s">
        <v>32</v>
      </c>
      <c r="E31" s="90" t="s">
        <v>103</v>
      </c>
      <c r="R31" s="90" t="s">
        <v>106</v>
      </c>
    </row>
    <row r="32" spans="1:19" x14ac:dyDescent="0.25">
      <c r="A32" s="91"/>
      <c r="D32" s="90" t="s">
        <v>104</v>
      </c>
      <c r="E32" s="104" t="s">
        <v>102</v>
      </c>
      <c r="F32" s="242" t="s">
        <v>221</v>
      </c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93" t="s">
        <v>107</v>
      </c>
    </row>
    <row r="33" spans="1:18" x14ac:dyDescent="0.25">
      <c r="A33" s="91"/>
      <c r="B33" s="10" t="s">
        <v>121</v>
      </c>
      <c r="D33" s="90"/>
      <c r="E33" s="108">
        <f>E7</f>
        <v>2022</v>
      </c>
      <c r="F33" s="9" t="s">
        <v>91</v>
      </c>
      <c r="G33" s="9" t="s">
        <v>92</v>
      </c>
      <c r="H33" s="9" t="s">
        <v>93</v>
      </c>
      <c r="I33" s="9" t="s">
        <v>94</v>
      </c>
      <c r="J33" s="9" t="s">
        <v>95</v>
      </c>
      <c r="K33" s="9" t="s">
        <v>96</v>
      </c>
      <c r="L33" s="9" t="s">
        <v>97</v>
      </c>
      <c r="M33" s="9" t="s">
        <v>98</v>
      </c>
      <c r="N33" s="9" t="s">
        <v>99</v>
      </c>
      <c r="O33" s="9" t="s">
        <v>100</v>
      </c>
      <c r="P33" s="9" t="s">
        <v>101</v>
      </c>
      <c r="Q33" s="9" t="s">
        <v>90</v>
      </c>
    </row>
    <row r="34" spans="1:18" x14ac:dyDescent="0.25">
      <c r="A34" s="91"/>
      <c r="B34" s="10" t="s">
        <v>52</v>
      </c>
      <c r="D34" s="9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8" x14ac:dyDescent="0.25">
      <c r="A35" s="91">
        <f>A27+1</f>
        <v>13</v>
      </c>
      <c r="B35" t="s">
        <v>164</v>
      </c>
      <c r="C35" s="142">
        <v>376</v>
      </c>
      <c r="D35" s="238">
        <v>1.49E-2</v>
      </c>
      <c r="E35" s="134">
        <v>0</v>
      </c>
      <c r="F35" s="99">
        <f>ROUND(SUM($E$12:E12)*0.0149/12,0)</f>
        <v>0</v>
      </c>
      <c r="G35" s="99">
        <f>ROUND(SUM($E$12:F12)*0.0149/12,0)</f>
        <v>0</v>
      </c>
      <c r="H35" s="99">
        <f>ROUND(SUM($E$12:G12)*0.0149/12,0)</f>
        <v>0</v>
      </c>
      <c r="I35" s="99">
        <f>ROUND(SUM($E$12:H12)*0.0149/12,0)</f>
        <v>0</v>
      </c>
      <c r="J35" s="99">
        <f>ROUND(SUM($E$12:I12)*0.0149/12,0)</f>
        <v>0</v>
      </c>
      <c r="K35" s="99">
        <f>ROUND(SUM($E$12:J12)*0.0149/12,0)</f>
        <v>0</v>
      </c>
      <c r="L35" s="99">
        <f>ROUND(SUM($E$12:K12)*0.0149/12,0)</f>
        <v>0</v>
      </c>
      <c r="M35" s="99">
        <f>ROUND(SUM($E$12:L12)*0.0149/12,0)</f>
        <v>0</v>
      </c>
      <c r="N35" s="99">
        <f>ROUND(SUM($E$12:M12)*0.0149/12,0)</f>
        <v>0</v>
      </c>
      <c r="O35" s="99">
        <f>ROUND(SUM($E$12:N12)*0.0149/12,0)</f>
        <v>0</v>
      </c>
      <c r="P35" s="99">
        <f>ROUND(SUM($E$12:O12)*0.0149/12,0)</f>
        <v>0</v>
      </c>
      <c r="Q35" s="99">
        <f>ROUND(SUM($E$12:P12)*0.0149/12,0)</f>
        <v>0</v>
      </c>
      <c r="R35" s="20"/>
    </row>
    <row r="36" spans="1:18" x14ac:dyDescent="0.25">
      <c r="A36" s="130">
        <v>14</v>
      </c>
      <c r="B36" t="s">
        <v>171</v>
      </c>
      <c r="C36" s="142">
        <v>378</v>
      </c>
      <c r="D36" s="238">
        <v>2.0400000000000001E-2</v>
      </c>
      <c r="E36" s="134">
        <v>0</v>
      </c>
      <c r="F36" s="99">
        <f>ROUND(SUM($E$13:E13)*0.0204/12,0)</f>
        <v>0</v>
      </c>
      <c r="G36" s="99">
        <f>ROUND(SUM($E$13:F13)*0.0204/12,0)</f>
        <v>0</v>
      </c>
      <c r="H36" s="99">
        <f>ROUND(SUM($E$13:G13)*0.0204/12,0)</f>
        <v>0</v>
      </c>
      <c r="I36" s="99">
        <f>ROUND(SUM($E$13:H13)*0.0204/12,0)</f>
        <v>0</v>
      </c>
      <c r="J36" s="99">
        <f>ROUND(SUM($E$13:I13)*0.0204/12,0)</f>
        <v>0</v>
      </c>
      <c r="K36" s="99">
        <f>ROUND(SUM($E$13:J13)*0.0204/12,0)</f>
        <v>0</v>
      </c>
      <c r="L36" s="99">
        <f>ROUND(SUM($E$13:K13)*0.0204/12,0)</f>
        <v>0</v>
      </c>
      <c r="M36" s="99">
        <f>ROUND(SUM($E$13:L13)*0.0204/12,0)</f>
        <v>0</v>
      </c>
      <c r="N36" s="99">
        <f>ROUND(SUM($E$13:M13)*0.0204/12,0)</f>
        <v>0</v>
      </c>
      <c r="O36" s="99">
        <f>ROUND(SUM($E$13:N13)*0.0204/12,0)</f>
        <v>0</v>
      </c>
      <c r="P36" s="99">
        <f>ROUND(SUM($E$13:O13)*0.0204/12,0)</f>
        <v>0</v>
      </c>
      <c r="Q36" s="99">
        <f>ROUND(SUM($E$13:P13)*0.0204/12,0)</f>
        <v>0</v>
      </c>
      <c r="R36" s="20"/>
    </row>
    <row r="37" spans="1:18" x14ac:dyDescent="0.25">
      <c r="A37" s="130">
        <v>15</v>
      </c>
      <c r="B37" t="s">
        <v>170</v>
      </c>
      <c r="C37" s="142">
        <v>374</v>
      </c>
      <c r="D37" s="238">
        <v>0</v>
      </c>
      <c r="E37" s="196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20"/>
    </row>
    <row r="38" spans="1:18" x14ac:dyDescent="0.25">
      <c r="A38" s="91">
        <v>16</v>
      </c>
      <c r="B38" t="s">
        <v>53</v>
      </c>
      <c r="C38" s="44"/>
      <c r="D38" s="44"/>
      <c r="E38" s="66">
        <f>SUM(E35:E37)</f>
        <v>0</v>
      </c>
      <c r="F38" s="66">
        <f>SUM(F35:F37)</f>
        <v>0</v>
      </c>
      <c r="G38" s="66">
        <f t="shared" ref="G38:Q38" si="6">SUM(G35:G37)</f>
        <v>0</v>
      </c>
      <c r="H38" s="66">
        <f t="shared" si="6"/>
        <v>0</v>
      </c>
      <c r="I38" s="66">
        <f t="shared" si="6"/>
        <v>0</v>
      </c>
      <c r="J38" s="66">
        <f t="shared" si="6"/>
        <v>0</v>
      </c>
      <c r="K38" s="66">
        <f t="shared" si="6"/>
        <v>0</v>
      </c>
      <c r="L38" s="66">
        <f t="shared" si="6"/>
        <v>0</v>
      </c>
      <c r="M38" s="66">
        <f t="shared" si="6"/>
        <v>0</v>
      </c>
      <c r="N38" s="66">
        <f t="shared" si="6"/>
        <v>0</v>
      </c>
      <c r="O38" s="66">
        <f t="shared" si="6"/>
        <v>0</v>
      </c>
      <c r="P38" s="66">
        <f t="shared" si="6"/>
        <v>0</v>
      </c>
      <c r="Q38" s="66">
        <f t="shared" si="6"/>
        <v>0</v>
      </c>
      <c r="R38" s="20"/>
    </row>
    <row r="39" spans="1:18" x14ac:dyDescent="0.25">
      <c r="A39" s="91"/>
      <c r="C39" s="44"/>
      <c r="D39" s="44"/>
      <c r="F39" s="1"/>
      <c r="R39" s="23"/>
    </row>
    <row r="40" spans="1:18" x14ac:dyDescent="0.25">
      <c r="A40" s="130"/>
      <c r="B40" s="10" t="s">
        <v>54</v>
      </c>
      <c r="D40" s="22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8" x14ac:dyDescent="0.25">
      <c r="A41" s="130">
        <v>17</v>
      </c>
      <c r="B41" t="s">
        <v>164</v>
      </c>
      <c r="C41" s="142">
        <v>376</v>
      </c>
      <c r="D41" s="238">
        <v>1.49E-2</v>
      </c>
      <c r="E41" s="134">
        <v>0</v>
      </c>
      <c r="F41" s="99">
        <f>ROUND(SUM($E$18:E18)*0.0149/12,0)</f>
        <v>0</v>
      </c>
      <c r="G41" s="99">
        <f>ROUND(SUM($E$18:F18)*0.0149/12,0)</f>
        <v>0</v>
      </c>
      <c r="H41" s="99">
        <f>ROUND(SUM($E$18:G18)*0.0149/12,0)</f>
        <v>0</v>
      </c>
      <c r="I41" s="99">
        <f>ROUND(SUM($E$18:H18)*0.0149/12,0)</f>
        <v>0</v>
      </c>
      <c r="J41" s="99">
        <f>ROUND(SUM($E$18:I18)*0.0149/12,0)</f>
        <v>0</v>
      </c>
      <c r="K41" s="99">
        <f>ROUND(SUM($E$18:J18)*0.0149/12,0)</f>
        <v>0</v>
      </c>
      <c r="L41" s="99">
        <f>ROUND(SUM($E$18:K18)*0.0149/12,0)</f>
        <v>0</v>
      </c>
      <c r="M41" s="99">
        <f>ROUND(SUM($E$18:L18)*0.0149/12,0)</f>
        <v>0</v>
      </c>
      <c r="N41" s="99">
        <f>ROUND(SUM($E$18:M18)*0.0149/12,0)</f>
        <v>0</v>
      </c>
      <c r="O41" s="99">
        <f>ROUND(SUM($E$18:N18)*0.0149/12,0)</f>
        <v>0</v>
      </c>
      <c r="P41" s="99">
        <f>ROUND(SUM($E$18:O18)*0.0149/12,0)</f>
        <v>0</v>
      </c>
      <c r="Q41" s="99">
        <f>ROUND(SUM($E$18:P18)*0.0149/12,0)</f>
        <v>0</v>
      </c>
      <c r="R41" s="20"/>
    </row>
    <row r="42" spans="1:18" x14ac:dyDescent="0.25">
      <c r="A42" s="130">
        <v>18</v>
      </c>
      <c r="B42" t="s">
        <v>171</v>
      </c>
      <c r="C42" s="142">
        <v>378</v>
      </c>
      <c r="D42" s="238">
        <v>2.0400000000000001E-2</v>
      </c>
      <c r="E42" s="134">
        <v>0</v>
      </c>
      <c r="F42" s="99">
        <f>ROUND(SUM($E$19:E19)*0.0204/12,0)</f>
        <v>0</v>
      </c>
      <c r="G42" s="99">
        <f>ROUND(SUM($E$19:F19)*0.0204/12,0)</f>
        <v>0</v>
      </c>
      <c r="H42" s="99">
        <f>ROUND(SUM($E$19:G19)*0.0204/12,0)</f>
        <v>0</v>
      </c>
      <c r="I42" s="99">
        <f>ROUND(SUM($E$19:H19)*0.0204/12,0)</f>
        <v>0</v>
      </c>
      <c r="J42" s="99">
        <f>ROUND(SUM($E$19:I19)*0.0204/12,0)</f>
        <v>0</v>
      </c>
      <c r="K42" s="99">
        <f>ROUND(SUM($E$19:J19)*0.0204/12,0)</f>
        <v>0</v>
      </c>
      <c r="L42" s="99">
        <f>ROUND(SUM($E$19:K19)*0.0204/12,0)</f>
        <v>0</v>
      </c>
      <c r="M42" s="99">
        <f>ROUND(SUM($E$19:L19)*0.0204/12,0)</f>
        <v>0</v>
      </c>
      <c r="N42" s="99">
        <f>ROUND(SUM($E$19:M19)*0.0204/12,0)</f>
        <v>0</v>
      </c>
      <c r="O42" s="99">
        <f>ROUND(SUM($E$19:N19)*0.0204/12,0)</f>
        <v>0</v>
      </c>
      <c r="P42" s="99">
        <f>ROUND(SUM($E$19:O19)*0.0204/12,0)</f>
        <v>0</v>
      </c>
      <c r="Q42" s="99">
        <f>ROUND(SUM($E$19:P19)*0.0204/12,0)</f>
        <v>0</v>
      </c>
      <c r="R42" s="20"/>
    </row>
    <row r="43" spans="1:18" x14ac:dyDescent="0.25">
      <c r="A43" s="130">
        <v>19</v>
      </c>
      <c r="B43" t="s">
        <v>170</v>
      </c>
      <c r="C43" s="142">
        <v>374</v>
      </c>
      <c r="D43" s="238">
        <v>0</v>
      </c>
      <c r="E43" s="196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20"/>
    </row>
    <row r="44" spans="1:18" x14ac:dyDescent="0.25">
      <c r="A44" s="130">
        <v>20</v>
      </c>
      <c r="B44" t="s">
        <v>53</v>
      </c>
      <c r="C44" s="44"/>
      <c r="D44" s="44"/>
      <c r="E44" s="66">
        <f>SUM(E41:E43)</f>
        <v>0</v>
      </c>
      <c r="F44" s="66">
        <f>SUM(F41:F43)</f>
        <v>0</v>
      </c>
      <c r="G44" s="66">
        <f t="shared" ref="G44:Q44" si="7">SUM(G41:G43)</f>
        <v>0</v>
      </c>
      <c r="H44" s="66">
        <f t="shared" si="7"/>
        <v>0</v>
      </c>
      <c r="I44" s="66">
        <f t="shared" si="7"/>
        <v>0</v>
      </c>
      <c r="J44" s="66">
        <f t="shared" si="7"/>
        <v>0</v>
      </c>
      <c r="K44" s="66">
        <f t="shared" si="7"/>
        <v>0</v>
      </c>
      <c r="L44" s="66">
        <f t="shared" si="7"/>
        <v>0</v>
      </c>
      <c r="M44" s="66">
        <f t="shared" si="7"/>
        <v>0</v>
      </c>
      <c r="N44" s="66">
        <f t="shared" si="7"/>
        <v>0</v>
      </c>
      <c r="O44" s="66">
        <f t="shared" si="7"/>
        <v>0</v>
      </c>
      <c r="P44" s="66">
        <f t="shared" si="7"/>
        <v>0</v>
      </c>
      <c r="Q44" s="66">
        <f t="shared" si="7"/>
        <v>0</v>
      </c>
      <c r="R44" s="20"/>
    </row>
    <row r="45" spans="1:18" x14ac:dyDescent="0.25">
      <c r="A45" s="130"/>
      <c r="C45" s="44"/>
      <c r="D45" s="44"/>
      <c r="F45" s="1"/>
      <c r="R45" s="23"/>
    </row>
    <row r="46" spans="1:18" ht="15.75" thickBot="1" x14ac:dyDescent="0.3">
      <c r="A46" s="91">
        <v>21</v>
      </c>
      <c r="B46" s="10" t="s">
        <v>108</v>
      </c>
      <c r="C46" s="91"/>
      <c r="D46" s="91"/>
      <c r="E46" s="67">
        <f>+E38+E44</f>
        <v>0</v>
      </c>
      <c r="F46" s="67">
        <f t="shared" ref="F46:Q46" si="8">+F38+F44</f>
        <v>0</v>
      </c>
      <c r="G46" s="67">
        <f t="shared" si="8"/>
        <v>0</v>
      </c>
      <c r="H46" s="67">
        <f t="shared" si="8"/>
        <v>0</v>
      </c>
      <c r="I46" s="67">
        <f t="shared" si="8"/>
        <v>0</v>
      </c>
      <c r="J46" s="67">
        <f t="shared" si="8"/>
        <v>0</v>
      </c>
      <c r="K46" s="67">
        <f t="shared" si="8"/>
        <v>0</v>
      </c>
      <c r="L46" s="67">
        <f t="shared" si="8"/>
        <v>0</v>
      </c>
      <c r="M46" s="67">
        <f t="shared" si="8"/>
        <v>0</v>
      </c>
      <c r="N46" s="67">
        <f t="shared" si="8"/>
        <v>0</v>
      </c>
      <c r="O46" s="67">
        <f t="shared" si="8"/>
        <v>0</v>
      </c>
      <c r="P46" s="67">
        <f t="shared" si="8"/>
        <v>0</v>
      </c>
      <c r="Q46" s="67">
        <f t="shared" si="8"/>
        <v>0</v>
      </c>
      <c r="R46" s="67">
        <f>AVERAGE(E46:Q46)</f>
        <v>0</v>
      </c>
    </row>
    <row r="47" spans="1:18" ht="15.75" thickTop="1" x14ac:dyDescent="0.25">
      <c r="A47" s="91"/>
      <c r="C47" s="91"/>
      <c r="D47" s="91"/>
      <c r="E47" s="52"/>
      <c r="F47" s="5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9" spans="1:4" x14ac:dyDescent="0.25">
      <c r="A49" t="s">
        <v>41</v>
      </c>
    </row>
    <row r="50" spans="1:4" x14ac:dyDescent="0.25">
      <c r="A50" s="169" t="s">
        <v>228</v>
      </c>
      <c r="B50" s="37"/>
      <c r="C50" s="37"/>
      <c r="D50" s="37"/>
    </row>
  </sheetData>
  <mergeCells count="1">
    <mergeCell ref="A1:R1"/>
  </mergeCells>
  <pageMargins left="0.7" right="0.7" top="0.75" bottom="0.75" header="0.3" footer="0.3"/>
  <pageSetup scale="51" orientation="landscape" r:id="rId1"/>
  <headerFooter>
    <oddHeader>&amp;RCase No 2023-00209
STAFF-DR-01-002c
Page &amp;P of &amp;N
&amp;A</oddHeader>
  </headerFooter>
  <ignoredErrors>
    <ignoredError sqref="G35:Q35 G41:Q42 G36 H36:Q3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J36"/>
  <sheetViews>
    <sheetView zoomScaleNormal="100" workbookViewId="0">
      <selection activeCell="L29" sqref="L29"/>
    </sheetView>
  </sheetViews>
  <sheetFormatPr defaultRowHeight="15" x14ac:dyDescent="0.25"/>
  <cols>
    <col min="1" max="1" width="8.28515625" bestFit="1" customWidth="1"/>
    <col min="2" max="2" width="35.85546875" customWidth="1"/>
    <col min="3" max="3" width="13.5703125" customWidth="1"/>
    <col min="4" max="4" width="13.140625" customWidth="1"/>
    <col min="5" max="5" width="3.7109375" customWidth="1"/>
    <col min="6" max="8" width="13.140625" customWidth="1"/>
  </cols>
  <sheetData>
    <row r="1" spans="1:10" x14ac:dyDescent="0.25">
      <c r="A1" s="91"/>
      <c r="B1" s="34"/>
      <c r="D1" s="91"/>
    </row>
    <row r="2" spans="1:10" x14ac:dyDescent="0.25">
      <c r="A2" s="110" t="str">
        <f>'Sch 1.0'!A2:J2</f>
        <v>Duke Energy Kentucky</v>
      </c>
      <c r="B2" s="110"/>
      <c r="C2" s="110"/>
      <c r="D2" s="110"/>
      <c r="E2" s="110"/>
      <c r="F2" s="110"/>
      <c r="G2" s="110"/>
      <c r="H2" s="110"/>
      <c r="J2" s="129" t="s">
        <v>222</v>
      </c>
    </row>
    <row r="3" spans="1:10" x14ac:dyDescent="0.25">
      <c r="A3" s="110" t="str">
        <f>'Sch 1.0'!A3:J3</f>
        <v>Pipeline Modernization Mechanism ("Rider PMM")</v>
      </c>
      <c r="B3" s="110"/>
      <c r="C3" s="110"/>
      <c r="D3" s="110"/>
      <c r="E3" s="110"/>
      <c r="F3" s="110"/>
      <c r="G3" s="110"/>
      <c r="H3" s="110"/>
    </row>
    <row r="4" spans="1:10" x14ac:dyDescent="0.25">
      <c r="A4" s="110" t="s">
        <v>28</v>
      </c>
      <c r="B4" s="110"/>
      <c r="C4" s="110"/>
      <c r="D4" s="110"/>
      <c r="E4" s="110"/>
      <c r="F4" s="110"/>
      <c r="G4" s="110"/>
      <c r="H4" s="110"/>
    </row>
    <row r="5" spans="1:10" x14ac:dyDescent="0.25">
      <c r="A5" s="112"/>
      <c r="B5" s="112"/>
      <c r="C5" s="112"/>
      <c r="D5" s="112"/>
      <c r="E5" s="112"/>
      <c r="F5" s="112"/>
      <c r="G5" s="112"/>
      <c r="H5" s="112"/>
    </row>
    <row r="6" spans="1:10" ht="15" customHeight="1" x14ac:dyDescent="0.25">
      <c r="A6" s="91"/>
      <c r="D6" s="229" t="s">
        <v>161</v>
      </c>
      <c r="E6" s="8"/>
      <c r="F6" s="171" t="s">
        <v>165</v>
      </c>
      <c r="G6" s="171"/>
      <c r="H6" s="109"/>
    </row>
    <row r="7" spans="1:10" x14ac:dyDescent="0.25">
      <c r="A7" s="104" t="s">
        <v>136</v>
      </c>
      <c r="B7" s="90"/>
      <c r="C7" s="90"/>
      <c r="D7" s="90" t="s">
        <v>70</v>
      </c>
      <c r="F7" s="102"/>
      <c r="G7" s="102" t="s">
        <v>70</v>
      </c>
      <c r="H7" s="37"/>
    </row>
    <row r="8" spans="1:10" x14ac:dyDescent="0.25">
      <c r="A8" s="9" t="s">
        <v>137</v>
      </c>
      <c r="B8" s="9"/>
      <c r="C8" s="9"/>
      <c r="D8" s="111">
        <v>2023</v>
      </c>
      <c r="F8" s="111">
        <v>2023</v>
      </c>
      <c r="G8" s="111">
        <v>2024</v>
      </c>
      <c r="H8" s="76" t="s">
        <v>82</v>
      </c>
    </row>
    <row r="9" spans="1:10" x14ac:dyDescent="0.25">
      <c r="B9" s="92" t="s">
        <v>63</v>
      </c>
      <c r="C9" s="92" t="s">
        <v>64</v>
      </c>
      <c r="D9" s="92" t="s">
        <v>66</v>
      </c>
      <c r="F9" s="77" t="s">
        <v>84</v>
      </c>
      <c r="G9" s="77" t="s">
        <v>109</v>
      </c>
      <c r="H9" s="77" t="s">
        <v>110</v>
      </c>
    </row>
    <row r="10" spans="1:10" x14ac:dyDescent="0.25">
      <c r="A10" s="91"/>
      <c r="F10" s="37"/>
      <c r="G10" s="37"/>
      <c r="H10" s="37"/>
    </row>
    <row r="11" spans="1:10" x14ac:dyDescent="0.25">
      <c r="A11" s="91">
        <v>1</v>
      </c>
      <c r="B11" t="s">
        <v>146</v>
      </c>
      <c r="C11" s="19"/>
      <c r="D11" s="145">
        <v>0</v>
      </c>
      <c r="E11" s="69"/>
      <c r="F11" s="103">
        <f>D11</f>
        <v>0</v>
      </c>
      <c r="G11" s="145">
        <f>'Sch 4.5'!$E$29</f>
        <v>0</v>
      </c>
      <c r="H11" s="71">
        <f>SUM(F11:G11)</f>
        <v>0</v>
      </c>
    </row>
    <row r="12" spans="1:10" ht="17.25" x14ac:dyDescent="0.4">
      <c r="A12" s="91"/>
      <c r="C12" s="19"/>
      <c r="D12" s="25"/>
      <c r="F12" s="78"/>
      <c r="G12" s="25"/>
      <c r="H12" s="78"/>
    </row>
    <row r="13" spans="1:10" x14ac:dyDescent="0.25">
      <c r="A13" s="91"/>
      <c r="B13" t="s">
        <v>68</v>
      </c>
      <c r="C13" s="31"/>
      <c r="D13" s="28"/>
      <c r="F13" s="79"/>
      <c r="G13" s="28"/>
      <c r="H13" s="79"/>
    </row>
    <row r="14" spans="1:10" x14ac:dyDescent="0.25">
      <c r="A14" s="91">
        <v>2</v>
      </c>
      <c r="B14" t="s">
        <v>131</v>
      </c>
      <c r="C14" s="32"/>
      <c r="D14" s="119">
        <f>D11</f>
        <v>0</v>
      </c>
      <c r="E14" s="118"/>
      <c r="F14" s="146">
        <f>F11</f>
        <v>0</v>
      </c>
      <c r="G14" s="119">
        <f>G11</f>
        <v>0</v>
      </c>
      <c r="H14" s="116">
        <f>SUM(F14:G14)</f>
        <v>0</v>
      </c>
    </row>
    <row r="15" spans="1:10" x14ac:dyDescent="0.25">
      <c r="A15" s="91">
        <f t="shared" ref="A15:A20" si="0">A14+1</f>
        <v>3</v>
      </c>
      <c r="B15" t="s">
        <v>77</v>
      </c>
      <c r="C15" s="32"/>
      <c r="D15" s="120">
        <f>ROUND(D11/2,0)</f>
        <v>0</v>
      </c>
      <c r="E15" s="118"/>
      <c r="F15" s="120">
        <f>ROUND(F11/2,0)</f>
        <v>0</v>
      </c>
      <c r="G15" s="120">
        <f>ROUND(G11/2,0)</f>
        <v>0</v>
      </c>
      <c r="H15" s="147">
        <f>SUM(F15:G15)</f>
        <v>0</v>
      </c>
    </row>
    <row r="16" spans="1:10" x14ac:dyDescent="0.25">
      <c r="A16" s="91"/>
      <c r="B16" s="10"/>
      <c r="C16" s="32"/>
      <c r="D16" s="118"/>
      <c r="E16" s="118"/>
      <c r="F16" s="148"/>
      <c r="G16" s="118"/>
      <c r="H16" s="148"/>
    </row>
    <row r="17" spans="1:8" x14ac:dyDescent="0.25">
      <c r="A17" s="91"/>
      <c r="B17" s="22" t="s">
        <v>13</v>
      </c>
      <c r="C17" s="19"/>
      <c r="D17" s="121"/>
      <c r="E17" s="118"/>
      <c r="F17" s="149"/>
      <c r="G17" s="121"/>
      <c r="H17" s="149"/>
    </row>
    <row r="18" spans="1:8" x14ac:dyDescent="0.25">
      <c r="A18" s="91">
        <v>4</v>
      </c>
      <c r="B18" t="s">
        <v>131</v>
      </c>
      <c r="C18" s="32"/>
      <c r="D18" s="119">
        <f>ROUND(D14*0.5,0)</f>
        <v>0</v>
      </c>
      <c r="E18" s="118"/>
      <c r="F18" s="119">
        <v>0</v>
      </c>
      <c r="G18" s="119">
        <f>ROUND(G14*0.5,0)</f>
        <v>0</v>
      </c>
      <c r="H18" s="116">
        <f>SUM(F18:G18)</f>
        <v>0</v>
      </c>
    </row>
    <row r="19" spans="1:8" x14ac:dyDescent="0.25">
      <c r="A19" s="91">
        <f t="shared" si="0"/>
        <v>5</v>
      </c>
      <c r="B19" t="s">
        <v>69</v>
      </c>
      <c r="C19" s="32"/>
      <c r="D19" s="120">
        <f>ROUND(D15*0.0375,0)</f>
        <v>0</v>
      </c>
      <c r="E19" s="118"/>
      <c r="F19" s="120">
        <f>ROUND(F15*0.07219,0)</f>
        <v>0</v>
      </c>
      <c r="G19" s="120">
        <f>ROUND(G15*0.0375,0)</f>
        <v>0</v>
      </c>
      <c r="H19" s="116">
        <f>SUM(F19:G19)</f>
        <v>0</v>
      </c>
    </row>
    <row r="20" spans="1:8" x14ac:dyDescent="0.25">
      <c r="A20" s="91">
        <f t="shared" si="0"/>
        <v>6</v>
      </c>
      <c r="B20" s="22" t="s">
        <v>71</v>
      </c>
      <c r="C20" s="32"/>
      <c r="D20" s="68">
        <f>D18+D19</f>
        <v>0</v>
      </c>
      <c r="E20" s="118"/>
      <c r="F20" s="82">
        <f>F18+F19</f>
        <v>0</v>
      </c>
      <c r="G20" s="68">
        <f>G18+G19</f>
        <v>0</v>
      </c>
      <c r="H20" s="82">
        <f>SUM(F20:G20)</f>
        <v>0</v>
      </c>
    </row>
    <row r="21" spans="1:8" x14ac:dyDescent="0.25">
      <c r="A21" s="91"/>
      <c r="B21" s="22"/>
      <c r="C21" s="32"/>
      <c r="D21" s="118"/>
      <c r="E21" s="118"/>
      <c r="F21" s="148"/>
      <c r="G21" s="118"/>
      <c r="H21" s="148"/>
    </row>
    <row r="22" spans="1:8" x14ac:dyDescent="0.25">
      <c r="A22" s="91">
        <f>A20+1</f>
        <v>7</v>
      </c>
      <c r="B22" s="22" t="s">
        <v>72</v>
      </c>
      <c r="D22" s="122">
        <v>0</v>
      </c>
      <c r="E22" s="118"/>
      <c r="F22" s="143">
        <f>D22</f>
        <v>0</v>
      </c>
      <c r="G22" s="122">
        <f>'Sch 4.3'!$R$46</f>
        <v>0</v>
      </c>
      <c r="H22" s="144">
        <f>SUM(F22:G22)</f>
        <v>0</v>
      </c>
    </row>
    <row r="23" spans="1:8" x14ac:dyDescent="0.25">
      <c r="A23" s="91"/>
      <c r="B23" s="22"/>
      <c r="D23" s="122"/>
      <c r="E23" s="118"/>
      <c r="F23" s="144"/>
      <c r="G23" s="122"/>
      <c r="H23" s="144"/>
    </row>
    <row r="24" spans="1:8" x14ac:dyDescent="0.25">
      <c r="A24" s="91">
        <f>A22+1</f>
        <v>8</v>
      </c>
      <c r="B24" s="22" t="s">
        <v>73</v>
      </c>
      <c r="D24" s="122">
        <f>D20-D22</f>
        <v>0</v>
      </c>
      <c r="E24" s="118"/>
      <c r="F24" s="144">
        <f>F20-F22</f>
        <v>0</v>
      </c>
      <c r="G24" s="122">
        <f>G20-G22</f>
        <v>0</v>
      </c>
      <c r="H24" s="116">
        <f>SUM(F24:G24)</f>
        <v>0</v>
      </c>
    </row>
    <row r="25" spans="1:8" x14ac:dyDescent="0.25">
      <c r="A25" s="91"/>
      <c r="B25" s="22"/>
      <c r="D25" s="122"/>
      <c r="E25" s="118"/>
      <c r="F25" s="144"/>
      <c r="G25" s="122"/>
      <c r="H25" s="144"/>
    </row>
    <row r="26" spans="1:8" x14ac:dyDescent="0.25">
      <c r="A26" s="91">
        <f>A24+1</f>
        <v>9</v>
      </c>
      <c r="B26" s="22" t="s">
        <v>25</v>
      </c>
      <c r="D26" s="122">
        <v>0</v>
      </c>
      <c r="E26" s="118"/>
      <c r="F26" s="144">
        <v>0</v>
      </c>
      <c r="G26" s="122">
        <f>'Sch 4.5'!$I$29</f>
        <v>0</v>
      </c>
      <c r="H26" s="144">
        <f>SUM(F26:G26)</f>
        <v>0</v>
      </c>
    </row>
    <row r="27" spans="1:8" x14ac:dyDescent="0.25">
      <c r="A27" s="91">
        <f>A26+1</f>
        <v>10</v>
      </c>
      <c r="B27" s="22" t="s">
        <v>75</v>
      </c>
      <c r="D27" s="68">
        <f>D24+D26</f>
        <v>0</v>
      </c>
      <c r="E27" s="69"/>
      <c r="F27" s="82">
        <f>F24+F26</f>
        <v>0</v>
      </c>
      <c r="G27" s="68">
        <f>G24+G26</f>
        <v>0</v>
      </c>
      <c r="H27" s="83">
        <f>SUM(F27:G27)</f>
        <v>0</v>
      </c>
    </row>
    <row r="28" spans="1:8" x14ac:dyDescent="0.25">
      <c r="A28" s="91"/>
      <c r="B28" s="22"/>
      <c r="D28" s="36"/>
      <c r="F28" s="81"/>
      <c r="G28" s="36"/>
      <c r="H28" s="81"/>
    </row>
    <row r="29" spans="1:8" x14ac:dyDescent="0.25">
      <c r="A29" s="101">
        <f>A27+1</f>
        <v>11</v>
      </c>
      <c r="B29" t="s">
        <v>74</v>
      </c>
      <c r="C29" s="230">
        <v>0.24925115</v>
      </c>
      <c r="D29" s="118">
        <f>ROUND(D27*$C$29,0)</f>
        <v>0</v>
      </c>
      <c r="E29" s="118"/>
      <c r="F29" s="148">
        <f>ROUND(F27*$C$29,0)</f>
        <v>0</v>
      </c>
      <c r="G29" s="118">
        <f>ROUND(G27*$C$29,0)</f>
        <v>0</v>
      </c>
      <c r="H29" s="116">
        <f>SUM(F29:G29)</f>
        <v>0</v>
      </c>
    </row>
    <row r="30" spans="1:8" x14ac:dyDescent="0.25">
      <c r="A30" s="101">
        <v>12</v>
      </c>
      <c r="B30" t="s">
        <v>133</v>
      </c>
      <c r="C30" s="230">
        <v>0.13549266299999999</v>
      </c>
      <c r="D30" s="118">
        <f>ROUND(D27*$C$30,0)</f>
        <v>0</v>
      </c>
      <c r="E30" s="118"/>
      <c r="F30" s="118">
        <f>ROUND(F27*$C$30,0)</f>
        <v>0</v>
      </c>
      <c r="G30" s="118">
        <f>ROUND(G27*$C$30,0)</f>
        <v>0</v>
      </c>
      <c r="H30" s="116">
        <f>SUM(F30:G30)</f>
        <v>0</v>
      </c>
    </row>
    <row r="31" spans="1:8" x14ac:dyDescent="0.25">
      <c r="A31" s="101"/>
      <c r="D31" s="68">
        <f>SUM(D29:D30)</f>
        <v>0</v>
      </c>
      <c r="E31" s="118"/>
      <c r="F31" s="68">
        <f t="shared" ref="F31:H31" si="1">SUM(F29:F30)</f>
        <v>0</v>
      </c>
      <c r="G31" s="68">
        <f>SUM(G29:G30)</f>
        <v>0</v>
      </c>
      <c r="H31" s="68">
        <f t="shared" si="1"/>
        <v>0</v>
      </c>
    </row>
    <row r="32" spans="1:8" x14ac:dyDescent="0.25">
      <c r="A32" s="101"/>
    </row>
    <row r="33" spans="1:8" ht="15.75" thickBot="1" x14ac:dyDescent="0.3">
      <c r="A33" s="101">
        <v>13</v>
      </c>
      <c r="B33" t="s">
        <v>127</v>
      </c>
      <c r="H33" s="70">
        <f>D29+H29</f>
        <v>0</v>
      </c>
    </row>
    <row r="34" spans="1:8" ht="16.5" thickTop="1" thickBot="1" x14ac:dyDescent="0.3">
      <c r="A34" s="101"/>
      <c r="H34" s="70"/>
    </row>
    <row r="35" spans="1:8" ht="16.5" thickTop="1" thickBot="1" x14ac:dyDescent="0.3">
      <c r="A35" s="6">
        <v>14</v>
      </c>
      <c r="B35" t="s">
        <v>133</v>
      </c>
      <c r="H35" s="70">
        <f>D30+H30</f>
        <v>0</v>
      </c>
    </row>
    <row r="36" spans="1:8" ht="15.75" thickTop="1" x14ac:dyDescent="0.25"/>
  </sheetData>
  <pageMargins left="0.7" right="0.7" top="0.75" bottom="0.75" header="0.3" footer="0.3"/>
  <pageSetup scale="97" orientation="landscape" r:id="rId1"/>
  <headerFooter>
    <oddHeader xml:space="preserve">&amp;RExhibit 1
Schedule 4.4
Page &amp;P of &amp;N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8A0E-3B24-45B5-B4AD-07D29DAEA84F}">
  <sheetPr>
    <tabColor rgb="FFFFFF00"/>
    <pageSetUpPr fitToPage="1"/>
  </sheetPr>
  <dimension ref="A1:T51"/>
  <sheetViews>
    <sheetView topLeftCell="J25" zoomScaleNormal="100" zoomScalePageLayoutView="175" workbookViewId="0">
      <selection activeCell="H19" sqref="H19"/>
    </sheetView>
  </sheetViews>
  <sheetFormatPr defaultRowHeight="15" x14ac:dyDescent="0.25"/>
  <cols>
    <col min="1" max="1" width="10.28515625" customWidth="1"/>
    <col min="2" max="2" width="11.85546875" customWidth="1"/>
    <col min="3" max="3" width="18.42578125" customWidth="1"/>
    <col min="4" max="4" width="19.42578125" customWidth="1"/>
    <col min="5" max="5" width="18.28515625" customWidth="1"/>
    <col min="6" max="6" width="11.42578125" bestFit="1" customWidth="1"/>
    <col min="7" max="7" width="3.7109375" customWidth="1"/>
    <col min="8" max="8" width="14" customWidth="1"/>
    <col min="9" max="9" width="16.140625" customWidth="1"/>
    <col min="10" max="10" width="14" customWidth="1"/>
    <col min="11" max="11" width="16.140625" customWidth="1"/>
    <col min="12" max="12" width="13.42578125" customWidth="1"/>
    <col min="13" max="13" width="18.85546875" bestFit="1" customWidth="1"/>
    <col min="14" max="14" width="15.42578125" customWidth="1"/>
    <col min="15" max="15" width="15.28515625" customWidth="1"/>
    <col min="16" max="16" width="12.42578125" customWidth="1"/>
    <col min="17" max="18" width="14.85546875" customWidth="1"/>
    <col min="19" max="19" width="13.28515625" customWidth="1"/>
    <col min="20" max="20" width="3.5703125" customWidth="1"/>
  </cols>
  <sheetData>
    <row r="1" spans="1:20" x14ac:dyDescent="0.25">
      <c r="A1" s="110" t="str">
        <f>'[1]Sch 1.0'!A2</f>
        <v>Duke Energy Kentucky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x14ac:dyDescent="0.25">
      <c r="A2" s="110" t="str">
        <f>'[1]Sch 1.0'!A3</f>
        <v>Pipeline Modernization Mechanism ("Rider PMM")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x14ac:dyDescent="0.25">
      <c r="A3" s="110" t="s">
        <v>246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39"/>
      <c r="Q4" s="110"/>
      <c r="R4" s="110"/>
      <c r="S4" s="110"/>
      <c r="T4" s="110"/>
    </row>
    <row r="5" spans="1:20" ht="15.75" x14ac:dyDescent="0.25">
      <c r="A5" s="198" t="s">
        <v>172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7" spans="1:20" x14ac:dyDescent="0.25">
      <c r="A7" s="199" t="s">
        <v>224</v>
      </c>
      <c r="B7" s="225"/>
      <c r="C7" s="200" t="s">
        <v>173</v>
      </c>
      <c r="D7" s="200" t="s">
        <v>174</v>
      </c>
      <c r="E7" s="200" t="s">
        <v>187</v>
      </c>
      <c r="F7" s="200" t="s">
        <v>188</v>
      </c>
      <c r="G7" s="199"/>
      <c r="H7" s="200" t="s">
        <v>233</v>
      </c>
      <c r="I7" s="200" t="s">
        <v>232</v>
      </c>
      <c r="J7" s="200" t="s">
        <v>234</v>
      </c>
      <c r="K7" s="200" t="s">
        <v>235</v>
      </c>
      <c r="L7" s="200" t="s">
        <v>236</v>
      </c>
      <c r="M7" s="200" t="s">
        <v>191</v>
      </c>
      <c r="N7" s="201" t="s">
        <v>237</v>
      </c>
      <c r="O7" s="201" t="s">
        <v>192</v>
      </c>
      <c r="P7" s="201" t="s">
        <v>238</v>
      </c>
      <c r="Q7" s="201" t="s">
        <v>195</v>
      </c>
      <c r="R7" s="201" t="s">
        <v>239</v>
      </c>
      <c r="S7" s="201" t="s">
        <v>240</v>
      </c>
    </row>
    <row r="8" spans="1:20" ht="15" customHeight="1" x14ac:dyDescent="0.25">
      <c r="H8" s="130"/>
      <c r="I8" s="130"/>
      <c r="J8" s="130"/>
      <c r="K8" s="130"/>
      <c r="L8" s="130"/>
      <c r="N8" s="130"/>
      <c r="O8" s="222"/>
      <c r="P8" s="130"/>
      <c r="Q8" s="130"/>
      <c r="R8" s="130"/>
      <c r="S8" s="130"/>
    </row>
    <row r="9" spans="1:20" ht="60" x14ac:dyDescent="0.25">
      <c r="B9" s="202" t="s">
        <v>57</v>
      </c>
      <c r="C9" s="213" t="s">
        <v>178</v>
      </c>
      <c r="D9" s="213" t="s">
        <v>186</v>
      </c>
      <c r="E9" s="213" t="s">
        <v>179</v>
      </c>
      <c r="F9" s="213" t="s">
        <v>184</v>
      </c>
      <c r="G9" s="234"/>
      <c r="H9" s="213" t="s">
        <v>231</v>
      </c>
      <c r="I9" s="213" t="s">
        <v>230</v>
      </c>
      <c r="J9" s="213" t="s">
        <v>181</v>
      </c>
      <c r="K9" s="213" t="s">
        <v>185</v>
      </c>
      <c r="L9" s="213" t="s">
        <v>180</v>
      </c>
      <c r="M9" s="202" t="s">
        <v>72</v>
      </c>
      <c r="N9" s="213" t="s">
        <v>189</v>
      </c>
      <c r="O9" s="213" t="s">
        <v>190</v>
      </c>
      <c r="P9" s="213" t="s">
        <v>182</v>
      </c>
      <c r="Q9" s="213" t="s">
        <v>183</v>
      </c>
      <c r="R9" s="213" t="s">
        <v>193</v>
      </c>
      <c r="S9" s="213" t="s">
        <v>194</v>
      </c>
    </row>
    <row r="10" spans="1:20" x14ac:dyDescent="0.25">
      <c r="B10" s="203">
        <v>44896</v>
      </c>
      <c r="C10" s="244">
        <f>+'Sch 4.3'!E12-'Sch 4.3'!E18</f>
        <v>0</v>
      </c>
      <c r="D10" s="244">
        <f>+'Sch 4.3'!E13-'Sch 4.3'!E19</f>
        <v>0</v>
      </c>
      <c r="E10" s="244">
        <f>+'Sch 4.3'!E14-'Sch 4.3'!E20</f>
        <v>0</v>
      </c>
      <c r="F10" s="244">
        <f>SUM(C10:E10)</f>
        <v>0</v>
      </c>
      <c r="G10" s="244"/>
      <c r="H10" s="244"/>
      <c r="I10" s="244"/>
      <c r="J10" s="206">
        <f>C10*5%</f>
        <v>0</v>
      </c>
      <c r="K10" s="244">
        <f>+D10*3.75%</f>
        <v>0</v>
      </c>
      <c r="L10" s="244">
        <f>SUM(H10:K10)</f>
        <v>0</v>
      </c>
      <c r="M10" s="244">
        <f>((SUM($C$10:$C10)*'Sch 4.3'!$D$35)+(SUM($D$10:$D10)*'Sch 4.3'!$D$36))/12</f>
        <v>0</v>
      </c>
      <c r="N10" s="204">
        <f>L10-M10</f>
        <v>0</v>
      </c>
      <c r="O10" s="245">
        <f>+N10</f>
        <v>0</v>
      </c>
      <c r="P10" s="204"/>
      <c r="Q10" s="204"/>
      <c r="R10" s="204"/>
      <c r="S10" s="204">
        <f>+O10</f>
        <v>0</v>
      </c>
    </row>
    <row r="11" spans="1:20" x14ac:dyDescent="0.25">
      <c r="A11" t="s">
        <v>175</v>
      </c>
      <c r="B11" s="203">
        <v>44927</v>
      </c>
      <c r="C11" s="244">
        <f>+'Sch 4.3'!F12-'Sch 4.3'!F18</f>
        <v>0</v>
      </c>
      <c r="D11" s="244">
        <f>+'Sch 4.3'!F13-'Sch 4.3'!F19</f>
        <v>0</v>
      </c>
      <c r="E11" s="244">
        <f>+'Sch 4.3'!F14-'Sch 4.3'!F20</f>
        <v>0</v>
      </c>
      <c r="F11" s="244">
        <f t="shared" ref="F11:F21" si="0">SUM(C11:E11)</f>
        <v>0</v>
      </c>
      <c r="G11" s="244"/>
      <c r="H11" s="250">
        <f>(C10*9.5%)/12</f>
        <v>0</v>
      </c>
      <c r="I11" s="250">
        <f>(D10*7.219%)/12</f>
        <v>0</v>
      </c>
      <c r="J11" s="206">
        <f>(C11*5%)/12</f>
        <v>0</v>
      </c>
      <c r="K11" s="206">
        <f>(D10*3.75%)/12</f>
        <v>0</v>
      </c>
      <c r="L11" s="244">
        <f t="shared" ref="L11:L22" si="1">SUM(H11:K11)</f>
        <v>0</v>
      </c>
      <c r="M11" s="244">
        <f>((SUM($C$10:$C11)*'Sch 4.3'!$D$35)+(SUM($D$10:$D11)*'Sch 4.3'!$D$36))/12</f>
        <v>0</v>
      </c>
      <c r="N11" s="204">
        <f>L11-M11</f>
        <v>0</v>
      </c>
      <c r="O11" s="245">
        <f>+O10+N11</f>
        <v>0</v>
      </c>
      <c r="P11" s="204">
        <f>+B11-B10</f>
        <v>31</v>
      </c>
      <c r="Q11" s="204">
        <f>365-SUM(P$11:P11)+1</f>
        <v>335</v>
      </c>
      <c r="R11" s="204" t="e">
        <f>+N11*Q11/$P24</f>
        <v>#DIV/0!</v>
      </c>
      <c r="S11" s="204" t="e">
        <f>+S10+R11</f>
        <v>#DIV/0!</v>
      </c>
    </row>
    <row r="12" spans="1:20" x14ac:dyDescent="0.25">
      <c r="A12" t="s">
        <v>175</v>
      </c>
      <c r="B12" s="203">
        <v>44958</v>
      </c>
      <c r="C12" s="244">
        <f>+'Sch 4.3'!G12-'Sch 4.3'!G18</f>
        <v>0</v>
      </c>
      <c r="D12" s="244">
        <f>+'Sch 4.3'!G13-'Sch 4.3'!G19</f>
        <v>0</v>
      </c>
      <c r="E12" s="244">
        <f>+'Sch 4.3'!G14-'Sch 4.3'!G20</f>
        <v>0</v>
      </c>
      <c r="F12" s="244">
        <f t="shared" si="0"/>
        <v>0</v>
      </c>
      <c r="G12" s="244"/>
      <c r="H12" s="244">
        <f>+H11</f>
        <v>0</v>
      </c>
      <c r="I12" s="244">
        <f>+I11</f>
        <v>0</v>
      </c>
      <c r="J12" s="206">
        <f>+J11+(C12*5%)/11</f>
        <v>0</v>
      </c>
      <c r="K12" s="206">
        <f>+K11+(D11*3.75%)/11</f>
        <v>0</v>
      </c>
      <c r="L12" s="244">
        <f t="shared" si="1"/>
        <v>0</v>
      </c>
      <c r="M12" s="244">
        <f>((SUM($C$10:$C12)*'Sch 4.3'!$D$35)+(SUM($D$10:$D12)*'Sch 4.3'!$D$36))/12</f>
        <v>0</v>
      </c>
      <c r="N12" s="204">
        <f t="shared" ref="N12:N22" si="2">L12-M12</f>
        <v>0</v>
      </c>
      <c r="O12" s="245">
        <f t="shared" ref="O12:O22" si="3">+O11+N12</f>
        <v>0</v>
      </c>
      <c r="P12" s="204">
        <v>28</v>
      </c>
      <c r="Q12" s="204">
        <f>365-SUM(P$11:P12)+1</f>
        <v>307</v>
      </c>
      <c r="R12" s="204" t="e">
        <f t="shared" ref="R12:R22" si="4">+N12*Q12/$P25</f>
        <v>#DIV/0!</v>
      </c>
      <c r="S12" s="204" t="e">
        <f t="shared" ref="S12:S22" si="5">+S11+R12</f>
        <v>#DIV/0!</v>
      </c>
    </row>
    <row r="13" spans="1:20" x14ac:dyDescent="0.25">
      <c r="A13" t="s">
        <v>175</v>
      </c>
      <c r="B13" s="203">
        <v>44986</v>
      </c>
      <c r="C13" s="244">
        <f>+'Sch 4.3'!H12-'Sch 4.3'!H18</f>
        <v>0</v>
      </c>
      <c r="D13" s="244">
        <f>+'Sch 4.3'!H13-'Sch 4.3'!H19</f>
        <v>0</v>
      </c>
      <c r="E13" s="244">
        <f>+'Sch 4.3'!H14-'Sch 4.3'!H20</f>
        <v>0</v>
      </c>
      <c r="F13" s="244">
        <f t="shared" si="0"/>
        <v>0</v>
      </c>
      <c r="G13" s="244"/>
      <c r="H13" s="244">
        <f t="shared" ref="H13:H21" si="6">+H12</f>
        <v>0</v>
      </c>
      <c r="I13" s="244">
        <f t="shared" ref="I13:I21" si="7">+I12</f>
        <v>0</v>
      </c>
      <c r="J13" s="206">
        <f>+J12+(C13*5%)/10</f>
        <v>0</v>
      </c>
      <c r="K13" s="206">
        <f>+K12+(D12*3.75%)/10</f>
        <v>0</v>
      </c>
      <c r="L13" s="244">
        <f t="shared" si="1"/>
        <v>0</v>
      </c>
      <c r="M13" s="244">
        <f>((SUM($C$10:$C13)*'Sch 4.3'!$D$35)+(SUM($D$10:$D13)*'Sch 4.3'!$D$36))/12</f>
        <v>0</v>
      </c>
      <c r="N13" s="204">
        <f t="shared" si="2"/>
        <v>0</v>
      </c>
      <c r="O13" s="245">
        <f t="shared" si="3"/>
        <v>0</v>
      </c>
      <c r="P13" s="204">
        <v>31</v>
      </c>
      <c r="Q13" s="204">
        <f>365-SUM(P$11:P13)+1</f>
        <v>276</v>
      </c>
      <c r="R13" s="204" t="e">
        <f t="shared" si="4"/>
        <v>#DIV/0!</v>
      </c>
      <c r="S13" s="204" t="e">
        <f t="shared" si="5"/>
        <v>#DIV/0!</v>
      </c>
    </row>
    <row r="14" spans="1:20" x14ac:dyDescent="0.25">
      <c r="A14" t="s">
        <v>175</v>
      </c>
      <c r="B14" s="203">
        <v>45017</v>
      </c>
      <c r="C14" s="244">
        <f>+'Sch 4.3'!I12-'Sch 4.3'!I18</f>
        <v>0</v>
      </c>
      <c r="D14" s="244">
        <f>+'Sch 4.3'!I13-'Sch 4.3'!I19</f>
        <v>0</v>
      </c>
      <c r="E14" s="244">
        <f>+'Sch 4.3'!I14-'Sch 4.3'!I20</f>
        <v>0</v>
      </c>
      <c r="F14" s="244">
        <f t="shared" si="0"/>
        <v>0</v>
      </c>
      <c r="G14" s="244"/>
      <c r="H14" s="244">
        <f t="shared" si="6"/>
        <v>0</v>
      </c>
      <c r="I14" s="244">
        <f t="shared" si="7"/>
        <v>0</v>
      </c>
      <c r="J14" s="206">
        <f>+J13+(C14*5%)/9</f>
        <v>0</v>
      </c>
      <c r="K14" s="206">
        <f>+K13+(D13*3.75%)/9</f>
        <v>0</v>
      </c>
      <c r="L14" s="244">
        <f t="shared" si="1"/>
        <v>0</v>
      </c>
      <c r="M14" s="244">
        <f>((SUM($C$10:$C14)*'Sch 4.3'!$D$35)+(SUM($D$10:$D14)*'Sch 4.3'!$D$36))/12</f>
        <v>0</v>
      </c>
      <c r="N14" s="204">
        <f t="shared" si="2"/>
        <v>0</v>
      </c>
      <c r="O14" s="245">
        <f t="shared" si="3"/>
        <v>0</v>
      </c>
      <c r="P14" s="204">
        <v>30</v>
      </c>
      <c r="Q14" s="204">
        <f>365-SUM(P$11:P14)+1</f>
        <v>246</v>
      </c>
      <c r="R14" s="204" t="e">
        <f t="shared" si="4"/>
        <v>#DIV/0!</v>
      </c>
      <c r="S14" s="204" t="e">
        <f t="shared" si="5"/>
        <v>#DIV/0!</v>
      </c>
    </row>
    <row r="15" spans="1:20" x14ac:dyDescent="0.25">
      <c r="A15" t="s">
        <v>175</v>
      </c>
      <c r="B15" s="203">
        <v>45047</v>
      </c>
      <c r="C15" s="244">
        <f>+'Sch 4.3'!J12-'Sch 4.3'!J18</f>
        <v>0</v>
      </c>
      <c r="D15" s="244">
        <f>+'Sch 4.3'!J13-'Sch 4.3'!J19</f>
        <v>0</v>
      </c>
      <c r="E15" s="244">
        <f>+'Sch 4.3'!J14-'Sch 4.3'!J20</f>
        <v>0</v>
      </c>
      <c r="F15" s="244">
        <f t="shared" si="0"/>
        <v>0</v>
      </c>
      <c r="G15" s="244"/>
      <c r="H15" s="244">
        <f t="shared" si="6"/>
        <v>0</v>
      </c>
      <c r="I15" s="244">
        <f t="shared" si="7"/>
        <v>0</v>
      </c>
      <c r="J15" s="206">
        <f>+J14+(C15*5%)/8</f>
        <v>0</v>
      </c>
      <c r="K15" s="206">
        <f>+K14+(D14*3.75%)/8</f>
        <v>0</v>
      </c>
      <c r="L15" s="244">
        <f t="shared" si="1"/>
        <v>0</v>
      </c>
      <c r="M15" s="244">
        <f>((SUM($C$10:$C15)*'Sch 4.3'!$D$35)+(SUM($D$10:$D15)*'Sch 4.3'!$D$36))/12</f>
        <v>0</v>
      </c>
      <c r="N15" s="204">
        <f t="shared" si="2"/>
        <v>0</v>
      </c>
      <c r="O15" s="245">
        <f t="shared" si="3"/>
        <v>0</v>
      </c>
      <c r="P15" s="204">
        <v>31</v>
      </c>
      <c r="Q15" s="204">
        <f>365-SUM(P$11:P15)+1</f>
        <v>215</v>
      </c>
      <c r="R15" s="204" t="e">
        <f t="shared" si="4"/>
        <v>#DIV/0!</v>
      </c>
      <c r="S15" s="204" t="e">
        <f t="shared" si="5"/>
        <v>#DIV/0!</v>
      </c>
    </row>
    <row r="16" spans="1:20" x14ac:dyDescent="0.25">
      <c r="A16" t="s">
        <v>175</v>
      </c>
      <c r="B16" s="203">
        <v>45078</v>
      </c>
      <c r="C16" s="244">
        <f>+'Sch 4.3'!K12-'Sch 4.3'!K18</f>
        <v>0</v>
      </c>
      <c r="D16" s="244">
        <f>+'Sch 4.3'!K13-'Sch 4.3'!K19</f>
        <v>0</v>
      </c>
      <c r="E16" s="244">
        <f>+'Sch 4.3'!K14-'Sch 4.3'!K20</f>
        <v>0</v>
      </c>
      <c r="F16" s="244">
        <f t="shared" si="0"/>
        <v>0</v>
      </c>
      <c r="G16" s="244"/>
      <c r="H16" s="244">
        <f t="shared" si="6"/>
        <v>0</v>
      </c>
      <c r="I16" s="244">
        <f t="shared" si="7"/>
        <v>0</v>
      </c>
      <c r="J16" s="206">
        <f>+J15+(C16*5%)/7</f>
        <v>0</v>
      </c>
      <c r="K16" s="206">
        <f>+K15+(D15*3.75%)/7</f>
        <v>0</v>
      </c>
      <c r="L16" s="244">
        <f t="shared" si="1"/>
        <v>0</v>
      </c>
      <c r="M16" s="244">
        <f>((SUM($C$10:$C16)*'Sch 4.3'!$D$35)+(SUM($D$10:$D16)*'Sch 4.3'!$D$36))/12</f>
        <v>0</v>
      </c>
      <c r="N16" s="204">
        <f t="shared" si="2"/>
        <v>0</v>
      </c>
      <c r="O16" s="245">
        <f t="shared" si="3"/>
        <v>0</v>
      </c>
      <c r="P16" s="204">
        <v>30</v>
      </c>
      <c r="Q16" s="204">
        <f>365-SUM(P$11:P16)+1</f>
        <v>185</v>
      </c>
      <c r="R16" s="204" t="e">
        <f t="shared" si="4"/>
        <v>#VALUE!</v>
      </c>
      <c r="S16" s="204" t="e">
        <f t="shared" si="5"/>
        <v>#DIV/0!</v>
      </c>
    </row>
    <row r="17" spans="1:20" x14ac:dyDescent="0.25">
      <c r="A17" t="s">
        <v>175</v>
      </c>
      <c r="B17" s="203">
        <v>45108</v>
      </c>
      <c r="C17" s="244">
        <f>+'Sch 4.3'!L12-'Sch 4.3'!L18</f>
        <v>0</v>
      </c>
      <c r="D17" s="244">
        <f>+'Sch 4.3'!L13-'Sch 4.3'!L19</f>
        <v>0</v>
      </c>
      <c r="E17" s="244">
        <f>+'Sch 4.3'!L14-'Sch 4.3'!L20</f>
        <v>0</v>
      </c>
      <c r="F17" s="244">
        <f t="shared" si="0"/>
        <v>0</v>
      </c>
      <c r="G17" s="244"/>
      <c r="H17" s="244">
        <f t="shared" si="6"/>
        <v>0</v>
      </c>
      <c r="I17" s="244">
        <f t="shared" si="7"/>
        <v>0</v>
      </c>
      <c r="J17" s="206">
        <f>+J16+(C17*5%)/6</f>
        <v>0</v>
      </c>
      <c r="K17" s="206">
        <f>+K16+(D16*3.75%)/6</f>
        <v>0</v>
      </c>
      <c r="L17" s="244">
        <f t="shared" si="1"/>
        <v>0</v>
      </c>
      <c r="M17" s="244">
        <f>((SUM($C$10:$C17)*'Sch 4.3'!$D$35)+(SUM($D$10:$D17)*'Sch 4.3'!$D$36))/12</f>
        <v>0</v>
      </c>
      <c r="N17" s="204">
        <f t="shared" si="2"/>
        <v>0</v>
      </c>
      <c r="O17" s="245">
        <f t="shared" si="3"/>
        <v>0</v>
      </c>
      <c r="P17" s="204">
        <v>31</v>
      </c>
      <c r="Q17" s="204">
        <f>365-SUM(P$11:P17)+1</f>
        <v>154</v>
      </c>
      <c r="R17" s="204" t="e">
        <f t="shared" si="4"/>
        <v>#VALUE!</v>
      </c>
      <c r="S17" s="204" t="e">
        <f t="shared" si="5"/>
        <v>#DIV/0!</v>
      </c>
    </row>
    <row r="18" spans="1:20" x14ac:dyDescent="0.25">
      <c r="A18" t="s">
        <v>175</v>
      </c>
      <c r="B18" s="203">
        <v>45139</v>
      </c>
      <c r="C18" s="244">
        <f>+'Sch 4.3'!M12-'Sch 4.3'!M18</f>
        <v>0</v>
      </c>
      <c r="D18" s="244">
        <f>+'Sch 4.3'!M13-'Sch 4.3'!M19</f>
        <v>0</v>
      </c>
      <c r="E18" s="244">
        <f>+'Sch 4.3'!M14-'Sch 4.3'!M20</f>
        <v>0</v>
      </c>
      <c r="F18" s="244">
        <f t="shared" si="0"/>
        <v>0</v>
      </c>
      <c r="G18" s="244"/>
      <c r="H18" s="244">
        <f t="shared" si="6"/>
        <v>0</v>
      </c>
      <c r="I18" s="244">
        <f t="shared" si="7"/>
        <v>0</v>
      </c>
      <c r="J18" s="206">
        <f>+J17+(C18*5%)/5</f>
        <v>0</v>
      </c>
      <c r="K18" s="206">
        <f>+K17+(D17*3.75%)/5</f>
        <v>0</v>
      </c>
      <c r="L18" s="244">
        <f t="shared" si="1"/>
        <v>0</v>
      </c>
      <c r="M18" s="244">
        <f>((SUM($C$10:$C18)*'Sch 4.3'!$D$35)+(SUM($D$10:$D18)*'Sch 4.3'!$D$36))/12</f>
        <v>0</v>
      </c>
      <c r="N18" s="204">
        <f t="shared" si="2"/>
        <v>0</v>
      </c>
      <c r="O18" s="245">
        <f t="shared" si="3"/>
        <v>0</v>
      </c>
      <c r="P18" s="204">
        <v>31</v>
      </c>
      <c r="Q18" s="204">
        <f>365-SUM(P$11:P18)+1</f>
        <v>123</v>
      </c>
      <c r="R18" s="204" t="e">
        <f t="shared" si="4"/>
        <v>#DIV/0!</v>
      </c>
      <c r="S18" s="204" t="e">
        <f t="shared" si="5"/>
        <v>#DIV/0!</v>
      </c>
    </row>
    <row r="19" spans="1:20" x14ac:dyDescent="0.25">
      <c r="A19" t="s">
        <v>175</v>
      </c>
      <c r="B19" s="203">
        <v>45170</v>
      </c>
      <c r="C19" s="244">
        <f>+'Sch 4.3'!N12-'Sch 4.3'!N18</f>
        <v>0</v>
      </c>
      <c r="D19" s="244">
        <f>+'Sch 4.3'!N13-'Sch 4.3'!N19</f>
        <v>0</v>
      </c>
      <c r="E19" s="244">
        <f>+'Sch 4.3'!N14-'Sch 4.3'!N20</f>
        <v>0</v>
      </c>
      <c r="F19" s="244">
        <f t="shared" si="0"/>
        <v>0</v>
      </c>
      <c r="G19" s="246"/>
      <c r="H19" s="244">
        <f t="shared" si="6"/>
        <v>0</v>
      </c>
      <c r="I19" s="244">
        <f t="shared" si="7"/>
        <v>0</v>
      </c>
      <c r="J19" s="206">
        <f>+J18+(C19*5%)/4</f>
        <v>0</v>
      </c>
      <c r="K19" s="206">
        <f>+K18+(D18*3.75%)/4</f>
        <v>0</v>
      </c>
      <c r="L19" s="244">
        <f t="shared" si="1"/>
        <v>0</v>
      </c>
      <c r="M19" s="244">
        <f>((SUM($C$10:$C19)*'Sch 4.3'!$D$35)+(SUM($D$10:$D19)*'Sch 4.3'!$D$36))/12</f>
        <v>0</v>
      </c>
      <c r="N19" s="204">
        <f t="shared" si="2"/>
        <v>0</v>
      </c>
      <c r="O19" s="245">
        <f t="shared" si="3"/>
        <v>0</v>
      </c>
      <c r="P19" s="204">
        <v>30</v>
      </c>
      <c r="Q19" s="204">
        <f>365-SUM(P$11:P19)+1</f>
        <v>93</v>
      </c>
      <c r="R19" s="204">
        <f t="shared" si="4"/>
        <v>0</v>
      </c>
      <c r="S19" s="204" t="e">
        <f t="shared" si="5"/>
        <v>#DIV/0!</v>
      </c>
    </row>
    <row r="20" spans="1:20" x14ac:dyDescent="0.25">
      <c r="A20" t="s">
        <v>175</v>
      </c>
      <c r="B20" s="203">
        <v>45200</v>
      </c>
      <c r="C20" s="244">
        <f>+'Sch 4.3'!O12-'Sch 4.3'!O18</f>
        <v>0</v>
      </c>
      <c r="D20" s="244">
        <f>+'Sch 4.3'!O13-'Sch 4.3'!O19</f>
        <v>0</v>
      </c>
      <c r="E20" s="244">
        <f>+'Sch 4.3'!O14-'Sch 4.3'!O20</f>
        <v>0</v>
      </c>
      <c r="F20" s="244">
        <f t="shared" si="0"/>
        <v>0</v>
      </c>
      <c r="G20" s="246"/>
      <c r="H20" s="244">
        <f t="shared" si="6"/>
        <v>0</v>
      </c>
      <c r="I20" s="244">
        <f t="shared" si="7"/>
        <v>0</v>
      </c>
      <c r="J20" s="206">
        <f>+J19+(C20*5%)/3</f>
        <v>0</v>
      </c>
      <c r="K20" s="206">
        <f>+K19+(D19*3.75%)/3</f>
        <v>0</v>
      </c>
      <c r="L20" s="244">
        <f t="shared" si="1"/>
        <v>0</v>
      </c>
      <c r="M20" s="244">
        <f>((SUM($C$10:$C20)*'Sch 4.3'!$D$35)+(SUM($D$10:$D20)*'Sch 4.3'!$D$36))/12</f>
        <v>0</v>
      </c>
      <c r="N20" s="204">
        <f t="shared" si="2"/>
        <v>0</v>
      </c>
      <c r="O20" s="245">
        <f t="shared" si="3"/>
        <v>0</v>
      </c>
      <c r="P20" s="204">
        <v>31</v>
      </c>
      <c r="Q20" s="204">
        <f>365-SUM(P$11:P20)+1</f>
        <v>62</v>
      </c>
      <c r="R20" s="204">
        <f t="shared" si="4"/>
        <v>0</v>
      </c>
      <c r="S20" s="204" t="e">
        <f t="shared" si="5"/>
        <v>#DIV/0!</v>
      </c>
    </row>
    <row r="21" spans="1:20" x14ac:dyDescent="0.25">
      <c r="A21" t="s">
        <v>175</v>
      </c>
      <c r="B21" s="203">
        <v>45231</v>
      </c>
      <c r="C21" s="244">
        <f>+'Sch 4.3'!P12-'Sch 4.3'!P18</f>
        <v>0</v>
      </c>
      <c r="D21" s="244">
        <f>+'Sch 4.3'!P13-'Sch 4.3'!P19</f>
        <v>0</v>
      </c>
      <c r="E21" s="244">
        <f>+'Sch 4.3'!P14-'Sch 4.3'!P20</f>
        <v>0</v>
      </c>
      <c r="F21" s="244">
        <f t="shared" si="0"/>
        <v>0</v>
      </c>
      <c r="G21" s="246"/>
      <c r="H21" s="244">
        <f t="shared" si="6"/>
        <v>0</v>
      </c>
      <c r="I21" s="244">
        <f t="shared" si="7"/>
        <v>0</v>
      </c>
      <c r="J21" s="206">
        <f>+J20+(C21*5%)/2</f>
        <v>0</v>
      </c>
      <c r="K21" s="206">
        <f>+K20+(D20*3.75%)/2</f>
        <v>0</v>
      </c>
      <c r="L21" s="244">
        <f t="shared" si="1"/>
        <v>0</v>
      </c>
      <c r="M21" s="244">
        <f>((SUM($C$10:$C21)*'Sch 4.3'!$D$35)+(SUM($D$10:$D21)*'Sch 4.3'!$D$36))/12</f>
        <v>0</v>
      </c>
      <c r="N21" s="204">
        <f t="shared" si="2"/>
        <v>0</v>
      </c>
      <c r="O21" s="245">
        <f t="shared" si="3"/>
        <v>0</v>
      </c>
      <c r="P21" s="204">
        <v>30</v>
      </c>
      <c r="Q21" s="204">
        <f>365-SUM(P$11:P21)+1</f>
        <v>32</v>
      </c>
      <c r="R21" s="204">
        <f t="shared" si="4"/>
        <v>0</v>
      </c>
      <c r="S21" s="204" t="e">
        <f t="shared" si="5"/>
        <v>#DIV/0!</v>
      </c>
    </row>
    <row r="22" spans="1:20" x14ac:dyDescent="0.25">
      <c r="A22" t="s">
        <v>175</v>
      </c>
      <c r="B22" s="203">
        <v>45261</v>
      </c>
      <c r="C22" s="247">
        <f>+'Sch 4.3'!Q12-'Sch 4.3'!Q18</f>
        <v>0</v>
      </c>
      <c r="D22" s="247">
        <f>+'Sch 4.3'!Q13-'Sch 4.3'!Q19</f>
        <v>0</v>
      </c>
      <c r="E22" s="247">
        <f>+'Sch 4.3'!Q14-'Sch 4.3'!Q20</f>
        <v>0</v>
      </c>
      <c r="F22" s="247">
        <f>SUM(C22:E22)</f>
        <v>0</v>
      </c>
      <c r="G22" s="246"/>
      <c r="H22" s="247">
        <f>+H21</f>
        <v>0</v>
      </c>
      <c r="I22" s="247">
        <f>+I21</f>
        <v>0</v>
      </c>
      <c r="J22" s="207">
        <f>+J21+(C22*5%)/1</f>
        <v>0</v>
      </c>
      <c r="K22" s="207">
        <f>+K21+(D21*3.75%)/1</f>
        <v>0</v>
      </c>
      <c r="L22" s="247">
        <f t="shared" si="1"/>
        <v>0</v>
      </c>
      <c r="M22" s="247">
        <f>((SUM($C$10:$C22)*'Sch 4.3'!$D$35)+(SUM($D$10:$D22)*'Sch 4.3'!$D$36))/12</f>
        <v>0</v>
      </c>
      <c r="N22" s="251">
        <f t="shared" si="2"/>
        <v>0</v>
      </c>
      <c r="O22" s="252">
        <f t="shared" si="3"/>
        <v>0</v>
      </c>
      <c r="P22" s="204">
        <v>31</v>
      </c>
      <c r="Q22" s="204">
        <f>365-SUM(P$11:P22)+1</f>
        <v>1</v>
      </c>
      <c r="R22" s="251">
        <f t="shared" si="4"/>
        <v>0</v>
      </c>
      <c r="S22" s="226" t="e">
        <f t="shared" si="5"/>
        <v>#DIV/0!</v>
      </c>
    </row>
    <row r="23" spans="1:20" ht="15.75" thickBot="1" x14ac:dyDescent="0.3">
      <c r="B23" s="7" t="s">
        <v>21</v>
      </c>
      <c r="C23" s="248">
        <f>SUM(C10:C22)</f>
        <v>0</v>
      </c>
      <c r="D23" s="248">
        <f t="shared" ref="D23:F23" si="8">SUM(D10:D22)</f>
        <v>0</v>
      </c>
      <c r="E23" s="248">
        <f t="shared" si="8"/>
        <v>0</v>
      </c>
      <c r="F23" s="248">
        <f t="shared" si="8"/>
        <v>0</v>
      </c>
      <c r="G23" s="248"/>
      <c r="H23" s="248">
        <f t="shared" ref="H23" si="9">SUM(H10:H22)</f>
        <v>0</v>
      </c>
      <c r="I23" s="248">
        <f t="shared" ref="I23" si="10">SUM(I10:I22)</f>
        <v>0</v>
      </c>
      <c r="J23" s="248">
        <f t="shared" ref="J23" si="11">SUM(J10:J22)</f>
        <v>0</v>
      </c>
      <c r="K23" s="248">
        <f t="shared" ref="K23" si="12">SUM(K10:K22)</f>
        <v>0</v>
      </c>
      <c r="L23" s="248">
        <f t="shared" ref="L23" si="13">SUM(L10:L22)</f>
        <v>0</v>
      </c>
      <c r="M23" s="248">
        <f t="shared" ref="M23" si="14">SUM(M10:M22)</f>
        <v>0</v>
      </c>
      <c r="N23" s="248">
        <f t="shared" ref="N23" si="15">SUM(N10:N22)</f>
        <v>0</v>
      </c>
      <c r="O23" s="248"/>
      <c r="P23" s="211">
        <f>SUM(P11:P22)</f>
        <v>365</v>
      </c>
      <c r="Q23" s="204"/>
      <c r="R23" s="209" t="e">
        <f>SUM(R11:R22)</f>
        <v>#DIV/0!</v>
      </c>
      <c r="S23" s="232"/>
    </row>
    <row r="24" spans="1:20" ht="15.75" thickTop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10"/>
      <c r="O24" s="210"/>
      <c r="P24" s="210"/>
      <c r="Q24" s="204"/>
      <c r="R24" s="210"/>
      <c r="S24" s="232"/>
    </row>
    <row r="25" spans="1:20" x14ac:dyDescent="0.25">
      <c r="C25" s="224" t="s">
        <v>158</v>
      </c>
      <c r="D25" s="224" t="s">
        <v>158</v>
      </c>
      <c r="E25" s="224" t="s">
        <v>158</v>
      </c>
      <c r="F25" s="224" t="s">
        <v>158</v>
      </c>
      <c r="M25" s="224" t="s">
        <v>158</v>
      </c>
      <c r="R25" t="s">
        <v>176</v>
      </c>
      <c r="S25" s="14">
        <v>0.24925</v>
      </c>
    </row>
    <row r="26" spans="1:20" ht="15.75" thickBot="1" x14ac:dyDescent="0.3"/>
    <row r="27" spans="1:20" ht="15.75" thickBot="1" x14ac:dyDescent="0.3">
      <c r="R27" s="8" t="s">
        <v>177</v>
      </c>
      <c r="S27" s="212" t="e">
        <f>S22*S25</f>
        <v>#DIV/0!</v>
      </c>
      <c r="T27" t="s">
        <v>241</v>
      </c>
    </row>
    <row r="28" spans="1:20" x14ac:dyDescent="0.25">
      <c r="F28" s="214"/>
      <c r="G28" s="214"/>
      <c r="S28" s="130"/>
    </row>
    <row r="29" spans="1:20" ht="60" x14ac:dyDescent="0.25">
      <c r="M29" s="202" t="s">
        <v>57</v>
      </c>
      <c r="N29" s="213" t="s">
        <v>242</v>
      </c>
      <c r="O29" s="213" t="s">
        <v>190</v>
      </c>
      <c r="P29" s="213" t="s">
        <v>182</v>
      </c>
      <c r="Q29" s="213" t="s">
        <v>183</v>
      </c>
      <c r="R29" s="213" t="s">
        <v>243</v>
      </c>
      <c r="S29" s="213" t="s">
        <v>194</v>
      </c>
    </row>
    <row r="30" spans="1:20" x14ac:dyDescent="0.25">
      <c r="M30" s="203">
        <v>44896</v>
      </c>
      <c r="N30" s="204">
        <f>+'Sch 4.3'!E27</f>
        <v>0</v>
      </c>
      <c r="O30" s="205">
        <f>N30</f>
        <v>0</v>
      </c>
      <c r="P30" s="204" t="s">
        <v>244</v>
      </c>
      <c r="Q30" s="204" t="s">
        <v>244</v>
      </c>
      <c r="R30" s="204" t="s">
        <v>244</v>
      </c>
      <c r="S30" s="204">
        <f>+O30</f>
        <v>0</v>
      </c>
    </row>
    <row r="31" spans="1:20" x14ac:dyDescent="0.25">
      <c r="M31" s="234"/>
      <c r="N31" s="253"/>
      <c r="O31" s="253"/>
      <c r="P31" s="253"/>
      <c r="Q31" s="253"/>
      <c r="R31" s="253"/>
      <c r="S31" s="253"/>
    </row>
    <row r="32" spans="1:20" x14ac:dyDescent="0.25">
      <c r="L32" t="s">
        <v>175</v>
      </c>
      <c r="M32" s="203">
        <v>44927</v>
      </c>
      <c r="N32" s="204">
        <f>+'Sch 4.3'!F$27</f>
        <v>0</v>
      </c>
      <c r="O32" s="205">
        <f>N32+O30</f>
        <v>0</v>
      </c>
      <c r="P32" s="204">
        <f>+M32-M30</f>
        <v>31</v>
      </c>
      <c r="Q32" s="204">
        <f>365-SUM(P32:P32)+1</f>
        <v>335</v>
      </c>
      <c r="R32" s="204" t="e">
        <f>+N32*Q32/$P$24</f>
        <v>#DIV/0!</v>
      </c>
      <c r="S32" s="204" t="e">
        <f>S30+R32</f>
        <v>#DIV/0!</v>
      </c>
    </row>
    <row r="33" spans="12:20" x14ac:dyDescent="0.25">
      <c r="L33" t="s">
        <v>175</v>
      </c>
      <c r="M33" s="203">
        <v>44958</v>
      </c>
      <c r="N33" s="204">
        <f>+'Sch 4.3'!G$27</f>
        <v>0</v>
      </c>
      <c r="O33" s="205">
        <f>N33+O32</f>
        <v>0</v>
      </c>
      <c r="P33" s="204">
        <v>28</v>
      </c>
      <c r="Q33" s="204">
        <f>365-SUM(P$32:P33)+1</f>
        <v>307</v>
      </c>
      <c r="R33" s="204" t="e">
        <f t="shared" ref="R33:R43" si="16">+N33*Q33/$P$24</f>
        <v>#DIV/0!</v>
      </c>
      <c r="S33" s="204" t="e">
        <f t="shared" ref="S33:S43" si="17">+S32+R33</f>
        <v>#DIV/0!</v>
      </c>
    </row>
    <row r="34" spans="12:20" ht="14.45" customHeight="1" x14ac:dyDescent="0.25">
      <c r="L34" t="s">
        <v>175</v>
      </c>
      <c r="M34" s="203">
        <v>44986</v>
      </c>
      <c r="N34" s="204">
        <f>+'Sch 4.3'!H$27</f>
        <v>0</v>
      </c>
      <c r="O34" s="205">
        <f t="shared" ref="O34:O43" si="18">N34+O33</f>
        <v>0</v>
      </c>
      <c r="P34" s="204">
        <v>31</v>
      </c>
      <c r="Q34" s="204">
        <f>365-SUM(P$32:P34)+1</f>
        <v>276</v>
      </c>
      <c r="R34" s="204" t="e">
        <f t="shared" si="16"/>
        <v>#DIV/0!</v>
      </c>
      <c r="S34" s="204" t="e">
        <f t="shared" si="17"/>
        <v>#DIV/0!</v>
      </c>
    </row>
    <row r="35" spans="12:20" x14ac:dyDescent="0.25">
      <c r="L35" t="s">
        <v>175</v>
      </c>
      <c r="M35" s="203">
        <v>45017</v>
      </c>
      <c r="N35" s="204">
        <f>+'Sch 4.3'!I$27</f>
        <v>0</v>
      </c>
      <c r="O35" s="205">
        <f t="shared" si="18"/>
        <v>0</v>
      </c>
      <c r="P35" s="204">
        <v>30</v>
      </c>
      <c r="Q35" s="204">
        <f>365-SUM(P$32:P35)+1</f>
        <v>246</v>
      </c>
      <c r="R35" s="204" t="e">
        <f t="shared" si="16"/>
        <v>#DIV/0!</v>
      </c>
      <c r="S35" s="204" t="e">
        <f t="shared" si="17"/>
        <v>#DIV/0!</v>
      </c>
    </row>
    <row r="36" spans="12:20" ht="14.45" customHeight="1" x14ac:dyDescent="0.25">
      <c r="L36" t="s">
        <v>175</v>
      </c>
      <c r="M36" s="203">
        <v>45047</v>
      </c>
      <c r="N36" s="204">
        <f>+'Sch 4.3'!J$27</f>
        <v>0</v>
      </c>
      <c r="O36" s="205">
        <f t="shared" si="18"/>
        <v>0</v>
      </c>
      <c r="P36" s="204">
        <v>31</v>
      </c>
      <c r="Q36" s="204">
        <f>365-SUM(P$32:P36)+1</f>
        <v>215</v>
      </c>
      <c r="R36" s="204" t="e">
        <f t="shared" si="16"/>
        <v>#DIV/0!</v>
      </c>
      <c r="S36" s="204" t="e">
        <f t="shared" si="17"/>
        <v>#DIV/0!</v>
      </c>
    </row>
    <row r="37" spans="12:20" x14ac:dyDescent="0.25">
      <c r="L37" t="s">
        <v>175</v>
      </c>
      <c r="M37" s="203">
        <v>45078</v>
      </c>
      <c r="N37" s="204">
        <f>+'Sch 4.3'!K$27</f>
        <v>0</v>
      </c>
      <c r="O37" s="205">
        <f t="shared" si="18"/>
        <v>0</v>
      </c>
      <c r="P37" s="204">
        <v>30</v>
      </c>
      <c r="Q37" s="204">
        <f>365-SUM(P$32:P37)+1</f>
        <v>185</v>
      </c>
      <c r="R37" s="204" t="e">
        <f t="shared" si="16"/>
        <v>#DIV/0!</v>
      </c>
      <c r="S37" s="204" t="e">
        <f t="shared" si="17"/>
        <v>#DIV/0!</v>
      </c>
    </row>
    <row r="38" spans="12:20" x14ac:dyDescent="0.25">
      <c r="L38" t="s">
        <v>175</v>
      </c>
      <c r="M38" s="203">
        <v>45108</v>
      </c>
      <c r="N38" s="204">
        <f>+'Sch 4.3'!L$27</f>
        <v>0</v>
      </c>
      <c r="O38" s="205">
        <f t="shared" si="18"/>
        <v>0</v>
      </c>
      <c r="P38" s="204">
        <v>31</v>
      </c>
      <c r="Q38" s="204">
        <f>365-SUM(P$32:P38)+1</f>
        <v>154</v>
      </c>
      <c r="R38" s="204" t="e">
        <f t="shared" si="16"/>
        <v>#DIV/0!</v>
      </c>
      <c r="S38" s="204" t="e">
        <f t="shared" si="17"/>
        <v>#DIV/0!</v>
      </c>
    </row>
    <row r="39" spans="12:20" x14ac:dyDescent="0.25">
      <c r="L39" t="s">
        <v>175</v>
      </c>
      <c r="M39" s="203">
        <v>45139</v>
      </c>
      <c r="N39" s="204">
        <f>+'Sch 4.3'!M$27</f>
        <v>0</v>
      </c>
      <c r="O39" s="205">
        <f t="shared" si="18"/>
        <v>0</v>
      </c>
      <c r="P39" s="204">
        <v>31</v>
      </c>
      <c r="Q39" s="204">
        <f>365-SUM(P$32:P39)+1</f>
        <v>123</v>
      </c>
      <c r="R39" s="204" t="e">
        <f t="shared" si="16"/>
        <v>#DIV/0!</v>
      </c>
      <c r="S39" s="204" t="e">
        <f t="shared" si="17"/>
        <v>#DIV/0!</v>
      </c>
    </row>
    <row r="40" spans="12:20" x14ac:dyDescent="0.25">
      <c r="L40" t="s">
        <v>175</v>
      </c>
      <c r="M40" s="203">
        <v>45170</v>
      </c>
      <c r="N40" s="204">
        <f>+'Sch 4.3'!N$27</f>
        <v>0</v>
      </c>
      <c r="O40" s="205">
        <f t="shared" si="18"/>
        <v>0</v>
      </c>
      <c r="P40" s="204">
        <v>30</v>
      </c>
      <c r="Q40" s="204">
        <f>365-SUM(P$32:P40)+1</f>
        <v>93</v>
      </c>
      <c r="R40" s="204" t="e">
        <f t="shared" si="16"/>
        <v>#DIV/0!</v>
      </c>
      <c r="S40" s="204" t="e">
        <f t="shared" si="17"/>
        <v>#DIV/0!</v>
      </c>
    </row>
    <row r="41" spans="12:20" x14ac:dyDescent="0.25">
      <c r="L41" t="s">
        <v>175</v>
      </c>
      <c r="M41" s="203">
        <v>45200</v>
      </c>
      <c r="N41" s="204">
        <f>+'Sch 4.3'!O$27</f>
        <v>0</v>
      </c>
      <c r="O41" s="205">
        <f t="shared" si="18"/>
        <v>0</v>
      </c>
      <c r="P41" s="204">
        <v>31</v>
      </c>
      <c r="Q41" s="204">
        <f>365-SUM(P$32:P41)+1</f>
        <v>62</v>
      </c>
      <c r="R41" s="204" t="e">
        <f t="shared" si="16"/>
        <v>#DIV/0!</v>
      </c>
      <c r="S41" s="204" t="e">
        <f t="shared" si="17"/>
        <v>#DIV/0!</v>
      </c>
    </row>
    <row r="42" spans="12:20" x14ac:dyDescent="0.25">
      <c r="L42" t="s">
        <v>175</v>
      </c>
      <c r="M42" s="203">
        <v>45231</v>
      </c>
      <c r="N42" s="204">
        <f>+'Sch 4.3'!P$27</f>
        <v>0</v>
      </c>
      <c r="O42" s="205">
        <f t="shared" si="18"/>
        <v>0</v>
      </c>
      <c r="P42" s="204">
        <v>30</v>
      </c>
      <c r="Q42" s="204">
        <f>365-SUM(P$32:P42)+1</f>
        <v>32</v>
      </c>
      <c r="R42" s="204" t="e">
        <f t="shared" si="16"/>
        <v>#DIV/0!</v>
      </c>
      <c r="S42" s="204" t="e">
        <f t="shared" si="17"/>
        <v>#DIV/0!</v>
      </c>
    </row>
    <row r="43" spans="12:20" x14ac:dyDescent="0.25">
      <c r="L43" t="s">
        <v>175</v>
      </c>
      <c r="M43" s="203">
        <v>45261</v>
      </c>
      <c r="N43" s="204">
        <f>+'Sch 4.3'!Q$27</f>
        <v>0</v>
      </c>
      <c r="O43" s="205">
        <f t="shared" si="18"/>
        <v>0</v>
      </c>
      <c r="P43" s="204">
        <v>31</v>
      </c>
      <c r="Q43" s="204">
        <f>365-SUM(P$32:P43)+1</f>
        <v>1</v>
      </c>
      <c r="R43" s="204" t="e">
        <f t="shared" si="16"/>
        <v>#DIV/0!</v>
      </c>
      <c r="S43" s="226" t="e">
        <f t="shared" si="17"/>
        <v>#DIV/0!</v>
      </c>
    </row>
    <row r="44" spans="12:20" ht="15.75" thickBot="1" x14ac:dyDescent="0.3">
      <c r="M44" s="7" t="s">
        <v>21</v>
      </c>
      <c r="N44" s="209">
        <f>SUM(N30:N43)</f>
        <v>0</v>
      </c>
      <c r="O44" s="210"/>
      <c r="P44" s="211">
        <f>SUM(P32:P43)</f>
        <v>365</v>
      </c>
      <c r="Q44" s="204"/>
      <c r="R44" s="209" t="e">
        <f>SUM(R32:R43)</f>
        <v>#DIV/0!</v>
      </c>
      <c r="S44" s="235"/>
    </row>
    <row r="45" spans="12:20" ht="15.75" thickTop="1" x14ac:dyDescent="0.25">
      <c r="L45" s="7"/>
      <c r="M45" s="7"/>
      <c r="N45" s="210"/>
      <c r="O45" s="210"/>
      <c r="P45" s="210"/>
      <c r="Q45" s="204"/>
      <c r="R45" s="210"/>
      <c r="S45" s="235"/>
    </row>
    <row r="46" spans="12:20" x14ac:dyDescent="0.25">
      <c r="M46" s="224"/>
      <c r="N46" s="224" t="s">
        <v>154</v>
      </c>
      <c r="R46" t="s">
        <v>176</v>
      </c>
      <c r="S46" s="14">
        <v>0.24925</v>
      </c>
    </row>
    <row r="47" spans="12:20" ht="15.75" thickBot="1" x14ac:dyDescent="0.3"/>
    <row r="48" spans="12:20" ht="15.75" thickBot="1" x14ac:dyDescent="0.3">
      <c r="R48" s="8" t="s">
        <v>177</v>
      </c>
      <c r="S48" s="212" t="e">
        <f>S43*S46</f>
        <v>#DIV/0!</v>
      </c>
      <c r="T48" t="s">
        <v>25</v>
      </c>
    </row>
    <row r="50" spans="18:19" ht="15.75" thickBot="1" x14ac:dyDescent="0.3"/>
    <row r="51" spans="18:19" ht="15.75" thickBot="1" x14ac:dyDescent="0.3">
      <c r="R51" s="254" t="s">
        <v>245</v>
      </c>
      <c r="S51" s="255" t="e">
        <f>S27+S48</f>
        <v>#DIV/0!</v>
      </c>
    </row>
  </sheetData>
  <pageMargins left="0.7" right="0.7" top="0.75" bottom="0.75" header="0.3" footer="0.3"/>
  <pageSetup scale="41" orientation="landscape" r:id="rId1"/>
  <headerFooter>
    <oddHeader>&amp;RCase No 2023-00209
STAFF-DR-01-002c
Page &amp;P of &amp;N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L33"/>
  <sheetViews>
    <sheetView zoomScaleNormal="100" workbookViewId="0">
      <selection activeCell="H19" sqref="H19"/>
    </sheetView>
  </sheetViews>
  <sheetFormatPr defaultRowHeight="15" x14ac:dyDescent="0.25"/>
  <cols>
    <col min="1" max="1" width="8.28515625" bestFit="1" customWidth="1"/>
    <col min="2" max="2" width="22.140625" customWidth="1"/>
    <col min="3" max="3" width="10.7109375" customWidth="1"/>
    <col min="4" max="4" width="13.5703125" customWidth="1"/>
    <col min="5" max="6" width="17.42578125" customWidth="1"/>
    <col min="7" max="8" width="16.7109375" customWidth="1"/>
    <col min="9" max="9" width="17.7109375" customWidth="1"/>
    <col min="10" max="10" width="4.28515625" customWidth="1"/>
  </cols>
  <sheetData>
    <row r="1" spans="1:12" x14ac:dyDescent="0.25">
      <c r="A1" s="91"/>
      <c r="G1" s="91"/>
      <c r="H1" s="96"/>
      <c r="I1" s="91"/>
    </row>
    <row r="2" spans="1:12" x14ac:dyDescent="0.25">
      <c r="A2" s="110" t="str">
        <f>'Sch 1.0'!A2:J2</f>
        <v>Duke Energy Kentucky</v>
      </c>
      <c r="B2" s="110"/>
      <c r="C2" s="110"/>
      <c r="D2" s="110"/>
      <c r="E2" s="110"/>
      <c r="F2" s="110"/>
      <c r="G2" s="110"/>
      <c r="H2" s="110"/>
      <c r="I2" s="110"/>
      <c r="K2" s="110"/>
      <c r="L2" s="110"/>
    </row>
    <row r="3" spans="1:12" x14ac:dyDescent="0.25">
      <c r="A3" s="110" t="str">
        <f>'Sch 1.0'!A3:J3</f>
        <v>Pipeline Modernization Mechanism ("Rider PMM")</v>
      </c>
      <c r="B3" s="110"/>
      <c r="C3" s="110"/>
      <c r="D3" s="110"/>
      <c r="E3" s="110"/>
      <c r="F3" s="110"/>
      <c r="G3" s="110"/>
      <c r="H3" s="110"/>
      <c r="I3" s="110"/>
      <c r="K3" s="110"/>
      <c r="L3" s="110"/>
    </row>
    <row r="4" spans="1:12" x14ac:dyDescent="0.25">
      <c r="A4" s="110" t="s">
        <v>250</v>
      </c>
      <c r="B4" s="110"/>
      <c r="C4" s="110"/>
      <c r="D4" s="110"/>
      <c r="E4" s="110"/>
      <c r="F4" s="110"/>
      <c r="G4" s="110"/>
      <c r="H4" s="110"/>
      <c r="I4" s="110"/>
      <c r="K4" s="110"/>
      <c r="L4" s="110"/>
    </row>
    <row r="5" spans="1:12" x14ac:dyDescent="0.25">
      <c r="A5" s="105"/>
      <c r="B5" s="105"/>
      <c r="C5" s="105"/>
      <c r="D5" s="105"/>
      <c r="E5" s="105"/>
      <c r="F5" s="105"/>
      <c r="G5" s="105"/>
      <c r="H5" s="105"/>
      <c r="I5" s="105"/>
      <c r="K5" s="105"/>
      <c r="L5" s="105"/>
    </row>
    <row r="6" spans="1:12" x14ac:dyDescent="0.25">
      <c r="A6" s="91"/>
      <c r="G6" s="91"/>
      <c r="H6" s="84"/>
      <c r="I6" s="91"/>
    </row>
    <row r="7" spans="1:12" x14ac:dyDescent="0.25">
      <c r="A7" s="239" t="s">
        <v>163</v>
      </c>
      <c r="B7" s="240"/>
      <c r="C7" s="240"/>
      <c r="G7" s="91"/>
      <c r="H7" s="96"/>
      <c r="I7" s="91"/>
    </row>
    <row r="8" spans="1:12" x14ac:dyDescent="0.25">
      <c r="A8" s="91"/>
      <c r="G8" s="91"/>
      <c r="H8" s="96"/>
      <c r="I8" s="91"/>
    </row>
    <row r="9" spans="1:12" x14ac:dyDescent="0.25">
      <c r="A9" s="104" t="s">
        <v>136</v>
      </c>
      <c r="B9" s="90"/>
      <c r="C9" s="90" t="s">
        <v>58</v>
      </c>
      <c r="D9" s="264" t="s">
        <v>147</v>
      </c>
      <c r="E9" s="264"/>
      <c r="F9" s="264" t="s">
        <v>54</v>
      </c>
      <c r="G9" s="264"/>
      <c r="H9" s="264" t="s">
        <v>25</v>
      </c>
      <c r="I9" s="264"/>
    </row>
    <row r="10" spans="1:12" x14ac:dyDescent="0.25">
      <c r="A10" s="9" t="s">
        <v>137</v>
      </c>
      <c r="B10" s="9" t="s">
        <v>57</v>
      </c>
      <c r="C10" s="9" t="s">
        <v>59</v>
      </c>
      <c r="D10" s="9" t="s">
        <v>83</v>
      </c>
      <c r="E10" s="9" t="s">
        <v>87</v>
      </c>
      <c r="F10" s="9" t="s">
        <v>83</v>
      </c>
      <c r="G10" s="9" t="s">
        <v>87</v>
      </c>
      <c r="H10" s="9" t="s">
        <v>83</v>
      </c>
      <c r="I10" s="9" t="s">
        <v>87</v>
      </c>
    </row>
    <row r="11" spans="1:12" x14ac:dyDescent="0.25">
      <c r="B11" s="92" t="s">
        <v>63</v>
      </c>
      <c r="C11" s="92" t="s">
        <v>64</v>
      </c>
      <c r="D11" s="92" t="s">
        <v>66</v>
      </c>
      <c r="E11" s="92" t="s">
        <v>84</v>
      </c>
      <c r="F11" s="97" t="s">
        <v>109</v>
      </c>
      <c r="G11" s="97" t="s">
        <v>110</v>
      </c>
      <c r="H11" s="97" t="s">
        <v>111</v>
      </c>
      <c r="I11" s="97" t="s">
        <v>112</v>
      </c>
    </row>
    <row r="12" spans="1:12" x14ac:dyDescent="0.25">
      <c r="G12" s="42"/>
      <c r="H12" s="42"/>
    </row>
    <row r="13" spans="1:12" x14ac:dyDescent="0.25">
      <c r="F13" s="37"/>
      <c r="G13" s="42"/>
      <c r="H13" s="42"/>
    </row>
    <row r="14" spans="1:12" x14ac:dyDescent="0.25">
      <c r="A14" s="91">
        <v>1</v>
      </c>
      <c r="B14" s="161" t="s">
        <v>162</v>
      </c>
      <c r="C14" s="150">
        <v>13</v>
      </c>
      <c r="D14" s="166">
        <f>+'Sch 4.3'!E15</f>
        <v>0</v>
      </c>
      <c r="E14" s="98">
        <f>D14</f>
        <v>0</v>
      </c>
      <c r="F14" s="166">
        <f>+'Sch 4.3'!$E$21</f>
        <v>0</v>
      </c>
      <c r="G14" s="134">
        <v>0</v>
      </c>
      <c r="H14" s="166">
        <f>+'Sch 4.3'!E27</f>
        <v>0</v>
      </c>
      <c r="I14" s="98">
        <f>H14</f>
        <v>0</v>
      </c>
    </row>
    <row r="15" spans="1:12" x14ac:dyDescent="0.25">
      <c r="A15" s="91">
        <f>A14+1</f>
        <v>2</v>
      </c>
      <c r="B15" s="162">
        <v>44927</v>
      </c>
      <c r="C15" s="150">
        <v>12</v>
      </c>
      <c r="D15" s="241">
        <f>+'Sch 4.3'!F15</f>
        <v>0</v>
      </c>
      <c r="E15" s="124">
        <f>E14+D15</f>
        <v>0</v>
      </c>
      <c r="F15" s="241">
        <f>+'Sch 4.3'!$F$21</f>
        <v>0</v>
      </c>
      <c r="G15" s="124">
        <f>G14+F15</f>
        <v>0</v>
      </c>
      <c r="H15" s="241">
        <f>+'Sch 4.3'!$F$27</f>
        <v>0</v>
      </c>
      <c r="I15" s="124">
        <f>I14+H15</f>
        <v>0</v>
      </c>
      <c r="J15" s="20"/>
    </row>
    <row r="16" spans="1:12" ht="17.25" x14ac:dyDescent="0.4">
      <c r="A16" s="91">
        <f>A15+1</f>
        <v>3</v>
      </c>
      <c r="B16" s="162">
        <v>44958</v>
      </c>
      <c r="C16" s="150">
        <f>C15-1</f>
        <v>11</v>
      </c>
      <c r="D16" s="241">
        <f>+'Sch 4.3'!G$15</f>
        <v>0</v>
      </c>
      <c r="E16" s="124">
        <f t="shared" ref="E16:E26" si="0">E15+D16</f>
        <v>0</v>
      </c>
      <c r="F16" s="241">
        <f>+'Sch 4.3'!$G$21</f>
        <v>0</v>
      </c>
      <c r="G16" s="124">
        <f t="shared" ref="G16:G26" si="1">G15+F16</f>
        <v>0</v>
      </c>
      <c r="H16" s="241">
        <f>+'Sch 4.3'!$G$27</f>
        <v>0</v>
      </c>
      <c r="I16" s="124">
        <f t="shared" ref="I16:I26" si="2">I15+H16</f>
        <v>0</v>
      </c>
      <c r="J16" s="21"/>
    </row>
    <row r="17" spans="1:10" x14ac:dyDescent="0.25">
      <c r="A17" s="91">
        <f t="shared" ref="A17:A26" si="3">A16+1</f>
        <v>4</v>
      </c>
      <c r="B17" s="162">
        <v>44986</v>
      </c>
      <c r="C17" s="150">
        <f t="shared" ref="C17:C26" si="4">C16-1</f>
        <v>10</v>
      </c>
      <c r="D17" s="241">
        <f>+'Sch 4.3'!H$15</f>
        <v>0</v>
      </c>
      <c r="E17" s="124">
        <f t="shared" si="0"/>
        <v>0</v>
      </c>
      <c r="F17" s="241">
        <f>+'Sch 4.3'!$H$21</f>
        <v>0</v>
      </c>
      <c r="G17" s="124">
        <f t="shared" si="1"/>
        <v>0</v>
      </c>
      <c r="H17" s="241">
        <f>+'Sch 4.3'!$H$27</f>
        <v>0</v>
      </c>
      <c r="I17" s="124">
        <f t="shared" si="2"/>
        <v>0</v>
      </c>
      <c r="J17" s="20"/>
    </row>
    <row r="18" spans="1:10" x14ac:dyDescent="0.25">
      <c r="A18" s="91">
        <f t="shared" si="3"/>
        <v>5</v>
      </c>
      <c r="B18" s="162">
        <v>45017</v>
      </c>
      <c r="C18" s="150">
        <f t="shared" si="4"/>
        <v>9</v>
      </c>
      <c r="D18" s="241">
        <f>+'Sch 4.3'!I$15</f>
        <v>0</v>
      </c>
      <c r="E18" s="124">
        <f t="shared" si="0"/>
        <v>0</v>
      </c>
      <c r="F18" s="241">
        <f>+'Sch 4.3'!$I$21</f>
        <v>0</v>
      </c>
      <c r="G18" s="124">
        <f t="shared" si="1"/>
        <v>0</v>
      </c>
      <c r="H18" s="241">
        <f>+'Sch 4.3'!$I$27</f>
        <v>0</v>
      </c>
      <c r="I18" s="124">
        <f t="shared" si="2"/>
        <v>0</v>
      </c>
      <c r="J18" s="16"/>
    </row>
    <row r="19" spans="1:10" x14ac:dyDescent="0.25">
      <c r="A19" s="91">
        <f t="shared" si="3"/>
        <v>6</v>
      </c>
      <c r="B19" s="162">
        <v>45047</v>
      </c>
      <c r="C19" s="150">
        <f t="shared" si="4"/>
        <v>8</v>
      </c>
      <c r="D19" s="241">
        <f>+'Sch 4.3'!J$15</f>
        <v>0</v>
      </c>
      <c r="E19" s="124">
        <f t="shared" si="0"/>
        <v>0</v>
      </c>
      <c r="F19" s="241">
        <f>+'Sch 4.3'!$J$21</f>
        <v>0</v>
      </c>
      <c r="G19" s="124">
        <f t="shared" si="1"/>
        <v>0</v>
      </c>
      <c r="H19" s="241">
        <f>+'Sch 4.3'!$J$27</f>
        <v>0</v>
      </c>
      <c r="I19" s="124">
        <f t="shared" si="2"/>
        <v>0</v>
      </c>
    </row>
    <row r="20" spans="1:10" x14ac:dyDescent="0.25">
      <c r="A20" s="91">
        <f t="shared" si="3"/>
        <v>7</v>
      </c>
      <c r="B20" s="162">
        <v>45078</v>
      </c>
      <c r="C20" s="150">
        <f t="shared" si="4"/>
        <v>7</v>
      </c>
      <c r="D20" s="241">
        <f>+'Sch 4.3'!K$15</f>
        <v>0</v>
      </c>
      <c r="E20" s="124">
        <f t="shared" si="0"/>
        <v>0</v>
      </c>
      <c r="F20" s="241">
        <f>+'Sch 4.3'!$K$21</f>
        <v>0</v>
      </c>
      <c r="G20" s="124">
        <f t="shared" si="1"/>
        <v>0</v>
      </c>
      <c r="H20" s="241">
        <f>+'Sch 4.3'!$K$27</f>
        <v>0</v>
      </c>
      <c r="I20" s="124">
        <f t="shared" si="2"/>
        <v>0</v>
      </c>
      <c r="J20" s="1"/>
    </row>
    <row r="21" spans="1:10" ht="17.25" x14ac:dyDescent="0.4">
      <c r="A21" s="91">
        <f t="shared" si="3"/>
        <v>8</v>
      </c>
      <c r="B21" s="162">
        <v>45108</v>
      </c>
      <c r="C21" s="150">
        <f t="shared" si="4"/>
        <v>6</v>
      </c>
      <c r="D21" s="241">
        <f>+'Sch 4.3'!L$15</f>
        <v>0</v>
      </c>
      <c r="E21" s="124">
        <f t="shared" si="0"/>
        <v>0</v>
      </c>
      <c r="F21" s="241">
        <f>+'Sch 4.3'!$L$21</f>
        <v>0</v>
      </c>
      <c r="G21" s="124">
        <f t="shared" si="1"/>
        <v>0</v>
      </c>
      <c r="H21" s="241">
        <f>+'Sch 4.3'!$L$27</f>
        <v>0</v>
      </c>
      <c r="I21" s="124">
        <f t="shared" si="2"/>
        <v>0</v>
      </c>
      <c r="J21" s="21"/>
    </row>
    <row r="22" spans="1:10" x14ac:dyDescent="0.25">
      <c r="A22" s="91">
        <f t="shared" si="3"/>
        <v>9</v>
      </c>
      <c r="B22" s="162">
        <v>45139</v>
      </c>
      <c r="C22" s="150">
        <f t="shared" si="4"/>
        <v>5</v>
      </c>
      <c r="D22" s="241">
        <f>+'Sch 4.3'!M$15</f>
        <v>0</v>
      </c>
      <c r="E22" s="124">
        <f t="shared" si="0"/>
        <v>0</v>
      </c>
      <c r="F22" s="241">
        <f>+'Sch 4.3'!$M$21</f>
        <v>0</v>
      </c>
      <c r="G22" s="124">
        <f t="shared" si="1"/>
        <v>0</v>
      </c>
      <c r="H22" s="241">
        <f>+'Sch 4.3'!$M$27</f>
        <v>0</v>
      </c>
      <c r="I22" s="124">
        <f t="shared" si="2"/>
        <v>0</v>
      </c>
      <c r="J22" s="20"/>
    </row>
    <row r="23" spans="1:10" x14ac:dyDescent="0.25">
      <c r="A23" s="91">
        <f t="shared" si="3"/>
        <v>10</v>
      </c>
      <c r="B23" s="162">
        <v>45170</v>
      </c>
      <c r="C23" s="150">
        <f t="shared" si="4"/>
        <v>4</v>
      </c>
      <c r="D23" s="241">
        <f>+'Sch 4.3'!N$15</f>
        <v>0</v>
      </c>
      <c r="E23" s="124">
        <f t="shared" si="0"/>
        <v>0</v>
      </c>
      <c r="F23" s="241">
        <f>+'Sch 4.3'!$N$21</f>
        <v>0</v>
      </c>
      <c r="G23" s="124">
        <f t="shared" si="1"/>
        <v>0</v>
      </c>
      <c r="H23" s="241">
        <f>+'Sch 4.3'!$N$27</f>
        <v>0</v>
      </c>
      <c r="I23" s="124">
        <f t="shared" si="2"/>
        <v>0</v>
      </c>
      <c r="J23" s="23"/>
    </row>
    <row r="24" spans="1:10" x14ac:dyDescent="0.25">
      <c r="A24" s="91">
        <f t="shared" si="3"/>
        <v>11</v>
      </c>
      <c r="B24" s="162">
        <v>45200</v>
      </c>
      <c r="C24" s="150">
        <f t="shared" si="4"/>
        <v>3</v>
      </c>
      <c r="D24" s="241">
        <f>+'Sch 4.3'!O$15</f>
        <v>0</v>
      </c>
      <c r="E24" s="124">
        <f t="shared" si="0"/>
        <v>0</v>
      </c>
      <c r="F24" s="241">
        <f>+'Sch 4.3'!$O$21</f>
        <v>0</v>
      </c>
      <c r="G24" s="124">
        <f t="shared" si="1"/>
        <v>0</v>
      </c>
      <c r="H24" s="241">
        <f>+'Sch 4.3'!$O$27</f>
        <v>0</v>
      </c>
      <c r="I24" s="124">
        <f t="shared" si="2"/>
        <v>0</v>
      </c>
      <c r="J24" s="24"/>
    </row>
    <row r="25" spans="1:10" x14ac:dyDescent="0.25">
      <c r="A25" s="91">
        <f t="shared" si="3"/>
        <v>12</v>
      </c>
      <c r="B25" s="162">
        <v>45231</v>
      </c>
      <c r="C25" s="150">
        <f t="shared" si="4"/>
        <v>2</v>
      </c>
      <c r="D25" s="241">
        <f>+'Sch 4.3'!P$15</f>
        <v>0</v>
      </c>
      <c r="E25" s="124">
        <f t="shared" si="0"/>
        <v>0</v>
      </c>
      <c r="F25" s="241">
        <f>+'Sch 4.3'!$P$21</f>
        <v>0</v>
      </c>
      <c r="G25" s="124">
        <f t="shared" si="1"/>
        <v>0</v>
      </c>
      <c r="H25" s="241">
        <f>+'Sch 4.3'!$P$27</f>
        <v>0</v>
      </c>
      <c r="I25" s="124">
        <f t="shared" si="2"/>
        <v>0</v>
      </c>
      <c r="J25" s="23"/>
    </row>
    <row r="26" spans="1:10" x14ac:dyDescent="0.25">
      <c r="A26" s="91">
        <f t="shared" si="3"/>
        <v>13</v>
      </c>
      <c r="B26" s="162">
        <v>45261</v>
      </c>
      <c r="C26" s="150">
        <f t="shared" si="4"/>
        <v>1</v>
      </c>
      <c r="D26" s="241">
        <f>+'Sch 4.3'!Q$15</f>
        <v>0</v>
      </c>
      <c r="E26" s="125">
        <f t="shared" si="0"/>
        <v>0</v>
      </c>
      <c r="F26" s="241">
        <f>+'Sch 4.3'!$Q$21</f>
        <v>0</v>
      </c>
      <c r="G26" s="125">
        <f t="shared" si="1"/>
        <v>0</v>
      </c>
      <c r="H26" s="241">
        <f>+'Sch 4.3'!$Q$27</f>
        <v>0</v>
      </c>
      <c r="I26" s="125">
        <f t="shared" si="2"/>
        <v>0</v>
      </c>
      <c r="J26" s="23"/>
    </row>
    <row r="27" spans="1:10" x14ac:dyDescent="0.25">
      <c r="A27" s="91"/>
      <c r="E27" s="118">
        <f>SUM(E14:E26)</f>
        <v>0</v>
      </c>
      <c r="G27" s="118">
        <f>SUM(G14:G26)</f>
        <v>0</v>
      </c>
      <c r="H27" s="2"/>
      <c r="I27" s="118">
        <f>SUM(I14:I26)</f>
        <v>0</v>
      </c>
      <c r="J27" s="2"/>
    </row>
    <row r="28" spans="1:10" x14ac:dyDescent="0.25">
      <c r="A28" s="91">
        <f>A26+1</f>
        <v>14</v>
      </c>
      <c r="B28" t="s">
        <v>88</v>
      </c>
      <c r="E28" s="158">
        <v>13</v>
      </c>
      <c r="F28" s="158"/>
      <c r="G28" s="158">
        <v>13</v>
      </c>
      <c r="H28" s="159"/>
      <c r="I28" s="160">
        <v>13</v>
      </c>
    </row>
    <row r="29" spans="1:10" ht="15.75" thickBot="1" x14ac:dyDescent="0.3">
      <c r="A29" s="91">
        <f>A28+1</f>
        <v>15</v>
      </c>
      <c r="B29" t="s">
        <v>89</v>
      </c>
      <c r="E29" s="70">
        <f>ROUND(E27/E28,0)</f>
        <v>0</v>
      </c>
      <c r="F29" s="71"/>
      <c r="G29" s="70">
        <f>ROUND(G27/G28,0)</f>
        <v>0</v>
      </c>
      <c r="H29" s="71"/>
      <c r="I29" s="70">
        <f>ROUND(I27/I28,0)</f>
        <v>0</v>
      </c>
    </row>
    <row r="30" spans="1:10" ht="15.75" thickTop="1" x14ac:dyDescent="0.25">
      <c r="H30" s="23"/>
    </row>
    <row r="31" spans="1:10" x14ac:dyDescent="0.25">
      <c r="A31" s="91"/>
      <c r="E31" s="42"/>
      <c r="G31" s="42"/>
      <c r="H31" s="42"/>
      <c r="I31" s="42"/>
    </row>
    <row r="32" spans="1:10" x14ac:dyDescent="0.25">
      <c r="F32" s="45"/>
    </row>
    <row r="33" spans="5:5" x14ac:dyDescent="0.25">
      <c r="E33" s="118">
        <f>+E27-G27</f>
        <v>0</v>
      </c>
    </row>
  </sheetData>
  <mergeCells count="3">
    <mergeCell ref="D9:E9"/>
    <mergeCell ref="F9:G9"/>
    <mergeCell ref="H9:I9"/>
  </mergeCells>
  <pageMargins left="0.7" right="0.7" top="0.75" bottom="0.75" header="0.3" footer="0.3"/>
  <pageSetup scale="74" orientation="landscape" r:id="rId1"/>
  <headerFooter>
    <oddHeader>&amp;RCase No 2023-00209
STAFF-DR-01-002c
Page &amp;P of &amp;N
&amp;A</oddHeader>
  </headerFooter>
  <ignoredErrors>
    <ignoredError sqref="F15:F26 H15:H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46"/>
  <sheetViews>
    <sheetView zoomScaleNormal="100" workbookViewId="0">
      <selection activeCell="H19" sqref="H19"/>
    </sheetView>
  </sheetViews>
  <sheetFormatPr defaultRowHeight="15" x14ac:dyDescent="0.25"/>
  <cols>
    <col min="1" max="1" width="6.7109375" style="5" customWidth="1"/>
    <col min="2" max="2" width="35.42578125" customWidth="1"/>
    <col min="3" max="3" width="3.42578125" customWidth="1"/>
    <col min="4" max="4" width="20.85546875" customWidth="1"/>
    <col min="5" max="5" width="16.85546875" style="5" bestFit="1" customWidth="1"/>
    <col min="6" max="7" width="16.85546875" style="91" customWidth="1"/>
    <col min="8" max="8" width="15.42578125" style="5" customWidth="1"/>
    <col min="9" max="9" width="12.7109375" style="5" customWidth="1"/>
    <col min="10" max="10" width="15.28515625" customWidth="1"/>
  </cols>
  <sheetData>
    <row r="2" spans="1:10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x14ac:dyDescent="0.25">
      <c r="A3" s="110" t="s">
        <v>134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x14ac:dyDescent="0.25">
      <c r="A4" s="110" t="s">
        <v>135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x14ac:dyDescent="0.25">
      <c r="D6" s="106" t="s">
        <v>45</v>
      </c>
    </row>
    <row r="7" spans="1:10" x14ac:dyDescent="0.25">
      <c r="A7" s="3"/>
      <c r="B7" s="8"/>
      <c r="C7" s="8"/>
      <c r="D7" s="106" t="s">
        <v>169</v>
      </c>
      <c r="E7" s="3" t="s">
        <v>212</v>
      </c>
      <c r="F7" s="106" t="s">
        <v>225</v>
      </c>
      <c r="G7" s="90"/>
      <c r="H7" s="3" t="s">
        <v>18</v>
      </c>
    </row>
    <row r="8" spans="1:10" x14ac:dyDescent="0.25">
      <c r="A8" s="3" t="s">
        <v>136</v>
      </c>
      <c r="B8" s="8"/>
      <c r="C8" s="8"/>
      <c r="D8" s="3" t="s">
        <v>138</v>
      </c>
      <c r="E8" s="3" t="s">
        <v>16</v>
      </c>
      <c r="F8" s="106" t="s">
        <v>16</v>
      </c>
      <c r="G8" s="90"/>
      <c r="H8" s="3" t="s">
        <v>19</v>
      </c>
      <c r="I8" s="3" t="s">
        <v>20</v>
      </c>
    </row>
    <row r="9" spans="1:10" x14ac:dyDescent="0.25">
      <c r="A9" s="9" t="s">
        <v>137</v>
      </c>
      <c r="B9" s="10" t="s">
        <v>15</v>
      </c>
      <c r="C9" s="10"/>
      <c r="D9" s="9" t="s">
        <v>139</v>
      </c>
      <c r="E9" s="9" t="s">
        <v>17</v>
      </c>
      <c r="F9" s="76" t="s">
        <v>17</v>
      </c>
      <c r="G9" s="9" t="s">
        <v>21</v>
      </c>
      <c r="H9" s="9" t="s">
        <v>211</v>
      </c>
      <c r="I9" s="9" t="s">
        <v>140</v>
      </c>
    </row>
    <row r="10" spans="1:10" x14ac:dyDescent="0.25">
      <c r="B10" s="18" t="s">
        <v>63</v>
      </c>
      <c r="C10" s="62"/>
      <c r="D10" s="62" t="s">
        <v>64</v>
      </c>
      <c r="E10" s="62" t="s">
        <v>66</v>
      </c>
      <c r="F10" s="106" t="s">
        <v>84</v>
      </c>
      <c r="G10" s="90" t="s">
        <v>109</v>
      </c>
      <c r="H10" s="62" t="s">
        <v>110</v>
      </c>
      <c r="I10" s="62" t="s">
        <v>111</v>
      </c>
    </row>
    <row r="11" spans="1:10" x14ac:dyDescent="0.25">
      <c r="A11" s="72"/>
      <c r="B11" s="18"/>
      <c r="E11" s="72"/>
      <c r="F11" s="84"/>
      <c r="H11" s="72"/>
      <c r="I11" s="72"/>
    </row>
    <row r="12" spans="1:10" ht="17.25" x14ac:dyDescent="0.25">
      <c r="A12" s="5">
        <v>1</v>
      </c>
      <c r="B12" s="27" t="s">
        <v>60</v>
      </c>
      <c r="D12" s="183">
        <v>0.86931999999999998</v>
      </c>
      <c r="E12" s="57" t="e">
        <f>ROUND($E$16*D12,0)</f>
        <v>#DIV/0!</v>
      </c>
      <c r="F12" s="180" t="e">
        <f>ROUND($F$16*D12,0)</f>
        <v>#DIV/0!</v>
      </c>
      <c r="G12" s="57" t="e">
        <f>E12+F12</f>
        <v>#DIV/0!</v>
      </c>
      <c r="H12" s="13">
        <f>'Sch 3.0'!O13</f>
        <v>0</v>
      </c>
      <c r="I12" s="12" t="e">
        <f>G12/H12</f>
        <v>#DIV/0!</v>
      </c>
      <c r="J12" t="s">
        <v>253</v>
      </c>
    </row>
    <row r="13" spans="1:10" ht="17.25" x14ac:dyDescent="0.25">
      <c r="A13" s="5">
        <f>A12+1</f>
        <v>2</v>
      </c>
      <c r="B13" s="27" t="s">
        <v>62</v>
      </c>
      <c r="D13" s="183">
        <v>0.12506</v>
      </c>
      <c r="E13" s="155" t="e">
        <f>ROUND($E$16*D13,0)</f>
        <v>#DIV/0!</v>
      </c>
      <c r="F13" s="181" t="e">
        <f>ROUND($F$16*D13,0)</f>
        <v>#DIV/0!</v>
      </c>
      <c r="G13" s="155" t="e">
        <f t="shared" ref="G13:G16" si="0">E13+F13</f>
        <v>#DIV/0!</v>
      </c>
      <c r="H13" s="13">
        <f>'Sch 3.0'!O14</f>
        <v>0</v>
      </c>
      <c r="I13" s="12" t="e">
        <f>G13/H13</f>
        <v>#DIV/0!</v>
      </c>
      <c r="J13" t="s">
        <v>253</v>
      </c>
    </row>
    <row r="14" spans="1:10" x14ac:dyDescent="0.25">
      <c r="A14" s="5">
        <f t="shared" ref="A14:A16" si="1">A13+1</f>
        <v>3</v>
      </c>
      <c r="B14" s="27" t="s">
        <v>67</v>
      </c>
      <c r="D14" s="183">
        <v>3.4099999999999998E-3</v>
      </c>
      <c r="E14" s="155" t="e">
        <f>ROUND($E$16*D14,0)</f>
        <v>#DIV/0!</v>
      </c>
      <c r="F14" s="181" t="e">
        <f t="shared" ref="F14" si="2">ROUND($F$16*D14,0)</f>
        <v>#DIV/0!</v>
      </c>
      <c r="G14" s="155" t="e">
        <f t="shared" si="0"/>
        <v>#DIV/0!</v>
      </c>
      <c r="H14" s="13">
        <f>'Sch 3.0'!O15</f>
        <v>0</v>
      </c>
      <c r="I14" s="39" t="e">
        <f>G14/H14</f>
        <v>#DIV/0!</v>
      </c>
      <c r="J14" t="s">
        <v>80</v>
      </c>
    </row>
    <row r="15" spans="1:10" x14ac:dyDescent="0.25">
      <c r="A15" s="5">
        <f t="shared" si="1"/>
        <v>4</v>
      </c>
      <c r="B15" s="27" t="s">
        <v>61</v>
      </c>
      <c r="D15" s="184">
        <v>2.2100000000000002E-3</v>
      </c>
      <c r="E15" s="155" t="e">
        <f>ROUND($E$16*D15,0)</f>
        <v>#DIV/0!</v>
      </c>
      <c r="F15" s="181" t="e">
        <f>ROUND($F$16*D15,0)</f>
        <v>#DIV/0!</v>
      </c>
      <c r="G15" s="155" t="e">
        <f t="shared" si="0"/>
        <v>#DIV/0!</v>
      </c>
      <c r="H15" s="13">
        <f>'Sch 3.0'!O16</f>
        <v>0</v>
      </c>
      <c r="I15" s="39" t="e">
        <f>G15/H15</f>
        <v>#DIV/0!</v>
      </c>
      <c r="J15" t="s">
        <v>80</v>
      </c>
    </row>
    <row r="16" spans="1:10" ht="15.75" thickBot="1" x14ac:dyDescent="0.3">
      <c r="A16" s="5">
        <f t="shared" si="1"/>
        <v>5</v>
      </c>
      <c r="B16" t="s">
        <v>21</v>
      </c>
      <c r="D16" s="185">
        <f>SUM(D10:D15)</f>
        <v>1</v>
      </c>
      <c r="E16" s="58" t="e">
        <f>'Sch 1.1'!F27</f>
        <v>#DIV/0!</v>
      </c>
      <c r="F16" s="182" t="e">
        <f>'Sch 4.1'!F33</f>
        <v>#DIV/0!</v>
      </c>
      <c r="G16" s="58" t="e">
        <f t="shared" si="0"/>
        <v>#DIV/0!</v>
      </c>
      <c r="H16" s="20"/>
    </row>
    <row r="17" spans="2:9" ht="15.75" thickTop="1" x14ac:dyDescent="0.25">
      <c r="E17" s="84" t="s">
        <v>151</v>
      </c>
      <c r="F17" s="84" t="s">
        <v>152</v>
      </c>
      <c r="G17" s="84"/>
      <c r="H17" s="84" t="s">
        <v>168</v>
      </c>
    </row>
    <row r="20" spans="2:9" x14ac:dyDescent="0.25">
      <c r="B20" s="37" t="s">
        <v>198</v>
      </c>
      <c r="C20" s="37"/>
      <c r="D20" s="37"/>
      <c r="E20" s="84"/>
      <c r="F20" s="84"/>
      <c r="G20" s="84"/>
    </row>
    <row r="21" spans="2:9" x14ac:dyDescent="0.25">
      <c r="B21" s="37" t="s">
        <v>197</v>
      </c>
      <c r="C21" s="37"/>
      <c r="D21" s="37"/>
      <c r="E21" s="84"/>
    </row>
    <row r="22" spans="2:9" ht="17.25" x14ac:dyDescent="0.25">
      <c r="B22" t="s">
        <v>254</v>
      </c>
      <c r="F22" s="131"/>
      <c r="G22" s="187"/>
    </row>
    <row r="23" spans="2:9" x14ac:dyDescent="0.25">
      <c r="D23" s="129"/>
    </row>
    <row r="24" spans="2:9" x14ac:dyDescent="0.25">
      <c r="E24" s="187"/>
      <c r="F24" s="187"/>
      <c r="G24" s="187"/>
    </row>
    <row r="25" spans="2:9" x14ac:dyDescent="0.25">
      <c r="E25" s="187"/>
      <c r="F25" s="187"/>
      <c r="H25" s="189"/>
      <c r="I25" s="188"/>
    </row>
    <row r="26" spans="2:9" x14ac:dyDescent="0.25">
      <c r="E26" s="187"/>
      <c r="G26" s="187"/>
    </row>
    <row r="27" spans="2:9" x14ac:dyDescent="0.25">
      <c r="E27" s="187"/>
      <c r="G27" s="187"/>
    </row>
    <row r="28" spans="2:9" x14ac:dyDescent="0.25">
      <c r="E28" s="187"/>
      <c r="G28" s="187"/>
    </row>
    <row r="29" spans="2:9" x14ac:dyDescent="0.25">
      <c r="E29" s="187"/>
    </row>
    <row r="32" spans="2:9" x14ac:dyDescent="0.25">
      <c r="F32" s="188"/>
      <c r="G32" s="188"/>
      <c r="H32" s="188"/>
    </row>
    <row r="33" spans="4:8" x14ac:dyDescent="0.25">
      <c r="F33" s="188"/>
      <c r="G33" s="188"/>
    </row>
    <row r="34" spans="4:8" x14ac:dyDescent="0.25">
      <c r="F34" s="188"/>
      <c r="G34" s="188"/>
    </row>
    <row r="35" spans="4:8" x14ac:dyDescent="0.25">
      <c r="F35" s="188"/>
      <c r="G35" s="188"/>
      <c r="H35" s="188"/>
    </row>
    <row r="36" spans="4:8" x14ac:dyDescent="0.25">
      <c r="F36" s="188"/>
      <c r="G36" s="188"/>
    </row>
    <row r="37" spans="4:8" x14ac:dyDescent="0.25">
      <c r="F37" s="188"/>
      <c r="G37" s="188"/>
    </row>
    <row r="38" spans="4:8" x14ac:dyDescent="0.25">
      <c r="F38" s="188"/>
      <c r="G38" s="188"/>
    </row>
    <row r="39" spans="4:8" x14ac:dyDescent="0.25">
      <c r="F39" s="188"/>
      <c r="G39" s="188"/>
      <c r="H39" s="188"/>
    </row>
    <row r="40" spans="4:8" x14ac:dyDescent="0.25">
      <c r="F40" s="188"/>
      <c r="G40" s="188"/>
    </row>
    <row r="41" spans="4:8" x14ac:dyDescent="0.25">
      <c r="F41" s="188"/>
      <c r="G41" s="188"/>
    </row>
    <row r="42" spans="4:8" x14ac:dyDescent="0.25">
      <c r="D42" s="34"/>
      <c r="F42" s="188"/>
      <c r="G42" s="188"/>
    </row>
    <row r="43" spans="4:8" x14ac:dyDescent="0.25">
      <c r="D43" s="135"/>
      <c r="E43" s="187"/>
      <c r="F43" s="188"/>
      <c r="G43" s="188"/>
    </row>
    <row r="44" spans="4:8" x14ac:dyDescent="0.25">
      <c r="D44" s="1"/>
      <c r="E44" s="190"/>
      <c r="F44" s="188"/>
      <c r="G44" s="188"/>
    </row>
    <row r="45" spans="4:8" x14ac:dyDescent="0.25">
      <c r="D45" s="57"/>
      <c r="E45" s="57"/>
    </row>
    <row r="46" spans="4:8" x14ac:dyDescent="0.25">
      <c r="D46" s="2"/>
    </row>
  </sheetData>
  <pageMargins left="0.7" right="0.7" top="0.75" bottom="0.75" header="0.3" footer="0.3"/>
  <pageSetup scale="76" orientation="landscape" r:id="rId1"/>
  <headerFooter>
    <oddHeader>&amp;RCase No 2023-00209
STAFF-DR-01-002c
Page &amp;P of &amp;N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topLeftCell="A4" zoomScaleNormal="100" zoomScalePageLayoutView="115" workbookViewId="0">
      <selection activeCell="H19" sqref="H19"/>
    </sheetView>
  </sheetViews>
  <sheetFormatPr defaultRowHeight="15" x14ac:dyDescent="0.25"/>
  <cols>
    <col min="1" max="1" width="6.7109375" customWidth="1"/>
    <col min="2" max="2" width="4.5703125" customWidth="1"/>
    <col min="3" max="3" width="6.5703125" customWidth="1"/>
    <col min="4" max="4" width="43" customWidth="1"/>
    <col min="5" max="5" width="2.28515625" customWidth="1"/>
    <col min="6" max="6" width="20.7109375" customWidth="1"/>
    <col min="7" max="7" width="2.42578125" customWidth="1"/>
    <col min="8" max="8" width="9.5703125" customWidth="1"/>
  </cols>
  <sheetData>
    <row r="1" spans="1:12" x14ac:dyDescent="0.25">
      <c r="A1" s="5"/>
      <c r="E1" s="5"/>
      <c r="F1" s="5"/>
      <c r="G1" s="105"/>
      <c r="H1" s="5"/>
      <c r="I1" s="5"/>
    </row>
    <row r="2" spans="1:12" x14ac:dyDescent="0.25">
      <c r="A2" s="110" t="str">
        <f>'Sch 1.0'!A2</f>
        <v>Duke Energy Kentucky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2"/>
    </row>
    <row r="3" spans="1:12" x14ac:dyDescent="0.25">
      <c r="A3" s="110" t="str">
        <f>'Sch 1.0'!A3</f>
        <v>Pipeline Modernization Mechanism ("Rider PMM")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2"/>
    </row>
    <row r="4" spans="1:12" x14ac:dyDescent="0.25">
      <c r="A4" s="139" t="s">
        <v>213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78"/>
    </row>
    <row r="5" spans="1:12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x14ac:dyDescent="0.25">
      <c r="A6" s="104" t="s">
        <v>136</v>
      </c>
      <c r="B6" s="8"/>
      <c r="C6" s="8"/>
      <c r="F6" s="3" t="s">
        <v>141</v>
      </c>
      <c r="G6" s="104"/>
      <c r="H6" s="3"/>
      <c r="I6" s="5"/>
    </row>
    <row r="7" spans="1:12" x14ac:dyDescent="0.25">
      <c r="A7" s="9" t="s">
        <v>137</v>
      </c>
      <c r="B7" s="10"/>
      <c r="C7" s="10"/>
      <c r="F7" s="179" t="s">
        <v>214</v>
      </c>
      <c r="G7" s="179"/>
      <c r="H7" s="9" t="s">
        <v>22</v>
      </c>
    </row>
    <row r="8" spans="1:12" x14ac:dyDescent="0.25">
      <c r="A8" s="10"/>
      <c r="B8" s="113" t="s">
        <v>63</v>
      </c>
      <c r="C8" s="113"/>
      <c r="D8" s="113"/>
      <c r="F8" s="62" t="s">
        <v>64</v>
      </c>
      <c r="G8" s="104"/>
      <c r="H8" s="62" t="s">
        <v>66</v>
      </c>
    </row>
    <row r="10" spans="1:12" x14ac:dyDescent="0.25">
      <c r="B10" s="8" t="s">
        <v>23</v>
      </c>
    </row>
    <row r="11" spans="1:12" x14ac:dyDescent="0.25">
      <c r="B11" s="10" t="s">
        <v>24</v>
      </c>
    </row>
    <row r="12" spans="1:12" x14ac:dyDescent="0.25">
      <c r="A12" s="5">
        <v>1</v>
      </c>
      <c r="C12" t="s">
        <v>148</v>
      </c>
      <c r="F12" s="154">
        <f>'Sch 2.2'!E29-'Sch 2.2'!G29</f>
        <v>0</v>
      </c>
      <c r="G12" s="29"/>
      <c r="H12" t="s">
        <v>153</v>
      </c>
    </row>
    <row r="13" spans="1:12" x14ac:dyDescent="0.25">
      <c r="A13" s="5">
        <f>A12+1</f>
        <v>2</v>
      </c>
      <c r="C13" t="s">
        <v>25</v>
      </c>
      <c r="F13" s="153">
        <f>'Sch 2.2'!I29</f>
        <v>0</v>
      </c>
      <c r="G13" s="30"/>
      <c r="H13" t="s">
        <v>153</v>
      </c>
    </row>
    <row r="14" spans="1:12" x14ac:dyDescent="0.25">
      <c r="A14" s="5">
        <f t="shared" ref="A14:A15" si="0">A13+1</f>
        <v>3</v>
      </c>
      <c r="C14" t="s">
        <v>26</v>
      </c>
      <c r="F14" s="117">
        <f>-'Sch 2.0'!R46</f>
        <v>0</v>
      </c>
      <c r="G14" s="80"/>
      <c r="H14" s="54" t="s">
        <v>154</v>
      </c>
    </row>
    <row r="15" spans="1:12" x14ac:dyDescent="0.25">
      <c r="A15" s="5">
        <f t="shared" si="0"/>
        <v>4</v>
      </c>
      <c r="D15" t="s">
        <v>27</v>
      </c>
      <c r="F15" s="151">
        <f>SUM(F12:F14)</f>
        <v>0</v>
      </c>
      <c r="G15" s="1"/>
    </row>
    <row r="16" spans="1:12" x14ac:dyDescent="0.25">
      <c r="A16" s="5">
        <f>A15+1</f>
        <v>5</v>
      </c>
      <c r="C16" t="s">
        <v>123</v>
      </c>
      <c r="F16" s="125" t="e">
        <f>-'Sch 2.1'!S51</f>
        <v>#DIV/0!</v>
      </c>
      <c r="G16" s="33"/>
      <c r="H16" t="s">
        <v>155</v>
      </c>
      <c r="J16" s="129"/>
    </row>
    <row r="17" spans="1:14" x14ac:dyDescent="0.25">
      <c r="A17" s="5">
        <f>A16+1</f>
        <v>6</v>
      </c>
      <c r="D17" t="s">
        <v>29</v>
      </c>
      <c r="F17" s="151" t="e">
        <f>SUM(F15:F16)</f>
        <v>#DIV/0!</v>
      </c>
      <c r="G17" s="1"/>
      <c r="H17" t="s">
        <v>37</v>
      </c>
    </row>
    <row r="18" spans="1:14" x14ac:dyDescent="0.25">
      <c r="A18" s="5">
        <f>A17+1</f>
        <v>7</v>
      </c>
      <c r="C18" t="s">
        <v>30</v>
      </c>
      <c r="F18" s="73">
        <f>'Sch 1.2'!F13</f>
        <v>8.0869999999999997E-2</v>
      </c>
      <c r="G18" s="73"/>
      <c r="H18" s="74" t="s">
        <v>156</v>
      </c>
    </row>
    <row r="19" spans="1:14" x14ac:dyDescent="0.25">
      <c r="A19" s="5">
        <f>A18+1</f>
        <v>8</v>
      </c>
      <c r="C19" t="s">
        <v>149</v>
      </c>
      <c r="F19" s="59" t="e">
        <f>ROUND(F17*F18,0)</f>
        <v>#DIV/0!</v>
      </c>
      <c r="G19" s="64"/>
      <c r="H19" t="s">
        <v>38</v>
      </c>
    </row>
    <row r="21" spans="1:14" x14ac:dyDescent="0.25">
      <c r="B21" s="10" t="s">
        <v>31</v>
      </c>
    </row>
    <row r="22" spans="1:14" x14ac:dyDescent="0.25">
      <c r="A22" s="5">
        <f>A19+1</f>
        <v>9</v>
      </c>
      <c r="C22" t="s">
        <v>32</v>
      </c>
      <c r="F22" s="60">
        <f>SUM('Sch 2.0'!F38:Q38)-SUM('Sch 2.0'!F44:Q44)</f>
        <v>0</v>
      </c>
      <c r="G22" s="60"/>
      <c r="H22" t="s">
        <v>154</v>
      </c>
    </row>
    <row r="23" spans="1:14" x14ac:dyDescent="0.25">
      <c r="A23" s="51">
        <f>A22+1</f>
        <v>10</v>
      </c>
      <c r="C23" t="s">
        <v>33</v>
      </c>
      <c r="F23" s="151">
        <f>ROUND(F15*I23,0)</f>
        <v>0</v>
      </c>
      <c r="G23" s="1"/>
      <c r="H23" t="s">
        <v>81</v>
      </c>
      <c r="I23" s="227">
        <v>1.26032E-2</v>
      </c>
    </row>
    <row r="24" spans="1:14" x14ac:dyDescent="0.25">
      <c r="A24" s="130">
        <f t="shared" ref="A24:A25" si="1">A23+1</f>
        <v>11</v>
      </c>
      <c r="C24" t="s">
        <v>34</v>
      </c>
      <c r="F24" s="152" t="e">
        <f>ROUND(SUM(F19:F23)*(0.001302/(1-0.001302)),0)</f>
        <v>#DIV/0!</v>
      </c>
      <c r="G24" s="20"/>
      <c r="H24" s="37" t="s">
        <v>223</v>
      </c>
      <c r="M24" s="129"/>
      <c r="N24" s="37"/>
    </row>
    <row r="25" spans="1:14" x14ac:dyDescent="0.25">
      <c r="A25" s="130">
        <f t="shared" si="1"/>
        <v>12</v>
      </c>
      <c r="C25" t="s">
        <v>35</v>
      </c>
      <c r="F25" s="118" t="e">
        <f>SUM(F22:F24)</f>
        <v>#DIV/0!</v>
      </c>
      <c r="G25" s="2"/>
      <c r="H25" s="37" t="s">
        <v>167</v>
      </c>
      <c r="J25" s="129"/>
    </row>
    <row r="26" spans="1:14" x14ac:dyDescent="0.25">
      <c r="H26" s="37"/>
    </row>
    <row r="27" spans="1:14" ht="15.75" thickBot="1" x14ac:dyDescent="0.3">
      <c r="A27" s="5">
        <f>A25+1</f>
        <v>13</v>
      </c>
      <c r="B27" s="10" t="s">
        <v>36</v>
      </c>
      <c r="F27" s="61" t="e">
        <f>F19+F25</f>
        <v>#DIV/0!</v>
      </c>
      <c r="G27" s="63"/>
      <c r="H27" s="37" t="s">
        <v>40</v>
      </c>
      <c r="J27" s="129"/>
    </row>
    <row r="30" spans="1:14" x14ac:dyDescent="0.25">
      <c r="A30" s="5" t="s">
        <v>41</v>
      </c>
    </row>
    <row r="31" spans="1:14" x14ac:dyDescent="0.25">
      <c r="A31" s="37" t="str">
        <f>"(1) Property taxes estimated using an effective rate of "&amp;TEXT(I23,"0.00000%")</f>
        <v>(1) Property taxes estimated using an effective rate of 1.26032%</v>
      </c>
      <c r="B31" s="37"/>
      <c r="C31" s="37"/>
      <c r="D31" s="37"/>
    </row>
    <row r="32" spans="1:14" x14ac:dyDescent="0.25">
      <c r="A32" s="54" t="s">
        <v>229</v>
      </c>
      <c r="B32" s="37"/>
      <c r="C32" s="37"/>
      <c r="D32" s="37"/>
      <c r="J32" s="129"/>
    </row>
  </sheetData>
  <pageMargins left="0.7" right="0.7" top="0.75" bottom="0.75" header="0.3" footer="0.3"/>
  <pageSetup scale="92" orientation="landscape" r:id="rId1"/>
  <headerFooter>
    <oddHeader>&amp;RCase No 2023-00209
STAFF-DR-01-002c
Page &amp;P of &amp;N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zoomScaleNormal="100" workbookViewId="0">
      <selection activeCell="H19" sqref="H19"/>
    </sheetView>
  </sheetViews>
  <sheetFormatPr defaultRowHeight="15" x14ac:dyDescent="0.25"/>
  <cols>
    <col min="1" max="1" width="6.7109375" customWidth="1"/>
    <col min="2" max="2" width="19.7109375" customWidth="1"/>
    <col min="3" max="3" width="13.5703125" customWidth="1"/>
    <col min="4" max="4" width="12.140625" customWidth="1"/>
    <col min="5" max="5" width="13.5703125" customWidth="1"/>
    <col min="6" max="6" width="17.7109375" customWidth="1"/>
  </cols>
  <sheetData>
    <row r="1" spans="1:11" x14ac:dyDescent="0.25">
      <c r="A1" s="5"/>
      <c r="E1" s="5"/>
      <c r="F1" s="5"/>
      <c r="H1" s="5"/>
    </row>
    <row r="2" spans="1:11" x14ac:dyDescent="0.25">
      <c r="A2" s="110" t="str">
        <f>'Sch 1.0'!A2</f>
        <v>Duke Energy Kentucky</v>
      </c>
      <c r="B2" s="110"/>
      <c r="C2" s="110"/>
      <c r="D2" s="110"/>
      <c r="E2" s="110"/>
      <c r="F2" s="110"/>
      <c r="H2" s="110"/>
      <c r="I2" s="110"/>
    </row>
    <row r="3" spans="1:11" x14ac:dyDescent="0.25">
      <c r="A3" s="110" t="str">
        <f>'Sch 1.0'!A3</f>
        <v>Pipeline Modernization Mechanism ("Rider PMM")</v>
      </c>
      <c r="B3" s="110"/>
      <c r="C3" s="110"/>
      <c r="D3" s="110"/>
      <c r="E3" s="110"/>
      <c r="F3" s="110"/>
      <c r="H3" s="110"/>
      <c r="I3" s="110"/>
    </row>
    <row r="4" spans="1:11" x14ac:dyDescent="0.25">
      <c r="A4" s="110" t="s">
        <v>11</v>
      </c>
      <c r="B4" s="110"/>
      <c r="C4" s="110"/>
      <c r="D4" s="110"/>
      <c r="E4" s="110"/>
      <c r="F4" s="110"/>
      <c r="H4" s="110"/>
      <c r="I4" s="110"/>
    </row>
    <row r="5" spans="1:11" x14ac:dyDescent="0.25">
      <c r="A5" s="105"/>
      <c r="B5" s="105"/>
      <c r="C5" s="105"/>
      <c r="D5" s="105"/>
      <c r="E5" s="105"/>
      <c r="F5" s="105"/>
      <c r="H5" s="105"/>
      <c r="I5" s="105"/>
      <c r="J5" s="105"/>
      <c r="K5" s="105"/>
    </row>
    <row r="6" spans="1:11" x14ac:dyDescent="0.25">
      <c r="A6" s="104" t="s">
        <v>136</v>
      </c>
      <c r="B6" s="3"/>
      <c r="C6" s="3"/>
      <c r="D6" s="3"/>
      <c r="E6" s="3" t="s">
        <v>45</v>
      </c>
      <c r="F6" s="3" t="s">
        <v>46</v>
      </c>
    </row>
    <row r="7" spans="1:11" x14ac:dyDescent="0.25">
      <c r="A7" s="9" t="s">
        <v>137</v>
      </c>
      <c r="B7" s="9" t="s">
        <v>42</v>
      </c>
      <c r="C7" s="9" t="s">
        <v>43</v>
      </c>
      <c r="D7" s="9" t="s">
        <v>44</v>
      </c>
      <c r="E7" s="9" t="s">
        <v>44</v>
      </c>
      <c r="F7" s="76" t="s">
        <v>132</v>
      </c>
    </row>
    <row r="8" spans="1:11" x14ac:dyDescent="0.25">
      <c r="A8" s="9"/>
      <c r="B8" s="18" t="s">
        <v>63</v>
      </c>
      <c r="C8" s="62" t="s">
        <v>64</v>
      </c>
      <c r="D8" s="62" t="s">
        <v>66</v>
      </c>
      <c r="E8" s="62" t="s">
        <v>84</v>
      </c>
      <c r="F8" s="62" t="s">
        <v>109</v>
      </c>
    </row>
    <row r="10" spans="1:11" x14ac:dyDescent="0.25">
      <c r="A10" s="105">
        <v>1</v>
      </c>
      <c r="B10" t="s">
        <v>47</v>
      </c>
      <c r="C10" s="175">
        <v>2.6169999999999999E-2</v>
      </c>
      <c r="D10" s="175">
        <v>1.6670000000000001E-2</v>
      </c>
      <c r="E10" s="14">
        <f>ROUND(C10*D10,5)</f>
        <v>4.4000000000000002E-4</v>
      </c>
      <c r="F10" s="136">
        <f>E10</f>
        <v>4.4000000000000002E-4</v>
      </c>
    </row>
    <row r="11" spans="1:11" x14ac:dyDescent="0.25">
      <c r="A11" s="105">
        <f>A10+1</f>
        <v>2</v>
      </c>
      <c r="B11" t="s">
        <v>48</v>
      </c>
      <c r="C11" s="175">
        <v>0.46039000000000002</v>
      </c>
      <c r="D11" s="175">
        <v>3.6560000000000002E-2</v>
      </c>
      <c r="E11" s="14">
        <f>ROUND(C11*D11,5)</f>
        <v>1.6830000000000001E-2</v>
      </c>
      <c r="F11" s="136">
        <f>E11</f>
        <v>1.6830000000000001E-2</v>
      </c>
    </row>
    <row r="12" spans="1:11" x14ac:dyDescent="0.25">
      <c r="A12" s="105">
        <f t="shared" ref="A12:A13" si="0">A11+1</f>
        <v>3</v>
      </c>
      <c r="B12" t="s">
        <v>49</v>
      </c>
      <c r="C12" s="176">
        <v>0.51344000000000001</v>
      </c>
      <c r="D12" s="175">
        <v>9.2999999999999999E-2</v>
      </c>
      <c r="E12" s="15">
        <f>ROUND(C12*D12,5)</f>
        <v>4.7750000000000001E-2</v>
      </c>
      <c r="F12" s="177">
        <f>ROUND(E12/(1-0.24925),5)</f>
        <v>6.3600000000000004E-2</v>
      </c>
    </row>
    <row r="13" spans="1:11" x14ac:dyDescent="0.25">
      <c r="A13" s="105">
        <f t="shared" si="0"/>
        <v>4</v>
      </c>
      <c r="B13" t="s">
        <v>21</v>
      </c>
      <c r="C13" s="14">
        <f>SUM(C10:C12)</f>
        <v>1</v>
      </c>
      <c r="E13" s="40">
        <f>SUM(E10:E12)</f>
        <v>6.5019999999999994E-2</v>
      </c>
      <c r="F13" s="40">
        <f>SUM(F10:F12)</f>
        <v>8.0869999999999997E-2</v>
      </c>
    </row>
    <row r="18" spans="2:5" x14ac:dyDescent="0.25">
      <c r="B18" s="37" t="s">
        <v>166</v>
      </c>
      <c r="C18" s="37"/>
      <c r="D18" s="37"/>
      <c r="E18" s="37"/>
    </row>
    <row r="19" spans="2:5" x14ac:dyDescent="0.25">
      <c r="B19" s="37" t="s">
        <v>196</v>
      </c>
      <c r="C19" s="37"/>
      <c r="D19" s="37"/>
      <c r="E19" s="37"/>
    </row>
  </sheetData>
  <pageMargins left="0.7" right="0.7" top="0.75" bottom="0.75" header="0.3" footer="0.3"/>
  <pageSetup orientation="landscape" r:id="rId1"/>
  <headerFooter>
    <oddHeader>&amp;RCase No 2023-00209
STAFF-DR-01-002c
Page &amp;P of &amp;N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0"/>
  <sheetViews>
    <sheetView zoomScale="85" zoomScaleNormal="85" zoomScaleSheetLayoutView="93" workbookViewId="0">
      <selection activeCell="H19" sqref="H19"/>
    </sheetView>
  </sheetViews>
  <sheetFormatPr defaultRowHeight="15" x14ac:dyDescent="0.25"/>
  <cols>
    <col min="1" max="1" width="8.28515625" bestFit="1" customWidth="1"/>
    <col min="2" max="2" width="31.42578125" customWidth="1"/>
    <col min="3" max="4" width="13.5703125" customWidth="1"/>
    <col min="5" max="5" width="13.140625" customWidth="1"/>
    <col min="6" max="12" width="11.7109375" customWidth="1"/>
    <col min="13" max="13" width="12.42578125" bestFit="1" customWidth="1"/>
    <col min="14" max="14" width="12.5703125" bestFit="1" customWidth="1"/>
    <col min="15" max="15" width="11.7109375" customWidth="1"/>
    <col min="16" max="17" width="13.28515625" customWidth="1"/>
    <col min="18" max="18" width="12.85546875" customWidth="1"/>
    <col min="19" max="19" width="12.5703125" bestFit="1" customWidth="1"/>
  </cols>
  <sheetData>
    <row r="1" spans="1:19" x14ac:dyDescent="0.25">
      <c r="A1" s="110" t="str">
        <f>'Sch 1.0'!A2</f>
        <v>Duke Energy Kentucky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9" x14ac:dyDescent="0.25">
      <c r="A2" s="110" t="str">
        <f>'Sch 1.0'!A3</f>
        <v>Pipeline Modernization Mechanism ("Rider PMM")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9" x14ac:dyDescent="0.25">
      <c r="A3" s="110" t="s">
        <v>32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9" x14ac:dyDescent="0.25">
      <c r="A4" s="5"/>
    </row>
    <row r="5" spans="1:19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R5" s="4"/>
    </row>
    <row r="6" spans="1:19" x14ac:dyDescent="0.25">
      <c r="A6" s="104" t="s">
        <v>136</v>
      </c>
      <c r="B6" s="3"/>
      <c r="C6" s="3" t="s">
        <v>50</v>
      </c>
      <c r="D6" s="4"/>
      <c r="E6" s="106" t="s">
        <v>102</v>
      </c>
      <c r="F6" s="168" t="s">
        <v>216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04" t="s">
        <v>102</v>
      </c>
    </row>
    <row r="7" spans="1:19" x14ac:dyDescent="0.25">
      <c r="A7" s="9" t="s">
        <v>137</v>
      </c>
      <c r="B7" s="9" t="s">
        <v>9</v>
      </c>
      <c r="C7" s="9" t="s">
        <v>51</v>
      </c>
      <c r="D7" s="9"/>
      <c r="E7" s="167">
        <v>2024</v>
      </c>
      <c r="F7" s="9" t="s">
        <v>91</v>
      </c>
      <c r="G7" s="9" t="s">
        <v>92</v>
      </c>
      <c r="H7" s="9" t="s">
        <v>93</v>
      </c>
      <c r="I7" s="9" t="s">
        <v>94</v>
      </c>
      <c r="J7" s="9" t="s">
        <v>95</v>
      </c>
      <c r="K7" s="9" t="s">
        <v>96</v>
      </c>
      <c r="L7" s="9" t="s">
        <v>97</v>
      </c>
      <c r="M7" s="9" t="s">
        <v>98</v>
      </c>
      <c r="N7" s="9" t="s">
        <v>99</v>
      </c>
      <c r="O7" s="9" t="s">
        <v>100</v>
      </c>
      <c r="P7" s="9" t="s">
        <v>101</v>
      </c>
      <c r="Q7" s="9" t="s">
        <v>90</v>
      </c>
      <c r="R7" s="167">
        <v>2025</v>
      </c>
    </row>
    <row r="8" spans="1:19" x14ac:dyDescent="0.25">
      <c r="B8" s="18" t="s">
        <v>63</v>
      </c>
      <c r="C8" s="18" t="s">
        <v>64</v>
      </c>
      <c r="D8" s="18" t="s">
        <v>66</v>
      </c>
      <c r="E8" s="77" t="s">
        <v>84</v>
      </c>
      <c r="F8" s="18" t="s">
        <v>109</v>
      </c>
      <c r="G8" s="18" t="s">
        <v>110</v>
      </c>
      <c r="H8" s="18" t="s">
        <v>111</v>
      </c>
      <c r="I8" s="18" t="s">
        <v>112</v>
      </c>
      <c r="J8" s="18" t="s">
        <v>113</v>
      </c>
      <c r="K8" s="18" t="s">
        <v>114</v>
      </c>
      <c r="L8" s="18" t="s">
        <v>115</v>
      </c>
      <c r="M8" s="18" t="s">
        <v>116</v>
      </c>
      <c r="N8" s="18" t="s">
        <v>117</v>
      </c>
      <c r="O8" s="18" t="s">
        <v>118</v>
      </c>
      <c r="P8" s="18" t="s">
        <v>119</v>
      </c>
      <c r="Q8" s="18" t="s">
        <v>120</v>
      </c>
      <c r="R8" s="18" t="s">
        <v>122</v>
      </c>
    </row>
    <row r="9" spans="1:19" x14ac:dyDescent="0.25">
      <c r="E9" s="37"/>
    </row>
    <row r="10" spans="1:19" ht="17.25" x14ac:dyDescent="0.25">
      <c r="B10" s="10" t="s">
        <v>124</v>
      </c>
      <c r="E10" s="37"/>
    </row>
    <row r="11" spans="1:19" x14ac:dyDescent="0.25">
      <c r="B11" s="10" t="s">
        <v>52</v>
      </c>
      <c r="E11" s="37"/>
      <c r="R11" s="23"/>
    </row>
    <row r="12" spans="1:19" x14ac:dyDescent="0.25">
      <c r="A12" s="48">
        <v>1</v>
      </c>
      <c r="B12" s="37" t="s">
        <v>164</v>
      </c>
      <c r="C12" s="170">
        <v>376</v>
      </c>
      <c r="D12" s="43"/>
      <c r="E12" s="191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63">
        <f>SUM(E12:Q12)</f>
        <v>0</v>
      </c>
    </row>
    <row r="13" spans="1:19" x14ac:dyDescent="0.25">
      <c r="A13" s="130">
        <v>2</v>
      </c>
      <c r="B13" s="37" t="s">
        <v>171</v>
      </c>
      <c r="C13" s="170">
        <v>378</v>
      </c>
      <c r="D13" s="43"/>
      <c r="E13" s="191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63">
        <f t="shared" ref="R13:R14" si="0">SUM(E13:Q13)</f>
        <v>0</v>
      </c>
    </row>
    <row r="14" spans="1:19" x14ac:dyDescent="0.25">
      <c r="A14" s="130">
        <v>3</v>
      </c>
      <c r="B14" s="37" t="s">
        <v>170</v>
      </c>
      <c r="C14" s="170">
        <v>374</v>
      </c>
      <c r="D14" s="43"/>
      <c r="E14" s="140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65">
        <f t="shared" si="0"/>
        <v>0</v>
      </c>
    </row>
    <row r="15" spans="1:19" x14ac:dyDescent="0.25">
      <c r="A15" s="51">
        <v>4</v>
      </c>
      <c r="B15" t="s">
        <v>53</v>
      </c>
      <c r="C15" s="44"/>
      <c r="D15" s="44"/>
      <c r="E15" s="66">
        <f>SUM(E12:E14)</f>
        <v>0</v>
      </c>
      <c r="F15" s="66">
        <f t="shared" ref="F15:R15" si="1">SUM(F12:F14)</f>
        <v>0</v>
      </c>
      <c r="G15" s="66">
        <f t="shared" si="1"/>
        <v>0</v>
      </c>
      <c r="H15" s="66">
        <f t="shared" si="1"/>
        <v>0</v>
      </c>
      <c r="I15" s="66">
        <f t="shared" si="1"/>
        <v>0</v>
      </c>
      <c r="J15" s="66">
        <f t="shared" si="1"/>
        <v>0</v>
      </c>
      <c r="K15" s="66">
        <f t="shared" si="1"/>
        <v>0</v>
      </c>
      <c r="L15" s="66">
        <f t="shared" si="1"/>
        <v>0</v>
      </c>
      <c r="M15" s="66">
        <f t="shared" si="1"/>
        <v>0</v>
      </c>
      <c r="N15" s="66">
        <f t="shared" si="1"/>
        <v>0</v>
      </c>
      <c r="O15" s="66">
        <f t="shared" si="1"/>
        <v>0</v>
      </c>
      <c r="P15" s="66">
        <f t="shared" si="1"/>
        <v>0</v>
      </c>
      <c r="Q15" s="66">
        <f t="shared" si="1"/>
        <v>0</v>
      </c>
      <c r="R15" s="66">
        <f t="shared" si="1"/>
        <v>0</v>
      </c>
      <c r="S15" s="69"/>
    </row>
    <row r="16" spans="1:19" x14ac:dyDescent="0.25">
      <c r="A16" s="51"/>
      <c r="C16" s="44"/>
      <c r="D16" s="44"/>
      <c r="E16" s="5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0"/>
    </row>
    <row r="17" spans="1:19" x14ac:dyDescent="0.25">
      <c r="B17" s="10" t="s">
        <v>54</v>
      </c>
      <c r="C17" s="5"/>
      <c r="D17" s="51"/>
      <c r="E17" s="84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53"/>
    </row>
    <row r="18" spans="1:19" x14ac:dyDescent="0.25">
      <c r="A18" s="48">
        <v>5</v>
      </c>
      <c r="B18" s="37" t="s">
        <v>164</v>
      </c>
      <c r="C18" s="170">
        <v>376</v>
      </c>
      <c r="D18" s="43"/>
      <c r="E18" s="191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63">
        <f>SUM(E18:Q18)</f>
        <v>0</v>
      </c>
    </row>
    <row r="19" spans="1:19" s="23" customFormat="1" x14ac:dyDescent="0.25">
      <c r="A19" s="53">
        <v>6</v>
      </c>
      <c r="B19" s="37" t="s">
        <v>171</v>
      </c>
      <c r="C19" s="192">
        <v>378</v>
      </c>
      <c r="D19" s="193"/>
      <c r="E19" s="191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63">
        <f t="shared" ref="R19:R21" si="2">SUM(E19:Q19)</f>
        <v>0</v>
      </c>
    </row>
    <row r="20" spans="1:19" s="23" customFormat="1" x14ac:dyDescent="0.25">
      <c r="A20" s="53">
        <v>7</v>
      </c>
      <c r="B20" s="41" t="s">
        <v>170</v>
      </c>
      <c r="C20" s="192">
        <v>374</v>
      </c>
      <c r="D20" s="193"/>
      <c r="E20" s="140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65">
        <f t="shared" si="2"/>
        <v>0</v>
      </c>
    </row>
    <row r="21" spans="1:19" x14ac:dyDescent="0.25">
      <c r="A21" s="51">
        <v>8</v>
      </c>
      <c r="B21" t="s">
        <v>55</v>
      </c>
      <c r="C21" s="5"/>
      <c r="D21" s="51"/>
      <c r="E21" s="66">
        <f>SUM(E18:E20)</f>
        <v>0</v>
      </c>
      <c r="F21" s="66">
        <f t="shared" ref="F21:Q21" si="3">SUM(F18:F20)</f>
        <v>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  <c r="N21" s="66">
        <f t="shared" si="3"/>
        <v>0</v>
      </c>
      <c r="O21" s="66">
        <f t="shared" si="3"/>
        <v>0</v>
      </c>
      <c r="P21" s="66">
        <f t="shared" si="3"/>
        <v>0</v>
      </c>
      <c r="Q21" s="66">
        <f t="shared" si="3"/>
        <v>0</v>
      </c>
      <c r="R21" s="63">
        <f t="shared" si="2"/>
        <v>0</v>
      </c>
      <c r="S21" s="69"/>
    </row>
    <row r="22" spans="1:19" x14ac:dyDescent="0.25">
      <c r="C22" s="5"/>
      <c r="D22" s="51"/>
      <c r="E22" s="84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9" x14ac:dyDescent="0.25">
      <c r="B23" s="10" t="s">
        <v>25</v>
      </c>
      <c r="C23" s="5"/>
      <c r="D23" s="51"/>
      <c r="E23" s="84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3"/>
      <c r="S23" s="23"/>
    </row>
    <row r="24" spans="1:19" x14ac:dyDescent="0.25">
      <c r="A24" s="48">
        <v>9</v>
      </c>
      <c r="B24" s="37" t="s">
        <v>164</v>
      </c>
      <c r="C24" s="170">
        <v>376</v>
      </c>
      <c r="D24" s="43"/>
      <c r="E24" s="191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91">
        <v>0</v>
      </c>
      <c r="S24" s="23"/>
    </row>
    <row r="25" spans="1:19" s="23" customFormat="1" x14ac:dyDescent="0.25">
      <c r="A25" s="53">
        <v>10</v>
      </c>
      <c r="B25" s="37" t="s">
        <v>171</v>
      </c>
      <c r="C25" s="192">
        <v>378</v>
      </c>
      <c r="D25" s="193"/>
      <c r="E25" s="191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91">
        <v>0</v>
      </c>
    </row>
    <row r="26" spans="1:19" s="23" customFormat="1" x14ac:dyDescent="0.25">
      <c r="A26" s="53">
        <v>11</v>
      </c>
      <c r="B26" s="41" t="s">
        <v>170</v>
      </c>
      <c r="C26" s="192">
        <v>374</v>
      </c>
      <c r="D26" s="193"/>
      <c r="E26" s="140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40">
        <v>0</v>
      </c>
    </row>
    <row r="27" spans="1:19" x14ac:dyDescent="0.25">
      <c r="A27" s="48">
        <v>12</v>
      </c>
      <c r="B27" s="22" t="s">
        <v>56</v>
      </c>
      <c r="E27" s="100">
        <f>SUM(E24:E26)</f>
        <v>0</v>
      </c>
      <c r="F27" s="100">
        <f t="shared" ref="F27:R27" si="4">SUM(F24:F26)</f>
        <v>0</v>
      </c>
      <c r="G27" s="100">
        <f t="shared" si="4"/>
        <v>0</v>
      </c>
      <c r="H27" s="100">
        <f t="shared" si="4"/>
        <v>0</v>
      </c>
      <c r="I27" s="100">
        <f t="shared" si="4"/>
        <v>0</v>
      </c>
      <c r="J27" s="100">
        <f t="shared" si="4"/>
        <v>0</v>
      </c>
      <c r="K27" s="100">
        <f t="shared" si="4"/>
        <v>0</v>
      </c>
      <c r="L27" s="100">
        <f t="shared" si="4"/>
        <v>0</v>
      </c>
      <c r="M27" s="100">
        <f t="shared" si="4"/>
        <v>0</v>
      </c>
      <c r="N27" s="100">
        <f t="shared" si="4"/>
        <v>0</v>
      </c>
      <c r="O27" s="100">
        <f t="shared" si="4"/>
        <v>0</v>
      </c>
      <c r="P27" s="100">
        <f t="shared" si="4"/>
        <v>0</v>
      </c>
      <c r="Q27" s="100">
        <f t="shared" si="4"/>
        <v>0</v>
      </c>
      <c r="R27" s="100">
        <f t="shared" si="4"/>
        <v>0</v>
      </c>
      <c r="S27" s="23"/>
    </row>
    <row r="28" spans="1:19" x14ac:dyDescent="0.25">
      <c r="E28" s="37"/>
      <c r="R28" s="23"/>
      <c r="S28" s="23"/>
    </row>
    <row r="29" spans="1:19" x14ac:dyDescent="0.25">
      <c r="B29" s="10"/>
      <c r="C29" s="47"/>
      <c r="D29" s="47"/>
      <c r="E29" s="8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0"/>
      <c r="S29" s="23"/>
    </row>
    <row r="30" spans="1:19" x14ac:dyDescent="0.25">
      <c r="A30" s="51"/>
      <c r="B30" s="46"/>
      <c r="C30" s="47"/>
      <c r="E30" s="86"/>
      <c r="H30" s="49"/>
      <c r="I30" s="18"/>
      <c r="J30" s="18"/>
      <c r="K30" s="18"/>
      <c r="L30" s="18"/>
      <c r="M30" s="18"/>
      <c r="N30" s="18"/>
      <c r="O30" s="18"/>
      <c r="P30" s="18"/>
      <c r="Q30" s="18"/>
      <c r="R30" s="1"/>
    </row>
    <row r="31" spans="1:19" x14ac:dyDescent="0.25">
      <c r="A31" s="48"/>
      <c r="B31" s="46"/>
      <c r="D31" s="47" t="s">
        <v>105</v>
      </c>
      <c r="E31" s="75" t="s">
        <v>103</v>
      </c>
      <c r="G31" s="69"/>
      <c r="R31" s="4" t="s">
        <v>106</v>
      </c>
    </row>
    <row r="32" spans="1:19" x14ac:dyDescent="0.25">
      <c r="A32" s="48"/>
      <c r="D32" s="4" t="s">
        <v>32</v>
      </c>
      <c r="E32" s="106" t="s">
        <v>102</v>
      </c>
      <c r="F32" s="171" t="s">
        <v>215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50" t="s">
        <v>107</v>
      </c>
    </row>
    <row r="33" spans="1:18" x14ac:dyDescent="0.25">
      <c r="A33" s="51"/>
      <c r="B33" s="10" t="s">
        <v>121</v>
      </c>
      <c r="D33" s="137" t="s">
        <v>104</v>
      </c>
      <c r="E33" s="107">
        <f>E7</f>
        <v>2024</v>
      </c>
      <c r="F33" s="9" t="s">
        <v>91</v>
      </c>
      <c r="G33" s="9" t="s">
        <v>92</v>
      </c>
      <c r="H33" s="9" t="s">
        <v>93</v>
      </c>
      <c r="I33" s="9" t="s">
        <v>94</v>
      </c>
      <c r="J33" s="9" t="s">
        <v>95</v>
      </c>
      <c r="K33" s="9" t="s">
        <v>96</v>
      </c>
      <c r="L33" s="9" t="s">
        <v>97</v>
      </c>
      <c r="M33" s="9" t="s">
        <v>98</v>
      </c>
      <c r="N33" s="9" t="s">
        <v>99</v>
      </c>
      <c r="O33" s="9" t="s">
        <v>100</v>
      </c>
      <c r="P33" s="9" t="s">
        <v>101</v>
      </c>
      <c r="Q33" s="9" t="s">
        <v>90</v>
      </c>
    </row>
    <row r="34" spans="1:18" x14ac:dyDescent="0.25">
      <c r="A34" s="51"/>
      <c r="B34" s="10" t="s">
        <v>52</v>
      </c>
      <c r="D34" s="4"/>
      <c r="E34" s="76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8" x14ac:dyDescent="0.25">
      <c r="A35" s="48">
        <v>13</v>
      </c>
      <c r="B35" s="37" t="s">
        <v>164</v>
      </c>
      <c r="C35" s="170">
        <v>376</v>
      </c>
      <c r="D35" s="173">
        <v>1.49E-2</v>
      </c>
      <c r="E35" s="166">
        <v>0</v>
      </c>
      <c r="F35" s="99">
        <f>ROUND(SUM($E$12:E12)*$D$35/12,0)</f>
        <v>0</v>
      </c>
      <c r="G35" s="99">
        <f>ROUND(SUM($E$12:F12)*$D$35/12,0)</f>
        <v>0</v>
      </c>
      <c r="H35" s="99">
        <f>ROUND(SUM($E$12:G12)*$D$35/12,0)</f>
        <v>0</v>
      </c>
      <c r="I35" s="99">
        <f>ROUND(SUM($E$12:H12)*$D$35/12,0)</f>
        <v>0</v>
      </c>
      <c r="J35" s="99">
        <f>ROUND(SUM($E$12:I12)*$D$35/12,0)</f>
        <v>0</v>
      </c>
      <c r="K35" s="99">
        <f>ROUND(SUM($E$12:J12)*$D$35/12,0)</f>
        <v>0</v>
      </c>
      <c r="L35" s="99">
        <f>ROUND(SUM($E$12:K12)*$D$35/12,0)</f>
        <v>0</v>
      </c>
      <c r="M35" s="99">
        <f>ROUND(SUM($E$12:L12)*$D$35/12,0)</f>
        <v>0</v>
      </c>
      <c r="N35" s="99">
        <f>ROUND(SUM($E$12:M12)*$D$35/12,0)</f>
        <v>0</v>
      </c>
      <c r="O35" s="99">
        <f>ROUND(SUM($E$12:N12)*$D$35/12,0)</f>
        <v>0</v>
      </c>
      <c r="P35" s="99">
        <f>ROUND(SUM($E$12:O12)*$D$35/12,0)</f>
        <v>0</v>
      </c>
      <c r="Q35" s="99">
        <f>ROUND(SUM($E$12:P12)*$D$35/12,0)</f>
        <v>0</v>
      </c>
      <c r="R35" s="20"/>
    </row>
    <row r="36" spans="1:18" x14ac:dyDescent="0.25">
      <c r="A36" s="130">
        <v>14</v>
      </c>
      <c r="B36" s="37" t="s">
        <v>171</v>
      </c>
      <c r="C36" s="170">
        <v>378</v>
      </c>
      <c r="D36" s="173">
        <v>2.0400000000000001E-2</v>
      </c>
      <c r="E36" s="166">
        <v>0</v>
      </c>
      <c r="F36" s="99">
        <f>ROUND(SUM($E$13:E13)*$D$36/12,0)</f>
        <v>0</v>
      </c>
      <c r="G36" s="99">
        <f>ROUND(SUM($E$13:F13)*$D$36/12,0)</f>
        <v>0</v>
      </c>
      <c r="H36" s="99">
        <f>ROUND(SUM($E$13:G13)*$D$36/12,0)</f>
        <v>0</v>
      </c>
      <c r="I36" s="99">
        <f>ROUND(SUM($E$13:H13)*$D$36/12,0)</f>
        <v>0</v>
      </c>
      <c r="J36" s="99">
        <f>ROUND(SUM($E$13:I13)*$D$36/12,0)</f>
        <v>0</v>
      </c>
      <c r="K36" s="99">
        <f>ROUND(SUM($E$13:J13)*$D$36/12,0)</f>
        <v>0</v>
      </c>
      <c r="L36" s="99">
        <f>ROUND(SUM($E$13:K13)*$D$36/12,0)</f>
        <v>0</v>
      </c>
      <c r="M36" s="99">
        <f>ROUND(SUM($E$13:L13)*$D$36/12,0)</f>
        <v>0</v>
      </c>
      <c r="N36" s="99">
        <f>ROUND(SUM($E$13:M13)*$D$36/12,0)</f>
        <v>0</v>
      </c>
      <c r="O36" s="99">
        <f>ROUND(SUM($E$13:N13)*$D$36/12,0)</f>
        <v>0</v>
      </c>
      <c r="P36" s="99">
        <f>ROUND(SUM($E$13:O13)*$D$36/12,0)</f>
        <v>0</v>
      </c>
      <c r="Q36" s="99">
        <f>ROUND(SUM($E$13:P13)*$D$36/12,0)</f>
        <v>0</v>
      </c>
      <c r="R36" s="20"/>
    </row>
    <row r="37" spans="1:18" x14ac:dyDescent="0.25">
      <c r="A37" s="130">
        <v>15</v>
      </c>
      <c r="B37" s="37" t="s">
        <v>170</v>
      </c>
      <c r="C37" s="170">
        <v>374</v>
      </c>
      <c r="D37" s="173">
        <v>0</v>
      </c>
      <c r="E37" s="172">
        <v>0</v>
      </c>
      <c r="F37" s="141">
        <f>ROUND(SUM($E$14:E14)*$D$37/12,0)</f>
        <v>0</v>
      </c>
      <c r="G37" s="141">
        <f>ROUND(SUM($E$14:F14)*$D$37/12,0)</f>
        <v>0</v>
      </c>
      <c r="H37" s="141">
        <f>ROUND(SUM($E$14:G14)*$D$37/12,0)</f>
        <v>0</v>
      </c>
      <c r="I37" s="141">
        <f>ROUND(SUM($E$14:H14)*$D$37/12,0)</f>
        <v>0</v>
      </c>
      <c r="J37" s="141">
        <f>ROUND(SUM($E$14:I14)*$D$37/12,0)</f>
        <v>0</v>
      </c>
      <c r="K37" s="141">
        <f>ROUND(SUM($E$14:J14)*$D$37/12,0)</f>
        <v>0</v>
      </c>
      <c r="L37" s="141">
        <f>ROUND(SUM($E$14:K14)*$D$37/12,0)</f>
        <v>0</v>
      </c>
      <c r="M37" s="141">
        <f>ROUND(SUM($E$14:L14)*$D$37/12,0)</f>
        <v>0</v>
      </c>
      <c r="N37" s="141">
        <f>ROUND(SUM($E$14:M14)*$D$37/12,0)</f>
        <v>0</v>
      </c>
      <c r="O37" s="141">
        <f>ROUND(SUM($E$14:N14)*$D$37/12,0)</f>
        <v>0</v>
      </c>
      <c r="P37" s="141">
        <f>ROUND(SUM($E$14:O14)*$D$37/12,0)</f>
        <v>0</v>
      </c>
      <c r="Q37" s="141">
        <f>ROUND(SUM($E$14:P14)*$D$37/12,0)</f>
        <v>0</v>
      </c>
      <c r="R37" s="20"/>
    </row>
    <row r="38" spans="1:18" x14ac:dyDescent="0.25">
      <c r="A38" s="51">
        <v>16</v>
      </c>
      <c r="B38" t="s">
        <v>53</v>
      </c>
      <c r="C38" s="44"/>
      <c r="D38" s="174"/>
      <c r="E38" s="66">
        <f>SUM(E35:E37)</f>
        <v>0</v>
      </c>
      <c r="F38" s="66">
        <f t="shared" ref="F38:Q38" si="5">SUM(F35:F37)</f>
        <v>0</v>
      </c>
      <c r="G38" s="66">
        <f t="shared" si="5"/>
        <v>0</v>
      </c>
      <c r="H38" s="66">
        <f t="shared" si="5"/>
        <v>0</v>
      </c>
      <c r="I38" s="66">
        <f t="shared" si="5"/>
        <v>0</v>
      </c>
      <c r="J38" s="66">
        <f t="shared" si="5"/>
        <v>0</v>
      </c>
      <c r="K38" s="66">
        <f t="shared" si="5"/>
        <v>0</v>
      </c>
      <c r="L38" s="66">
        <f t="shared" si="5"/>
        <v>0</v>
      </c>
      <c r="M38" s="66">
        <f t="shared" si="5"/>
        <v>0</v>
      </c>
      <c r="N38" s="66">
        <f t="shared" si="5"/>
        <v>0</v>
      </c>
      <c r="O38" s="66">
        <f t="shared" si="5"/>
        <v>0</v>
      </c>
      <c r="P38" s="66">
        <f t="shared" si="5"/>
        <v>0</v>
      </c>
      <c r="Q38" s="66">
        <f t="shared" si="5"/>
        <v>0</v>
      </c>
      <c r="R38" s="20"/>
    </row>
    <row r="39" spans="1:18" x14ac:dyDescent="0.25">
      <c r="A39" s="48"/>
      <c r="C39" s="44"/>
      <c r="D39" s="174"/>
      <c r="E39" s="37"/>
      <c r="F39" s="1"/>
      <c r="R39" s="23"/>
    </row>
    <row r="40" spans="1:18" x14ac:dyDescent="0.25">
      <c r="A40" s="130"/>
      <c r="B40" s="10" t="s">
        <v>54</v>
      </c>
      <c r="D40" s="235"/>
      <c r="E40" s="76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8" x14ac:dyDescent="0.25">
      <c r="A41" s="130">
        <f>+A38+1</f>
        <v>17</v>
      </c>
      <c r="B41" s="37" t="s">
        <v>164</v>
      </c>
      <c r="C41" s="170">
        <v>376</v>
      </c>
      <c r="D41" s="173">
        <v>1.49E-2</v>
      </c>
      <c r="E41" s="166">
        <v>0</v>
      </c>
      <c r="F41" s="99">
        <f>ROUND(SUM($E$18:E18)*$D$41/12,0)</f>
        <v>0</v>
      </c>
      <c r="G41" s="99">
        <f>ROUND(SUM($E$18:F18)*$D$41/12,0)</f>
        <v>0</v>
      </c>
      <c r="H41" s="99">
        <f>ROUND(SUM($E$18:G18)*$D$41/12,0)</f>
        <v>0</v>
      </c>
      <c r="I41" s="99">
        <f>ROUND(SUM($E$18:H18)*$D$41/12,0)</f>
        <v>0</v>
      </c>
      <c r="J41" s="99">
        <f>ROUND(SUM($E$18:I18)*$D$41/12,0)</f>
        <v>0</v>
      </c>
      <c r="K41" s="99">
        <f>ROUND(SUM($E$18:J18)*$D$41/12,0)</f>
        <v>0</v>
      </c>
      <c r="L41" s="99">
        <f>ROUND(SUM($E$18:K18)*$D$41/12,0)</f>
        <v>0</v>
      </c>
      <c r="M41" s="99">
        <f>ROUND(SUM($E$18:L18)*$D$41/12,0)</f>
        <v>0</v>
      </c>
      <c r="N41" s="99">
        <f>ROUND(SUM($E$18:M18)*$D$41/12,0)</f>
        <v>0</v>
      </c>
      <c r="O41" s="99">
        <f>ROUND(SUM($E$18:N18)*$D$41/12,0)</f>
        <v>0</v>
      </c>
      <c r="P41" s="99">
        <f>ROUND(SUM($E$18:O18)*$D$41/12,0)</f>
        <v>0</v>
      </c>
      <c r="Q41" s="99">
        <f>ROUND(SUM($E$18:P18)*$D$41/12,0)</f>
        <v>0</v>
      </c>
      <c r="R41" s="20"/>
    </row>
    <row r="42" spans="1:18" x14ac:dyDescent="0.25">
      <c r="A42" s="130">
        <f>+A41+1</f>
        <v>18</v>
      </c>
      <c r="B42" s="37" t="s">
        <v>171</v>
      </c>
      <c r="C42" s="170">
        <v>378</v>
      </c>
      <c r="D42" s="173">
        <v>2.0400000000000001E-2</v>
      </c>
      <c r="E42" s="166">
        <v>0</v>
      </c>
      <c r="F42" s="99">
        <f>ROUND(SUM($E$19:E19)*$D$42/12,0)</f>
        <v>0</v>
      </c>
      <c r="G42" s="99">
        <f>ROUND(SUM($E$19:F19)*$D$42/12,0)</f>
        <v>0</v>
      </c>
      <c r="H42" s="99">
        <f>ROUND(SUM($E$19:G19)*$D$42/12,0)</f>
        <v>0</v>
      </c>
      <c r="I42" s="99">
        <f>ROUND(SUM($E$19:H19)*$D$42/12,0)</f>
        <v>0</v>
      </c>
      <c r="J42" s="99">
        <f>ROUND(SUM($E$19:I19)*$D$42/12,0)</f>
        <v>0</v>
      </c>
      <c r="K42" s="99">
        <f>ROUND(SUM($E$19:J19)*$D$42/12,0)</f>
        <v>0</v>
      </c>
      <c r="L42" s="99">
        <f>ROUND(SUM($E$19:K19)*$D$42/12,0)</f>
        <v>0</v>
      </c>
      <c r="M42" s="99">
        <f>ROUND(SUM($E$19:L19)*$D$42/12,0)</f>
        <v>0</v>
      </c>
      <c r="N42" s="99">
        <f>ROUND(SUM($E$19:M19)*$D$42/12,0)</f>
        <v>0</v>
      </c>
      <c r="O42" s="99">
        <f>ROUND(SUM($E$19:N19)*$D$42/12,0)</f>
        <v>0</v>
      </c>
      <c r="P42" s="99">
        <f>ROUND(SUM($E$19:O19)*$D$42/12,0)</f>
        <v>0</v>
      </c>
      <c r="Q42" s="99">
        <f>ROUND(SUM($E$19:P19)*$D$42/12,0)</f>
        <v>0</v>
      </c>
      <c r="R42" s="20"/>
    </row>
    <row r="43" spans="1:18" x14ac:dyDescent="0.25">
      <c r="A43" s="130">
        <f t="shared" ref="A43:A44" si="6">+A42+1</f>
        <v>19</v>
      </c>
      <c r="B43" s="37" t="s">
        <v>170</v>
      </c>
      <c r="C43" s="170">
        <v>374</v>
      </c>
      <c r="D43" s="173">
        <v>0</v>
      </c>
      <c r="E43" s="172">
        <v>0</v>
      </c>
      <c r="F43" s="141">
        <f>ROUND(SUM($E$20:E20)*$D$42/12,0)</f>
        <v>0</v>
      </c>
      <c r="G43" s="141">
        <f>ROUND(SUM($E$20:F20)*$D$42/12,0)</f>
        <v>0</v>
      </c>
      <c r="H43" s="141">
        <f>ROUND(SUM($E$20:G20)*$D$42/12,0)</f>
        <v>0</v>
      </c>
      <c r="I43" s="141">
        <f>ROUND(SUM($E$20:H20)*$D$42/12,0)</f>
        <v>0</v>
      </c>
      <c r="J43" s="141">
        <f>ROUND(SUM($E$20:I20)*$D$42/12,0)</f>
        <v>0</v>
      </c>
      <c r="K43" s="141">
        <f>ROUND(SUM($E$20:J20)*$D$42/12,0)</f>
        <v>0</v>
      </c>
      <c r="L43" s="141">
        <f>ROUND(SUM($E$20:K20)*$D$42/12,0)</f>
        <v>0</v>
      </c>
      <c r="M43" s="141">
        <f>ROUND(SUM($E$20:L20)*$D$42/12,0)</f>
        <v>0</v>
      </c>
      <c r="N43" s="141">
        <f>ROUND(SUM($E$20:M20)*$D$42/12,0)</f>
        <v>0</v>
      </c>
      <c r="O43" s="141">
        <f>ROUND(SUM($E$20:N20)*$D$42/12,0)</f>
        <v>0</v>
      </c>
      <c r="P43" s="141">
        <f>ROUND(SUM($E$20:O20)*$D$42/12,0)</f>
        <v>0</v>
      </c>
      <c r="Q43" s="141">
        <f>ROUND(SUM($E$20:P20)*$D$42/12,0)</f>
        <v>0</v>
      </c>
      <c r="R43" s="20"/>
    </row>
    <row r="44" spans="1:18" x14ac:dyDescent="0.25">
      <c r="A44" s="130">
        <f t="shared" si="6"/>
        <v>20</v>
      </c>
      <c r="B44" t="s">
        <v>53</v>
      </c>
      <c r="C44" s="44"/>
      <c r="D44" s="174"/>
      <c r="E44" s="66">
        <f>SUM(E41:E43)</f>
        <v>0</v>
      </c>
      <c r="F44" s="66">
        <f t="shared" ref="F44:Q44" si="7">SUM(F41:F43)</f>
        <v>0</v>
      </c>
      <c r="G44" s="66">
        <f t="shared" si="7"/>
        <v>0</v>
      </c>
      <c r="H44" s="66">
        <f t="shared" si="7"/>
        <v>0</v>
      </c>
      <c r="I44" s="66">
        <f t="shared" si="7"/>
        <v>0</v>
      </c>
      <c r="J44" s="66">
        <f t="shared" si="7"/>
        <v>0</v>
      </c>
      <c r="K44" s="66">
        <f t="shared" si="7"/>
        <v>0</v>
      </c>
      <c r="L44" s="66">
        <f t="shared" si="7"/>
        <v>0</v>
      </c>
      <c r="M44" s="66">
        <f t="shared" si="7"/>
        <v>0</v>
      </c>
      <c r="N44" s="66">
        <f t="shared" si="7"/>
        <v>0</v>
      </c>
      <c r="O44" s="66">
        <f t="shared" si="7"/>
        <v>0</v>
      </c>
      <c r="P44" s="66">
        <f t="shared" si="7"/>
        <v>0</v>
      </c>
      <c r="Q44" s="66">
        <f t="shared" si="7"/>
        <v>0</v>
      </c>
      <c r="R44" s="20"/>
    </row>
    <row r="45" spans="1:18" x14ac:dyDescent="0.25">
      <c r="A45" s="130"/>
      <c r="C45" s="44"/>
      <c r="D45" s="174"/>
      <c r="E45" s="37"/>
      <c r="F45" s="1"/>
      <c r="R45" s="23"/>
    </row>
    <row r="46" spans="1:18" ht="15.75" thickBot="1" x14ac:dyDescent="0.3">
      <c r="A46" s="51">
        <v>21</v>
      </c>
      <c r="B46" s="10" t="s">
        <v>108</v>
      </c>
      <c r="C46" s="51"/>
      <c r="D46" s="51"/>
      <c r="E46" s="70">
        <f>E38-E44</f>
        <v>0</v>
      </c>
      <c r="F46" s="70">
        <f>+E46+F38-F44</f>
        <v>0</v>
      </c>
      <c r="G46" s="70">
        <f t="shared" ref="G46:Q46" si="8">+F46+G38-G44</f>
        <v>0</v>
      </c>
      <c r="H46" s="70">
        <f t="shared" si="8"/>
        <v>0</v>
      </c>
      <c r="I46" s="70">
        <f t="shared" si="8"/>
        <v>0</v>
      </c>
      <c r="J46" s="70">
        <f t="shared" si="8"/>
        <v>0</v>
      </c>
      <c r="K46" s="70">
        <f t="shared" si="8"/>
        <v>0</v>
      </c>
      <c r="L46" s="70">
        <f t="shared" si="8"/>
        <v>0</v>
      </c>
      <c r="M46" s="70">
        <f t="shared" si="8"/>
        <v>0</v>
      </c>
      <c r="N46" s="70">
        <f t="shared" si="8"/>
        <v>0</v>
      </c>
      <c r="O46" s="70">
        <f t="shared" si="8"/>
        <v>0</v>
      </c>
      <c r="P46" s="70">
        <f t="shared" si="8"/>
        <v>0</v>
      </c>
      <c r="Q46" s="70">
        <f t="shared" si="8"/>
        <v>0</v>
      </c>
      <c r="R46" s="67">
        <f>AVERAGE(E46:Q46)</f>
        <v>0</v>
      </c>
    </row>
    <row r="47" spans="1:18" ht="15.75" thickTop="1" x14ac:dyDescent="0.25">
      <c r="A47" s="51"/>
      <c r="C47" s="51"/>
      <c r="D47" s="51"/>
      <c r="E47" s="52"/>
      <c r="F47" s="5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9" spans="1:5" x14ac:dyDescent="0.25">
      <c r="A49" t="s">
        <v>41</v>
      </c>
    </row>
    <row r="50" spans="1:5" x14ac:dyDescent="0.25">
      <c r="A50" s="169" t="s">
        <v>226</v>
      </c>
      <c r="B50" s="37"/>
      <c r="C50" s="37"/>
      <c r="D50" s="37"/>
      <c r="E50" s="37"/>
    </row>
  </sheetData>
  <pageMargins left="0.7" right="0.7" top="0.75" bottom="0.75" header="0.3" footer="0.3"/>
  <pageSetup scale="51" orientation="landscape" r:id="rId1"/>
  <headerFooter>
    <oddHeader>&amp;RCase No 2023-00209
STAFF-DR-01-002c
Page &amp;P of &amp;N
&amp;A</oddHeader>
  </headerFooter>
  <ignoredErrors>
    <ignoredError sqref="G35:Q35 G36:Q36 G37:Q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1"/>
  <sheetViews>
    <sheetView topLeftCell="F19" zoomScale="80" zoomScaleNormal="80" zoomScalePageLayoutView="175" workbookViewId="0">
      <selection activeCell="H19" sqref="H19"/>
    </sheetView>
  </sheetViews>
  <sheetFormatPr defaultRowHeight="15" x14ac:dyDescent="0.25"/>
  <cols>
    <col min="1" max="1" width="10.28515625" customWidth="1"/>
    <col min="2" max="2" width="11.85546875" customWidth="1"/>
    <col min="3" max="3" width="18.42578125" customWidth="1"/>
    <col min="4" max="4" width="19.42578125" customWidth="1"/>
    <col min="5" max="5" width="18.28515625" customWidth="1"/>
    <col min="6" max="6" width="11.42578125" bestFit="1" customWidth="1"/>
    <col min="7" max="7" width="3.7109375" style="23" customWidth="1"/>
    <col min="8" max="8" width="14" customWidth="1"/>
    <col min="9" max="9" width="16.140625" customWidth="1"/>
    <col min="10" max="10" width="14" customWidth="1"/>
    <col min="11" max="11" width="16.140625" customWidth="1"/>
    <col min="12" max="12" width="13.42578125" customWidth="1"/>
    <col min="13" max="13" width="18.85546875" bestFit="1" customWidth="1"/>
    <col min="14" max="14" width="15.42578125" customWidth="1"/>
    <col min="15" max="15" width="15.28515625" customWidth="1"/>
    <col min="16" max="16" width="12.42578125" customWidth="1"/>
    <col min="17" max="18" width="14.85546875" customWidth="1"/>
    <col min="19" max="19" width="13.28515625" customWidth="1"/>
    <col min="20" max="20" width="3.5703125" customWidth="1"/>
  </cols>
  <sheetData>
    <row r="1" spans="1:20" x14ac:dyDescent="0.25">
      <c r="A1" s="110" t="str">
        <f>'Sch 1.0'!A2</f>
        <v>Duke Energy Kentucky</v>
      </c>
      <c r="B1" s="110"/>
      <c r="C1" s="110"/>
      <c r="D1" s="110"/>
      <c r="E1" s="110"/>
      <c r="F1" s="110"/>
      <c r="G1" s="215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x14ac:dyDescent="0.25">
      <c r="A2" s="110" t="str">
        <f>'Sch 1.0'!A3</f>
        <v>Pipeline Modernization Mechanism ("Rider PMM")</v>
      </c>
      <c r="B2" s="110"/>
      <c r="C2" s="110"/>
      <c r="D2" s="110"/>
      <c r="E2" s="110"/>
      <c r="F2" s="110"/>
      <c r="G2" s="215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x14ac:dyDescent="0.25">
      <c r="A3" s="110" t="s">
        <v>28</v>
      </c>
      <c r="B3" s="110"/>
      <c r="C3" s="110"/>
      <c r="D3" s="110"/>
      <c r="E3" s="110"/>
      <c r="F3" s="110"/>
      <c r="G3" s="215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x14ac:dyDescent="0.25">
      <c r="A4" s="110"/>
      <c r="B4" s="110"/>
      <c r="C4" s="110"/>
      <c r="D4" s="110"/>
      <c r="E4" s="110"/>
      <c r="F4" s="110"/>
      <c r="G4" s="215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5.75" x14ac:dyDescent="0.25">
      <c r="A5" s="198" t="s">
        <v>172</v>
      </c>
      <c r="B5" s="8"/>
      <c r="C5" s="8"/>
      <c r="D5" s="8"/>
      <c r="E5" s="8"/>
      <c r="F5" s="8"/>
      <c r="G5" s="216"/>
      <c r="H5" s="8"/>
      <c r="I5" s="8"/>
      <c r="J5" s="8"/>
      <c r="K5" s="8"/>
      <c r="L5" s="8"/>
      <c r="M5" s="8"/>
    </row>
    <row r="7" spans="1:20" x14ac:dyDescent="0.25">
      <c r="A7" s="199" t="s">
        <v>207</v>
      </c>
      <c r="B7" s="225"/>
      <c r="C7" s="200" t="s">
        <v>173</v>
      </c>
      <c r="D7" s="200" t="s">
        <v>174</v>
      </c>
      <c r="E7" s="200" t="s">
        <v>187</v>
      </c>
      <c r="F7" s="200" t="s">
        <v>188</v>
      </c>
      <c r="G7" s="217"/>
      <c r="H7" s="200" t="s">
        <v>233</v>
      </c>
      <c r="I7" s="200" t="s">
        <v>232</v>
      </c>
      <c r="J7" s="200" t="s">
        <v>234</v>
      </c>
      <c r="K7" s="200" t="s">
        <v>235</v>
      </c>
      <c r="L7" s="200" t="s">
        <v>236</v>
      </c>
      <c r="M7" s="200" t="s">
        <v>191</v>
      </c>
      <c r="N7" s="201" t="s">
        <v>237</v>
      </c>
      <c r="O7" s="201" t="s">
        <v>192</v>
      </c>
      <c r="P7" s="201" t="s">
        <v>238</v>
      </c>
      <c r="Q7" s="201" t="s">
        <v>195</v>
      </c>
      <c r="R7" s="201" t="s">
        <v>239</v>
      </c>
      <c r="S7" s="201" t="s">
        <v>240</v>
      </c>
    </row>
    <row r="8" spans="1:20" ht="15" customHeight="1" x14ac:dyDescent="0.25">
      <c r="H8" s="130"/>
      <c r="I8" s="130"/>
      <c r="J8" s="130"/>
      <c r="K8" s="130"/>
      <c r="L8" s="130"/>
      <c r="N8" s="130"/>
      <c r="O8" s="222"/>
      <c r="P8" s="130"/>
      <c r="Q8" s="130"/>
      <c r="R8" s="130"/>
      <c r="S8" s="130"/>
    </row>
    <row r="9" spans="1:20" ht="60" x14ac:dyDescent="0.25">
      <c r="B9" s="202" t="s">
        <v>57</v>
      </c>
      <c r="C9" s="213" t="s">
        <v>178</v>
      </c>
      <c r="D9" s="213" t="s">
        <v>186</v>
      </c>
      <c r="E9" s="213" t="s">
        <v>179</v>
      </c>
      <c r="F9" s="213" t="s">
        <v>184</v>
      </c>
      <c r="G9" s="218"/>
      <c r="H9" s="213" t="s">
        <v>231</v>
      </c>
      <c r="I9" s="213" t="s">
        <v>230</v>
      </c>
      <c r="J9" s="213" t="s">
        <v>181</v>
      </c>
      <c r="K9" s="213" t="s">
        <v>185</v>
      </c>
      <c r="L9" s="213" t="s">
        <v>180</v>
      </c>
      <c r="M9" s="202" t="s">
        <v>72</v>
      </c>
      <c r="N9" s="213" t="s">
        <v>189</v>
      </c>
      <c r="O9" s="213" t="s">
        <v>190</v>
      </c>
      <c r="P9" s="213" t="s">
        <v>182</v>
      </c>
      <c r="Q9" s="213" t="s">
        <v>183</v>
      </c>
      <c r="R9" s="213" t="s">
        <v>193</v>
      </c>
      <c r="S9" s="213" t="s">
        <v>194</v>
      </c>
    </row>
    <row r="10" spans="1:20" x14ac:dyDescent="0.25">
      <c r="B10" s="203">
        <v>45627</v>
      </c>
      <c r="C10" s="256">
        <f>+'Sch 2.0'!$E$12-'Sch 2.0'!$E$18</f>
        <v>0</v>
      </c>
      <c r="D10" s="256">
        <f>+'Sch 2.0'!$E$13-'Sch 2.0'!$E$19</f>
        <v>0</v>
      </c>
      <c r="E10" s="256">
        <f>+'Sch 2.0'!$E$14-'Sch 2.0'!$E$20</f>
        <v>0</v>
      </c>
      <c r="F10" s="256">
        <f>SUM(C10:E10)</f>
        <v>0</v>
      </c>
      <c r="G10" s="257"/>
      <c r="H10" s="203"/>
      <c r="I10" s="203"/>
      <c r="J10" s="256">
        <f>C10*5%</f>
        <v>0</v>
      </c>
      <c r="K10" s="206">
        <f>D10*3.75%</f>
        <v>0</v>
      </c>
      <c r="L10" s="206">
        <f t="shared" ref="L10:L22" si="0">SUM(H10:K10)</f>
        <v>0</v>
      </c>
      <c r="M10" s="256">
        <f>((SUM($C$10:$C10)*'Sch 2.0'!$D$35)+(SUM($D$10:$D10)*'Sch 2.0'!$D$36))/12</f>
        <v>0</v>
      </c>
      <c r="N10" s="204">
        <f>L10-M10</f>
        <v>0</v>
      </c>
      <c r="O10" s="205">
        <f>+N10</f>
        <v>0</v>
      </c>
      <c r="P10" s="204"/>
      <c r="Q10" s="204"/>
      <c r="R10" s="204"/>
      <c r="S10" s="204">
        <f>+O10</f>
        <v>0</v>
      </c>
    </row>
    <row r="11" spans="1:20" x14ac:dyDescent="0.25">
      <c r="A11" t="s">
        <v>175</v>
      </c>
      <c r="B11" s="203">
        <v>45658</v>
      </c>
      <c r="C11" s="256">
        <f>+'Sch 2.0'!$F$12-'Sch 2.0'!$F$18</f>
        <v>0</v>
      </c>
      <c r="D11" s="256">
        <f>+'Sch 2.0'!$F$13-'Sch 2.0'!$F$19</f>
        <v>0</v>
      </c>
      <c r="E11" s="256">
        <f>+'Sch 2.0'!$F$14-'Sch 2.0'!$F$20</f>
        <v>0</v>
      </c>
      <c r="F11" s="256">
        <f t="shared" ref="F11:F22" si="1">SUM(C11:E11)</f>
        <v>0</v>
      </c>
      <c r="G11" s="257"/>
      <c r="H11" s="249">
        <f>(C10*9.5%)/12</f>
        <v>0</v>
      </c>
      <c r="I11" s="249">
        <f>(D10*7.219%)/12</f>
        <v>0</v>
      </c>
      <c r="J11" s="206">
        <f>(C11*5%)/12</f>
        <v>0</v>
      </c>
      <c r="K11" s="206">
        <f>(D11*3.75%)/12</f>
        <v>0</v>
      </c>
      <c r="L11" s="206">
        <f t="shared" si="0"/>
        <v>0</v>
      </c>
      <c r="M11" s="256">
        <f>((SUM($C$10:$C11)*'Sch 2.0'!$D$35)+(SUM($D$10:$D11)*'Sch 2.0'!$D$36))/12</f>
        <v>0</v>
      </c>
      <c r="N11" s="204">
        <f t="shared" ref="N11:N22" si="2">L11-M11</f>
        <v>0</v>
      </c>
      <c r="O11" s="205">
        <f>+N11+O10</f>
        <v>0</v>
      </c>
      <c r="P11" s="204">
        <f>+B11-B10</f>
        <v>31</v>
      </c>
      <c r="Q11" s="204">
        <f>365-SUM(P$11:P11)+1</f>
        <v>335</v>
      </c>
      <c r="R11" s="204" t="e">
        <f>+N11*Q11/$P24</f>
        <v>#DIV/0!</v>
      </c>
      <c r="S11" s="204" t="e">
        <f>+S10+R11</f>
        <v>#DIV/0!</v>
      </c>
    </row>
    <row r="12" spans="1:20" x14ac:dyDescent="0.25">
      <c r="A12" t="s">
        <v>175</v>
      </c>
      <c r="B12" s="203">
        <v>45689</v>
      </c>
      <c r="C12" s="256">
        <f>+'Sch 2.0'!$G$12-'Sch 2.0'!$G$18</f>
        <v>0</v>
      </c>
      <c r="D12" s="256">
        <f>+'Sch 2.0'!$G$13-'Sch 2.0'!$G$19</f>
        <v>0</v>
      </c>
      <c r="E12" s="256">
        <f>+'Sch 2.0'!$G$14-'Sch 2.0'!$G$20</f>
        <v>0</v>
      </c>
      <c r="F12" s="256">
        <f t="shared" si="1"/>
        <v>0</v>
      </c>
      <c r="G12" s="257"/>
      <c r="H12" s="262">
        <f>+H11</f>
        <v>0</v>
      </c>
      <c r="I12" s="262">
        <f>+I11</f>
        <v>0</v>
      </c>
      <c r="J12" s="206">
        <f>J11+(C12*5%)/11</f>
        <v>0</v>
      </c>
      <c r="K12" s="206">
        <f>K11+(D12*3.75%)/11</f>
        <v>0</v>
      </c>
      <c r="L12" s="206">
        <f t="shared" si="0"/>
        <v>0</v>
      </c>
      <c r="M12" s="256">
        <f>((SUM($C$10:$C12)*'Sch 2.0'!$D$35)+(SUM($D$10:$D12)*'Sch 2.0'!$D$36))/12</f>
        <v>0</v>
      </c>
      <c r="N12" s="204">
        <f t="shared" si="2"/>
        <v>0</v>
      </c>
      <c r="O12" s="205">
        <f t="shared" ref="O12:O22" si="3">+N12+O11</f>
        <v>0</v>
      </c>
      <c r="P12" s="243">
        <v>28</v>
      </c>
      <c r="Q12" s="204">
        <f>365-SUM(P$11:P12)+1</f>
        <v>307</v>
      </c>
      <c r="R12" s="204" t="e">
        <f t="shared" ref="R12:R22" si="4">+N12*Q12/$P25</f>
        <v>#DIV/0!</v>
      </c>
      <c r="S12" s="204" t="e">
        <f t="shared" ref="S12:S22" si="5">+S11+R12</f>
        <v>#DIV/0!</v>
      </c>
    </row>
    <row r="13" spans="1:20" x14ac:dyDescent="0.25">
      <c r="A13" t="s">
        <v>175</v>
      </c>
      <c r="B13" s="203">
        <v>45717</v>
      </c>
      <c r="C13" s="256">
        <f>+'Sch 2.0'!$H$12-'Sch 2.0'!$H$18</f>
        <v>0</v>
      </c>
      <c r="D13" s="256">
        <f>+'Sch 2.0'!$H$13-'Sch 2.0'!$H$19</f>
        <v>0</v>
      </c>
      <c r="E13" s="256">
        <f>+'Sch 2.0'!$H$14-'Sch 2.0'!$H$20</f>
        <v>0</v>
      </c>
      <c r="F13" s="256">
        <f t="shared" si="1"/>
        <v>0</v>
      </c>
      <c r="G13" s="257"/>
      <c r="H13" s="262">
        <f t="shared" ref="H13:I22" si="6">+H12</f>
        <v>0</v>
      </c>
      <c r="I13" s="262">
        <f t="shared" si="6"/>
        <v>0</v>
      </c>
      <c r="J13" s="206">
        <f>J12+(C13*5%)/10</f>
        <v>0</v>
      </c>
      <c r="K13" s="206">
        <f>K12+(D13*3.75%)/10</f>
        <v>0</v>
      </c>
      <c r="L13" s="206">
        <f t="shared" si="0"/>
        <v>0</v>
      </c>
      <c r="M13" s="256">
        <f>((SUM($C$10:$C13)*'Sch 2.0'!$D$35)+(SUM($D$10:$D13)*'Sch 2.0'!$D$36))/12</f>
        <v>0</v>
      </c>
      <c r="N13" s="204">
        <f t="shared" si="2"/>
        <v>0</v>
      </c>
      <c r="O13" s="205">
        <f t="shared" si="3"/>
        <v>0</v>
      </c>
      <c r="P13" s="204">
        <v>31</v>
      </c>
      <c r="Q13" s="204">
        <f>365-SUM(P$11:P13)+1</f>
        <v>276</v>
      </c>
      <c r="R13" s="204" t="e">
        <f t="shared" si="4"/>
        <v>#DIV/0!</v>
      </c>
      <c r="S13" s="204" t="e">
        <f t="shared" si="5"/>
        <v>#DIV/0!</v>
      </c>
    </row>
    <row r="14" spans="1:20" x14ac:dyDescent="0.25">
      <c r="A14" t="s">
        <v>175</v>
      </c>
      <c r="B14" s="203">
        <v>45748</v>
      </c>
      <c r="C14" s="256">
        <f>+'Sch 2.0'!$I$12-'Sch 2.0'!$I$18</f>
        <v>0</v>
      </c>
      <c r="D14" s="256">
        <f>+'Sch 2.0'!$I$13-'Sch 2.0'!$I$19</f>
        <v>0</v>
      </c>
      <c r="E14" s="256">
        <f>+'Sch 2.0'!$I$14-'Sch 2.0'!$I$20</f>
        <v>0</v>
      </c>
      <c r="F14" s="256">
        <f t="shared" si="1"/>
        <v>0</v>
      </c>
      <c r="G14" s="257"/>
      <c r="H14" s="262">
        <f t="shared" si="6"/>
        <v>0</v>
      </c>
      <c r="I14" s="262">
        <f t="shared" si="6"/>
        <v>0</v>
      </c>
      <c r="J14" s="206">
        <f>J13+(C14*5%)/9</f>
        <v>0</v>
      </c>
      <c r="K14" s="206">
        <f>K13+(D14*3.75%)/9</f>
        <v>0</v>
      </c>
      <c r="L14" s="206">
        <f t="shared" si="0"/>
        <v>0</v>
      </c>
      <c r="M14" s="256">
        <f>((SUM($C$10:$C14)*'Sch 2.0'!$D$35)+(SUM($D$10:$D14)*'Sch 2.0'!$D$36))/12</f>
        <v>0</v>
      </c>
      <c r="N14" s="204">
        <f t="shared" si="2"/>
        <v>0</v>
      </c>
      <c r="O14" s="205">
        <f t="shared" si="3"/>
        <v>0</v>
      </c>
      <c r="P14" s="204">
        <v>30</v>
      </c>
      <c r="Q14" s="204">
        <f>365-SUM(P$11:P14)+1</f>
        <v>246</v>
      </c>
      <c r="R14" s="204" t="e">
        <f t="shared" si="4"/>
        <v>#DIV/0!</v>
      </c>
      <c r="S14" s="204" t="e">
        <f t="shared" si="5"/>
        <v>#DIV/0!</v>
      </c>
    </row>
    <row r="15" spans="1:20" x14ac:dyDescent="0.25">
      <c r="A15" t="s">
        <v>175</v>
      </c>
      <c r="B15" s="203">
        <v>45778</v>
      </c>
      <c r="C15" s="256">
        <f>+'Sch 2.0'!$J$12-'Sch 2.0'!$J$18</f>
        <v>0</v>
      </c>
      <c r="D15" s="256">
        <f>+'Sch 2.0'!$J$13-'Sch 2.0'!$J$19</f>
        <v>0</v>
      </c>
      <c r="E15" s="256">
        <f>+'Sch 2.0'!$J$14-'Sch 2.0'!$J$20</f>
        <v>0</v>
      </c>
      <c r="F15" s="256">
        <f t="shared" si="1"/>
        <v>0</v>
      </c>
      <c r="G15" s="257"/>
      <c r="H15" s="262">
        <f t="shared" si="6"/>
        <v>0</v>
      </c>
      <c r="I15" s="262">
        <f t="shared" si="6"/>
        <v>0</v>
      </c>
      <c r="J15" s="206">
        <f>J14+(C15*5%)/8</f>
        <v>0</v>
      </c>
      <c r="K15" s="206">
        <f>K14+(D15*3.75%)/8</f>
        <v>0</v>
      </c>
      <c r="L15" s="206">
        <f t="shared" si="0"/>
        <v>0</v>
      </c>
      <c r="M15" s="256">
        <f>((SUM($C$10:$C15)*'Sch 2.0'!$D$35)+(SUM($D$10:$D15)*'Sch 2.0'!$D$36))/12</f>
        <v>0</v>
      </c>
      <c r="N15" s="204">
        <f t="shared" si="2"/>
        <v>0</v>
      </c>
      <c r="O15" s="205">
        <f t="shared" si="3"/>
        <v>0</v>
      </c>
      <c r="P15" s="204">
        <v>31</v>
      </c>
      <c r="Q15" s="204">
        <f>365-SUM(P$11:P15)+1</f>
        <v>215</v>
      </c>
      <c r="R15" s="204" t="e">
        <f t="shared" si="4"/>
        <v>#DIV/0!</v>
      </c>
      <c r="S15" s="204" t="e">
        <f t="shared" si="5"/>
        <v>#DIV/0!</v>
      </c>
    </row>
    <row r="16" spans="1:20" x14ac:dyDescent="0.25">
      <c r="A16" t="s">
        <v>175</v>
      </c>
      <c r="B16" s="203">
        <v>45809</v>
      </c>
      <c r="C16" s="256">
        <f>+'Sch 2.0'!$K$12-'Sch 2.0'!$K$18</f>
        <v>0</v>
      </c>
      <c r="D16" s="256">
        <f>+'Sch 2.0'!$K$13-'Sch 2.0'!$K$19</f>
        <v>0</v>
      </c>
      <c r="E16" s="256">
        <f>+'Sch 2.0'!$K$14-'Sch 2.0'!$K$20</f>
        <v>0</v>
      </c>
      <c r="F16" s="256">
        <f t="shared" si="1"/>
        <v>0</v>
      </c>
      <c r="G16" s="257"/>
      <c r="H16" s="262">
        <f t="shared" si="6"/>
        <v>0</v>
      </c>
      <c r="I16" s="262">
        <f t="shared" si="6"/>
        <v>0</v>
      </c>
      <c r="J16" s="206">
        <f>J15+(C16*5%)/7</f>
        <v>0</v>
      </c>
      <c r="K16" s="206">
        <f>K15+(D16*3.75%)/7</f>
        <v>0</v>
      </c>
      <c r="L16" s="206">
        <f t="shared" si="0"/>
        <v>0</v>
      </c>
      <c r="M16" s="256">
        <f>((SUM($C$10:$C16)*'Sch 2.0'!$D$35)+(SUM($D$10:$D16)*'Sch 2.0'!$D$36))/12</f>
        <v>0</v>
      </c>
      <c r="N16" s="204">
        <f t="shared" si="2"/>
        <v>0</v>
      </c>
      <c r="O16" s="205">
        <f t="shared" si="3"/>
        <v>0</v>
      </c>
      <c r="P16" s="204">
        <v>30</v>
      </c>
      <c r="Q16" s="204">
        <f>365-SUM(P$11:P16)+1</f>
        <v>185</v>
      </c>
      <c r="R16" s="204" t="e">
        <f t="shared" si="4"/>
        <v>#VALUE!</v>
      </c>
      <c r="S16" s="204" t="e">
        <f t="shared" si="5"/>
        <v>#DIV/0!</v>
      </c>
    </row>
    <row r="17" spans="1:19" x14ac:dyDescent="0.25">
      <c r="A17" t="s">
        <v>175</v>
      </c>
      <c r="B17" s="203">
        <v>45839</v>
      </c>
      <c r="C17" s="256">
        <f>+'Sch 2.0'!$L$12-'Sch 2.0'!$L$18</f>
        <v>0</v>
      </c>
      <c r="D17" s="256">
        <f>+'Sch 2.0'!$L$13-'Sch 2.0'!$L$19</f>
        <v>0</v>
      </c>
      <c r="E17" s="256">
        <f>+'Sch 2.0'!$L$14-'Sch 2.0'!$L$20</f>
        <v>0</v>
      </c>
      <c r="F17" s="256">
        <f t="shared" si="1"/>
        <v>0</v>
      </c>
      <c r="G17" s="257"/>
      <c r="H17" s="262">
        <f t="shared" si="6"/>
        <v>0</v>
      </c>
      <c r="I17" s="262">
        <f t="shared" si="6"/>
        <v>0</v>
      </c>
      <c r="J17" s="206">
        <f>J16+(C17*5%)/6</f>
        <v>0</v>
      </c>
      <c r="K17" s="206">
        <f>K16+(D17*3.75%)/6</f>
        <v>0</v>
      </c>
      <c r="L17" s="206">
        <f t="shared" si="0"/>
        <v>0</v>
      </c>
      <c r="M17" s="256">
        <f>((SUM($C$10:$C17)*'Sch 2.0'!$D$35)+(SUM($D$10:$D17)*'Sch 2.0'!$D$36))/12</f>
        <v>0</v>
      </c>
      <c r="N17" s="204">
        <f t="shared" si="2"/>
        <v>0</v>
      </c>
      <c r="O17" s="205">
        <f t="shared" si="3"/>
        <v>0</v>
      </c>
      <c r="P17" s="204">
        <v>31</v>
      </c>
      <c r="Q17" s="204">
        <f>365-SUM(P$11:P17)+1</f>
        <v>154</v>
      </c>
      <c r="R17" s="204" t="e">
        <f t="shared" si="4"/>
        <v>#VALUE!</v>
      </c>
      <c r="S17" s="204" t="e">
        <f t="shared" si="5"/>
        <v>#DIV/0!</v>
      </c>
    </row>
    <row r="18" spans="1:19" x14ac:dyDescent="0.25">
      <c r="A18" t="s">
        <v>175</v>
      </c>
      <c r="B18" s="203">
        <v>45870</v>
      </c>
      <c r="C18" s="256">
        <f>+'Sch 2.0'!$M$12-'Sch 2.0'!$M$18</f>
        <v>0</v>
      </c>
      <c r="D18" s="256">
        <f>+'Sch 2.0'!$M$13-'Sch 2.0'!$M$19</f>
        <v>0</v>
      </c>
      <c r="E18" s="256">
        <f>+'Sch 2.0'!$M$14-'Sch 2.0'!$M$20</f>
        <v>0</v>
      </c>
      <c r="F18" s="256">
        <f t="shared" si="1"/>
        <v>0</v>
      </c>
      <c r="G18" s="257"/>
      <c r="H18" s="262">
        <f t="shared" si="6"/>
        <v>0</v>
      </c>
      <c r="I18" s="262">
        <f t="shared" si="6"/>
        <v>0</v>
      </c>
      <c r="J18" s="206">
        <f>J17+(C18*5%)/5</f>
        <v>0</v>
      </c>
      <c r="K18" s="206">
        <f>K17+(D18*3.75%)/5</f>
        <v>0</v>
      </c>
      <c r="L18" s="206">
        <f t="shared" si="0"/>
        <v>0</v>
      </c>
      <c r="M18" s="256">
        <f>((SUM($C$10:$C18)*'Sch 2.0'!$D$35)+(SUM($D$10:$D18)*'Sch 2.0'!$D$36))/12</f>
        <v>0</v>
      </c>
      <c r="N18" s="204">
        <f t="shared" si="2"/>
        <v>0</v>
      </c>
      <c r="O18" s="205">
        <f t="shared" si="3"/>
        <v>0</v>
      </c>
      <c r="P18" s="204">
        <v>31</v>
      </c>
      <c r="Q18" s="204">
        <f>365-SUM(P$11:P18)+1</f>
        <v>123</v>
      </c>
      <c r="R18" s="204" t="e">
        <f t="shared" si="4"/>
        <v>#DIV/0!</v>
      </c>
      <c r="S18" s="204" t="e">
        <f t="shared" si="5"/>
        <v>#DIV/0!</v>
      </c>
    </row>
    <row r="19" spans="1:19" x14ac:dyDescent="0.25">
      <c r="A19" t="s">
        <v>175</v>
      </c>
      <c r="B19" s="203">
        <v>45901</v>
      </c>
      <c r="C19" s="256">
        <f>+'Sch 2.0'!$N$12-'Sch 2.0'!$N$18</f>
        <v>0</v>
      </c>
      <c r="D19" s="256">
        <f>+'Sch 2.0'!$N$13-'Sch 2.0'!$N$19</f>
        <v>0</v>
      </c>
      <c r="E19" s="256">
        <f>+'Sch 2.0'!$N$14-'Sch 2.0'!$N$20</f>
        <v>0</v>
      </c>
      <c r="F19" s="256">
        <f t="shared" si="1"/>
        <v>0</v>
      </c>
      <c r="G19" s="259"/>
      <c r="H19" s="262">
        <f t="shared" si="6"/>
        <v>0</v>
      </c>
      <c r="I19" s="262">
        <f t="shared" si="6"/>
        <v>0</v>
      </c>
      <c r="J19" s="206">
        <f>J18+(C19*5%)/4</f>
        <v>0</v>
      </c>
      <c r="K19" s="206">
        <f>K18+(D19*3.75%)/4</f>
        <v>0</v>
      </c>
      <c r="L19" s="206">
        <f t="shared" si="0"/>
        <v>0</v>
      </c>
      <c r="M19" s="258">
        <f>((SUM($C$10:$C19)*'Sch 2.0'!$D$35)+(SUM($D$10:$D19)*'Sch 2.0'!$D$36))/12</f>
        <v>0</v>
      </c>
      <c r="N19" s="204">
        <f t="shared" si="2"/>
        <v>0</v>
      </c>
      <c r="O19" s="205">
        <f t="shared" si="3"/>
        <v>0</v>
      </c>
      <c r="P19" s="204">
        <v>30</v>
      </c>
      <c r="Q19" s="204">
        <f>365-SUM(P$11:P19)+1</f>
        <v>93</v>
      </c>
      <c r="R19" s="204">
        <f t="shared" si="4"/>
        <v>0</v>
      </c>
      <c r="S19" s="204" t="e">
        <f t="shared" si="5"/>
        <v>#DIV/0!</v>
      </c>
    </row>
    <row r="20" spans="1:19" x14ac:dyDescent="0.25">
      <c r="A20" t="s">
        <v>175</v>
      </c>
      <c r="B20" s="203">
        <v>45931</v>
      </c>
      <c r="C20" s="256">
        <f>+'Sch 2.0'!$O$12-'Sch 2.0'!$O$18</f>
        <v>0</v>
      </c>
      <c r="D20" s="256">
        <f>+'Sch 2.0'!$O$13-'Sch 2.0'!$O$19</f>
        <v>0</v>
      </c>
      <c r="E20" s="256">
        <f>+'Sch 2.0'!$O$14-'Sch 2.0'!$O$20</f>
        <v>0</v>
      </c>
      <c r="F20" s="256">
        <f t="shared" si="1"/>
        <v>0</v>
      </c>
      <c r="G20" s="259"/>
      <c r="H20" s="262">
        <f t="shared" si="6"/>
        <v>0</v>
      </c>
      <c r="I20" s="262">
        <f t="shared" si="6"/>
        <v>0</v>
      </c>
      <c r="J20" s="206">
        <f>J19+(C20*5%)/3</f>
        <v>0</v>
      </c>
      <c r="K20" s="206">
        <f>K19+(D20*3.75%)/3</f>
        <v>0</v>
      </c>
      <c r="L20" s="206">
        <f t="shared" si="0"/>
        <v>0</v>
      </c>
      <c r="M20" s="258">
        <f>((SUM($C$10:$C20)*'Sch 2.0'!$D$35)+(SUM($D$10:$D20)*'Sch 2.0'!$D$36))/12</f>
        <v>0</v>
      </c>
      <c r="N20" s="204">
        <f t="shared" si="2"/>
        <v>0</v>
      </c>
      <c r="O20" s="205">
        <f t="shared" si="3"/>
        <v>0</v>
      </c>
      <c r="P20" s="204">
        <v>31</v>
      </c>
      <c r="Q20" s="204">
        <f>365-SUM(P$11:P20)+1</f>
        <v>62</v>
      </c>
      <c r="R20" s="204">
        <f t="shared" si="4"/>
        <v>0</v>
      </c>
      <c r="S20" s="204" t="e">
        <f t="shared" si="5"/>
        <v>#DIV/0!</v>
      </c>
    </row>
    <row r="21" spans="1:19" x14ac:dyDescent="0.25">
      <c r="A21" t="s">
        <v>175</v>
      </c>
      <c r="B21" s="203">
        <v>45962</v>
      </c>
      <c r="C21" s="256">
        <f>+'Sch 2.0'!$P$12-'Sch 2.0'!$P$18</f>
        <v>0</v>
      </c>
      <c r="D21" s="256">
        <f>+'Sch 2.0'!$P$13-'Sch 2.0'!$P$19</f>
        <v>0</v>
      </c>
      <c r="E21" s="256">
        <f>+'Sch 2.0'!$P$14-'Sch 2.0'!$P$20</f>
        <v>0</v>
      </c>
      <c r="F21" s="256">
        <f t="shared" si="1"/>
        <v>0</v>
      </c>
      <c r="G21" s="259"/>
      <c r="H21" s="262">
        <f t="shared" si="6"/>
        <v>0</v>
      </c>
      <c r="I21" s="262">
        <f t="shared" si="6"/>
        <v>0</v>
      </c>
      <c r="J21" s="206">
        <f>J20+(C21*5%)/2</f>
        <v>0</v>
      </c>
      <c r="K21" s="206">
        <f>K20+(D21*3.75%)/2</f>
        <v>0</v>
      </c>
      <c r="L21" s="206">
        <f t="shared" si="0"/>
        <v>0</v>
      </c>
      <c r="M21" s="258">
        <f>((SUM($C$10:$C21)*'Sch 2.0'!$D$35)+(SUM($D$10:$D21)*'Sch 2.0'!$D$36))/12</f>
        <v>0</v>
      </c>
      <c r="N21" s="204">
        <f t="shared" si="2"/>
        <v>0</v>
      </c>
      <c r="O21" s="205">
        <f t="shared" si="3"/>
        <v>0</v>
      </c>
      <c r="P21" s="204">
        <v>30</v>
      </c>
      <c r="Q21" s="204">
        <f>365-SUM(P$11:P21)+1</f>
        <v>32</v>
      </c>
      <c r="R21" s="204">
        <f t="shared" si="4"/>
        <v>0</v>
      </c>
      <c r="S21" s="204" t="e">
        <f t="shared" si="5"/>
        <v>#DIV/0!</v>
      </c>
    </row>
    <row r="22" spans="1:19" x14ac:dyDescent="0.25">
      <c r="A22" t="s">
        <v>175</v>
      </c>
      <c r="B22" s="203">
        <v>45992</v>
      </c>
      <c r="C22" s="261">
        <f>+'Sch 2.0'!$Q$12-'Sch 2.0'!$Q$18</f>
        <v>0</v>
      </c>
      <c r="D22" s="261">
        <f>+'Sch 2.0'!$Q$13-'Sch 2.0'!$Q$19</f>
        <v>0</v>
      </c>
      <c r="E22" s="261">
        <f>+'Sch 2.0'!$Q$14-'Sch 2.0'!$Q$20</f>
        <v>0</v>
      </c>
      <c r="F22" s="261">
        <f t="shared" si="1"/>
        <v>0</v>
      </c>
      <c r="G22" s="259"/>
      <c r="H22" s="263">
        <f t="shared" si="6"/>
        <v>0</v>
      </c>
      <c r="I22" s="263">
        <f t="shared" si="6"/>
        <v>0</v>
      </c>
      <c r="J22" s="207">
        <f>J21+(C22*5%)/1</f>
        <v>0</v>
      </c>
      <c r="K22" s="207">
        <f>K21+(D22*3.75%)/1</f>
        <v>0</v>
      </c>
      <c r="L22" s="207">
        <f t="shared" si="0"/>
        <v>0</v>
      </c>
      <c r="M22" s="260">
        <f>((SUM($C$10:$C22)*'Sch 2.0'!$D$35)+(SUM($D$10:$D22)*'Sch 2.0'!$D$36))/12</f>
        <v>0</v>
      </c>
      <c r="N22" s="251">
        <f t="shared" si="2"/>
        <v>0</v>
      </c>
      <c r="O22" s="205">
        <f t="shared" si="3"/>
        <v>0</v>
      </c>
      <c r="P22" s="204">
        <v>31</v>
      </c>
      <c r="Q22" s="204">
        <f>365-SUM(P$11:P22)+1</f>
        <v>1</v>
      </c>
      <c r="R22" s="251">
        <f t="shared" si="4"/>
        <v>0</v>
      </c>
      <c r="S22" s="226" t="e">
        <f t="shared" si="5"/>
        <v>#DIV/0!</v>
      </c>
    </row>
    <row r="23" spans="1:19" ht="15.75" thickBot="1" x14ac:dyDescent="0.3">
      <c r="B23" s="7" t="s">
        <v>21</v>
      </c>
      <c r="C23" s="208">
        <f>SUM(C10:C22)</f>
        <v>0</v>
      </c>
      <c r="D23" s="208">
        <f t="shared" ref="D23:F23" si="7">SUM(D10:D22)</f>
        <v>0</v>
      </c>
      <c r="E23" s="208">
        <f t="shared" si="7"/>
        <v>0</v>
      </c>
      <c r="F23" s="208">
        <f t="shared" si="7"/>
        <v>0</v>
      </c>
      <c r="G23" s="219"/>
      <c r="H23" s="208">
        <f>SUM(H11:H22)</f>
        <v>0</v>
      </c>
      <c r="I23" s="208">
        <f>SUM(I11:I22)</f>
        <v>0</v>
      </c>
      <c r="J23" s="208">
        <f>SUM(J10:J22)</f>
        <v>0</v>
      </c>
      <c r="K23" s="208">
        <f>SUM(K19:K22)</f>
        <v>0</v>
      </c>
      <c r="L23" s="208">
        <f>SUM(L19:L22)</f>
        <v>0</v>
      </c>
      <c r="M23" s="208">
        <f>SUM(M19:M22)</f>
        <v>0</v>
      </c>
      <c r="N23" s="209">
        <f>SUM(N11:N22)</f>
        <v>0</v>
      </c>
      <c r="O23" s="210"/>
      <c r="P23" s="211">
        <f>SUM(P11:P22)</f>
        <v>365</v>
      </c>
      <c r="Q23" s="204"/>
      <c r="R23" s="209" t="e">
        <f>SUM(R11:R22)</f>
        <v>#DIV/0!</v>
      </c>
      <c r="S23" s="197"/>
    </row>
    <row r="24" spans="1:19" ht="15.75" thickTop="1" x14ac:dyDescent="0.25">
      <c r="B24" s="7"/>
      <c r="C24" s="7"/>
      <c r="D24" s="7"/>
      <c r="E24" s="7"/>
      <c r="F24" s="7"/>
      <c r="G24" s="220"/>
      <c r="H24" s="7"/>
      <c r="I24" s="7"/>
      <c r="J24" s="7"/>
      <c r="K24" s="7"/>
      <c r="L24" s="7"/>
      <c r="M24" s="7"/>
      <c r="N24" s="210"/>
      <c r="O24" s="210"/>
      <c r="P24" s="210"/>
      <c r="Q24" s="204"/>
      <c r="R24" s="210"/>
      <c r="S24" s="197"/>
    </row>
    <row r="25" spans="1:19" x14ac:dyDescent="0.25">
      <c r="C25" s="224" t="s">
        <v>154</v>
      </c>
      <c r="D25" s="224" t="s">
        <v>154</v>
      </c>
      <c r="E25" s="224" t="s">
        <v>154</v>
      </c>
      <c r="F25" s="224" t="s">
        <v>154</v>
      </c>
      <c r="M25" s="224" t="s">
        <v>154</v>
      </c>
      <c r="R25" t="s">
        <v>176</v>
      </c>
      <c r="S25" s="14">
        <v>0.24925</v>
      </c>
    </row>
    <row r="26" spans="1:19" ht="15.75" thickBot="1" x14ac:dyDescent="0.3"/>
    <row r="27" spans="1:19" ht="15.75" thickBot="1" x14ac:dyDescent="0.3">
      <c r="R27" s="8" t="s">
        <v>177</v>
      </c>
      <c r="S27" s="212" t="e">
        <f>S22*S25</f>
        <v>#DIV/0!</v>
      </c>
    </row>
    <row r="28" spans="1:19" x14ac:dyDescent="0.25">
      <c r="F28" s="214"/>
      <c r="G28" s="221"/>
      <c r="S28" s="130"/>
    </row>
    <row r="29" spans="1:19" ht="60" x14ac:dyDescent="0.25">
      <c r="M29" s="202" t="s">
        <v>57</v>
      </c>
      <c r="N29" s="213" t="s">
        <v>242</v>
      </c>
      <c r="O29" s="213" t="s">
        <v>190</v>
      </c>
      <c r="P29" s="213" t="s">
        <v>182</v>
      </c>
      <c r="Q29" s="213" t="s">
        <v>183</v>
      </c>
      <c r="R29" s="213" t="s">
        <v>243</v>
      </c>
      <c r="S29" s="213" t="s">
        <v>194</v>
      </c>
    </row>
    <row r="30" spans="1:19" x14ac:dyDescent="0.25">
      <c r="M30" s="203">
        <v>45627</v>
      </c>
      <c r="N30" s="204">
        <f>+'Sch 2.0'!E27</f>
        <v>0</v>
      </c>
      <c r="O30" s="205">
        <f>N30</f>
        <v>0</v>
      </c>
      <c r="P30" s="204" t="s">
        <v>244</v>
      </c>
      <c r="Q30" s="204" t="s">
        <v>244</v>
      </c>
      <c r="R30" s="204" t="s">
        <v>244</v>
      </c>
      <c r="S30" s="204">
        <f>+O30</f>
        <v>0</v>
      </c>
    </row>
    <row r="31" spans="1:19" x14ac:dyDescent="0.25">
      <c r="M31" s="234"/>
      <c r="N31" s="253"/>
      <c r="O31" s="253"/>
      <c r="P31" s="253"/>
      <c r="Q31" s="253"/>
      <c r="R31" s="253"/>
      <c r="S31" s="253"/>
    </row>
    <row r="32" spans="1:19" x14ac:dyDescent="0.25">
      <c r="L32" t="s">
        <v>175</v>
      </c>
      <c r="M32" s="203">
        <v>45658</v>
      </c>
      <c r="N32" s="204">
        <f>+'Sch 2.0'!F$27</f>
        <v>0</v>
      </c>
      <c r="O32" s="205">
        <f>N32+O30</f>
        <v>0</v>
      </c>
      <c r="P32" s="204">
        <f>+M32-M30</f>
        <v>31</v>
      </c>
      <c r="Q32" s="204">
        <f>365-SUM(P32:P32)+1</f>
        <v>335</v>
      </c>
      <c r="R32" s="204" t="e">
        <f>+N32*Q32/$P$24</f>
        <v>#DIV/0!</v>
      </c>
      <c r="S32" s="204" t="e">
        <f>S30+R32</f>
        <v>#DIV/0!</v>
      </c>
    </row>
    <row r="33" spans="12:19" x14ac:dyDescent="0.25">
      <c r="L33" t="s">
        <v>175</v>
      </c>
      <c r="M33" s="203">
        <v>45689</v>
      </c>
      <c r="N33" s="204">
        <f>+'Sch 2.0'!G$27</f>
        <v>0</v>
      </c>
      <c r="O33" s="205">
        <f>N33+O32</f>
        <v>0</v>
      </c>
      <c r="P33" s="204">
        <v>28</v>
      </c>
      <c r="Q33" s="204">
        <f>365-SUM(P$32:P33)+1</f>
        <v>307</v>
      </c>
      <c r="R33" s="204" t="e">
        <f t="shared" ref="R33:R43" si="8">+N33*Q33/$P$24</f>
        <v>#DIV/0!</v>
      </c>
      <c r="S33" s="204" t="e">
        <f t="shared" ref="S33:S43" si="9">+S32+R33</f>
        <v>#DIV/0!</v>
      </c>
    </row>
    <row r="34" spans="12:19" ht="14.45" customHeight="1" x14ac:dyDescent="0.25">
      <c r="L34" t="s">
        <v>175</v>
      </c>
      <c r="M34" s="203">
        <v>45717</v>
      </c>
      <c r="N34" s="204">
        <f>+'Sch 2.0'!H$27</f>
        <v>0</v>
      </c>
      <c r="O34" s="205">
        <f t="shared" ref="O34:O43" si="10">N34+O33</f>
        <v>0</v>
      </c>
      <c r="P34" s="204">
        <v>31</v>
      </c>
      <c r="Q34" s="204">
        <f>365-SUM(P$32:P34)+1</f>
        <v>276</v>
      </c>
      <c r="R34" s="204" t="e">
        <f t="shared" si="8"/>
        <v>#DIV/0!</v>
      </c>
      <c r="S34" s="204" t="e">
        <f t="shared" si="9"/>
        <v>#DIV/0!</v>
      </c>
    </row>
    <row r="35" spans="12:19" x14ac:dyDescent="0.25">
      <c r="L35" t="s">
        <v>175</v>
      </c>
      <c r="M35" s="203">
        <v>45748</v>
      </c>
      <c r="N35" s="204">
        <f>+'Sch 2.0'!I$27</f>
        <v>0</v>
      </c>
      <c r="O35" s="205">
        <f t="shared" si="10"/>
        <v>0</v>
      </c>
      <c r="P35" s="204">
        <v>30</v>
      </c>
      <c r="Q35" s="204">
        <f>365-SUM(P$32:P35)+1</f>
        <v>246</v>
      </c>
      <c r="R35" s="204" t="e">
        <f t="shared" si="8"/>
        <v>#DIV/0!</v>
      </c>
      <c r="S35" s="204" t="e">
        <f t="shared" si="9"/>
        <v>#DIV/0!</v>
      </c>
    </row>
    <row r="36" spans="12:19" ht="14.45" customHeight="1" x14ac:dyDescent="0.25">
      <c r="L36" t="s">
        <v>175</v>
      </c>
      <c r="M36" s="203">
        <v>45778</v>
      </c>
      <c r="N36" s="204">
        <f>+'Sch 2.0'!J$27</f>
        <v>0</v>
      </c>
      <c r="O36" s="205">
        <f t="shared" si="10"/>
        <v>0</v>
      </c>
      <c r="P36" s="204">
        <v>31</v>
      </c>
      <c r="Q36" s="204">
        <f>365-SUM(P$32:P36)+1</f>
        <v>215</v>
      </c>
      <c r="R36" s="204" t="e">
        <f t="shared" si="8"/>
        <v>#DIV/0!</v>
      </c>
      <c r="S36" s="204" t="e">
        <f t="shared" si="9"/>
        <v>#DIV/0!</v>
      </c>
    </row>
    <row r="37" spans="12:19" x14ac:dyDescent="0.25">
      <c r="L37" t="s">
        <v>175</v>
      </c>
      <c r="M37" s="203">
        <v>45809</v>
      </c>
      <c r="N37" s="204">
        <f>+'Sch 2.0'!K$27</f>
        <v>0</v>
      </c>
      <c r="O37" s="205">
        <f t="shared" si="10"/>
        <v>0</v>
      </c>
      <c r="P37" s="204">
        <v>30</v>
      </c>
      <c r="Q37" s="204">
        <f>365-SUM(P$32:P37)+1</f>
        <v>185</v>
      </c>
      <c r="R37" s="204" t="e">
        <f t="shared" si="8"/>
        <v>#DIV/0!</v>
      </c>
      <c r="S37" s="204" t="e">
        <f t="shared" si="9"/>
        <v>#DIV/0!</v>
      </c>
    </row>
    <row r="38" spans="12:19" x14ac:dyDescent="0.25">
      <c r="L38" t="s">
        <v>175</v>
      </c>
      <c r="M38" s="203">
        <v>45839</v>
      </c>
      <c r="N38" s="204">
        <f>+'Sch 2.0'!L$27</f>
        <v>0</v>
      </c>
      <c r="O38" s="205">
        <f t="shared" si="10"/>
        <v>0</v>
      </c>
      <c r="P38" s="204">
        <v>31</v>
      </c>
      <c r="Q38" s="204">
        <f>365-SUM(P$32:P38)+1</f>
        <v>154</v>
      </c>
      <c r="R38" s="204" t="e">
        <f t="shared" si="8"/>
        <v>#DIV/0!</v>
      </c>
      <c r="S38" s="204" t="e">
        <f t="shared" si="9"/>
        <v>#DIV/0!</v>
      </c>
    </row>
    <row r="39" spans="12:19" x14ac:dyDescent="0.25">
      <c r="L39" t="s">
        <v>175</v>
      </c>
      <c r="M39" s="203">
        <v>45870</v>
      </c>
      <c r="N39" s="204">
        <f>+'Sch 2.0'!M$27</f>
        <v>0</v>
      </c>
      <c r="O39" s="205">
        <f t="shared" si="10"/>
        <v>0</v>
      </c>
      <c r="P39" s="204">
        <v>31</v>
      </c>
      <c r="Q39" s="204">
        <f>365-SUM(P$32:P39)+1</f>
        <v>123</v>
      </c>
      <c r="R39" s="204" t="e">
        <f t="shared" si="8"/>
        <v>#DIV/0!</v>
      </c>
      <c r="S39" s="204" t="e">
        <f t="shared" si="9"/>
        <v>#DIV/0!</v>
      </c>
    </row>
    <row r="40" spans="12:19" x14ac:dyDescent="0.25">
      <c r="L40" t="s">
        <v>175</v>
      </c>
      <c r="M40" s="203">
        <v>45901</v>
      </c>
      <c r="N40" s="204">
        <f>+'Sch 2.0'!N$27</f>
        <v>0</v>
      </c>
      <c r="O40" s="205">
        <f t="shared" si="10"/>
        <v>0</v>
      </c>
      <c r="P40" s="204">
        <v>30</v>
      </c>
      <c r="Q40" s="204">
        <f>365-SUM(P$32:P40)+1</f>
        <v>93</v>
      </c>
      <c r="R40" s="204" t="e">
        <f t="shared" si="8"/>
        <v>#DIV/0!</v>
      </c>
      <c r="S40" s="204" t="e">
        <f t="shared" si="9"/>
        <v>#DIV/0!</v>
      </c>
    </row>
    <row r="41" spans="12:19" x14ac:dyDescent="0.25">
      <c r="L41" t="s">
        <v>175</v>
      </c>
      <c r="M41" s="203">
        <v>45931</v>
      </c>
      <c r="N41" s="204">
        <f>+'Sch 2.0'!O$27</f>
        <v>0</v>
      </c>
      <c r="O41" s="205">
        <f t="shared" si="10"/>
        <v>0</v>
      </c>
      <c r="P41" s="204">
        <v>31</v>
      </c>
      <c r="Q41" s="204">
        <f>365-SUM(P$32:P41)+1</f>
        <v>62</v>
      </c>
      <c r="R41" s="204" t="e">
        <f t="shared" si="8"/>
        <v>#DIV/0!</v>
      </c>
      <c r="S41" s="204" t="e">
        <f t="shared" si="9"/>
        <v>#DIV/0!</v>
      </c>
    </row>
    <row r="42" spans="12:19" x14ac:dyDescent="0.25">
      <c r="L42" t="s">
        <v>175</v>
      </c>
      <c r="M42" s="203">
        <v>45962</v>
      </c>
      <c r="N42" s="204">
        <f>+'Sch 2.0'!P$27</f>
        <v>0</v>
      </c>
      <c r="O42" s="205">
        <f t="shared" si="10"/>
        <v>0</v>
      </c>
      <c r="P42" s="204">
        <v>30</v>
      </c>
      <c r="Q42" s="204">
        <f>365-SUM(P$32:P42)+1</f>
        <v>32</v>
      </c>
      <c r="R42" s="204" t="e">
        <f t="shared" si="8"/>
        <v>#DIV/0!</v>
      </c>
      <c r="S42" s="204" t="e">
        <f t="shared" si="9"/>
        <v>#DIV/0!</v>
      </c>
    </row>
    <row r="43" spans="12:19" x14ac:dyDescent="0.25">
      <c r="L43" t="s">
        <v>175</v>
      </c>
      <c r="M43" s="203">
        <v>45992</v>
      </c>
      <c r="N43" s="204">
        <f>+'Sch 2.0'!Q$27</f>
        <v>0</v>
      </c>
      <c r="O43" s="205">
        <f t="shared" si="10"/>
        <v>0</v>
      </c>
      <c r="P43" s="204">
        <v>31</v>
      </c>
      <c r="Q43" s="204">
        <f>365-SUM(P$32:P43)+1</f>
        <v>1</v>
      </c>
      <c r="R43" s="251" t="e">
        <f t="shared" si="8"/>
        <v>#DIV/0!</v>
      </c>
      <c r="S43" s="226" t="e">
        <f t="shared" si="9"/>
        <v>#DIV/0!</v>
      </c>
    </row>
    <row r="44" spans="12:19" ht="15.75" thickBot="1" x14ac:dyDescent="0.3">
      <c r="M44" s="7" t="s">
        <v>21</v>
      </c>
      <c r="N44" s="209">
        <f>SUM(N30:N43)</f>
        <v>0</v>
      </c>
      <c r="O44" s="210"/>
      <c r="P44" s="211">
        <f>SUM(P32:P43)</f>
        <v>365</v>
      </c>
      <c r="Q44" s="204"/>
      <c r="R44" s="209" t="e">
        <f>SUM(R32:R43)</f>
        <v>#DIV/0!</v>
      </c>
      <c r="S44" s="235"/>
    </row>
    <row r="45" spans="12:19" ht="15.75" thickTop="1" x14ac:dyDescent="0.25">
      <c r="L45" s="7"/>
      <c r="M45" s="7"/>
      <c r="N45" s="210"/>
      <c r="O45" s="210"/>
      <c r="P45" s="210"/>
      <c r="Q45" s="204"/>
      <c r="R45" s="210"/>
      <c r="S45" s="235"/>
    </row>
    <row r="46" spans="12:19" x14ac:dyDescent="0.25">
      <c r="M46" s="224"/>
      <c r="N46" s="224" t="s">
        <v>154</v>
      </c>
      <c r="R46" t="s">
        <v>176</v>
      </c>
      <c r="S46" s="14">
        <v>0.24925</v>
      </c>
    </row>
    <row r="47" spans="12:19" ht="15.75" thickBot="1" x14ac:dyDescent="0.3"/>
    <row r="48" spans="12:19" ht="15.75" thickBot="1" x14ac:dyDescent="0.3">
      <c r="R48" s="8" t="s">
        <v>177</v>
      </c>
      <c r="S48" s="212" t="e">
        <f>S43*S46</f>
        <v>#DIV/0!</v>
      </c>
    </row>
    <row r="50" spans="18:19" ht="15.75" thickBot="1" x14ac:dyDescent="0.3"/>
    <row r="51" spans="18:19" ht="15.75" thickBot="1" x14ac:dyDescent="0.3">
      <c r="R51" s="254" t="s">
        <v>245</v>
      </c>
      <c r="S51" s="255" t="e">
        <f>S27+S48</f>
        <v>#DIV/0!</v>
      </c>
    </row>
  </sheetData>
  <pageMargins left="0.7" right="0.7" top="0.75" bottom="0.75" header="0.3" footer="0.3"/>
  <pageSetup scale="44" orientation="landscape" r:id="rId1"/>
  <headerFooter>
    <oddHeader>&amp;RCase No 2023-00209
STAFF-DR-01-002c
Page &amp;P of &amp;N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2"/>
  <sheetViews>
    <sheetView zoomScaleNormal="100" workbookViewId="0">
      <selection activeCell="H19" sqref="H19"/>
    </sheetView>
  </sheetViews>
  <sheetFormatPr defaultRowHeight="15" x14ac:dyDescent="0.25"/>
  <cols>
    <col min="1" max="1" width="8.28515625" bestFit="1" customWidth="1"/>
    <col min="2" max="2" width="22.140625" customWidth="1"/>
    <col min="3" max="3" width="10.28515625" customWidth="1"/>
    <col min="4" max="4" width="13.5703125" customWidth="1"/>
    <col min="5" max="6" width="17.42578125" customWidth="1"/>
    <col min="7" max="8" width="16.7109375" customWidth="1"/>
    <col min="9" max="9" width="17.7109375" customWidth="1"/>
    <col min="10" max="10" width="4.28515625" customWidth="1"/>
    <col min="11" max="11" width="10.140625" bestFit="1" customWidth="1"/>
  </cols>
  <sheetData>
    <row r="1" spans="1:12" x14ac:dyDescent="0.25">
      <c r="A1" s="5"/>
      <c r="G1" s="5"/>
      <c r="H1" s="87"/>
      <c r="I1" s="5"/>
      <c r="J1" s="105"/>
    </row>
    <row r="2" spans="1:12" x14ac:dyDescent="0.25">
      <c r="A2" s="110" t="str">
        <f>'Sch 1.0'!A2</f>
        <v>Duke Energy Kentucky</v>
      </c>
      <c r="B2" s="110"/>
      <c r="C2" s="110"/>
      <c r="D2" s="110"/>
      <c r="E2" s="110"/>
      <c r="F2" s="110"/>
      <c r="G2" s="110"/>
      <c r="H2" s="110"/>
      <c r="I2" s="110"/>
      <c r="J2" s="105"/>
      <c r="K2" s="110"/>
      <c r="L2" s="110"/>
    </row>
    <row r="3" spans="1:12" x14ac:dyDescent="0.25">
      <c r="A3" s="110" t="str">
        <f>'Sch 1.0'!A3</f>
        <v>Pipeline Modernization Mechanism ("Rider PMM")</v>
      </c>
      <c r="B3" s="110"/>
      <c r="C3" s="110"/>
      <c r="D3" s="110"/>
      <c r="E3" s="110"/>
      <c r="F3" s="110"/>
      <c r="G3" s="110"/>
      <c r="H3" s="110"/>
      <c r="I3" s="110"/>
      <c r="J3" s="105"/>
      <c r="K3" s="139"/>
      <c r="L3" s="223"/>
    </row>
    <row r="4" spans="1:12" x14ac:dyDescent="0.25">
      <c r="A4" s="110" t="s">
        <v>65</v>
      </c>
      <c r="B4" s="110"/>
      <c r="C4" s="110"/>
      <c r="D4" s="110"/>
      <c r="E4" s="110"/>
      <c r="F4" s="110"/>
      <c r="G4" s="110"/>
      <c r="H4" s="110"/>
      <c r="I4" s="110"/>
      <c r="J4" s="105"/>
      <c r="K4" s="110"/>
      <c r="L4" s="110"/>
    </row>
    <row r="5" spans="1:12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05"/>
      <c r="K5" s="112"/>
      <c r="L5" s="112"/>
    </row>
    <row r="6" spans="1:12" x14ac:dyDescent="0.25">
      <c r="A6" s="5"/>
      <c r="G6" s="5"/>
      <c r="H6" s="87"/>
      <c r="I6" s="5"/>
      <c r="J6" s="105"/>
    </row>
    <row r="7" spans="1:12" x14ac:dyDescent="0.25">
      <c r="A7" s="163" t="s">
        <v>218</v>
      </c>
      <c r="B7" s="37"/>
      <c r="C7" s="37"/>
      <c r="G7" s="5"/>
      <c r="H7" s="87"/>
      <c r="I7" s="5"/>
      <c r="J7" s="51"/>
    </row>
    <row r="8" spans="1:12" x14ac:dyDescent="0.25">
      <c r="A8" s="5"/>
      <c r="G8" s="5"/>
      <c r="H8" s="87"/>
      <c r="I8" s="5"/>
      <c r="J8" s="5"/>
    </row>
    <row r="9" spans="1:12" x14ac:dyDescent="0.25">
      <c r="A9" s="104" t="s">
        <v>136</v>
      </c>
      <c r="B9" s="4"/>
      <c r="C9" s="4" t="s">
        <v>58</v>
      </c>
      <c r="D9" s="264" t="s">
        <v>147</v>
      </c>
      <c r="E9" s="264"/>
      <c r="F9" s="264" t="s">
        <v>54</v>
      </c>
      <c r="G9" s="264"/>
      <c r="H9" s="264" t="s">
        <v>25</v>
      </c>
      <c r="I9" s="264"/>
      <c r="J9" s="4"/>
    </row>
    <row r="10" spans="1:12" x14ac:dyDescent="0.25">
      <c r="A10" s="9" t="s">
        <v>137</v>
      </c>
      <c r="B10" s="9" t="s">
        <v>57</v>
      </c>
      <c r="C10" s="9" t="s">
        <v>59</v>
      </c>
      <c r="D10" s="9" t="s">
        <v>83</v>
      </c>
      <c r="E10" s="9" t="s">
        <v>87</v>
      </c>
      <c r="F10" s="9" t="s">
        <v>83</v>
      </c>
      <c r="G10" s="9" t="s">
        <v>87</v>
      </c>
      <c r="H10" s="9" t="s">
        <v>83</v>
      </c>
      <c r="I10" s="9" t="s">
        <v>87</v>
      </c>
      <c r="J10" s="9"/>
    </row>
    <row r="11" spans="1:12" x14ac:dyDescent="0.25">
      <c r="B11" s="18" t="s">
        <v>63</v>
      </c>
      <c r="C11" s="18" t="s">
        <v>64</v>
      </c>
      <c r="D11" s="18" t="s">
        <v>66</v>
      </c>
      <c r="E11" s="18" t="s">
        <v>84</v>
      </c>
      <c r="F11" s="18" t="s">
        <v>125</v>
      </c>
      <c r="G11" s="18" t="s">
        <v>85</v>
      </c>
      <c r="H11" s="18" t="s">
        <v>86</v>
      </c>
      <c r="I11" s="88" t="s">
        <v>126</v>
      </c>
      <c r="J11" s="18"/>
    </row>
    <row r="12" spans="1:12" x14ac:dyDescent="0.25">
      <c r="G12" s="42"/>
      <c r="H12" s="42"/>
    </row>
    <row r="13" spans="1:12" x14ac:dyDescent="0.25">
      <c r="G13" s="42"/>
      <c r="H13" s="42"/>
    </row>
    <row r="14" spans="1:12" x14ac:dyDescent="0.25">
      <c r="A14" s="48">
        <v>1</v>
      </c>
      <c r="B14" s="164" t="s">
        <v>217</v>
      </c>
      <c r="C14" s="84">
        <v>13</v>
      </c>
      <c r="D14" s="123"/>
      <c r="E14" s="166">
        <f>+'Sch 2.0'!E15</f>
        <v>0</v>
      </c>
      <c r="F14" s="89"/>
      <c r="G14" s="166">
        <f>+'Sch 2.0'!E21</f>
        <v>0</v>
      </c>
      <c r="H14" s="89"/>
      <c r="I14" s="166">
        <f>+'Sch 2.0'!E27</f>
        <v>0</v>
      </c>
      <c r="K14" s="129"/>
    </row>
    <row r="15" spans="1:12" x14ac:dyDescent="0.25">
      <c r="A15" s="48">
        <f>A14+1</f>
        <v>2</v>
      </c>
      <c r="B15" s="165">
        <v>45658</v>
      </c>
      <c r="C15" s="84">
        <f>C14-1</f>
        <v>12</v>
      </c>
      <c r="D15" s="194">
        <f>+'Sch 2.0'!F$15</f>
        <v>0</v>
      </c>
      <c r="E15" s="124">
        <f>E14+D15</f>
        <v>0</v>
      </c>
      <c r="F15" s="191">
        <f>+'Sch 2.0'!F21</f>
        <v>0</v>
      </c>
      <c r="G15" s="116">
        <f>G14+F15</f>
        <v>0</v>
      </c>
      <c r="H15" s="191">
        <f>+'Sch 2.0'!F27</f>
        <v>0</v>
      </c>
      <c r="I15" s="116">
        <f>I14+H15</f>
        <v>0</v>
      </c>
      <c r="J15" s="20"/>
      <c r="K15" s="69"/>
    </row>
    <row r="16" spans="1:12" ht="17.25" x14ac:dyDescent="0.4">
      <c r="A16" s="48">
        <f>A15+1</f>
        <v>3</v>
      </c>
      <c r="B16" s="165">
        <v>45689</v>
      </c>
      <c r="C16" s="84">
        <f t="shared" ref="C16:C26" si="0">C15-1</f>
        <v>11</v>
      </c>
      <c r="D16" s="116">
        <f>+'Sch 2.0'!G$15</f>
        <v>0</v>
      </c>
      <c r="E16" s="124">
        <f t="shared" ref="E16:E26" si="1">E15+D16</f>
        <v>0</v>
      </c>
      <c r="F16" s="195">
        <f>+'Sch 2.0'!G$21</f>
        <v>0</v>
      </c>
      <c r="G16" s="116">
        <f t="shared" ref="G16:G26" si="2">G15+F16</f>
        <v>0</v>
      </c>
      <c r="H16" s="195">
        <f>+'Sch 2.0'!G$27</f>
        <v>0</v>
      </c>
      <c r="I16" s="116">
        <f t="shared" ref="I16:I26" si="3">I15+H16</f>
        <v>0</v>
      </c>
      <c r="J16" s="21"/>
      <c r="K16" s="69"/>
    </row>
    <row r="17" spans="1:11" x14ac:dyDescent="0.25">
      <c r="A17" s="48">
        <f t="shared" ref="A17:A26" si="4">A16+1</f>
        <v>4</v>
      </c>
      <c r="B17" s="165">
        <v>45717</v>
      </c>
      <c r="C17" s="84">
        <f t="shared" si="0"/>
        <v>10</v>
      </c>
      <c r="D17" s="116">
        <f>+'Sch 2.0'!H$15</f>
        <v>0</v>
      </c>
      <c r="E17" s="124">
        <f t="shared" si="1"/>
        <v>0</v>
      </c>
      <c r="F17" s="195">
        <f>+'Sch 2.0'!H$21</f>
        <v>0</v>
      </c>
      <c r="G17" s="116">
        <f t="shared" si="2"/>
        <v>0</v>
      </c>
      <c r="H17" s="195">
        <f>+'Sch 2.0'!H$27</f>
        <v>0</v>
      </c>
      <c r="I17" s="116">
        <f t="shared" si="3"/>
        <v>0</v>
      </c>
      <c r="J17" s="20"/>
      <c r="K17" s="69"/>
    </row>
    <row r="18" spans="1:11" x14ac:dyDescent="0.25">
      <c r="A18" s="48">
        <f t="shared" si="4"/>
        <v>5</v>
      </c>
      <c r="B18" s="165">
        <v>45748</v>
      </c>
      <c r="C18" s="84">
        <f t="shared" si="0"/>
        <v>9</v>
      </c>
      <c r="D18" s="116">
        <f>+'Sch 2.0'!I$15</f>
        <v>0</v>
      </c>
      <c r="E18" s="124">
        <f t="shared" si="1"/>
        <v>0</v>
      </c>
      <c r="F18" s="195">
        <f>+'Sch 2.0'!I$21</f>
        <v>0</v>
      </c>
      <c r="G18" s="116">
        <f t="shared" si="2"/>
        <v>0</v>
      </c>
      <c r="H18" s="195">
        <f>+'Sch 2.0'!I$27</f>
        <v>0</v>
      </c>
      <c r="I18" s="116">
        <f>I17+H18</f>
        <v>0</v>
      </c>
      <c r="J18" s="16"/>
      <c r="K18" s="69"/>
    </row>
    <row r="19" spans="1:11" x14ac:dyDescent="0.25">
      <c r="A19" s="48">
        <f t="shared" si="4"/>
        <v>6</v>
      </c>
      <c r="B19" s="165">
        <v>45778</v>
      </c>
      <c r="C19" s="84">
        <f t="shared" si="0"/>
        <v>8</v>
      </c>
      <c r="D19" s="116">
        <f>+'Sch 2.0'!J$15</f>
        <v>0</v>
      </c>
      <c r="E19" s="124">
        <f t="shared" si="1"/>
        <v>0</v>
      </c>
      <c r="F19" s="195">
        <f>+'Sch 2.0'!J$21</f>
        <v>0</v>
      </c>
      <c r="G19" s="116">
        <f t="shared" si="2"/>
        <v>0</v>
      </c>
      <c r="H19" s="195">
        <f>+'Sch 2.0'!J$27</f>
        <v>0</v>
      </c>
      <c r="I19" s="116">
        <f t="shared" si="3"/>
        <v>0</v>
      </c>
      <c r="K19" s="69"/>
    </row>
    <row r="20" spans="1:11" x14ac:dyDescent="0.25">
      <c r="A20" s="48">
        <f t="shared" si="4"/>
        <v>7</v>
      </c>
      <c r="B20" s="165">
        <v>45809</v>
      </c>
      <c r="C20" s="84">
        <f t="shared" si="0"/>
        <v>7</v>
      </c>
      <c r="D20" s="116">
        <f>+'Sch 2.0'!K$15</f>
        <v>0</v>
      </c>
      <c r="E20" s="124">
        <f t="shared" si="1"/>
        <v>0</v>
      </c>
      <c r="F20" s="195">
        <f>+'Sch 2.0'!K$21</f>
        <v>0</v>
      </c>
      <c r="G20" s="116">
        <f t="shared" si="2"/>
        <v>0</v>
      </c>
      <c r="H20" s="195">
        <f>+'Sch 2.0'!K$27</f>
        <v>0</v>
      </c>
      <c r="I20" s="116">
        <f t="shared" si="3"/>
        <v>0</v>
      </c>
      <c r="J20" s="1"/>
      <c r="K20" s="69"/>
    </row>
    <row r="21" spans="1:11" ht="17.25" x14ac:dyDescent="0.4">
      <c r="A21" s="48">
        <f t="shared" si="4"/>
        <v>8</v>
      </c>
      <c r="B21" s="165">
        <v>45839</v>
      </c>
      <c r="C21" s="84">
        <f t="shared" si="0"/>
        <v>6</v>
      </c>
      <c r="D21" s="116">
        <f>+'Sch 2.0'!L$15</f>
        <v>0</v>
      </c>
      <c r="E21" s="124">
        <f t="shared" si="1"/>
        <v>0</v>
      </c>
      <c r="F21" s="195">
        <f>+'Sch 2.0'!L$21</f>
        <v>0</v>
      </c>
      <c r="G21" s="116">
        <f t="shared" si="2"/>
        <v>0</v>
      </c>
      <c r="H21" s="195">
        <f>+'Sch 2.0'!L$27</f>
        <v>0</v>
      </c>
      <c r="I21" s="116">
        <f t="shared" si="3"/>
        <v>0</v>
      </c>
      <c r="J21" s="21"/>
      <c r="K21" s="69"/>
    </row>
    <row r="22" spans="1:11" x14ac:dyDescent="0.25">
      <c r="A22" s="48">
        <f t="shared" si="4"/>
        <v>9</v>
      </c>
      <c r="B22" s="165">
        <v>45870</v>
      </c>
      <c r="C22" s="84">
        <f t="shared" si="0"/>
        <v>5</v>
      </c>
      <c r="D22" s="116">
        <f>+'Sch 2.0'!M$15</f>
        <v>0</v>
      </c>
      <c r="E22" s="124">
        <f t="shared" si="1"/>
        <v>0</v>
      </c>
      <c r="F22" s="195">
        <f>+'Sch 2.0'!M$21</f>
        <v>0</v>
      </c>
      <c r="G22" s="116">
        <f t="shared" si="2"/>
        <v>0</v>
      </c>
      <c r="H22" s="195">
        <f>+'Sch 2.0'!M$27</f>
        <v>0</v>
      </c>
      <c r="I22" s="116">
        <f t="shared" si="3"/>
        <v>0</v>
      </c>
      <c r="J22" s="20"/>
      <c r="K22" s="69"/>
    </row>
    <row r="23" spans="1:11" x14ac:dyDescent="0.25">
      <c r="A23" s="48">
        <f t="shared" si="4"/>
        <v>10</v>
      </c>
      <c r="B23" s="165">
        <v>45901</v>
      </c>
      <c r="C23" s="84">
        <f t="shared" si="0"/>
        <v>4</v>
      </c>
      <c r="D23" s="116">
        <f>+'Sch 2.0'!N$15</f>
        <v>0</v>
      </c>
      <c r="E23" s="124">
        <f t="shared" si="1"/>
        <v>0</v>
      </c>
      <c r="F23" s="195">
        <f>+'Sch 2.0'!N$21</f>
        <v>0</v>
      </c>
      <c r="G23" s="116">
        <f t="shared" si="2"/>
        <v>0</v>
      </c>
      <c r="H23" s="195">
        <f>+'Sch 2.0'!N$27</f>
        <v>0</v>
      </c>
      <c r="I23" s="116">
        <f t="shared" si="3"/>
        <v>0</v>
      </c>
      <c r="J23" s="23"/>
      <c r="K23" s="69"/>
    </row>
    <row r="24" spans="1:11" x14ac:dyDescent="0.25">
      <c r="A24" s="48">
        <f t="shared" si="4"/>
        <v>11</v>
      </c>
      <c r="B24" s="165">
        <v>45931</v>
      </c>
      <c r="C24" s="84">
        <f t="shared" si="0"/>
        <v>3</v>
      </c>
      <c r="D24" s="116">
        <f>+'Sch 2.0'!O$15</f>
        <v>0</v>
      </c>
      <c r="E24" s="124">
        <f t="shared" si="1"/>
        <v>0</v>
      </c>
      <c r="F24" s="195">
        <f>+'Sch 2.0'!O$21</f>
        <v>0</v>
      </c>
      <c r="G24" s="116">
        <f t="shared" si="2"/>
        <v>0</v>
      </c>
      <c r="H24" s="195">
        <f>+'Sch 2.0'!O$27</f>
        <v>0</v>
      </c>
      <c r="I24" s="116">
        <f t="shared" si="3"/>
        <v>0</v>
      </c>
      <c r="J24" s="24"/>
      <c r="K24" s="69"/>
    </row>
    <row r="25" spans="1:11" x14ac:dyDescent="0.25">
      <c r="A25" s="48">
        <f t="shared" si="4"/>
        <v>12</v>
      </c>
      <c r="B25" s="165">
        <v>45962</v>
      </c>
      <c r="C25" s="84">
        <f t="shared" si="0"/>
        <v>2</v>
      </c>
      <c r="D25" s="116">
        <f>+'Sch 2.0'!P$15</f>
        <v>0</v>
      </c>
      <c r="E25" s="124">
        <f t="shared" si="1"/>
        <v>0</v>
      </c>
      <c r="F25" s="195">
        <f>+'Sch 2.0'!P$21</f>
        <v>0</v>
      </c>
      <c r="G25" s="116">
        <f t="shared" si="2"/>
        <v>0</v>
      </c>
      <c r="H25" s="195">
        <f>+'Sch 2.0'!P$27</f>
        <v>0</v>
      </c>
      <c r="I25" s="116">
        <f t="shared" si="3"/>
        <v>0</v>
      </c>
      <c r="J25" s="23"/>
      <c r="K25" s="69"/>
    </row>
    <row r="26" spans="1:11" x14ac:dyDescent="0.25">
      <c r="A26" s="48">
        <f t="shared" si="4"/>
        <v>13</v>
      </c>
      <c r="B26" s="165">
        <v>45992</v>
      </c>
      <c r="C26" s="84">
        <f t="shared" si="0"/>
        <v>1</v>
      </c>
      <c r="D26" s="116">
        <f>+'Sch 2.0'!Q$15</f>
        <v>0</v>
      </c>
      <c r="E26" s="125">
        <f t="shared" si="1"/>
        <v>0</v>
      </c>
      <c r="F26" s="195">
        <f>+'Sch 2.0'!Q$21</f>
        <v>0</v>
      </c>
      <c r="G26" s="117">
        <f t="shared" si="2"/>
        <v>0</v>
      </c>
      <c r="H26" s="195">
        <f>+'Sch 2.0'!Q$27</f>
        <v>0</v>
      </c>
      <c r="I26" s="117">
        <f t="shared" si="3"/>
        <v>0</v>
      </c>
      <c r="J26" s="23"/>
      <c r="K26" s="69"/>
    </row>
    <row r="27" spans="1:11" x14ac:dyDescent="0.25">
      <c r="A27" s="48"/>
      <c r="D27" s="118"/>
      <c r="E27" s="69">
        <f>SUM(E14:E26)</f>
        <v>0</v>
      </c>
      <c r="F27" s="118"/>
      <c r="G27" s="69">
        <f>SUM(G14:G26)</f>
        <v>0</v>
      </c>
      <c r="H27" s="122"/>
      <c r="I27" s="69">
        <f>SUM(I14:I26)</f>
        <v>0</v>
      </c>
      <c r="J27" s="2"/>
    </row>
    <row r="28" spans="1:11" x14ac:dyDescent="0.25">
      <c r="A28" s="48">
        <f>A26+1</f>
        <v>14</v>
      </c>
      <c r="B28" t="s">
        <v>88</v>
      </c>
      <c r="D28" s="118"/>
      <c r="E28" s="126">
        <v>13</v>
      </c>
      <c r="F28" s="126"/>
      <c r="G28" s="126">
        <v>13</v>
      </c>
      <c r="H28" s="127"/>
      <c r="I28" s="128">
        <v>13</v>
      </c>
    </row>
    <row r="29" spans="1:11" ht="15.75" thickBot="1" x14ac:dyDescent="0.3">
      <c r="A29" s="48">
        <f>A28+1</f>
        <v>15</v>
      </c>
      <c r="B29" t="s">
        <v>89</v>
      </c>
      <c r="E29" s="70">
        <f>ROUND(E27/E28,0)</f>
        <v>0</v>
      </c>
      <c r="F29" s="71"/>
      <c r="G29" s="70">
        <f>ROUND(G27/G28,0)</f>
        <v>0</v>
      </c>
      <c r="H29" s="71"/>
      <c r="I29" s="70">
        <f>ROUND(I27/I28,0)</f>
        <v>0</v>
      </c>
    </row>
    <row r="30" spans="1:11" ht="15.75" thickTop="1" x14ac:dyDescent="0.25">
      <c r="H30" s="23"/>
    </row>
    <row r="31" spans="1:11" x14ac:dyDescent="0.25">
      <c r="A31" s="48"/>
      <c r="E31" s="42"/>
      <c r="G31" s="42"/>
      <c r="H31" s="42"/>
      <c r="I31" s="42"/>
    </row>
    <row r="32" spans="1:11" x14ac:dyDescent="0.25">
      <c r="F32" s="45"/>
    </row>
  </sheetData>
  <mergeCells count="3">
    <mergeCell ref="D9:E9"/>
    <mergeCell ref="F9:G9"/>
    <mergeCell ref="H9:I9"/>
  </mergeCells>
  <pageMargins left="0.7" right="0.7" top="0.75" bottom="0.75" header="0.3" footer="0.3"/>
  <pageSetup scale="74" orientation="landscape" r:id="rId1"/>
  <headerFooter>
    <oddHeader>&amp;RCase No 2023-00209
STAFF-DR-01-002c
Page &amp;P of &amp;N
&amp;A</oddHeader>
  </headerFooter>
  <ignoredErrors>
    <ignoredError sqref="F15:F26 H15: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22"/>
  <sheetViews>
    <sheetView zoomScale="92" zoomScaleNormal="92" workbookViewId="0">
      <selection activeCell="H19" sqref="H19"/>
    </sheetView>
  </sheetViews>
  <sheetFormatPr defaultRowHeight="15" x14ac:dyDescent="0.25"/>
  <cols>
    <col min="1" max="1" width="6.5703125" customWidth="1"/>
    <col min="2" max="2" width="38.85546875" customWidth="1"/>
    <col min="3" max="15" width="12.7109375" customWidth="1"/>
    <col min="16" max="19" width="15.5703125" customWidth="1"/>
    <col min="20" max="20" width="14" customWidth="1"/>
  </cols>
  <sheetData>
    <row r="1" spans="1:16" x14ac:dyDescent="0.25">
      <c r="A1" s="5"/>
      <c r="E1" s="5"/>
      <c r="F1" s="5"/>
      <c r="G1" s="5"/>
    </row>
    <row r="2" spans="1:16" x14ac:dyDescent="0.25">
      <c r="A2" s="110" t="str">
        <f>'Sch 1.0'!A2</f>
        <v>Duke Energy Kentucky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6" x14ac:dyDescent="0.25">
      <c r="A3" s="110" t="str">
        <f>'Sch 1.0'!A3</f>
        <v>Pipeline Modernization Mechanism ("Rider PMM")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6" x14ac:dyDescent="0.25">
      <c r="A4" s="110" t="s">
        <v>150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6" x14ac:dyDescent="0.25">
      <c r="A5" s="139" t="s">
        <v>219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6" x14ac:dyDescent="0.25">
      <c r="A6" s="5"/>
      <c r="C6" s="37"/>
      <c r="D6" s="231"/>
      <c r="E6" s="5"/>
      <c r="F6" s="5"/>
      <c r="G6" s="5"/>
    </row>
    <row r="7" spans="1:16" x14ac:dyDescent="0.25">
      <c r="A7" s="26"/>
      <c r="E7" s="5"/>
      <c r="F7" s="5"/>
      <c r="G7" s="5"/>
    </row>
    <row r="8" spans="1:16" x14ac:dyDescent="0.25">
      <c r="A8" s="5"/>
      <c r="E8" s="5"/>
      <c r="F8" s="5"/>
      <c r="G8" s="5"/>
    </row>
    <row r="9" spans="1:16" x14ac:dyDescent="0.25">
      <c r="A9" s="104" t="s">
        <v>136</v>
      </c>
      <c r="B9" s="4"/>
      <c r="C9" s="4"/>
      <c r="D9" s="4"/>
      <c r="E9" s="4"/>
      <c r="F9" s="4"/>
      <c r="G9" s="4"/>
    </row>
    <row r="10" spans="1:16" x14ac:dyDescent="0.25">
      <c r="A10" s="9" t="s">
        <v>137</v>
      </c>
      <c r="B10" s="9" t="s">
        <v>15</v>
      </c>
      <c r="C10" s="138">
        <v>45658</v>
      </c>
      <c r="D10" s="138">
        <v>45689</v>
      </c>
      <c r="E10" s="138">
        <v>45717</v>
      </c>
      <c r="F10" s="138">
        <v>45748</v>
      </c>
      <c r="G10" s="138">
        <v>45778</v>
      </c>
      <c r="H10" s="138">
        <v>45809</v>
      </c>
      <c r="I10" s="138">
        <v>45839</v>
      </c>
      <c r="J10" s="138">
        <v>45870</v>
      </c>
      <c r="K10" s="138">
        <v>45901</v>
      </c>
      <c r="L10" s="138">
        <v>45931</v>
      </c>
      <c r="M10" s="138">
        <v>45962</v>
      </c>
      <c r="N10" s="138">
        <v>45992</v>
      </c>
      <c r="O10" s="9" t="s">
        <v>21</v>
      </c>
    </row>
    <row r="11" spans="1:16" x14ac:dyDescent="0.25">
      <c r="B11" s="18" t="s">
        <v>63</v>
      </c>
      <c r="C11" s="18" t="s">
        <v>64</v>
      </c>
      <c r="D11" s="18" t="s">
        <v>66</v>
      </c>
      <c r="E11" s="18" t="s">
        <v>84</v>
      </c>
      <c r="F11" s="18" t="s">
        <v>109</v>
      </c>
      <c r="G11" s="18" t="s">
        <v>110</v>
      </c>
      <c r="H11" s="18" t="s">
        <v>111</v>
      </c>
      <c r="I11" s="18" t="s">
        <v>112</v>
      </c>
      <c r="J11" s="18" t="s">
        <v>113</v>
      </c>
      <c r="K11" s="18" t="s">
        <v>114</v>
      </c>
      <c r="L11" s="18" t="s">
        <v>115</v>
      </c>
      <c r="M11" s="18" t="s">
        <v>116</v>
      </c>
      <c r="N11" s="18" t="s">
        <v>117</v>
      </c>
      <c r="O11" s="18" t="s">
        <v>118</v>
      </c>
      <c r="P11" s="18"/>
    </row>
    <row r="12" spans="1:16" x14ac:dyDescent="0.2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6" ht="15" customHeight="1" x14ac:dyDescent="0.25">
      <c r="A13" s="56">
        <v>1</v>
      </c>
      <c r="B13" s="38" t="s">
        <v>208</v>
      </c>
      <c r="C13" s="236">
        <v>0</v>
      </c>
      <c r="D13" s="236">
        <v>0</v>
      </c>
      <c r="E13" s="236">
        <v>0</v>
      </c>
      <c r="F13" s="236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">
        <f>SUM(C13:N13)</f>
        <v>0</v>
      </c>
    </row>
    <row r="14" spans="1:16" ht="15" customHeight="1" x14ac:dyDescent="0.25">
      <c r="A14" s="56">
        <f>A13+1</f>
        <v>2</v>
      </c>
      <c r="B14" s="38" t="s">
        <v>209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">
        <f>SUM(C14:N14)</f>
        <v>0</v>
      </c>
    </row>
    <row r="15" spans="1:16" ht="15" customHeight="1" x14ac:dyDescent="0.25">
      <c r="A15" s="56">
        <f t="shared" ref="A15:A16" si="0">A14+1</f>
        <v>3</v>
      </c>
      <c r="B15" s="27" t="s">
        <v>78</v>
      </c>
      <c r="C15" s="236">
        <v>0</v>
      </c>
      <c r="D15" s="236">
        <v>0</v>
      </c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">
        <f>SUM(C15:N15)</f>
        <v>0</v>
      </c>
    </row>
    <row r="16" spans="1:16" ht="15" customHeight="1" x14ac:dyDescent="0.25">
      <c r="A16" s="56">
        <f t="shared" si="0"/>
        <v>4</v>
      </c>
      <c r="B16" s="27" t="s">
        <v>79</v>
      </c>
      <c r="C16" s="236">
        <v>0</v>
      </c>
      <c r="D16" s="236">
        <v>0</v>
      </c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">
        <f>SUM(C16:N16)</f>
        <v>0</v>
      </c>
    </row>
    <row r="17" spans="1:20" x14ac:dyDescent="0.25">
      <c r="C17" s="37"/>
      <c r="D17" s="37"/>
      <c r="E17" s="37"/>
      <c r="F17" s="37"/>
      <c r="G17" s="37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20" x14ac:dyDescent="0.25">
      <c r="A18" s="17"/>
      <c r="B18" s="17" t="s">
        <v>210</v>
      </c>
    </row>
    <row r="19" spans="1:20" x14ac:dyDescent="0.25">
      <c r="B19" s="17" t="s">
        <v>227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T19" s="35"/>
    </row>
    <row r="20" spans="1:20" x14ac:dyDescent="0.2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T20" s="35"/>
    </row>
    <row r="21" spans="1:20" x14ac:dyDescent="0.2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T21" s="35"/>
    </row>
    <row r="22" spans="1:20" x14ac:dyDescent="0.2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T22" s="35"/>
    </row>
  </sheetData>
  <pageMargins left="0.7" right="0.7" top="0.75" bottom="0.75" header="0.3" footer="0.3"/>
  <pageSetup scale="58" orientation="landscape" r:id="rId1"/>
  <headerFooter>
    <oddHeader>&amp;RCase No 2023-00209
STAFF-DR-01-002c
Page &amp;P of &amp;N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M37"/>
  <sheetViews>
    <sheetView zoomScaleNormal="100" workbookViewId="0">
      <selection activeCell="H19" sqref="H19"/>
    </sheetView>
  </sheetViews>
  <sheetFormatPr defaultRowHeight="15" x14ac:dyDescent="0.25"/>
  <cols>
    <col min="1" max="1" width="8.28515625" bestFit="1" customWidth="1"/>
    <col min="2" max="2" width="4.5703125" customWidth="1"/>
    <col min="3" max="3" width="6.5703125" customWidth="1"/>
    <col min="4" max="4" width="43" customWidth="1"/>
    <col min="5" max="5" width="7.5703125" customWidth="1"/>
    <col min="6" max="6" width="24.140625" customWidth="1"/>
    <col min="7" max="7" width="1.28515625" customWidth="1"/>
    <col min="8" max="8" width="10.7109375" customWidth="1"/>
  </cols>
  <sheetData>
    <row r="1" spans="1:12" x14ac:dyDescent="0.25">
      <c r="A1" s="91"/>
      <c r="E1" s="91"/>
      <c r="F1" s="91"/>
      <c r="G1" s="105"/>
      <c r="H1" s="91"/>
      <c r="I1" s="91"/>
      <c r="J1" s="37"/>
    </row>
    <row r="2" spans="1:12" x14ac:dyDescent="0.25">
      <c r="A2" s="110" t="str">
        <f>'Sch 1.0'!A2:J2</f>
        <v>Duke Energy Kentucky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2" x14ac:dyDescent="0.25">
      <c r="A3" s="110" t="str">
        <f>'Sch 1.0'!A3:J3</f>
        <v>Pipeline Modernization Mechanism ("Rider PMM")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2" x14ac:dyDescent="0.25">
      <c r="A4" s="139" t="s">
        <v>249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2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x14ac:dyDescent="0.25">
      <c r="A6" s="104" t="s">
        <v>136</v>
      </c>
      <c r="B6" s="8"/>
      <c r="C6" s="8"/>
      <c r="F6" s="90" t="s">
        <v>141</v>
      </c>
      <c r="G6" s="104"/>
      <c r="H6" s="90"/>
      <c r="I6" s="91"/>
    </row>
    <row r="7" spans="1:12" x14ac:dyDescent="0.25">
      <c r="A7" s="9" t="s">
        <v>137</v>
      </c>
      <c r="B7" s="10"/>
      <c r="C7" s="10"/>
      <c r="F7" s="237" t="s">
        <v>142</v>
      </c>
      <c r="G7" s="237"/>
      <c r="H7" s="9" t="s">
        <v>22</v>
      </c>
    </row>
    <row r="8" spans="1:12" x14ac:dyDescent="0.25">
      <c r="A8" s="10"/>
      <c r="B8" s="265" t="s">
        <v>63</v>
      </c>
      <c r="C8" s="265"/>
      <c r="D8" s="265"/>
      <c r="F8" s="90" t="s">
        <v>64</v>
      </c>
      <c r="G8" s="104"/>
      <c r="H8" s="90" t="s">
        <v>66</v>
      </c>
    </row>
    <row r="10" spans="1:12" x14ac:dyDescent="0.25">
      <c r="B10" s="8" t="s">
        <v>23</v>
      </c>
    </row>
    <row r="11" spans="1:12" x14ac:dyDescent="0.25">
      <c r="B11" s="10" t="s">
        <v>24</v>
      </c>
    </row>
    <row r="12" spans="1:12" x14ac:dyDescent="0.25">
      <c r="A12" s="91">
        <v>1</v>
      </c>
      <c r="C12" t="s">
        <v>148</v>
      </c>
      <c r="F12" s="154">
        <f>'Sch 4.5'!E29-'Sch 4.5'!G29</f>
        <v>0</v>
      </c>
      <c r="G12" s="29"/>
      <c r="H12" t="s">
        <v>157</v>
      </c>
    </row>
    <row r="13" spans="1:12" x14ac:dyDescent="0.25">
      <c r="A13" s="91">
        <f>A12+1</f>
        <v>2</v>
      </c>
      <c r="C13" t="s">
        <v>25</v>
      </c>
      <c r="F13" s="153">
        <f>'Sch 4.5'!I29</f>
        <v>0</v>
      </c>
      <c r="G13" s="30"/>
      <c r="H13" t="s">
        <v>157</v>
      </c>
    </row>
    <row r="14" spans="1:12" x14ac:dyDescent="0.25">
      <c r="A14" s="91">
        <f t="shared" ref="A14:A15" si="0">A13+1</f>
        <v>3</v>
      </c>
      <c r="C14" t="s">
        <v>26</v>
      </c>
      <c r="F14" s="117">
        <f>-'Sch 4.3'!R46</f>
        <v>0</v>
      </c>
      <c r="G14" s="80"/>
      <c r="H14" s="54" t="s">
        <v>158</v>
      </c>
    </row>
    <row r="15" spans="1:12" x14ac:dyDescent="0.25">
      <c r="A15" s="91">
        <f t="shared" si="0"/>
        <v>4</v>
      </c>
      <c r="D15" t="s">
        <v>27</v>
      </c>
      <c r="F15" s="151">
        <f>SUM(F12:F14)</f>
        <v>0</v>
      </c>
      <c r="G15" s="1"/>
    </row>
    <row r="16" spans="1:12" x14ac:dyDescent="0.25">
      <c r="A16" s="91">
        <f>A15+1</f>
        <v>5</v>
      </c>
      <c r="C16" t="s">
        <v>123</v>
      </c>
      <c r="F16" s="125" t="e">
        <f>-'Sch 4.4'!S51</f>
        <v>#DIV/0!</v>
      </c>
      <c r="G16" s="33"/>
      <c r="H16" t="s">
        <v>159</v>
      </c>
    </row>
    <row r="17" spans="1:13" x14ac:dyDescent="0.25">
      <c r="A17" s="91">
        <f>A16+1</f>
        <v>6</v>
      </c>
      <c r="D17" t="s">
        <v>29</v>
      </c>
      <c r="F17" s="151" t="e">
        <f>SUM(F15:F16)</f>
        <v>#DIV/0!</v>
      </c>
      <c r="G17" s="1"/>
      <c r="H17" t="s">
        <v>37</v>
      </c>
    </row>
    <row r="18" spans="1:13" x14ac:dyDescent="0.25">
      <c r="A18" s="91">
        <f>A17+1</f>
        <v>7</v>
      </c>
      <c r="C18" t="s">
        <v>30</v>
      </c>
      <c r="F18" s="73">
        <f>'Sch 4.2'!F13</f>
        <v>8.0869999999999997E-2</v>
      </c>
      <c r="G18" s="73"/>
      <c r="H18" t="s">
        <v>160</v>
      </c>
    </row>
    <row r="19" spans="1:13" x14ac:dyDescent="0.25">
      <c r="A19" s="91">
        <f>A18+1</f>
        <v>8</v>
      </c>
      <c r="C19" t="s">
        <v>149</v>
      </c>
      <c r="F19" s="59" t="e">
        <f>ROUND(F17*F18,0)</f>
        <v>#DIV/0!</v>
      </c>
      <c r="G19" s="64"/>
      <c r="H19" t="s">
        <v>38</v>
      </c>
    </row>
    <row r="21" spans="1:13" x14ac:dyDescent="0.25">
      <c r="B21" s="10" t="s">
        <v>31</v>
      </c>
    </row>
    <row r="22" spans="1:13" x14ac:dyDescent="0.25">
      <c r="A22" s="91">
        <f>A19+1</f>
        <v>9</v>
      </c>
      <c r="C22" t="s">
        <v>32</v>
      </c>
      <c r="F22" s="154">
        <f>SUM('Sch 4.3'!F38:Q38)+-SUM('Sch 4.3'!F44:Q44)</f>
        <v>0</v>
      </c>
      <c r="G22" s="60"/>
      <c r="H22" t="s">
        <v>158</v>
      </c>
    </row>
    <row r="23" spans="1:13" x14ac:dyDescent="0.25">
      <c r="A23" s="91">
        <f>A22+1</f>
        <v>10</v>
      </c>
      <c r="C23" t="s">
        <v>33</v>
      </c>
      <c r="F23" s="151">
        <f>ROUND(F15*I23,0)</f>
        <v>0</v>
      </c>
      <c r="G23" s="1"/>
      <c r="H23" t="s">
        <v>81</v>
      </c>
      <c r="I23" s="227">
        <v>1.26032E-2</v>
      </c>
      <c r="J23" s="233"/>
    </row>
    <row r="24" spans="1:13" x14ac:dyDescent="0.25">
      <c r="A24" s="130">
        <f t="shared" ref="A24:A25" si="1">A23+1</f>
        <v>11</v>
      </c>
      <c r="C24" t="s">
        <v>34</v>
      </c>
      <c r="F24" s="156" t="e">
        <f>ROUND(SUM(F19:F23)*(0.001302/(1-0.001302)),0)</f>
        <v>#DIV/0!</v>
      </c>
      <c r="G24" s="114"/>
      <c r="H24" s="37" t="s">
        <v>223</v>
      </c>
      <c r="I24" s="37"/>
      <c r="J24" s="37"/>
      <c r="K24" s="37"/>
      <c r="M24" s="233"/>
    </row>
    <row r="25" spans="1:13" x14ac:dyDescent="0.25">
      <c r="A25" s="130">
        <f t="shared" si="1"/>
        <v>12</v>
      </c>
      <c r="C25" t="s">
        <v>35</v>
      </c>
      <c r="F25" s="69" t="e">
        <f>SUM(F22:F24)</f>
        <v>#DIV/0!</v>
      </c>
      <c r="G25" s="69"/>
      <c r="H25" t="s">
        <v>39</v>
      </c>
    </row>
    <row r="27" spans="1:13" ht="15.75" thickBot="1" x14ac:dyDescent="0.3">
      <c r="A27" s="91">
        <f>A25+1</f>
        <v>13</v>
      </c>
      <c r="B27" s="10" t="s">
        <v>36</v>
      </c>
      <c r="F27" s="61" t="e">
        <f>F19+F25</f>
        <v>#DIV/0!</v>
      </c>
      <c r="G27" s="63"/>
      <c r="H27" t="s">
        <v>40</v>
      </c>
    </row>
    <row r="29" spans="1:13" x14ac:dyDescent="0.25">
      <c r="D29" t="s">
        <v>128</v>
      </c>
      <c r="F29" s="157">
        <v>0</v>
      </c>
      <c r="G29" s="55"/>
    </row>
    <row r="30" spans="1:13" x14ac:dyDescent="0.25">
      <c r="D30" t="s">
        <v>129</v>
      </c>
      <c r="F30" s="63" t="e">
        <f>F27-F29</f>
        <v>#DIV/0!</v>
      </c>
      <c r="G30" s="63"/>
    </row>
    <row r="32" spans="1:13" x14ac:dyDescent="0.25">
      <c r="D32" t="s">
        <v>252</v>
      </c>
      <c r="F32" s="157">
        <v>0</v>
      </c>
      <c r="G32" s="115"/>
      <c r="H32" s="233"/>
    </row>
    <row r="33" spans="1:7" ht="15.75" thickBot="1" x14ac:dyDescent="0.3">
      <c r="D33" t="s">
        <v>130</v>
      </c>
      <c r="F33" s="67" t="e">
        <f>F30-F32</f>
        <v>#DIV/0!</v>
      </c>
      <c r="G33" s="63"/>
    </row>
    <row r="34" spans="1:7" ht="15.75" thickTop="1" x14ac:dyDescent="0.25"/>
    <row r="35" spans="1:7" x14ac:dyDescent="0.25">
      <c r="A35" s="91" t="s">
        <v>41</v>
      </c>
    </row>
    <row r="36" spans="1:7" x14ac:dyDescent="0.25">
      <c r="A36" s="37" t="str">
        <f>"(1) Property taxes estimated using an effective rate of "&amp;TEXT(I23,"0.00000%")</f>
        <v>(1) Property taxes estimated using an effective rate of 1.26032%</v>
      </c>
    </row>
    <row r="37" spans="1:7" x14ac:dyDescent="0.25">
      <c r="A37" s="37" t="s">
        <v>229</v>
      </c>
      <c r="B37" s="37"/>
      <c r="C37" s="37"/>
      <c r="D37" s="37"/>
    </row>
  </sheetData>
  <mergeCells count="1">
    <mergeCell ref="B8:D8"/>
  </mergeCells>
  <pageMargins left="0.7" right="0.7" top="0.75" bottom="0.75" header="0.3" footer="0.3"/>
  <pageSetup scale="91" orientation="landscape" r:id="rId1"/>
  <headerFooter>
    <oddHeader>&amp;RCase No 2023-00209
STAFF-DR-01-002c
Page &amp;P of &amp;N
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Steinkuhl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CF6B6DD63A324B92E3C1581052A937" ma:contentTypeVersion="4" ma:contentTypeDescription="Create a new document." ma:contentTypeScope="" ma:versionID="f2f8f94a1180b2ac7cd9e28e02a28276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748DDD-DC92-4F63-B872-3AA677AFB883}">
  <ds:schemaRefs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2612a682-5ffb-4b9c-9555-01761893517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927326-5FB6-4562-91B2-7672A88E5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3057B4-69D3-4069-B30D-5F17219052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 Summary</vt:lpstr>
      <vt:lpstr>Sch 1.0</vt:lpstr>
      <vt:lpstr>Sch 1.1</vt:lpstr>
      <vt:lpstr>Sch 1.2</vt:lpstr>
      <vt:lpstr>Sch 2.0</vt:lpstr>
      <vt:lpstr>Sch 2.1</vt:lpstr>
      <vt:lpstr>Sch 2.2</vt:lpstr>
      <vt:lpstr>Sch 3.0</vt:lpstr>
      <vt:lpstr>Sch 4.1</vt:lpstr>
      <vt:lpstr>Sch 4.2</vt:lpstr>
      <vt:lpstr>Sch 4.3</vt:lpstr>
      <vt:lpstr>Sch 4.4 (old)</vt:lpstr>
      <vt:lpstr>Sch 4.4</vt:lpstr>
      <vt:lpstr>Sch 4.5</vt:lpstr>
      <vt:lpstr>' Summary'!Print_Area</vt:lpstr>
      <vt:lpstr>'Sch 1.0'!Print_Area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Filing Template including True-Up</dc:subject>
  <dc:creator>Shoemaker, Joe</dc:creator>
  <cp:lastModifiedBy>Steinkuhl, Lisa D</cp:lastModifiedBy>
  <cp:lastPrinted>2024-02-06T13:51:34Z</cp:lastPrinted>
  <dcterms:created xsi:type="dcterms:W3CDTF">2015-04-22T13:48:09Z</dcterms:created>
  <dcterms:modified xsi:type="dcterms:W3CDTF">2024-02-06T13:51:42Z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0x0101005BCF6B6DD63A324B92E3C1581052A937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