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ngela.goad\Documents\Water Rate Cases\Kentucky-American Water Company\Case No. 2023-00191\"/>
    </mc:Choice>
  </mc:AlternateContent>
  <xr:revisionPtr revIDLastSave="0" documentId="8_{79B22D5D-45FB-4F99-92ED-EC35541572F8}" xr6:coauthVersionLast="47" xr6:coauthVersionMax="47" xr10:uidLastSave="{00000000-0000-0000-0000-000000000000}"/>
  <bookViews>
    <workbookView xWindow="-110" yWindow="-110" windowWidth="19420" windowHeight="10420" xr2:uid="{00000000-000D-0000-FFFF-FFFF00000000}"/>
  </bookViews>
  <sheets>
    <sheet name="Revenue Requirement" sheetId="6" r:id="rId1"/>
    <sheet name="Rate Base" sheetId="7" r:id="rId2"/>
    <sheet name="CWC" sheetId="10" r:id="rId3"/>
    <sheet name="ROR" sheetId="2" r:id="rId4"/>
    <sheet name="Income Statement" sheetId="8" r:id="rId5"/>
    <sheet name="Adjustments to Income" sheetId="9" r:id="rId6"/>
    <sheet name="Labor Adj" sheetId="14" r:id="rId7"/>
    <sheet name="Incentive Comp ADJ calc" sheetId="3" r:id="rId8"/>
    <sheet name="Revenues" sheetId="11" r:id="rId9"/>
    <sheet name="Water Loss Expense" sheetId="12" r:id="rId10"/>
    <sheet name="Interest Sync" sheetId="13"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'Adjustments to Income'!$A$1:$M$29</definedName>
    <definedName name="_xlnm.Print_Area" localSheetId="2">CWC!$A$1:$N$52</definedName>
    <definedName name="_xlnm.Print_Area" localSheetId="7">'Incentive Comp ADJ calc'!$A$1:$G$25</definedName>
    <definedName name="_xlnm.Print_Area" localSheetId="4">'Income Statement'!$A$1:$I$16</definedName>
    <definedName name="_xlnm.Print_Area" localSheetId="10">'Interest Sync'!$A$1:$I$22</definedName>
    <definedName name="_xlnm.Print_Area" localSheetId="1">'Rate Base'!$A$1:$I$15</definedName>
    <definedName name="_xlnm.Print_Area" localSheetId="0">'Revenue Requirement'!$A$1:$I$38</definedName>
    <definedName name="_xlnm.Print_Area" localSheetId="8">Revenues!$A$1:$M$37</definedName>
    <definedName name="_xlnm.Print_Area" localSheetId="3">ROR!$A$1:$M$28</definedName>
    <definedName name="_xlnm.Print_Area" localSheetId="9">'Water Loss Expense'!$A$1:$G$35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9" l="1"/>
  <c r="F22" i="14"/>
  <c r="F16" i="14"/>
  <c r="F18" i="14" s="1"/>
  <c r="F24" i="14" s="1"/>
  <c r="F12" i="14"/>
  <c r="L23" i="2" l="1"/>
  <c r="E11" i="3"/>
  <c r="E12" i="3"/>
  <c r="E13" i="3"/>
  <c r="E14" i="3"/>
  <c r="E10" i="3"/>
  <c r="C16" i="3" l="1"/>
  <c r="C20" i="3"/>
  <c r="D16" i="3"/>
  <c r="E16" i="3" s="1"/>
  <c r="D20" i="3" l="1"/>
  <c r="D24" i="3" s="1"/>
  <c r="C24" i="3"/>
  <c r="E24" i="3" s="1"/>
  <c r="H13" i="9" s="1"/>
  <c r="F13" i="8" l="1"/>
  <c r="F11" i="8"/>
  <c r="C49" i="10"/>
  <c r="J6" i="9" l="1"/>
  <c r="J15" i="9" l="1"/>
  <c r="J18" i="9"/>
  <c r="J14" i="9"/>
  <c r="F25" i="6" l="1"/>
  <c r="F22" i="12"/>
  <c r="F16" i="12"/>
  <c r="F18" i="12" s="1"/>
  <c r="F20" i="12" s="1"/>
  <c r="F24" i="12" s="1"/>
  <c r="H17" i="9" s="1"/>
  <c r="J17" i="9" s="1"/>
  <c r="F14" i="12"/>
  <c r="L26" i="11"/>
  <c r="H18" i="11"/>
  <c r="J16" i="11"/>
  <c r="J14" i="11"/>
  <c r="J13" i="11"/>
  <c r="J12" i="11"/>
  <c r="J18" i="11" s="1"/>
  <c r="F18" i="11" s="1"/>
  <c r="L20" i="11" s="1"/>
  <c r="J11" i="11"/>
  <c r="J10" i="11"/>
  <c r="L14" i="9"/>
  <c r="L18" i="9"/>
  <c r="J12" i="9"/>
  <c r="L12" i="9" s="1"/>
  <c r="J9" i="9"/>
  <c r="H9" i="9"/>
  <c r="F9" i="9"/>
  <c r="F15" i="8"/>
  <c r="F11" i="6" s="1"/>
  <c r="L14" i="10"/>
  <c r="M14" i="10" s="1"/>
  <c r="L40" i="10"/>
  <c r="M40" i="10" s="1"/>
  <c r="K38" i="10"/>
  <c r="L38" i="10" s="1"/>
  <c r="M38" i="10" s="1"/>
  <c r="K39" i="10"/>
  <c r="L39" i="10" s="1"/>
  <c r="M39" i="10" s="1"/>
  <c r="K40" i="10"/>
  <c r="K41" i="10"/>
  <c r="L41" i="10" s="1"/>
  <c r="M41" i="10" s="1"/>
  <c r="K42" i="10"/>
  <c r="L42" i="10" s="1"/>
  <c r="M42" i="10" s="1"/>
  <c r="K43" i="10"/>
  <c r="L43" i="10" s="1"/>
  <c r="M43" i="10" s="1"/>
  <c r="K44" i="10"/>
  <c r="L44" i="10" s="1"/>
  <c r="M44" i="10" s="1"/>
  <c r="K45" i="10"/>
  <c r="L45" i="10" s="1"/>
  <c r="M45" i="10" s="1"/>
  <c r="K46" i="10"/>
  <c r="L46" i="10" s="1"/>
  <c r="M46" i="10" s="1"/>
  <c r="K47" i="10"/>
  <c r="L47" i="10" s="1"/>
  <c r="M47" i="10" s="1"/>
  <c r="K37" i="10"/>
  <c r="L37" i="10" s="1"/>
  <c r="M37" i="10" s="1"/>
  <c r="K11" i="10"/>
  <c r="L11" i="10" s="1"/>
  <c r="M11" i="10" s="1"/>
  <c r="K12" i="10"/>
  <c r="L12" i="10" s="1"/>
  <c r="M12" i="10" s="1"/>
  <c r="K13" i="10"/>
  <c r="L13" i="10" s="1"/>
  <c r="M13" i="10" s="1"/>
  <c r="K14" i="10"/>
  <c r="K15" i="10"/>
  <c r="L15" i="10" s="1"/>
  <c r="M15" i="10" s="1"/>
  <c r="K16" i="10"/>
  <c r="L16" i="10" s="1"/>
  <c r="M16" i="10" s="1"/>
  <c r="K17" i="10"/>
  <c r="L17" i="10" s="1"/>
  <c r="M17" i="10" s="1"/>
  <c r="K18" i="10"/>
  <c r="L18" i="10" s="1"/>
  <c r="M18" i="10" s="1"/>
  <c r="K19" i="10"/>
  <c r="L19" i="10" s="1"/>
  <c r="M19" i="10" s="1"/>
  <c r="K20" i="10"/>
  <c r="L20" i="10" s="1"/>
  <c r="M20" i="10" s="1"/>
  <c r="K21" i="10"/>
  <c r="L21" i="10" s="1"/>
  <c r="M21" i="10" s="1"/>
  <c r="K22" i="10"/>
  <c r="L22" i="10" s="1"/>
  <c r="M22" i="10" s="1"/>
  <c r="K23" i="10"/>
  <c r="L23" i="10" s="1"/>
  <c r="M23" i="10" s="1"/>
  <c r="K24" i="10"/>
  <c r="L24" i="10" s="1"/>
  <c r="M24" i="10" s="1"/>
  <c r="K25" i="10"/>
  <c r="L25" i="10" s="1"/>
  <c r="M25" i="10" s="1"/>
  <c r="K26" i="10"/>
  <c r="L26" i="10" s="1"/>
  <c r="M26" i="10" s="1"/>
  <c r="K27" i="10"/>
  <c r="L27" i="10" s="1"/>
  <c r="M27" i="10" s="1"/>
  <c r="K28" i="10"/>
  <c r="L28" i="10" s="1"/>
  <c r="M28" i="10" s="1"/>
  <c r="K29" i="10"/>
  <c r="L29" i="10" s="1"/>
  <c r="M29" i="10" s="1"/>
  <c r="K30" i="10"/>
  <c r="L30" i="10" s="1"/>
  <c r="M30" i="10" s="1"/>
  <c r="K31" i="10"/>
  <c r="L31" i="10" s="1"/>
  <c r="M31" i="10" s="1"/>
  <c r="K32" i="10"/>
  <c r="L32" i="10" s="1"/>
  <c r="M32" i="10" s="1"/>
  <c r="K33" i="10"/>
  <c r="L33" i="10" s="1"/>
  <c r="M33" i="10" s="1"/>
  <c r="K34" i="10"/>
  <c r="L34" i="10" s="1"/>
  <c r="M34" i="10" s="1"/>
  <c r="K10" i="10"/>
  <c r="L10" i="10" s="1"/>
  <c r="M10" i="10" s="1"/>
  <c r="F10" i="10"/>
  <c r="G10" i="10" s="1"/>
  <c r="H10" i="10" s="1"/>
  <c r="F11" i="10"/>
  <c r="G11" i="10" s="1"/>
  <c r="H11" i="10" s="1"/>
  <c r="F12" i="10"/>
  <c r="G12" i="10" s="1"/>
  <c r="H12" i="10" s="1"/>
  <c r="F13" i="10"/>
  <c r="G13" i="10" s="1"/>
  <c r="H13" i="10" s="1"/>
  <c r="F14" i="10"/>
  <c r="G14" i="10" s="1"/>
  <c r="H14" i="10" s="1"/>
  <c r="F15" i="10"/>
  <c r="G15" i="10" s="1"/>
  <c r="H15" i="10" s="1"/>
  <c r="F16" i="10"/>
  <c r="G16" i="10" s="1"/>
  <c r="H16" i="10" s="1"/>
  <c r="F17" i="10"/>
  <c r="G17" i="10" s="1"/>
  <c r="H17" i="10" s="1"/>
  <c r="F18" i="10"/>
  <c r="G18" i="10" s="1"/>
  <c r="H18" i="10" s="1"/>
  <c r="F19" i="10"/>
  <c r="G19" i="10" s="1"/>
  <c r="H19" i="10" s="1"/>
  <c r="F20" i="10"/>
  <c r="G20" i="10" s="1"/>
  <c r="H20" i="10" s="1"/>
  <c r="F21" i="10"/>
  <c r="G21" i="10" s="1"/>
  <c r="H21" i="10" s="1"/>
  <c r="F22" i="10"/>
  <c r="G22" i="10" s="1"/>
  <c r="H22" i="10" s="1"/>
  <c r="F23" i="10"/>
  <c r="G23" i="10" s="1"/>
  <c r="H23" i="10" s="1"/>
  <c r="F24" i="10"/>
  <c r="G24" i="10" s="1"/>
  <c r="H24" i="10" s="1"/>
  <c r="F25" i="10"/>
  <c r="G25" i="10" s="1"/>
  <c r="H25" i="10" s="1"/>
  <c r="F26" i="10"/>
  <c r="G26" i="10"/>
  <c r="H26" i="10" s="1"/>
  <c r="F27" i="10"/>
  <c r="G27" i="10" s="1"/>
  <c r="H27" i="10" s="1"/>
  <c r="F28" i="10"/>
  <c r="G28" i="10" s="1"/>
  <c r="H28" i="10" s="1"/>
  <c r="F29" i="10"/>
  <c r="G29" i="10" s="1"/>
  <c r="H29" i="10" s="1"/>
  <c r="F30" i="10"/>
  <c r="G30" i="10" s="1"/>
  <c r="H30" i="10" s="1"/>
  <c r="F31" i="10"/>
  <c r="G31" i="10" s="1"/>
  <c r="H31" i="10" s="1"/>
  <c r="F32" i="10"/>
  <c r="G32" i="10" s="1"/>
  <c r="H32" i="10" s="1"/>
  <c r="F33" i="10"/>
  <c r="G33" i="10" s="1"/>
  <c r="H33" i="10" s="1"/>
  <c r="F34" i="10"/>
  <c r="G34" i="10" s="1"/>
  <c r="H34" i="10" s="1"/>
  <c r="F37" i="10"/>
  <c r="G37" i="10" s="1"/>
  <c r="H37" i="10" s="1"/>
  <c r="F38" i="10"/>
  <c r="G38" i="10" s="1"/>
  <c r="H38" i="10" s="1"/>
  <c r="F39" i="10"/>
  <c r="G39" i="10" s="1"/>
  <c r="H39" i="10" s="1"/>
  <c r="F40" i="10"/>
  <c r="G40" i="10" s="1"/>
  <c r="H40" i="10" s="1"/>
  <c r="F41" i="10"/>
  <c r="G41" i="10" s="1"/>
  <c r="H41" i="10" s="1"/>
  <c r="F42" i="10"/>
  <c r="G42" i="10" s="1"/>
  <c r="H42" i="10" s="1"/>
  <c r="F43" i="10"/>
  <c r="G43" i="10" s="1"/>
  <c r="H43" i="10" s="1"/>
  <c r="F44" i="10"/>
  <c r="G44" i="10"/>
  <c r="H44" i="10" s="1"/>
  <c r="F45" i="10"/>
  <c r="G45" i="10" s="1"/>
  <c r="H45" i="10" s="1"/>
  <c r="F46" i="10"/>
  <c r="G46" i="10" s="1"/>
  <c r="H46" i="10" s="1"/>
  <c r="F47" i="10"/>
  <c r="G47" i="10" s="1"/>
  <c r="H47" i="10" s="1"/>
  <c r="H21" i="6"/>
  <c r="F9" i="6"/>
  <c r="M49" i="10" l="1"/>
  <c r="F13" i="6"/>
  <c r="L9" i="9"/>
  <c r="H21" i="9"/>
  <c r="H11" i="8" s="1"/>
  <c r="J13" i="9"/>
  <c r="L13" i="9" s="1"/>
  <c r="L17" i="9"/>
  <c r="L28" i="11"/>
  <c r="H16" i="9" s="1"/>
  <c r="L24" i="11"/>
  <c r="L15" i="9"/>
  <c r="H49" i="10"/>
  <c r="M51" i="10" s="1"/>
  <c r="L30" i="11" l="1"/>
  <c r="F16" i="9"/>
  <c r="F12" i="7"/>
  <c r="J20" i="2"/>
  <c r="J21" i="2"/>
  <c r="J22" i="2"/>
  <c r="J16" i="9" l="1"/>
  <c r="L16" i="9" s="1"/>
  <c r="F21" i="9"/>
  <c r="H9" i="8" s="1"/>
  <c r="H25" i="6" s="1"/>
  <c r="F15" i="2"/>
  <c r="H10" i="2" s="1"/>
  <c r="L10" i="2" s="1"/>
  <c r="H11" i="2" l="1"/>
  <c r="L11" i="2" s="1"/>
  <c r="H13" i="2"/>
  <c r="L13" i="2" s="1"/>
  <c r="H20" i="2"/>
  <c r="L20" i="2" s="1"/>
  <c r="H12" i="2"/>
  <c r="L12" i="2" s="1"/>
  <c r="H15" i="2" l="1"/>
  <c r="H22" i="2"/>
  <c r="L22" i="2" s="1"/>
  <c r="H21" i="2" l="1"/>
  <c r="L21" i="2" s="1"/>
  <c r="F11" i="13"/>
  <c r="L15" i="2"/>
  <c r="F15" i="6" s="1"/>
  <c r="F17" i="6" s="1"/>
  <c r="F19" i="6" s="1"/>
  <c r="F23" i="6" s="1"/>
  <c r="F27" i="6" s="1"/>
  <c r="L25" i="2"/>
  <c r="H15" i="6" s="1"/>
  <c r="H25" i="2"/>
  <c r="F14" i="7"/>
  <c r="F9" i="13" s="1"/>
  <c r="H9" i="6" l="1"/>
  <c r="F13" i="13"/>
  <c r="F15" i="13" s="1"/>
  <c r="F19" i="13" s="1"/>
  <c r="F21" i="13" s="1"/>
  <c r="J19" i="9" s="1"/>
  <c r="L19" i="9" s="1"/>
  <c r="L21" i="9" s="1"/>
  <c r="H17" i="6"/>
  <c r="J21" i="9" l="1"/>
  <c r="H13" i="8" s="1"/>
  <c r="H15" i="8" s="1"/>
  <c r="H11" i="6" s="1"/>
  <c r="H13" i="6" l="1"/>
  <c r="H19" i="6"/>
  <c r="H23" i="6" s="1"/>
  <c r="H27" i="6" s="1"/>
</calcChain>
</file>

<file path=xl/sharedStrings.xml><?xml version="1.0" encoding="utf-8"?>
<sst xmlns="http://schemas.openxmlformats.org/spreadsheetml/2006/main" count="233" uniqueCount="191">
  <si>
    <t>Kentucky American Water Company</t>
  </si>
  <si>
    <t>Line</t>
  </si>
  <si>
    <t>Description</t>
  </si>
  <si>
    <t>Rate Base</t>
  </si>
  <si>
    <t>Net Income</t>
  </si>
  <si>
    <t>Rate of Return</t>
  </si>
  <si>
    <t>Component</t>
  </si>
  <si>
    <t>Weighting</t>
  </si>
  <si>
    <t>Cost</t>
  </si>
  <si>
    <t>Weighted Cost</t>
  </si>
  <si>
    <t>Short-Term Debt</t>
  </si>
  <si>
    <t>Long-Term Debt</t>
  </si>
  <si>
    <t>Preferred Stock</t>
  </si>
  <si>
    <t>Common Equity</t>
  </si>
  <si>
    <t>Total</t>
  </si>
  <si>
    <t>Adjusted Capital</t>
  </si>
  <si>
    <t>Per OAG</t>
  </si>
  <si>
    <t>Difference</t>
  </si>
  <si>
    <t>APP</t>
  </si>
  <si>
    <t>LTPP</t>
  </si>
  <si>
    <t>Current Operating Income</t>
  </si>
  <si>
    <t>Earned Rate of Return (Line 2 / Line 1)</t>
  </si>
  <si>
    <t>Requested Rate of Return</t>
  </si>
  <si>
    <t>Required Operating Income (Line 1 x Line 4)</t>
  </si>
  <si>
    <t>Operating Income Deficiency (Line 5 - Line 2)</t>
  </si>
  <si>
    <t>Gross Revenue Conversion Factor</t>
  </si>
  <si>
    <t>Revenue Deficiency (Line 6 x Line 7)</t>
  </si>
  <si>
    <t>Adjusted Operating Revenues</t>
  </si>
  <si>
    <t>OAG</t>
  </si>
  <si>
    <t>Amount</t>
  </si>
  <si>
    <t>OAG Adjustments:</t>
  </si>
  <si>
    <t>CWC Adjustments</t>
  </si>
  <si>
    <t>See Response to Staff DR 1-33</t>
  </si>
  <si>
    <t>KAWC</t>
  </si>
  <si>
    <t>Net Operating Funds</t>
  </si>
  <si>
    <t>Preferred Dividends</t>
  </si>
  <si>
    <t>Interest Expense - Short - Term Debt</t>
  </si>
  <si>
    <t>Interest Expense - Long - Term Debt</t>
  </si>
  <si>
    <t>Deferred Income Taxes</t>
  </si>
  <si>
    <t>Income Taxes - Current - FIT</t>
  </si>
  <si>
    <t>Income Taxes - Current - SIT</t>
  </si>
  <si>
    <t>Payroll Taxes</t>
  </si>
  <si>
    <t>Utility Tax</t>
  </si>
  <si>
    <t>Property Taxes</t>
  </si>
  <si>
    <t>Depreciation and Amortization</t>
  </si>
  <si>
    <t>Other Customer Accounting</t>
  </si>
  <si>
    <t>Transportation</t>
  </si>
  <si>
    <t>Miscellaneous Expense</t>
  </si>
  <si>
    <t>Telecommunication</t>
  </si>
  <si>
    <t>Postage Printing &amp; Stationary</t>
  </si>
  <si>
    <t>Building Maintenance &amp; Services</t>
  </si>
  <si>
    <t>Employee Related Exp, Travel &amp; Ent</t>
  </si>
  <si>
    <t>Office Supplies &amp; Services</t>
  </si>
  <si>
    <t>Uncollectibles</t>
  </si>
  <si>
    <t>Amortization</t>
  </si>
  <si>
    <t>Maintenance Service &amp; Supplies</t>
  </si>
  <si>
    <t>Regulatory Expense</t>
  </si>
  <si>
    <t>Rents</t>
  </si>
  <si>
    <t>Insurance Other than Group</t>
  </si>
  <si>
    <t>Pensions</t>
  </si>
  <si>
    <t>Other Benefits</t>
  </si>
  <si>
    <t>Opeb</t>
  </si>
  <si>
    <t>Group Insurance</t>
  </si>
  <si>
    <t>Contracted Services</t>
  </si>
  <si>
    <t>Service Company Charges</t>
  </si>
  <si>
    <t>Waste Disposal</t>
  </si>
  <si>
    <t>Purchased Water</t>
  </si>
  <si>
    <t>Chemicals</t>
  </si>
  <si>
    <t>Fuel, Power and Electric</t>
  </si>
  <si>
    <t>Salaries &amp; Wages</t>
  </si>
  <si>
    <t>Per Company
CWC Requirement</t>
  </si>
  <si>
    <t>Per Company 
CWC Factor</t>
  </si>
  <si>
    <t>Per Company Net Lag</t>
  </si>
  <si>
    <t>Revenue Lag</t>
  </si>
  <si>
    <t>Item</t>
  </si>
  <si>
    <t>Per Company
Expense Lag</t>
  </si>
  <si>
    <t>OAG Rate Base</t>
  </si>
  <si>
    <t>Per OAG
Expense Lag</t>
  </si>
  <si>
    <t>Per OAG Net Lag</t>
  </si>
  <si>
    <t>Per OAG 
CWC Factor</t>
  </si>
  <si>
    <t>Per OAG
CWC Requirement</t>
  </si>
  <si>
    <t>Expenses</t>
  </si>
  <si>
    <t>Taxes</t>
  </si>
  <si>
    <t>Revenues at Current Rates</t>
  </si>
  <si>
    <t>Revenue</t>
  </si>
  <si>
    <t>Expense</t>
  </si>
  <si>
    <t>Tax</t>
  </si>
  <si>
    <t>NI Impact</t>
  </si>
  <si>
    <t>Income Tax (S&amp;F) =</t>
  </si>
  <si>
    <t>Incentive Comp</t>
  </si>
  <si>
    <t>Non-Labor Employee Costs</t>
  </si>
  <si>
    <t>Credit Card</t>
  </si>
  <si>
    <t>Residential Revenues</t>
  </si>
  <si>
    <t>Water Loss</t>
  </si>
  <si>
    <t>Misc. Expense</t>
  </si>
  <si>
    <t>OAG Income Adjustments:</t>
  </si>
  <si>
    <t>Kentucky-American Water Company</t>
  </si>
  <si>
    <t>Residential Revenue Adjustment</t>
  </si>
  <si>
    <t>Year</t>
  </si>
  <si>
    <t>Usage</t>
  </si>
  <si>
    <t>Avg. Customers</t>
  </si>
  <si>
    <t>Usage/Customer</t>
  </si>
  <si>
    <t>Revenue Adjustment Calculation</t>
  </si>
  <si>
    <t>(000 Gal)</t>
  </si>
  <si>
    <r>
      <t xml:space="preserve">2018 </t>
    </r>
    <r>
      <rPr>
        <vertAlign val="superscript"/>
        <sz val="11"/>
        <color theme="1"/>
        <rFont val="Arial"/>
        <family val="2"/>
      </rPr>
      <t>1</t>
    </r>
  </si>
  <si>
    <r>
      <t xml:space="preserve">2019 </t>
    </r>
    <r>
      <rPr>
        <vertAlign val="superscript"/>
        <sz val="11"/>
        <color theme="1"/>
        <rFont val="Arial"/>
        <family val="2"/>
      </rPr>
      <t>1</t>
    </r>
  </si>
  <si>
    <r>
      <t xml:space="preserve">2020 </t>
    </r>
    <r>
      <rPr>
        <vertAlign val="superscript"/>
        <sz val="11"/>
        <color theme="1"/>
        <rFont val="Arial"/>
        <family val="2"/>
      </rPr>
      <t>1</t>
    </r>
  </si>
  <si>
    <r>
      <t xml:space="preserve">2021 </t>
    </r>
    <r>
      <rPr>
        <vertAlign val="superscript"/>
        <sz val="11"/>
        <color theme="1"/>
        <rFont val="Arial"/>
        <family val="2"/>
      </rPr>
      <t>1</t>
    </r>
  </si>
  <si>
    <r>
      <t xml:space="preserve">2022 </t>
    </r>
    <r>
      <rPr>
        <vertAlign val="superscript"/>
        <sz val="11"/>
        <color theme="1"/>
        <rFont val="Arial"/>
        <family val="2"/>
      </rPr>
      <t>1</t>
    </r>
  </si>
  <si>
    <r>
      <t xml:space="preserve">Company Test Year </t>
    </r>
    <r>
      <rPr>
        <vertAlign val="superscript"/>
        <sz val="11"/>
        <color theme="1"/>
        <rFont val="Arial"/>
        <family val="2"/>
      </rPr>
      <t>2</t>
    </r>
  </si>
  <si>
    <t>3 Year Avg. Usage/Customer x Company Proposed Customers</t>
  </si>
  <si>
    <t>Incremental Usage Adjustment (000 Gal) [Line 7 Usage - Line 6 Usage]</t>
  </si>
  <si>
    <r>
      <t>Current Residential Charge per 1,000 Gallons</t>
    </r>
    <r>
      <rPr>
        <vertAlign val="superscript"/>
        <sz val="11"/>
        <color theme="1"/>
        <rFont val="Arial"/>
        <family val="2"/>
      </rPr>
      <t>3</t>
    </r>
  </si>
  <si>
    <t>Incremental Increase in Residential Usage Revenues Required [Line 8 x Line 9]</t>
  </si>
  <si>
    <r>
      <t>Cost of Chemicals, Fuel, and Power expense per 1000 gallons</t>
    </r>
    <r>
      <rPr>
        <vertAlign val="superscript"/>
        <sz val="11"/>
        <color theme="1"/>
        <rFont val="Arial"/>
        <family val="2"/>
      </rPr>
      <t>4</t>
    </r>
  </si>
  <si>
    <t>Additional Cost for Incremental Usage Adjusment [Line 8 x Line 11]</t>
  </si>
  <si>
    <t>Net Reduction in Company Revenue Requirement [Line 10 - Line 12]</t>
  </si>
  <si>
    <t xml:space="preserve">                                     </t>
  </si>
  <si>
    <t>Sources:</t>
  </si>
  <si>
    <t>1 KAWC Exhibit 37, Schedule I-4.</t>
  </si>
  <si>
    <t>2 KAWC Exhibit 37, Schedule M-3.  Avg. Customers calculated by dividing the sum of Customer Meter Billings ÷ 12.</t>
  </si>
  <si>
    <t>3 KAWC Exhibit 37, Schedule M-3, Line 19, under current rates column.</t>
  </si>
  <si>
    <t>4 KAWC response to OAG DR 1-91</t>
  </si>
  <si>
    <t>Expenses Related to Water Loss Adjustment</t>
  </si>
  <si>
    <r>
      <t>KAWC Proposed System Delivery</t>
    </r>
    <r>
      <rPr>
        <vertAlign val="superscript"/>
        <sz val="11"/>
        <color theme="1"/>
        <rFont val="Arial"/>
        <family val="2"/>
      </rPr>
      <t>1</t>
    </r>
  </si>
  <si>
    <r>
      <t>KAWC Proposed Unaccounted-For Water (UFW) Percentage</t>
    </r>
    <r>
      <rPr>
        <vertAlign val="superscript"/>
        <sz val="11"/>
        <color theme="1"/>
        <rFont val="Arial"/>
        <family val="2"/>
      </rPr>
      <t>2</t>
    </r>
  </si>
  <si>
    <t>AG Proposed UFW Percentage</t>
  </si>
  <si>
    <t>KAWC UFW (Line 1 x Line 2)</t>
  </si>
  <si>
    <r>
      <t>AG Proposed Increase to System Delivery</t>
    </r>
    <r>
      <rPr>
        <vertAlign val="superscript"/>
        <sz val="11"/>
        <color theme="1"/>
        <rFont val="Arial"/>
        <family val="2"/>
      </rPr>
      <t>3</t>
    </r>
  </si>
  <si>
    <t>AG UFW ((Line 1 + Line 5) x Line 3)</t>
  </si>
  <si>
    <t>AG Proposed Adjustment to UFW (Line 5 - Line 4)</t>
  </si>
  <si>
    <r>
      <t>Expense Related to Water Loss Per Hundreds of Gallons</t>
    </r>
    <r>
      <rPr>
        <vertAlign val="superscript"/>
        <sz val="11"/>
        <color theme="1"/>
        <rFont val="Arial"/>
        <family val="2"/>
      </rPr>
      <t>1</t>
    </r>
  </si>
  <si>
    <t>AG Proposed Adjustment to Expenses Related to Water Loss</t>
  </si>
  <si>
    <t>____________</t>
  </si>
  <si>
    <t xml:space="preserve">1. KAW Response to OAG First Set of Data Requests Number 91. </t>
  </si>
  <si>
    <t>2. Direct Testimony of William A. Lewis Page 39 Line 19.</t>
  </si>
  <si>
    <t>3. Direct Testimony of Greg R. Meyer Page 22 Line 6</t>
  </si>
  <si>
    <t>Note:</t>
  </si>
  <si>
    <t>* AG UFW calculated with an increased system delivery to reflect the proposed incremental residential revenue usage increase.</t>
  </si>
  <si>
    <t>Company Test Year Adjusted Income Levels</t>
  </si>
  <si>
    <t>OAG Test Year Adjusted Income Levels</t>
  </si>
  <si>
    <t>Per Company Rebuttal (See Exhibit 37, Schedule J-1)</t>
  </si>
  <si>
    <t>Adjusted Annualized Interest Deduction  ( Line 1   x  Line 3 )</t>
  </si>
  <si>
    <t xml:space="preserve">Adjusted Annualized Interest Deduction </t>
  </si>
  <si>
    <t>Total Interest Deduction Adjustment ( Line 4 + Line 5)</t>
  </si>
  <si>
    <t>OAG Weighted Cost of Debt</t>
  </si>
  <si>
    <t>Sch. E-1.1</t>
  </si>
  <si>
    <t>Income Tax Effect @ 24.95% (Line 6 x 24.95%)</t>
  </si>
  <si>
    <t>ROR</t>
  </si>
  <si>
    <t>Source</t>
  </si>
  <si>
    <t>OAG Revenue Requirement Summary</t>
  </si>
  <si>
    <t>OAG Rate Base Summary</t>
  </si>
  <si>
    <t>OAG CWC Adjustment Calculation</t>
  </si>
  <si>
    <t>Income Statement Summary</t>
  </si>
  <si>
    <t>OAG Adjustments to Income</t>
  </si>
  <si>
    <t>Ajustment to Incentive Compensation Calculation</t>
  </si>
  <si>
    <t>KAWC Direct</t>
  </si>
  <si>
    <t>Company Direct Rate Base</t>
  </si>
  <si>
    <t>Ex 37A, Page 2, Line 23</t>
  </si>
  <si>
    <t>CWC tab</t>
  </si>
  <si>
    <t>Interest Deductions per Company:</t>
  </si>
  <si>
    <t>Share of Total Incentive Compensation - AIP vs LTPP</t>
  </si>
  <si>
    <t>Avg Share</t>
  </si>
  <si>
    <t>Test Year Total Incentive Comp</t>
  </si>
  <si>
    <t>Apportioned Using Avg</t>
  </si>
  <si>
    <t>OAG Recommended Reduction</t>
  </si>
  <si>
    <t>OAG Reduction</t>
  </si>
  <si>
    <t>Total Revenue Requirement (Line 8 + Line 9)</t>
  </si>
  <si>
    <t>Interest Synchronization (More Interest on Rate Base)</t>
  </si>
  <si>
    <t>Ref</t>
  </si>
  <si>
    <t>Interest Synchonization</t>
  </si>
  <si>
    <t>Δ to rate base</t>
  </si>
  <si>
    <t xml:space="preserve">                        </t>
  </si>
  <si>
    <t>Labor*</t>
  </si>
  <si>
    <t xml:space="preserve">                                </t>
  </si>
  <si>
    <t>Notes:</t>
  </si>
  <si>
    <t>This summary is calculated on a net of tax basis. Table GRM-1, was calculated and presented on a pre-tax rate of return basis.</t>
  </si>
  <si>
    <t>TABLE GRM-5</t>
  </si>
  <si>
    <t>Payroll Adjustment Summary</t>
  </si>
  <si>
    <t>Total Test Year Payroll Costs</t>
  </si>
  <si>
    <t>Company Proposed Payroll Expense Portion ($)</t>
  </si>
  <si>
    <t>Company Proposed Payroll Expense Portion (%) [Line 2 ÷ Line 1]</t>
  </si>
  <si>
    <t>OAG/LFUCG Proposed Payroll Expense Portion (%)</t>
  </si>
  <si>
    <t>OAG/LFUCG Proposed Payroll Expense Portion ($) [ Line 1 x Line 4]</t>
  </si>
  <si>
    <t>OAG/LFUCG Proposed Payroll Expense Adjustment for O&amp;M % [Line 5 - Line 2]</t>
  </si>
  <si>
    <t>Vacancy Cost to Be Removed - before application of O&amp;M percentage</t>
  </si>
  <si>
    <t>OAG/LFUCG Expense Portion of Vacancy Labor Costs Adjustment [Line 7 x Line 4]</t>
  </si>
  <si>
    <t>Total OAG/LFUCG Labor Cost Adjustment [Line 6 + Line 8]</t>
  </si>
  <si>
    <t>Labor adjustment presented here was the original adjustment presented in Table GRM-1. As part of its rebuttal filing, KAWC corrected the information that OAG relied on and OAG no longer believes that a capitalization adjustment is necessary. The OAG's current adjustment to labor would eliminate the vacancies only. OAG understands that the total labor cost for the vacancies is $617,983. Applying the Company's corrected capitalization rate of 35.82%, means OAG's expense adjustment is only $396,621. 
[$617,983 x ( 1 - .3582) = $396,621]</t>
  </si>
  <si>
    <t>Labor adjustment presented here was the original adjustment presented in Table GRM-1. As part of its rebuttal filing, KAWC corrected the information that OAG relied on and OAG no longer believes that a capitalization adjustment is necessary. The OAG's current adjustment to labor would eliminate the vacancies only. OAG understands that the total labor cost for the vacancies is $617,983. Applying the Company's corrected capitalization rate of 35.82%, means OAG's expense adjustment is only $396,621. [$617,983 x ( 1 - .3582) = $396,621]</t>
  </si>
  <si>
    <t>Additionally, please note that this information was obtained from the Company’s application filing and through discovery responses. As such, the rate base, return, and expense levels as shown would need to be updated for all changes made in Kentucky-American Water’s rebuttal filing, including but not limited to the Company’s correction of data related to capitalization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</si>
</sst>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00%"/>
    <numFmt numFmtId="167" formatCode="_(* #,##0_);_(* \(#,##0\);_(* &quot;-&quot;??_);_(@_)"/>
    <numFmt numFmtId="168" formatCode="&quot;$&quot;#,##0.000_);[Red]\(&quot;$&quot;#,##0.000\)"/>
    <numFmt numFmtId="169" formatCode="_(&quot;$&quot;* #,##0.0000_);_(&quot;$&quot;* \(#,##0.0000\);_(&quot;$&quot;* &quot;-&quot;??_);_(@_)"/>
    <numFmt numFmtId="170" formatCode="0.0000000"/>
  </numFmts>
  <fonts count="14" x14ac:knownFonts="1">
    <font>
      <sz val="11"/>
      <color theme="1"/>
      <name val="Arial"/>
      <family val="2"/>
    </font>
    <font>
      <sz val="11"/>
      <color theme="1"/>
      <name val="Arial"/>
      <family val="2"/>
    </font>
    <font>
      <b/>
      <sz val="11"/>
      <color theme="1"/>
      <name val="Arial"/>
      <family val="2"/>
    </font>
    <font>
      <b/>
      <u/>
      <sz val="11"/>
      <color theme="1"/>
      <name val="Arial"/>
      <family val="2"/>
    </font>
    <font>
      <b/>
      <sz val="14"/>
      <color theme="1"/>
      <name val="Arial"/>
      <family val="2"/>
    </font>
    <font>
      <b/>
      <sz val="16"/>
      <color theme="1"/>
      <name val="Arial"/>
      <family val="2"/>
    </font>
    <font>
      <sz val="11"/>
      <color theme="1"/>
      <name val="Times New Roman"/>
      <family val="1"/>
    </font>
    <font>
      <vertAlign val="superscript"/>
      <sz val="11"/>
      <color theme="1"/>
      <name val="Arial"/>
      <family val="2"/>
    </font>
    <font>
      <u/>
      <sz val="11"/>
      <color theme="1"/>
      <name val="Arial"/>
      <family val="2"/>
    </font>
    <font>
      <sz val="10"/>
      <color theme="1"/>
      <name val="Arial"/>
      <family val="2"/>
    </font>
    <font>
      <b/>
      <u/>
      <sz val="12"/>
      <color theme="1"/>
      <name val="Arial"/>
      <family val="2"/>
    </font>
    <font>
      <sz val="12"/>
      <name val="Arial"/>
      <family val="2"/>
    </font>
    <font>
      <sz val="11"/>
      <name val="Arial"/>
      <family val="2"/>
    </font>
    <font>
      <b/>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cellStyleXfs>
  <cellXfs count="121">
    <xf numFmtId="0" fontId="0" fillId="0" borderId="0" xfId="0"/>
    <xf numFmtId="0" fontId="0" fillId="0" borderId="0" xfId="0" applyAlignment="1">
      <alignment horizontal="center"/>
    </xf>
    <xf numFmtId="164" fontId="0" fillId="0" borderId="0" xfId="2" applyNumberFormat="1" applyFont="1"/>
    <xf numFmtId="0" fontId="2" fillId="0" borderId="0" xfId="0" applyFont="1"/>
    <xf numFmtId="0" fontId="0" fillId="0" borderId="0" xfId="0" applyAlignment="1">
      <alignment horizontal="center" wrapText="1"/>
    </xf>
    <xf numFmtId="0" fontId="2" fillId="0" borderId="0" xfId="0" applyFont="1" applyAlignment="1">
      <alignment horizontal="center"/>
    </xf>
    <xf numFmtId="0" fontId="2" fillId="0" borderId="1" xfId="0" applyFont="1" applyBorder="1" applyAlignment="1">
      <alignment horizontal="center"/>
    </xf>
    <xf numFmtId="0" fontId="0" fillId="0" borderId="0" xfId="0" applyAlignment="1">
      <alignment horizontal="right"/>
    </xf>
    <xf numFmtId="5" fontId="0" fillId="0" borderId="0" xfId="0" applyNumberFormat="1"/>
    <xf numFmtId="5" fontId="0" fillId="0" borderId="1" xfId="0" applyNumberFormat="1" applyBorder="1"/>
    <xf numFmtId="10" fontId="0" fillId="0" borderId="0" xfId="3" applyNumberFormat="1" applyFont="1"/>
    <xf numFmtId="10" fontId="0" fillId="0" borderId="0" xfId="0" applyNumberFormat="1"/>
    <xf numFmtId="10" fontId="0" fillId="0" borderId="1" xfId="3" applyNumberFormat="1" applyFont="1" applyBorder="1"/>
    <xf numFmtId="166" fontId="0" fillId="0" borderId="0" xfId="0" applyNumberFormat="1"/>
    <xf numFmtId="166" fontId="0" fillId="0" borderId="0" xfId="3" applyNumberFormat="1" applyFont="1"/>
    <xf numFmtId="166" fontId="0" fillId="0" borderId="0" xfId="3" applyNumberFormat="1" applyFont="1" applyBorder="1"/>
    <xf numFmtId="166" fontId="0" fillId="0" borderId="1" xfId="3" applyNumberFormat="1" applyFont="1" applyBorder="1"/>
    <xf numFmtId="0" fontId="6" fillId="0" borderId="0" xfId="0" applyFont="1"/>
    <xf numFmtId="165" fontId="6" fillId="0" borderId="0" xfId="0" applyNumberFormat="1" applyFont="1" applyFill="1"/>
    <xf numFmtId="6" fontId="0" fillId="0" borderId="0" xfId="0" applyNumberFormat="1"/>
    <xf numFmtId="167" fontId="0" fillId="0" borderId="0" xfId="1" applyNumberFormat="1" applyFont="1"/>
    <xf numFmtId="167" fontId="0" fillId="0" borderId="0" xfId="0" applyNumberFormat="1"/>
    <xf numFmtId="0" fontId="0" fillId="0" borderId="1" xfId="0" applyBorder="1"/>
    <xf numFmtId="0" fontId="2" fillId="0" borderId="1" xfId="0" applyFont="1" applyBorder="1"/>
    <xf numFmtId="0" fontId="0" fillId="0" borderId="0" xfId="0" applyAlignment="1">
      <alignment horizontal="left" indent="1"/>
    </xf>
    <xf numFmtId="0" fontId="0" fillId="0" borderId="0" xfId="0" applyAlignment="1">
      <alignment horizontal="left" indent="2"/>
    </xf>
    <xf numFmtId="9" fontId="0" fillId="0" borderId="0" xfId="0" applyNumberFormat="1"/>
    <xf numFmtId="0" fontId="2" fillId="0" borderId="0" xfId="0" applyFont="1" applyBorder="1" applyAlignment="1">
      <alignment horizontal="center"/>
    </xf>
    <xf numFmtId="0" fontId="0" fillId="0" borderId="1" xfId="0" applyBorder="1" applyAlignment="1">
      <alignment horizontal="center"/>
    </xf>
    <xf numFmtId="3" fontId="6" fillId="0" borderId="0" xfId="0" applyNumberFormat="1" applyFont="1"/>
    <xf numFmtId="3" fontId="6" fillId="0" borderId="1" xfId="0" applyNumberFormat="1" applyFont="1" applyBorder="1"/>
    <xf numFmtId="4" fontId="6" fillId="0" borderId="0" xfId="0" applyNumberFormat="1" applyFont="1"/>
    <xf numFmtId="49" fontId="6" fillId="0" borderId="0" xfId="0" applyNumberFormat="1" applyFont="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43" fontId="6" fillId="0" borderId="0" xfId="1" applyNumberFormat="1" applyFont="1" applyFill="1"/>
    <xf numFmtId="0" fontId="0" fillId="2" borderId="0" xfId="0" applyFill="1"/>
    <xf numFmtId="165" fontId="6" fillId="0" borderId="1" xfId="0" applyNumberFormat="1" applyFont="1" applyFill="1" applyBorder="1"/>
    <xf numFmtId="164" fontId="0" fillId="0" borderId="0" xfId="0" applyNumberFormat="1"/>
    <xf numFmtId="164" fontId="0" fillId="0" borderId="1" xfId="2" applyNumberFormat="1" applyFont="1" applyBorder="1"/>
    <xf numFmtId="5" fontId="0" fillId="0" borderId="0" xfId="0" applyNumberFormat="1" applyBorder="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quotePrefix="1" applyFont="1" applyBorder="1" applyAlignment="1">
      <alignment horizontal="center"/>
    </xf>
    <xf numFmtId="0" fontId="0" fillId="0" borderId="0" xfId="0" applyAlignment="1">
      <alignment horizontal="center" vertical="center"/>
    </xf>
    <xf numFmtId="2" fontId="0" fillId="0" borderId="0" xfId="0" applyNumberFormat="1"/>
    <xf numFmtId="167" fontId="0" fillId="0" borderId="0" xfId="1" applyNumberFormat="1" applyFont="1" applyAlignment="1"/>
    <xf numFmtId="0" fontId="0" fillId="0" borderId="0" xfId="0" applyAlignment="1"/>
    <xf numFmtId="2" fontId="0" fillId="0" borderId="0" xfId="0" applyNumberFormat="1" applyAlignment="1"/>
    <xf numFmtId="167" fontId="0" fillId="0" borderId="0" xfId="1" applyNumberFormat="1" applyFont="1" applyAlignment="1">
      <alignment vertical="center"/>
    </xf>
    <xf numFmtId="0" fontId="0" fillId="0" borderId="0" xfId="0" applyAlignment="1">
      <alignment vertical="center"/>
    </xf>
    <xf numFmtId="167" fontId="0" fillId="0" borderId="0" xfId="0" applyNumberFormat="1" applyAlignment="1">
      <alignment vertical="center"/>
    </xf>
    <xf numFmtId="2" fontId="0" fillId="0" borderId="0" xfId="0" applyNumberFormat="1" applyAlignment="1">
      <alignment vertical="center"/>
    </xf>
    <xf numFmtId="168" fontId="0" fillId="0" borderId="1" xfId="0" applyNumberFormat="1" applyBorder="1"/>
    <xf numFmtId="165" fontId="0" fillId="0" borderId="1" xfId="2" applyNumberFormat="1" applyFont="1" applyBorder="1"/>
    <xf numFmtId="165" fontId="0" fillId="0" borderId="0" xfId="2" applyNumberFormat="1" applyFont="1" applyBorder="1"/>
    <xf numFmtId="169" fontId="0" fillId="0" borderId="1" xfId="2" applyNumberFormat="1" applyFont="1" applyBorder="1"/>
    <xf numFmtId="169" fontId="0" fillId="0" borderId="0" xfId="2" applyNumberFormat="1" applyFont="1"/>
    <xf numFmtId="165" fontId="0" fillId="0" borderId="2" xfId="2" applyNumberFormat="1" applyFont="1" applyBorder="1"/>
    <xf numFmtId="0" fontId="8" fillId="0" borderId="0" xfId="0" applyFont="1" applyAlignment="1">
      <alignment vertical="center"/>
    </xf>
    <xf numFmtId="0" fontId="9" fillId="0" borderId="0" xfId="0" applyFont="1" applyAlignment="1">
      <alignment vertical="center"/>
    </xf>
    <xf numFmtId="0" fontId="9" fillId="0" borderId="0" xfId="0" applyFont="1"/>
    <xf numFmtId="9" fontId="0" fillId="0" borderId="0" xfId="3" applyNumberFormat="1" applyFont="1" applyAlignment="1">
      <alignment horizontal="center"/>
    </xf>
    <xf numFmtId="9" fontId="0" fillId="0" borderId="0" xfId="0" applyNumberFormat="1" applyAlignment="1">
      <alignment horizontal="center"/>
    </xf>
    <xf numFmtId="0" fontId="9" fillId="0" borderId="0" xfId="0" applyFont="1" applyAlignment="1">
      <alignment horizontal="left"/>
    </xf>
    <xf numFmtId="0" fontId="9" fillId="0" borderId="0" xfId="0" applyFont="1" applyFill="1"/>
    <xf numFmtId="0" fontId="0" fillId="0" borderId="0" xfId="0" applyFill="1"/>
    <xf numFmtId="44" fontId="0" fillId="0" borderId="0" xfId="0" applyNumberFormat="1"/>
    <xf numFmtId="164" fontId="0" fillId="0" borderId="3" xfId="0" applyNumberFormat="1" applyBorder="1"/>
    <xf numFmtId="164" fontId="0" fillId="0" borderId="4" xfId="0" applyNumberFormat="1" applyBorder="1"/>
    <xf numFmtId="0" fontId="0" fillId="0" borderId="0" xfId="0" applyBorder="1"/>
    <xf numFmtId="0" fontId="0" fillId="0" borderId="0" xfId="0" applyFont="1"/>
    <xf numFmtId="0" fontId="0" fillId="0" borderId="0" xfId="0" applyFont="1" applyAlignment="1">
      <alignment horizontal="center"/>
    </xf>
    <xf numFmtId="0" fontId="12" fillId="0" borderId="0" xfId="4" applyFont="1"/>
    <xf numFmtId="5" fontId="0" fillId="0" borderId="0" xfId="0" applyNumberFormat="1" applyFont="1"/>
    <xf numFmtId="10" fontId="0" fillId="0" borderId="1" xfId="0" applyNumberFormat="1" applyFont="1" applyBorder="1"/>
    <xf numFmtId="5" fontId="0" fillId="0" borderId="2" xfId="0" applyNumberFormat="1" applyFont="1" applyBorder="1"/>
    <xf numFmtId="5" fontId="0" fillId="0" borderId="1" xfId="0" applyNumberFormat="1" applyFont="1" applyBorder="1"/>
    <xf numFmtId="170" fontId="0" fillId="0" borderId="0" xfId="0" applyNumberFormat="1"/>
    <xf numFmtId="10" fontId="0" fillId="0" borderId="0" xfId="0" applyNumberFormat="1" applyFont="1" applyBorder="1"/>
    <xf numFmtId="5" fontId="0" fillId="0" borderId="0" xfId="0" applyNumberFormat="1" applyFont="1" applyBorder="1"/>
    <xf numFmtId="6" fontId="0" fillId="0" borderId="0" xfId="0" applyNumberFormat="1" applyAlignment="1">
      <alignment horizontal="center"/>
    </xf>
    <xf numFmtId="6" fontId="0" fillId="2" borderId="5" xfId="0" applyNumberFormat="1" applyFill="1" applyBorder="1"/>
    <xf numFmtId="0" fontId="2" fillId="0" borderId="0" xfId="0" applyFont="1" applyAlignment="1"/>
    <xf numFmtId="0" fontId="2" fillId="0" borderId="0" xfId="0" applyFont="1" applyAlignment="1">
      <alignment horizontal="right"/>
    </xf>
    <xf numFmtId="3" fontId="13" fillId="0" borderId="0" xfId="0" applyNumberFormat="1" applyFont="1"/>
    <xf numFmtId="0" fontId="8" fillId="0" borderId="0" xfId="0" applyFont="1"/>
    <xf numFmtId="0" fontId="8" fillId="0" borderId="0" xfId="0" applyFont="1" applyAlignment="1">
      <alignment horizontal="left"/>
    </xf>
    <xf numFmtId="0" fontId="6" fillId="3" borderId="6" xfId="0" applyFont="1" applyFill="1" applyBorder="1"/>
    <xf numFmtId="0" fontId="6" fillId="3" borderId="7" xfId="0" applyFont="1" applyFill="1" applyBorder="1"/>
    <xf numFmtId="0" fontId="6" fillId="3" borderId="8" xfId="0" applyFont="1" applyFill="1" applyBorder="1"/>
    <xf numFmtId="0" fontId="6" fillId="3" borderId="9" xfId="0" applyFont="1" applyFill="1" applyBorder="1"/>
    <xf numFmtId="0" fontId="6" fillId="3" borderId="10" xfId="0" applyFont="1" applyFill="1" applyBorder="1"/>
    <xf numFmtId="0" fontId="6" fillId="3" borderId="0" xfId="0" applyFont="1" applyFill="1" applyBorder="1"/>
    <xf numFmtId="0" fontId="13" fillId="3" borderId="9" xfId="0" applyFont="1" applyFill="1" applyBorder="1" applyAlignment="1">
      <alignment horizontal="center"/>
    </xf>
    <xf numFmtId="0" fontId="13" fillId="3" borderId="1" xfId="0" applyFont="1" applyFill="1" applyBorder="1" applyAlignment="1">
      <alignment horizontal="center"/>
    </xf>
    <xf numFmtId="0" fontId="13" fillId="3" borderId="0" xfId="0" applyFont="1" applyFill="1" applyBorder="1" applyAlignment="1">
      <alignment horizontal="center"/>
    </xf>
    <xf numFmtId="0" fontId="13" fillId="3" borderId="10" xfId="0" applyFont="1" applyFill="1" applyBorder="1" applyAlignment="1">
      <alignment horizontal="center"/>
    </xf>
    <xf numFmtId="0" fontId="13" fillId="0" borderId="0" xfId="0" applyFont="1" applyAlignment="1">
      <alignment horizontal="center"/>
    </xf>
    <xf numFmtId="0" fontId="6" fillId="3" borderId="0" xfId="0" applyFont="1" applyFill="1" applyBorder="1" applyAlignment="1">
      <alignment horizontal="center"/>
    </xf>
    <xf numFmtId="164" fontId="6" fillId="3" borderId="0" xfId="2" applyNumberFormat="1" applyFont="1" applyFill="1" applyBorder="1"/>
    <xf numFmtId="164" fontId="6" fillId="3" borderId="1" xfId="2" applyNumberFormat="1" applyFont="1" applyFill="1" applyBorder="1"/>
    <xf numFmtId="10" fontId="6" fillId="3" borderId="0" xfId="3" applyNumberFormat="1" applyFont="1" applyFill="1" applyBorder="1"/>
    <xf numFmtId="10" fontId="6" fillId="3" borderId="1" xfId="3" applyNumberFormat="1" applyFont="1" applyFill="1" applyBorder="1"/>
    <xf numFmtId="164" fontId="6" fillId="3" borderId="1" xfId="0" applyNumberFormat="1" applyFont="1" applyFill="1" applyBorder="1"/>
    <xf numFmtId="164" fontId="6" fillId="3" borderId="2" xfId="0" applyNumberFormat="1" applyFont="1" applyFill="1" applyBorder="1"/>
    <xf numFmtId="0" fontId="6" fillId="3" borderId="11" xfId="0" applyFont="1" applyFill="1" applyBorder="1"/>
    <xf numFmtId="0" fontId="6" fillId="3" borderId="1" xfId="0" applyFont="1" applyFill="1" applyBorder="1"/>
    <xf numFmtId="0" fontId="6" fillId="3" borderId="12" xfId="0" applyFont="1" applyFill="1" applyBorder="1"/>
    <xf numFmtId="0" fontId="4" fillId="0" borderId="0" xfId="0" applyFont="1" applyAlignment="1">
      <alignment horizontal="center"/>
    </xf>
    <xf numFmtId="0" fontId="3" fillId="0" borderId="0" xfId="0" applyFont="1" applyAlignment="1">
      <alignment horizontal="center"/>
    </xf>
    <xf numFmtId="0" fontId="9" fillId="0" borderId="0" xfId="0" applyFont="1" applyAlignment="1">
      <alignment horizontal="left" vertical="center" wrapText="1"/>
    </xf>
    <xf numFmtId="0" fontId="5" fillId="0" borderId="0" xfId="0" applyFont="1" applyAlignment="1">
      <alignment horizontal="center"/>
    </xf>
    <xf numFmtId="0" fontId="0" fillId="0" borderId="0" xfId="0" applyAlignment="1">
      <alignment horizontal="left" wrapText="1"/>
    </xf>
    <xf numFmtId="0" fontId="13" fillId="3" borderId="0" xfId="0" applyFont="1" applyFill="1" applyBorder="1" applyAlignment="1">
      <alignment horizontal="center"/>
    </xf>
    <xf numFmtId="0" fontId="6" fillId="0" borderId="0" xfId="0" applyFont="1" applyAlignment="1">
      <alignment horizontal="left" wrapText="1"/>
    </xf>
    <xf numFmtId="0" fontId="0" fillId="0" borderId="0" xfId="0" applyAlignment="1">
      <alignment horizontal="center" vertical="center" wrapText="1"/>
    </xf>
    <xf numFmtId="0" fontId="2" fillId="0" borderId="0" xfId="0" applyFont="1" applyAlignment="1">
      <alignment horizontal="center"/>
    </xf>
    <xf numFmtId="0" fontId="9" fillId="0" borderId="0" xfId="0" applyFont="1" applyAlignment="1">
      <alignment horizontal="left"/>
    </xf>
    <xf numFmtId="0" fontId="10" fillId="0" borderId="0" xfId="0" applyFont="1" applyAlignment="1">
      <alignment horizontal="center"/>
    </xf>
    <xf numFmtId="0" fontId="9" fillId="0" borderId="0" xfId="0" applyFont="1" applyAlignment="1">
      <alignment horizontal="left" wrapText="1"/>
    </xf>
  </cellXfs>
  <cellStyles count="5">
    <cellStyle name="Comma" xfId="1" builtinId="3"/>
    <cellStyle name="Currency" xfId="2" builtinId="4"/>
    <cellStyle name="Normal" xfId="0" builtinId="0"/>
    <cellStyle name="Normal_PUCO GAS SFRs" xfId="4" xr:uid="{00000000-0005-0000-0000-000003000000}"/>
    <cellStyle name="Percent" xfId="3" builtinId="5"/>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37"/>
  <sheetViews>
    <sheetView tabSelected="1" topLeftCell="A28" workbookViewId="0">
      <selection activeCell="K41" sqref="K41"/>
    </sheetView>
  </sheetViews>
  <sheetFormatPr defaultRowHeight="14" x14ac:dyDescent="0.3"/>
  <cols>
    <col min="1" max="1" width="1.58203125" customWidth="1"/>
    <col min="2" max="2" width="4.75" bestFit="1" customWidth="1"/>
    <col min="3" max="3" width="1.58203125" customWidth="1"/>
    <col min="4" max="4" width="38.33203125" bestFit="1" customWidth="1"/>
    <col min="5" max="5" width="1.58203125" customWidth="1"/>
    <col min="6" max="6" width="15.75" bestFit="1" customWidth="1"/>
    <col min="7" max="7" width="1.58203125" customWidth="1"/>
    <col min="8" max="8" width="16.33203125" customWidth="1"/>
    <col min="9" max="9" width="1.58203125" customWidth="1"/>
    <col min="11" max="11" width="14.75" bestFit="1" customWidth="1"/>
  </cols>
  <sheetData>
    <row r="2" spans="2:8" ht="18" x14ac:dyDescent="0.4">
      <c r="B2" s="109" t="s">
        <v>0</v>
      </c>
      <c r="C2" s="109"/>
      <c r="D2" s="109"/>
      <c r="E2" s="109"/>
      <c r="F2" s="109"/>
      <c r="G2" s="109"/>
      <c r="H2" s="109"/>
    </row>
    <row r="4" spans="2:8" ht="15" customHeight="1" x14ac:dyDescent="0.3">
      <c r="B4" s="110" t="s">
        <v>150</v>
      </c>
      <c r="C4" s="110"/>
      <c r="D4" s="110"/>
      <c r="E4" s="110"/>
      <c r="F4" s="110"/>
      <c r="G4" s="110"/>
      <c r="H4" s="110"/>
    </row>
    <row r="7" spans="2:8" x14ac:dyDescent="0.3">
      <c r="B7" s="6" t="s">
        <v>1</v>
      </c>
      <c r="C7" s="1"/>
      <c r="D7" s="6" t="s">
        <v>2</v>
      </c>
      <c r="F7" s="6" t="s">
        <v>156</v>
      </c>
      <c r="H7" s="6" t="s">
        <v>28</v>
      </c>
    </row>
    <row r="9" spans="2:8" x14ac:dyDescent="0.3">
      <c r="B9" s="1">
        <v>1</v>
      </c>
      <c r="D9" t="s">
        <v>3</v>
      </c>
      <c r="F9" s="2">
        <f>'Rate Base'!F9</f>
        <v>588397566</v>
      </c>
      <c r="H9" s="2">
        <f>'Rate Base'!F14</f>
        <v>580298029</v>
      </c>
    </row>
    <row r="10" spans="2:8" x14ac:dyDescent="0.3">
      <c r="B10" s="1"/>
    </row>
    <row r="11" spans="2:8" x14ac:dyDescent="0.3">
      <c r="B11" s="1">
        <v>2</v>
      </c>
      <c r="D11" t="s">
        <v>20</v>
      </c>
      <c r="F11" s="2">
        <f>'Income Statement'!F15</f>
        <v>26902155</v>
      </c>
      <c r="H11" s="2">
        <f>'Income Statement'!H15</f>
        <v>31225395.890566558</v>
      </c>
    </row>
    <row r="12" spans="2:8" x14ac:dyDescent="0.3">
      <c r="B12" s="1"/>
    </row>
    <row r="13" spans="2:8" x14ac:dyDescent="0.3">
      <c r="B13" s="1">
        <v>3</v>
      </c>
      <c r="D13" t="s">
        <v>21</v>
      </c>
      <c r="F13" s="14">
        <f>F11/F9</f>
        <v>4.5721050790342666E-2</v>
      </c>
      <c r="H13" s="14">
        <f>H11/H9</f>
        <v>5.3809239959639009E-2</v>
      </c>
    </row>
    <row r="14" spans="2:8" x14ac:dyDescent="0.3">
      <c r="B14" s="1"/>
    </row>
    <row r="15" spans="2:8" x14ac:dyDescent="0.3">
      <c r="B15" s="1">
        <v>4</v>
      </c>
      <c r="D15" t="s">
        <v>22</v>
      </c>
      <c r="F15" s="14">
        <f>ROR!L15</f>
        <v>7.8699999999999992E-2</v>
      </c>
      <c r="G15" s="14"/>
      <c r="H15" s="14">
        <f>ROR!L25</f>
        <v>7.0466108654224452E-2</v>
      </c>
    </row>
    <row r="16" spans="2:8" x14ac:dyDescent="0.3">
      <c r="B16" s="1"/>
    </row>
    <row r="17" spans="2:11" x14ac:dyDescent="0.3">
      <c r="B17" s="1">
        <v>5</v>
      </c>
      <c r="D17" t="s">
        <v>23</v>
      </c>
      <c r="F17" s="38">
        <f>ROUND(F9*F15,0)</f>
        <v>46306888</v>
      </c>
      <c r="H17" s="38">
        <f>ROUND(H9*H15,0)</f>
        <v>40891344</v>
      </c>
      <c r="K17" s="20"/>
    </row>
    <row r="18" spans="2:11" x14ac:dyDescent="0.3">
      <c r="B18" s="1"/>
      <c r="K18" s="14"/>
    </row>
    <row r="19" spans="2:11" x14ac:dyDescent="0.3">
      <c r="B19" s="1">
        <v>6</v>
      </c>
      <c r="D19" t="s">
        <v>24</v>
      </c>
      <c r="F19" s="38">
        <f>F17-F11</f>
        <v>19404733</v>
      </c>
      <c r="H19" s="38">
        <f>H17-H11</f>
        <v>9665948.1094334424</v>
      </c>
    </row>
    <row r="20" spans="2:11" x14ac:dyDescent="0.3">
      <c r="B20" s="1"/>
    </row>
    <row r="21" spans="2:11" x14ac:dyDescent="0.3">
      <c r="B21" s="1">
        <v>7</v>
      </c>
      <c r="D21" t="s">
        <v>25</v>
      </c>
      <c r="F21">
        <v>1.3425590000000001</v>
      </c>
      <c r="H21">
        <f>F21</f>
        <v>1.3425590000000001</v>
      </c>
    </row>
    <row r="22" spans="2:11" x14ac:dyDescent="0.3">
      <c r="B22" s="1"/>
    </row>
    <row r="23" spans="2:11" x14ac:dyDescent="0.3">
      <c r="B23" s="1">
        <v>8</v>
      </c>
      <c r="D23" t="s">
        <v>26</v>
      </c>
      <c r="F23" s="68">
        <f>F19*F21</f>
        <v>26051998.931747001</v>
      </c>
      <c r="H23" s="68">
        <f>H19*H21</f>
        <v>12977105.627852853</v>
      </c>
      <c r="K23" s="67"/>
    </row>
    <row r="24" spans="2:11" x14ac:dyDescent="0.3">
      <c r="B24" s="1"/>
    </row>
    <row r="25" spans="2:11" x14ac:dyDescent="0.3">
      <c r="B25" s="1">
        <v>9</v>
      </c>
      <c r="D25" t="s">
        <v>27</v>
      </c>
      <c r="F25" s="38">
        <f>'Income Statement'!F9</f>
        <v>116213137</v>
      </c>
      <c r="H25" s="38">
        <f>'Income Statement'!H9</f>
        <v>118368826.81195638</v>
      </c>
    </row>
    <row r="26" spans="2:11" x14ac:dyDescent="0.3">
      <c r="B26" s="1"/>
    </row>
    <row r="27" spans="2:11" ht="14.5" thickBot="1" x14ac:dyDescent="0.35">
      <c r="B27" s="1">
        <v>10</v>
      </c>
      <c r="D27" t="s">
        <v>167</v>
      </c>
      <c r="F27" s="69">
        <f>F23+F25</f>
        <v>142265135.93174699</v>
      </c>
      <c r="H27" s="69">
        <f>H23+H25</f>
        <v>131345932.43980923</v>
      </c>
    </row>
    <row r="28" spans="2:11" ht="14.5" thickTop="1" x14ac:dyDescent="0.3">
      <c r="B28" s="86" t="s">
        <v>172</v>
      </c>
    </row>
    <row r="29" spans="2:11" x14ac:dyDescent="0.3">
      <c r="B29" s="61" t="s">
        <v>175</v>
      </c>
      <c r="C29" s="61"/>
      <c r="D29" s="61"/>
      <c r="E29" s="61"/>
      <c r="F29" s="61"/>
      <c r="G29" s="61"/>
      <c r="H29" s="61"/>
    </row>
    <row r="30" spans="2:11" x14ac:dyDescent="0.3">
      <c r="B30" s="61"/>
      <c r="C30" s="61"/>
      <c r="D30" s="61"/>
      <c r="E30" s="61"/>
      <c r="F30" s="61"/>
      <c r="G30" s="61"/>
      <c r="H30" s="61"/>
    </row>
    <row r="31" spans="2:11" x14ac:dyDescent="0.3">
      <c r="B31" s="111" t="s">
        <v>176</v>
      </c>
      <c r="C31" s="111"/>
      <c r="D31" s="111"/>
      <c r="E31" s="111"/>
      <c r="F31" s="111"/>
      <c r="G31" s="111"/>
      <c r="H31" s="111"/>
    </row>
    <row r="32" spans="2:11" x14ac:dyDescent="0.3">
      <c r="B32" s="111"/>
      <c r="C32" s="111"/>
      <c r="D32" s="111"/>
      <c r="E32" s="111"/>
      <c r="F32" s="111"/>
      <c r="G32" s="111"/>
      <c r="H32" s="111"/>
    </row>
    <row r="34" spans="2:8" ht="14.25" customHeight="1" x14ac:dyDescent="0.3">
      <c r="B34" s="111" t="s">
        <v>190</v>
      </c>
      <c r="C34" s="111"/>
      <c r="D34" s="111"/>
      <c r="E34" s="111"/>
      <c r="F34" s="111"/>
      <c r="G34" s="111"/>
      <c r="H34" s="111"/>
    </row>
    <row r="35" spans="2:8" x14ac:dyDescent="0.3">
      <c r="B35" s="111"/>
      <c r="C35" s="111"/>
      <c r="D35" s="111"/>
      <c r="E35" s="111"/>
      <c r="F35" s="111"/>
      <c r="G35" s="111"/>
      <c r="H35" s="111"/>
    </row>
    <row r="36" spans="2:8" x14ac:dyDescent="0.3">
      <c r="B36" s="111"/>
      <c r="C36" s="111"/>
      <c r="D36" s="111"/>
      <c r="E36" s="111"/>
      <c r="F36" s="111"/>
      <c r="G36" s="111"/>
      <c r="H36" s="111"/>
    </row>
    <row r="37" spans="2:8" x14ac:dyDescent="0.3">
      <c r="B37" s="111"/>
      <c r="C37" s="111"/>
      <c r="D37" s="111"/>
      <c r="E37" s="111"/>
      <c r="F37" s="111"/>
      <c r="G37" s="111"/>
      <c r="H37" s="111"/>
    </row>
  </sheetData>
  <mergeCells count="4">
    <mergeCell ref="B2:H2"/>
    <mergeCell ref="B4:H4"/>
    <mergeCell ref="B31:H32"/>
    <mergeCell ref="B34:H37"/>
  </mergeCells>
  <printOptions horizontalCentered="1"/>
  <pageMargins left="0.7" right="0.7" top="1" bottom="0.75" header="0.5" footer="0.3"/>
  <pageSetup scale="92" orientation="landscape" r:id="rId1"/>
  <headerFooter>
    <oddHeader>&amp;R&amp;"Arial,Bold"&amp;10OAG Response to Staff Post-Hearing Data Request 1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F34"/>
  <sheetViews>
    <sheetView topLeftCell="A13" workbookViewId="0">
      <selection sqref="A1:G35"/>
    </sheetView>
  </sheetViews>
  <sheetFormatPr defaultRowHeight="14" x14ac:dyDescent="0.3"/>
  <cols>
    <col min="1" max="1" width="1.58203125" customWidth="1"/>
    <col min="2" max="2" width="4.25" bestFit="1" customWidth="1"/>
    <col min="3" max="3" width="1.58203125" customWidth="1"/>
    <col min="4" max="4" width="52.83203125" bestFit="1" customWidth="1"/>
    <col min="5" max="5" width="1.58203125" customWidth="1"/>
    <col min="6" max="6" width="12.08203125" bestFit="1" customWidth="1"/>
    <col min="7" max="7" width="1.58203125" customWidth="1"/>
  </cols>
  <sheetData>
    <row r="2" spans="2:6" ht="18" x14ac:dyDescent="0.4">
      <c r="B2" s="109" t="s">
        <v>96</v>
      </c>
      <c r="C2" s="109"/>
      <c r="D2" s="109"/>
      <c r="E2" s="109"/>
      <c r="F2" s="109"/>
    </row>
    <row r="4" spans="2:6" ht="15.5" x14ac:dyDescent="0.35">
      <c r="B4" s="119" t="s">
        <v>123</v>
      </c>
      <c r="C4" s="119"/>
      <c r="D4" s="119"/>
      <c r="E4" s="119"/>
      <c r="F4" s="119"/>
    </row>
    <row r="6" spans="2:6" x14ac:dyDescent="0.3">
      <c r="B6" s="28" t="s">
        <v>1</v>
      </c>
      <c r="D6" s="28" t="s">
        <v>2</v>
      </c>
      <c r="F6" s="28" t="s">
        <v>29</v>
      </c>
    </row>
    <row r="8" spans="2:6" ht="16.5" x14ac:dyDescent="0.3">
      <c r="B8" s="1">
        <v>1</v>
      </c>
      <c r="D8" t="s">
        <v>124</v>
      </c>
      <c r="F8" s="20">
        <v>150894700</v>
      </c>
    </row>
    <row r="9" spans="2:6" x14ac:dyDescent="0.3">
      <c r="B9" s="1"/>
    </row>
    <row r="10" spans="2:6" ht="16.5" x14ac:dyDescent="0.3">
      <c r="B10" s="1">
        <v>2</v>
      </c>
      <c r="D10" t="s">
        <v>125</v>
      </c>
      <c r="F10" s="62">
        <v>0.2</v>
      </c>
    </row>
    <row r="11" spans="2:6" x14ac:dyDescent="0.3">
      <c r="B11" s="1"/>
      <c r="F11" s="63"/>
    </row>
    <row r="12" spans="2:6" x14ac:dyDescent="0.3">
      <c r="B12" s="1">
        <v>3</v>
      </c>
      <c r="D12" t="s">
        <v>126</v>
      </c>
      <c r="F12" s="62">
        <v>0.15</v>
      </c>
    </row>
    <row r="13" spans="2:6" x14ac:dyDescent="0.3">
      <c r="B13" s="1"/>
      <c r="F13" s="26"/>
    </row>
    <row r="14" spans="2:6" x14ac:dyDescent="0.3">
      <c r="B14" s="1">
        <v>4</v>
      </c>
      <c r="D14" t="s">
        <v>127</v>
      </c>
      <c r="F14" s="21">
        <f>F8*F10</f>
        <v>30178940</v>
      </c>
    </row>
    <row r="15" spans="2:6" x14ac:dyDescent="0.3">
      <c r="B15" s="1"/>
      <c r="F15" s="21"/>
    </row>
    <row r="16" spans="2:6" ht="16.5" x14ac:dyDescent="0.3">
      <c r="B16" s="1">
        <v>5</v>
      </c>
      <c r="D16" t="s">
        <v>128</v>
      </c>
      <c r="F16" s="21">
        <f>3744470</f>
        <v>3744470</v>
      </c>
    </row>
    <row r="17" spans="2:6" x14ac:dyDescent="0.3">
      <c r="B17" s="1"/>
      <c r="F17" s="21"/>
    </row>
    <row r="18" spans="2:6" x14ac:dyDescent="0.3">
      <c r="B18" s="1">
        <v>6</v>
      </c>
      <c r="D18" t="s">
        <v>129</v>
      </c>
      <c r="F18" s="21">
        <f>(F8+F16)*F12</f>
        <v>23195875.5</v>
      </c>
    </row>
    <row r="19" spans="2:6" x14ac:dyDescent="0.3">
      <c r="B19" s="1"/>
    </row>
    <row r="20" spans="2:6" x14ac:dyDescent="0.3">
      <c r="B20" s="1">
        <v>7</v>
      </c>
      <c r="D20" t="s">
        <v>130</v>
      </c>
      <c r="F20" s="21">
        <f>F18-F14</f>
        <v>-6983064.5</v>
      </c>
    </row>
    <row r="21" spans="2:6" x14ac:dyDescent="0.3">
      <c r="B21" s="1"/>
    </row>
    <row r="22" spans="2:6" ht="16.5" x14ac:dyDescent="0.3">
      <c r="B22" s="1">
        <v>8</v>
      </c>
      <c r="D22" t="s">
        <v>131</v>
      </c>
      <c r="F22" s="57">
        <f>0.0373+0.0375</f>
        <v>7.4800000000000005E-2</v>
      </c>
    </row>
    <row r="23" spans="2:6" x14ac:dyDescent="0.3">
      <c r="B23" s="1"/>
      <c r="F23" s="38"/>
    </row>
    <row r="24" spans="2:6" x14ac:dyDescent="0.3">
      <c r="B24" s="1">
        <v>9</v>
      </c>
      <c r="D24" t="s">
        <v>132</v>
      </c>
      <c r="F24" s="2">
        <f>F20*F22</f>
        <v>-522333.22460000002</v>
      </c>
    </row>
    <row r="26" spans="2:6" x14ac:dyDescent="0.3">
      <c r="B26" t="s">
        <v>133</v>
      </c>
    </row>
    <row r="27" spans="2:6" x14ac:dyDescent="0.3">
      <c r="B27" s="61" t="s">
        <v>118</v>
      </c>
    </row>
    <row r="28" spans="2:6" x14ac:dyDescent="0.3">
      <c r="B28" s="64" t="s">
        <v>134</v>
      </c>
    </row>
    <row r="29" spans="2:6" x14ac:dyDescent="0.3">
      <c r="B29" s="61" t="s">
        <v>135</v>
      </c>
    </row>
    <row r="30" spans="2:6" x14ac:dyDescent="0.3">
      <c r="B30" s="65" t="s">
        <v>136</v>
      </c>
      <c r="C30" s="66"/>
      <c r="D30" s="66"/>
    </row>
    <row r="31" spans="2:6" x14ac:dyDescent="0.3">
      <c r="B31" s="61"/>
    </row>
    <row r="32" spans="2:6" x14ac:dyDescent="0.3">
      <c r="B32" s="61" t="s">
        <v>137</v>
      </c>
    </row>
    <row r="33" spans="2:6" x14ac:dyDescent="0.3">
      <c r="B33" s="120" t="s">
        <v>138</v>
      </c>
      <c r="C33" s="120"/>
      <c r="D33" s="120"/>
      <c r="E33" s="120"/>
      <c r="F33" s="120"/>
    </row>
    <row r="34" spans="2:6" x14ac:dyDescent="0.3">
      <c r="B34" s="120"/>
      <c r="C34" s="120"/>
      <c r="D34" s="120"/>
      <c r="E34" s="120"/>
      <c r="F34" s="120"/>
    </row>
  </sheetData>
  <mergeCells count="3">
    <mergeCell ref="B2:F2"/>
    <mergeCell ref="B4:F4"/>
    <mergeCell ref="B33:F34"/>
  </mergeCells>
  <printOptions horizontalCentered="1"/>
  <pageMargins left="0.7" right="0.7" top="1" bottom="0.75" header="0.5" footer="0.3"/>
  <pageSetup orientation="portrait" r:id="rId1"/>
  <headerFooter>
    <oddHeader>&amp;R&amp;"Arial,Bold"&amp;10OAG Response to Staff Post-Hearing Data Request 1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22"/>
  <sheetViews>
    <sheetView workbookViewId="0">
      <selection sqref="A1:I22"/>
    </sheetView>
  </sheetViews>
  <sheetFormatPr defaultRowHeight="14" x14ac:dyDescent="0.3"/>
  <cols>
    <col min="1" max="1" width="1.58203125" customWidth="1"/>
    <col min="3" max="3" width="1.58203125" customWidth="1"/>
    <col min="4" max="4" width="50.08203125" bestFit="1" customWidth="1"/>
    <col min="5" max="5" width="1.58203125" customWidth="1"/>
    <col min="6" max="6" width="14.08203125" bestFit="1" customWidth="1"/>
    <col min="7" max="7" width="1.58203125" customWidth="1"/>
    <col min="8" max="8" width="9.5" bestFit="1" customWidth="1"/>
    <col min="9" max="9" width="1.58203125" customWidth="1"/>
  </cols>
  <sheetData>
    <row r="2" spans="2:8" ht="18" x14ac:dyDescent="0.4">
      <c r="B2" s="109" t="s">
        <v>96</v>
      </c>
      <c r="C2" s="109"/>
      <c r="D2" s="109"/>
      <c r="E2" s="109"/>
      <c r="F2" s="109"/>
      <c r="G2" s="109"/>
      <c r="H2" s="109"/>
    </row>
    <row r="4" spans="2:8" x14ac:dyDescent="0.3">
      <c r="B4" s="110" t="s">
        <v>170</v>
      </c>
      <c r="C4" s="110"/>
      <c r="D4" s="110"/>
      <c r="E4" s="110"/>
      <c r="F4" s="110"/>
      <c r="G4" s="110"/>
      <c r="H4" s="110"/>
    </row>
    <row r="7" spans="2:8" x14ac:dyDescent="0.3">
      <c r="B7" s="6" t="s">
        <v>1</v>
      </c>
      <c r="C7" s="5"/>
      <c r="D7" s="6" t="s">
        <v>2</v>
      </c>
      <c r="F7" s="6" t="s">
        <v>29</v>
      </c>
      <c r="G7" s="27"/>
      <c r="H7" s="23" t="s">
        <v>149</v>
      </c>
    </row>
    <row r="8" spans="2:8" x14ac:dyDescent="0.3">
      <c r="B8" s="71"/>
      <c r="C8" s="71"/>
      <c r="D8" s="71"/>
    </row>
    <row r="9" spans="2:8" x14ac:dyDescent="0.3">
      <c r="B9" s="72">
        <v>1</v>
      </c>
      <c r="C9" s="71"/>
      <c r="D9" s="73" t="s">
        <v>76</v>
      </c>
      <c r="F9" s="74">
        <f>'Rate Base'!F14</f>
        <v>580298029</v>
      </c>
      <c r="G9" s="74"/>
      <c r="H9" t="s">
        <v>3</v>
      </c>
    </row>
    <row r="10" spans="2:8" x14ac:dyDescent="0.3">
      <c r="B10" s="72"/>
      <c r="C10" s="71"/>
      <c r="D10" s="73"/>
      <c r="F10" s="71"/>
      <c r="G10" s="71"/>
    </row>
    <row r="11" spans="2:8" x14ac:dyDescent="0.3">
      <c r="B11" s="72">
        <v>2</v>
      </c>
      <c r="C11" s="71"/>
      <c r="D11" s="73" t="s">
        <v>145</v>
      </c>
      <c r="F11" s="75">
        <f>SUM(ROR!L20:L21)</f>
        <v>2.3146163204381114E-2</v>
      </c>
      <c r="G11" s="79"/>
      <c r="H11" t="s">
        <v>148</v>
      </c>
    </row>
    <row r="12" spans="2:8" x14ac:dyDescent="0.3">
      <c r="B12" s="72"/>
      <c r="C12" s="71"/>
      <c r="D12" s="73"/>
      <c r="F12" s="71"/>
      <c r="G12" s="71"/>
    </row>
    <row r="13" spans="2:8" ht="14.5" thickBot="1" x14ac:dyDescent="0.35">
      <c r="B13" s="72">
        <v>3</v>
      </c>
      <c r="C13" s="71"/>
      <c r="D13" s="73" t="s">
        <v>142</v>
      </c>
      <c r="F13" s="76">
        <f>F9*F11</f>
        <v>13431672.886414684</v>
      </c>
      <c r="G13" s="80"/>
    </row>
    <row r="14" spans="2:8" ht="14.5" thickTop="1" x14ac:dyDescent="0.3">
      <c r="B14" s="72"/>
      <c r="C14" s="71"/>
      <c r="D14" s="73"/>
      <c r="F14" s="74"/>
      <c r="G14" s="74"/>
    </row>
    <row r="15" spans="2:8" x14ac:dyDescent="0.3">
      <c r="B15" s="72">
        <v>4</v>
      </c>
      <c r="C15" s="71"/>
      <c r="D15" s="73" t="s">
        <v>143</v>
      </c>
      <c r="F15" s="74">
        <f>-F13</f>
        <v>-13431672.886414684</v>
      </c>
      <c r="G15" s="74"/>
    </row>
    <row r="16" spans="2:8" x14ac:dyDescent="0.3">
      <c r="B16" s="72"/>
      <c r="C16" s="71"/>
      <c r="D16" s="73"/>
      <c r="F16" s="71"/>
      <c r="G16" s="71"/>
    </row>
    <row r="17" spans="2:9" x14ac:dyDescent="0.3">
      <c r="B17" s="72">
        <v>5</v>
      </c>
      <c r="C17" s="71"/>
      <c r="D17" s="73" t="s">
        <v>160</v>
      </c>
      <c r="F17" s="77">
        <v>12409364</v>
      </c>
      <c r="G17" s="80"/>
      <c r="H17" t="s">
        <v>146</v>
      </c>
    </row>
    <row r="18" spans="2:9" x14ac:dyDescent="0.3">
      <c r="B18" s="72"/>
      <c r="C18" s="71"/>
      <c r="D18" s="73"/>
      <c r="F18" s="71"/>
      <c r="G18" s="71"/>
    </row>
    <row r="19" spans="2:9" x14ac:dyDescent="0.3">
      <c r="B19" s="72">
        <v>6</v>
      </c>
      <c r="C19" s="71"/>
      <c r="D19" s="73" t="s">
        <v>144</v>
      </c>
      <c r="F19" s="77">
        <f>F15+F17</f>
        <v>-1022308.8864146844</v>
      </c>
      <c r="G19" s="80"/>
    </row>
    <row r="20" spans="2:9" x14ac:dyDescent="0.3">
      <c r="B20" s="72"/>
      <c r="C20" s="71"/>
      <c r="D20" s="73"/>
      <c r="F20" s="71"/>
      <c r="G20" s="71"/>
    </row>
    <row r="21" spans="2:9" ht="14.5" thickBot="1" x14ac:dyDescent="0.35">
      <c r="B21" s="72">
        <v>7</v>
      </c>
      <c r="C21" s="71"/>
      <c r="D21" s="73" t="s">
        <v>147</v>
      </c>
      <c r="F21" s="76">
        <f>F19*'Adjustments to Income'!J6</f>
        <v>-255066.06716046375</v>
      </c>
      <c r="G21" s="80"/>
      <c r="I21" s="78"/>
    </row>
    <row r="22" spans="2:9" ht="14.5" thickTop="1" x14ac:dyDescent="0.3"/>
  </sheetData>
  <mergeCells count="2">
    <mergeCell ref="B4:H4"/>
    <mergeCell ref="B2:H2"/>
  </mergeCells>
  <printOptions horizontalCentered="1"/>
  <pageMargins left="0.7" right="0.7" top="1" bottom="0.75" header="0.5" footer="0.3"/>
  <pageSetup orientation="landscape" r:id="rId1"/>
  <headerFooter>
    <oddHeader>&amp;R&amp;"Arial,Bold"&amp;10OAG Response to Staff Post-Hearing Data Request 1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14"/>
  <sheetViews>
    <sheetView workbookViewId="0">
      <selection activeCell="L12" sqref="L12"/>
    </sheetView>
  </sheetViews>
  <sheetFormatPr defaultRowHeight="14" x14ac:dyDescent="0.3"/>
  <cols>
    <col min="1" max="1" width="1.58203125" customWidth="1"/>
    <col min="3" max="3" width="1.58203125" customWidth="1"/>
    <col min="4" max="4" width="25.58203125" bestFit="1" customWidth="1"/>
    <col min="5" max="5" width="1.58203125" customWidth="1"/>
    <col min="6" max="6" width="11.83203125" bestFit="1" customWidth="1"/>
    <col min="7" max="7" width="1.58203125" customWidth="1"/>
    <col min="8" max="8" width="20.5" bestFit="1" customWidth="1"/>
    <col min="9" max="9" width="1.58203125" customWidth="1"/>
  </cols>
  <sheetData>
    <row r="2" spans="2:8" ht="18" x14ac:dyDescent="0.4">
      <c r="B2" s="109" t="s">
        <v>0</v>
      </c>
      <c r="C2" s="109"/>
      <c r="D2" s="109"/>
      <c r="E2" s="109"/>
      <c r="F2" s="109"/>
      <c r="G2" s="109"/>
      <c r="H2" s="109"/>
    </row>
    <row r="4" spans="2:8" x14ac:dyDescent="0.3">
      <c r="B4" s="110" t="s">
        <v>151</v>
      </c>
      <c r="C4" s="110"/>
      <c r="D4" s="110"/>
      <c r="E4" s="110"/>
      <c r="F4" s="110"/>
      <c r="G4" s="110"/>
      <c r="H4" s="110"/>
    </row>
    <row r="7" spans="2:8" x14ac:dyDescent="0.3">
      <c r="B7" s="6" t="s">
        <v>1</v>
      </c>
      <c r="C7" s="1"/>
      <c r="D7" s="6" t="s">
        <v>2</v>
      </c>
      <c r="F7" s="6" t="s">
        <v>29</v>
      </c>
      <c r="H7" s="6" t="s">
        <v>169</v>
      </c>
    </row>
    <row r="9" spans="2:8" x14ac:dyDescent="0.3">
      <c r="B9" s="1">
        <v>1</v>
      </c>
      <c r="D9" t="s">
        <v>157</v>
      </c>
      <c r="F9" s="18">
        <v>588397566</v>
      </c>
      <c r="H9" t="s">
        <v>158</v>
      </c>
    </row>
    <row r="10" spans="2:8" x14ac:dyDescent="0.3">
      <c r="B10" s="1"/>
    </row>
    <row r="11" spans="2:8" x14ac:dyDescent="0.3">
      <c r="B11" s="1">
        <v>2</v>
      </c>
      <c r="D11" t="s">
        <v>30</v>
      </c>
    </row>
    <row r="12" spans="2:8" x14ac:dyDescent="0.3">
      <c r="B12" s="1">
        <v>3</v>
      </c>
      <c r="D12" s="25" t="s">
        <v>31</v>
      </c>
      <c r="F12" s="37">
        <f>CWC!M51</f>
        <v>-8099537</v>
      </c>
      <c r="H12" t="s">
        <v>159</v>
      </c>
    </row>
    <row r="13" spans="2:8" x14ac:dyDescent="0.3">
      <c r="B13" s="1"/>
    </row>
    <row r="14" spans="2:8" x14ac:dyDescent="0.3">
      <c r="B14" s="1">
        <v>4</v>
      </c>
      <c r="D14" t="s">
        <v>76</v>
      </c>
      <c r="F14" s="18">
        <f>F9+F12</f>
        <v>580298029</v>
      </c>
    </row>
  </sheetData>
  <mergeCells count="2">
    <mergeCell ref="B4:H4"/>
    <mergeCell ref="B2:H2"/>
  </mergeCells>
  <pageMargins left="0.7" right="0.7" top="1" bottom="0.75" header="0.5" footer="0.3"/>
  <pageSetup orientation="portrait" r:id="rId1"/>
  <headerFooter>
    <oddHeader>&amp;R&amp;"Arial,Bold"&amp;10OAG Response to Staff Post-Hearing Data Request 1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51"/>
  <sheetViews>
    <sheetView topLeftCell="A28" workbookViewId="0">
      <selection activeCell="M53" sqref="M53"/>
    </sheetView>
  </sheetViews>
  <sheetFormatPr defaultRowHeight="14" x14ac:dyDescent="0.3"/>
  <cols>
    <col min="1" max="1" width="1.58203125" customWidth="1"/>
    <col min="2" max="2" width="29" bestFit="1" customWidth="1"/>
    <col min="3" max="3" width="11.5" customWidth="1"/>
    <col min="5" max="5" width="11.33203125" customWidth="1"/>
    <col min="8" max="8" width="12.58203125" customWidth="1"/>
    <col min="9" max="9" width="3.58203125" customWidth="1"/>
    <col min="10" max="10" width="11.25" bestFit="1" customWidth="1"/>
    <col min="13" max="13" width="12.5" customWidth="1"/>
    <col min="14" max="14" width="1.58203125" customWidth="1"/>
  </cols>
  <sheetData>
    <row r="2" spans="2:13" ht="18" x14ac:dyDescent="0.4">
      <c r="B2" s="109" t="s">
        <v>0</v>
      </c>
      <c r="C2" s="109"/>
      <c r="D2" s="109"/>
      <c r="E2" s="109"/>
      <c r="F2" s="109"/>
      <c r="G2" s="109"/>
      <c r="H2" s="109"/>
      <c r="I2" s="109"/>
      <c r="J2" s="109"/>
      <c r="K2" s="109"/>
      <c r="L2" s="109"/>
      <c r="M2" s="109"/>
    </row>
    <row r="4" spans="2:13" x14ac:dyDescent="0.3">
      <c r="B4" s="110" t="s">
        <v>152</v>
      </c>
      <c r="C4" s="110"/>
      <c r="D4" s="110"/>
      <c r="E4" s="110"/>
      <c r="F4" s="110"/>
      <c r="G4" s="110"/>
      <c r="H4" s="110"/>
      <c r="I4" s="110"/>
      <c r="J4" s="110"/>
      <c r="K4" s="110"/>
      <c r="L4" s="110"/>
      <c r="M4" s="110"/>
    </row>
    <row r="7" spans="2:13" ht="56" x14ac:dyDescent="0.3">
      <c r="B7" s="34" t="s">
        <v>74</v>
      </c>
      <c r="C7" s="34" t="s">
        <v>29</v>
      </c>
      <c r="D7" s="33" t="s">
        <v>73</v>
      </c>
      <c r="E7" s="33" t="s">
        <v>75</v>
      </c>
      <c r="F7" s="33" t="s">
        <v>72</v>
      </c>
      <c r="G7" s="33" t="s">
        <v>71</v>
      </c>
      <c r="H7" s="33" t="s">
        <v>70</v>
      </c>
      <c r="J7" s="33" t="s">
        <v>77</v>
      </c>
      <c r="K7" s="33" t="s">
        <v>78</v>
      </c>
      <c r="L7" s="33" t="s">
        <v>79</v>
      </c>
      <c r="M7" s="33" t="s">
        <v>80</v>
      </c>
    </row>
    <row r="8" spans="2:13" x14ac:dyDescent="0.3">
      <c r="B8" s="32"/>
      <c r="C8" s="32"/>
      <c r="D8" s="32"/>
      <c r="E8" s="32"/>
      <c r="F8" s="32"/>
      <c r="G8" s="32"/>
      <c r="H8" s="32"/>
    </row>
    <row r="9" spans="2:13" x14ac:dyDescent="0.3">
      <c r="B9" s="17"/>
      <c r="C9" s="17"/>
      <c r="D9" s="17"/>
      <c r="E9" s="17"/>
      <c r="F9" s="17"/>
      <c r="G9" s="17"/>
      <c r="H9" s="17"/>
    </row>
    <row r="10" spans="2:13" x14ac:dyDescent="0.3">
      <c r="B10" s="17" t="s">
        <v>69</v>
      </c>
      <c r="C10" s="29">
        <v>8967621</v>
      </c>
      <c r="D10" s="17">
        <v>37.75</v>
      </c>
      <c r="E10" s="17">
        <v>11.5</v>
      </c>
      <c r="F10" s="31">
        <f t="shared" ref="F10:F34" si="0">D10-E10</f>
        <v>26.25</v>
      </c>
      <c r="G10" s="17">
        <f t="shared" ref="G10:G34" si="1">F10/366</f>
        <v>7.1721311475409832E-2</v>
      </c>
      <c r="H10" s="29">
        <f t="shared" ref="H10:H34" si="2">ROUND(G10*C10,0)</f>
        <v>643170</v>
      </c>
      <c r="J10" s="35">
        <v>11.5</v>
      </c>
      <c r="K10" s="17">
        <f>D10-J10</f>
        <v>26.25</v>
      </c>
      <c r="L10" s="17">
        <f>K10/366</f>
        <v>7.1721311475409832E-2</v>
      </c>
      <c r="M10" s="29">
        <f>ROUND(L10*C10,0)</f>
        <v>643170</v>
      </c>
    </row>
    <row r="11" spans="2:13" x14ac:dyDescent="0.3">
      <c r="B11" s="17" t="s">
        <v>68</v>
      </c>
      <c r="C11" s="29">
        <v>5664614</v>
      </c>
      <c r="D11" s="17">
        <v>37.75</v>
      </c>
      <c r="E11" s="17">
        <v>24.6</v>
      </c>
      <c r="F11" s="31">
        <f t="shared" si="0"/>
        <v>13.149999999999999</v>
      </c>
      <c r="G11" s="17">
        <f t="shared" si="1"/>
        <v>3.5928961748633872E-2</v>
      </c>
      <c r="H11" s="29">
        <f t="shared" si="2"/>
        <v>203524</v>
      </c>
      <c r="J11" s="35">
        <v>24.6</v>
      </c>
      <c r="K11" s="17">
        <f t="shared" ref="K11:K34" si="3">D11-J11</f>
        <v>13.149999999999999</v>
      </c>
      <c r="L11" s="17">
        <f t="shared" ref="L11:L47" si="4">K11/366</f>
        <v>3.5928961748633872E-2</v>
      </c>
      <c r="M11" s="29">
        <f t="shared" ref="M11:M34" si="5">ROUND(L11*C11,0)</f>
        <v>203524</v>
      </c>
    </row>
    <row r="12" spans="2:13" x14ac:dyDescent="0.3">
      <c r="B12" s="17" t="s">
        <v>67</v>
      </c>
      <c r="C12" s="29">
        <v>5624592</v>
      </c>
      <c r="D12" s="17">
        <v>37.75</v>
      </c>
      <c r="E12" s="17">
        <v>28.5</v>
      </c>
      <c r="F12" s="31">
        <f t="shared" si="0"/>
        <v>9.25</v>
      </c>
      <c r="G12" s="17">
        <f t="shared" si="1"/>
        <v>2.5273224043715847E-2</v>
      </c>
      <c r="H12" s="29">
        <f t="shared" si="2"/>
        <v>142152</v>
      </c>
      <c r="J12" s="35">
        <v>28.5</v>
      </c>
      <c r="K12" s="17">
        <f t="shared" si="3"/>
        <v>9.25</v>
      </c>
      <c r="L12" s="17">
        <f t="shared" si="4"/>
        <v>2.5273224043715847E-2</v>
      </c>
      <c r="M12" s="29">
        <f t="shared" si="5"/>
        <v>142152</v>
      </c>
    </row>
    <row r="13" spans="2:13" x14ac:dyDescent="0.3">
      <c r="B13" s="17" t="s">
        <v>66</v>
      </c>
      <c r="C13" s="29">
        <v>368973</v>
      </c>
      <c r="D13" s="17">
        <v>37.75</v>
      </c>
      <c r="E13" s="17">
        <v>44</v>
      </c>
      <c r="F13" s="31">
        <f t="shared" si="0"/>
        <v>-6.25</v>
      </c>
      <c r="G13" s="17">
        <f t="shared" si="1"/>
        <v>-1.7076502732240439E-2</v>
      </c>
      <c r="H13" s="29">
        <f t="shared" si="2"/>
        <v>-6301</v>
      </c>
      <c r="J13" s="35">
        <v>44</v>
      </c>
      <c r="K13" s="17">
        <f t="shared" si="3"/>
        <v>-6.25</v>
      </c>
      <c r="L13" s="17">
        <f t="shared" si="4"/>
        <v>-1.7076502732240439E-2</v>
      </c>
      <c r="M13" s="29">
        <f t="shared" si="5"/>
        <v>-6301</v>
      </c>
    </row>
    <row r="14" spans="2:13" x14ac:dyDescent="0.3">
      <c r="B14" s="17" t="s">
        <v>65</v>
      </c>
      <c r="C14" s="29">
        <v>679404</v>
      </c>
      <c r="D14" s="17">
        <v>37.75</v>
      </c>
      <c r="E14" s="17">
        <v>75.7</v>
      </c>
      <c r="F14" s="31">
        <f t="shared" si="0"/>
        <v>-37.950000000000003</v>
      </c>
      <c r="G14" s="17">
        <f t="shared" si="1"/>
        <v>-0.10368852459016394</v>
      </c>
      <c r="H14" s="29">
        <f t="shared" si="2"/>
        <v>-70446</v>
      </c>
      <c r="J14" s="35">
        <v>75.7</v>
      </c>
      <c r="K14" s="17">
        <f t="shared" si="3"/>
        <v>-37.950000000000003</v>
      </c>
      <c r="L14" s="17">
        <f t="shared" si="4"/>
        <v>-0.10368852459016394</v>
      </c>
      <c r="M14" s="29">
        <f t="shared" si="5"/>
        <v>-70446</v>
      </c>
    </row>
    <row r="15" spans="2:13" x14ac:dyDescent="0.3">
      <c r="B15" s="17" t="s">
        <v>64</v>
      </c>
      <c r="C15" s="29">
        <v>12519428</v>
      </c>
      <c r="D15" s="17">
        <v>37.75</v>
      </c>
      <c r="E15" s="17">
        <v>-5.3</v>
      </c>
      <c r="F15" s="31">
        <f t="shared" si="0"/>
        <v>43.05</v>
      </c>
      <c r="G15" s="17">
        <f t="shared" si="1"/>
        <v>0.11762295081967213</v>
      </c>
      <c r="H15" s="29">
        <f t="shared" si="2"/>
        <v>1472572</v>
      </c>
      <c r="J15" s="35">
        <v>25.6</v>
      </c>
      <c r="K15" s="17">
        <f t="shared" si="3"/>
        <v>12.149999999999999</v>
      </c>
      <c r="L15" s="17">
        <f t="shared" si="4"/>
        <v>3.3196721311475406E-2</v>
      </c>
      <c r="M15" s="29">
        <f t="shared" si="5"/>
        <v>415604</v>
      </c>
    </row>
    <row r="16" spans="2:13" x14ac:dyDescent="0.3">
      <c r="B16" s="17" t="s">
        <v>63</v>
      </c>
      <c r="C16" s="29">
        <v>1437684</v>
      </c>
      <c r="D16" s="17">
        <v>37.75</v>
      </c>
      <c r="E16" s="17">
        <v>25.6</v>
      </c>
      <c r="F16" s="31">
        <f t="shared" si="0"/>
        <v>12.149999999999999</v>
      </c>
      <c r="G16" s="17">
        <f t="shared" si="1"/>
        <v>3.3196721311475406E-2</v>
      </c>
      <c r="H16" s="29">
        <f t="shared" si="2"/>
        <v>47726</v>
      </c>
      <c r="J16" s="35">
        <v>25.6</v>
      </c>
      <c r="K16" s="17">
        <f t="shared" si="3"/>
        <v>12.149999999999999</v>
      </c>
      <c r="L16" s="17">
        <f t="shared" si="4"/>
        <v>3.3196721311475406E-2</v>
      </c>
      <c r="M16" s="29">
        <f t="shared" si="5"/>
        <v>47726</v>
      </c>
    </row>
    <row r="17" spans="2:13" x14ac:dyDescent="0.3">
      <c r="B17" s="17" t="s">
        <v>62</v>
      </c>
      <c r="C17" s="29">
        <v>1572674</v>
      </c>
      <c r="D17" s="17">
        <v>37.75</v>
      </c>
      <c r="E17" s="17">
        <v>10.5</v>
      </c>
      <c r="F17" s="31">
        <f t="shared" si="0"/>
        <v>27.25</v>
      </c>
      <c r="G17" s="17">
        <f t="shared" si="1"/>
        <v>7.4453551912568305E-2</v>
      </c>
      <c r="H17" s="29">
        <f t="shared" si="2"/>
        <v>117091</v>
      </c>
      <c r="J17" s="35">
        <v>10.5</v>
      </c>
      <c r="K17" s="17">
        <f t="shared" si="3"/>
        <v>27.25</v>
      </c>
      <c r="L17" s="17">
        <f t="shared" si="4"/>
        <v>7.4453551912568305E-2</v>
      </c>
      <c r="M17" s="29">
        <f t="shared" si="5"/>
        <v>117091</v>
      </c>
    </row>
    <row r="18" spans="2:13" x14ac:dyDescent="0.3">
      <c r="B18" s="17" t="s">
        <v>61</v>
      </c>
      <c r="C18" s="29">
        <v>-600315</v>
      </c>
      <c r="D18" s="17">
        <v>37.75</v>
      </c>
      <c r="E18" s="17">
        <v>-97.5</v>
      </c>
      <c r="F18" s="31">
        <f t="shared" si="0"/>
        <v>135.25</v>
      </c>
      <c r="G18" s="17">
        <f t="shared" si="1"/>
        <v>0.36953551912568305</v>
      </c>
      <c r="H18" s="29">
        <f t="shared" si="2"/>
        <v>-221838</v>
      </c>
      <c r="J18" s="35">
        <v>-97.5</v>
      </c>
      <c r="K18" s="17">
        <f t="shared" si="3"/>
        <v>135.25</v>
      </c>
      <c r="L18" s="17">
        <f t="shared" si="4"/>
        <v>0.36953551912568305</v>
      </c>
      <c r="M18" s="29">
        <f t="shared" si="5"/>
        <v>-221838</v>
      </c>
    </row>
    <row r="19" spans="2:13" x14ac:dyDescent="0.3">
      <c r="B19" s="17" t="s">
        <v>60</v>
      </c>
      <c r="C19" s="29">
        <v>775907</v>
      </c>
      <c r="D19" s="17">
        <v>37.75</v>
      </c>
      <c r="E19" s="17">
        <v>16</v>
      </c>
      <c r="F19" s="31">
        <f t="shared" si="0"/>
        <v>21.75</v>
      </c>
      <c r="G19" s="17">
        <f t="shared" si="1"/>
        <v>5.9426229508196718E-2</v>
      </c>
      <c r="H19" s="29">
        <f t="shared" si="2"/>
        <v>46109</v>
      </c>
      <c r="J19" s="35">
        <v>16</v>
      </c>
      <c r="K19" s="17">
        <f t="shared" si="3"/>
        <v>21.75</v>
      </c>
      <c r="L19" s="17">
        <f t="shared" si="4"/>
        <v>5.9426229508196718E-2</v>
      </c>
      <c r="M19" s="29">
        <f t="shared" si="5"/>
        <v>46109</v>
      </c>
    </row>
    <row r="20" spans="2:13" x14ac:dyDescent="0.3">
      <c r="B20" s="17" t="s">
        <v>59</v>
      </c>
      <c r="C20" s="29">
        <v>136903</v>
      </c>
      <c r="D20" s="17">
        <v>37.75</v>
      </c>
      <c r="E20" s="17">
        <v>-4.2</v>
      </c>
      <c r="F20" s="31">
        <f t="shared" si="0"/>
        <v>41.95</v>
      </c>
      <c r="G20" s="17">
        <f t="shared" si="1"/>
        <v>0.11461748633879783</v>
      </c>
      <c r="H20" s="29">
        <f t="shared" si="2"/>
        <v>15691</v>
      </c>
      <c r="J20" s="35">
        <v>-4.2</v>
      </c>
      <c r="K20" s="17">
        <f t="shared" si="3"/>
        <v>41.95</v>
      </c>
      <c r="L20" s="17">
        <f t="shared" si="4"/>
        <v>0.11461748633879783</v>
      </c>
      <c r="M20" s="29">
        <f t="shared" si="5"/>
        <v>15691</v>
      </c>
    </row>
    <row r="21" spans="2:13" x14ac:dyDescent="0.3">
      <c r="B21" s="17" t="s">
        <v>58</v>
      </c>
      <c r="C21" s="29">
        <v>1653304</v>
      </c>
      <c r="D21" s="17">
        <v>37.75</v>
      </c>
      <c r="E21" s="17">
        <v>-90.7</v>
      </c>
      <c r="F21" s="31">
        <f t="shared" si="0"/>
        <v>128.44999999999999</v>
      </c>
      <c r="G21" s="17">
        <f t="shared" si="1"/>
        <v>0.35095628415300545</v>
      </c>
      <c r="H21" s="29">
        <f t="shared" si="2"/>
        <v>580237</v>
      </c>
      <c r="J21" s="35">
        <v>-90.7</v>
      </c>
      <c r="K21" s="17">
        <f t="shared" si="3"/>
        <v>128.44999999999999</v>
      </c>
      <c r="L21" s="17">
        <f t="shared" si="4"/>
        <v>0.35095628415300545</v>
      </c>
      <c r="M21" s="29">
        <f t="shared" si="5"/>
        <v>580237</v>
      </c>
    </row>
    <row r="22" spans="2:13" x14ac:dyDescent="0.3">
      <c r="B22" s="17" t="s">
        <v>57</v>
      </c>
      <c r="C22" s="29">
        <v>47180</v>
      </c>
      <c r="D22" s="17">
        <v>37.75</v>
      </c>
      <c r="E22" s="17">
        <v>24.3</v>
      </c>
      <c r="F22" s="31">
        <f t="shared" si="0"/>
        <v>13.45</v>
      </c>
      <c r="G22" s="17">
        <f t="shared" si="1"/>
        <v>3.6748633879781417E-2</v>
      </c>
      <c r="H22" s="29">
        <f t="shared" si="2"/>
        <v>1734</v>
      </c>
      <c r="J22" s="35">
        <v>24.3</v>
      </c>
      <c r="K22" s="17">
        <f t="shared" si="3"/>
        <v>13.45</v>
      </c>
      <c r="L22" s="17">
        <f t="shared" si="4"/>
        <v>3.6748633879781417E-2</v>
      </c>
      <c r="M22" s="29">
        <f t="shared" si="5"/>
        <v>1734</v>
      </c>
    </row>
    <row r="23" spans="2:13" x14ac:dyDescent="0.3">
      <c r="B23" s="17" t="s">
        <v>56</v>
      </c>
      <c r="C23" s="17">
        <v>660519</v>
      </c>
      <c r="D23" s="17">
        <v>37.75</v>
      </c>
      <c r="E23" s="17">
        <v>0</v>
      </c>
      <c r="F23" s="31">
        <f t="shared" si="0"/>
        <v>37.75</v>
      </c>
      <c r="G23" s="17">
        <f t="shared" si="1"/>
        <v>0.10314207650273224</v>
      </c>
      <c r="H23" s="29">
        <f t="shared" si="2"/>
        <v>68127</v>
      </c>
      <c r="J23" s="35">
        <v>37.75</v>
      </c>
      <c r="K23" s="17">
        <f t="shared" si="3"/>
        <v>0</v>
      </c>
      <c r="L23" s="17">
        <f t="shared" si="4"/>
        <v>0</v>
      </c>
      <c r="M23" s="29">
        <f t="shared" si="5"/>
        <v>0</v>
      </c>
    </row>
    <row r="24" spans="2:13" x14ac:dyDescent="0.3">
      <c r="B24" s="17" t="s">
        <v>55</v>
      </c>
      <c r="C24" s="29">
        <v>1309065</v>
      </c>
      <c r="D24" s="17">
        <v>37.75</v>
      </c>
      <c r="E24" s="17">
        <v>50.3</v>
      </c>
      <c r="F24" s="31">
        <f t="shared" si="0"/>
        <v>-12.549999999999997</v>
      </c>
      <c r="G24" s="17">
        <f t="shared" si="1"/>
        <v>-3.428961748633879E-2</v>
      </c>
      <c r="H24" s="29">
        <f t="shared" si="2"/>
        <v>-44887</v>
      </c>
      <c r="J24" s="35">
        <v>50.3</v>
      </c>
      <c r="K24" s="17">
        <f t="shared" si="3"/>
        <v>-12.549999999999997</v>
      </c>
      <c r="L24" s="17">
        <f t="shared" si="4"/>
        <v>-3.428961748633879E-2</v>
      </c>
      <c r="M24" s="29">
        <f t="shared" si="5"/>
        <v>-44887</v>
      </c>
    </row>
    <row r="25" spans="2:13" x14ac:dyDescent="0.3">
      <c r="B25" s="17" t="s">
        <v>54</v>
      </c>
      <c r="C25" s="29">
        <v>1416156</v>
      </c>
      <c r="D25" s="17">
        <v>37.75</v>
      </c>
      <c r="E25" s="17">
        <v>0</v>
      </c>
      <c r="F25" s="31">
        <f t="shared" si="0"/>
        <v>37.75</v>
      </c>
      <c r="G25" s="17">
        <f t="shared" si="1"/>
        <v>0.10314207650273224</v>
      </c>
      <c r="H25" s="29">
        <f t="shared" si="2"/>
        <v>146065</v>
      </c>
      <c r="J25" s="35">
        <v>37.75</v>
      </c>
      <c r="K25" s="17">
        <f t="shared" si="3"/>
        <v>0</v>
      </c>
      <c r="L25" s="17">
        <f t="shared" si="4"/>
        <v>0</v>
      </c>
      <c r="M25" s="29">
        <f t="shared" si="5"/>
        <v>0</v>
      </c>
    </row>
    <row r="26" spans="2:13" x14ac:dyDescent="0.3">
      <c r="B26" s="17" t="s">
        <v>53</v>
      </c>
      <c r="C26" s="29">
        <v>676694</v>
      </c>
      <c r="D26" s="17">
        <v>37.75</v>
      </c>
      <c r="E26" s="17">
        <v>0</v>
      </c>
      <c r="F26" s="31">
        <f t="shared" si="0"/>
        <v>37.75</v>
      </c>
      <c r="G26" s="17">
        <f t="shared" si="1"/>
        <v>0.10314207650273224</v>
      </c>
      <c r="H26" s="29">
        <f t="shared" si="2"/>
        <v>69796</v>
      </c>
      <c r="J26" s="35">
        <v>37.75</v>
      </c>
      <c r="K26" s="17">
        <f t="shared" si="3"/>
        <v>0</v>
      </c>
      <c r="L26" s="17">
        <f t="shared" si="4"/>
        <v>0</v>
      </c>
      <c r="M26" s="29">
        <f t="shared" si="5"/>
        <v>0</v>
      </c>
    </row>
    <row r="27" spans="2:13" x14ac:dyDescent="0.3">
      <c r="B27" s="17" t="s">
        <v>52</v>
      </c>
      <c r="C27" s="29">
        <v>239411</v>
      </c>
      <c r="D27" s="17">
        <v>37.75</v>
      </c>
      <c r="E27" s="17">
        <v>31.8</v>
      </c>
      <c r="F27" s="31">
        <f t="shared" si="0"/>
        <v>5.9499999999999993</v>
      </c>
      <c r="G27" s="17">
        <f t="shared" si="1"/>
        <v>1.6256830601092894E-2</v>
      </c>
      <c r="H27" s="29">
        <f t="shared" si="2"/>
        <v>3892</v>
      </c>
      <c r="J27" s="35">
        <v>31.8</v>
      </c>
      <c r="K27" s="17">
        <f t="shared" si="3"/>
        <v>5.9499999999999993</v>
      </c>
      <c r="L27" s="17">
        <f t="shared" si="4"/>
        <v>1.6256830601092894E-2</v>
      </c>
      <c r="M27" s="29">
        <f t="shared" si="5"/>
        <v>3892</v>
      </c>
    </row>
    <row r="28" spans="2:13" x14ac:dyDescent="0.3">
      <c r="B28" s="17" t="s">
        <v>51</v>
      </c>
      <c r="C28" s="29">
        <v>176764</v>
      </c>
      <c r="D28" s="17">
        <v>37.75</v>
      </c>
      <c r="E28" s="17">
        <v>59.5</v>
      </c>
      <c r="F28" s="31">
        <f t="shared" si="0"/>
        <v>-21.75</v>
      </c>
      <c r="G28" s="17">
        <f t="shared" si="1"/>
        <v>-5.9426229508196718E-2</v>
      </c>
      <c r="H28" s="29">
        <f t="shared" si="2"/>
        <v>-10504</v>
      </c>
      <c r="J28" s="35">
        <v>59.5</v>
      </c>
      <c r="K28" s="17">
        <f t="shared" si="3"/>
        <v>-21.75</v>
      </c>
      <c r="L28" s="17">
        <f t="shared" si="4"/>
        <v>-5.9426229508196718E-2</v>
      </c>
      <c r="M28" s="29">
        <f t="shared" si="5"/>
        <v>-10504</v>
      </c>
    </row>
    <row r="29" spans="2:13" x14ac:dyDescent="0.3">
      <c r="B29" s="17" t="s">
        <v>50</v>
      </c>
      <c r="C29" s="29">
        <v>911837</v>
      </c>
      <c r="D29" s="17">
        <v>37.75</v>
      </c>
      <c r="E29" s="17">
        <v>31.4</v>
      </c>
      <c r="F29" s="31">
        <f t="shared" si="0"/>
        <v>6.3500000000000014</v>
      </c>
      <c r="G29" s="17">
        <f t="shared" si="1"/>
        <v>1.7349726775956288E-2</v>
      </c>
      <c r="H29" s="29">
        <f t="shared" si="2"/>
        <v>15820</v>
      </c>
      <c r="J29" s="35">
        <v>31.4</v>
      </c>
      <c r="K29" s="17">
        <f t="shared" si="3"/>
        <v>6.3500000000000014</v>
      </c>
      <c r="L29" s="17">
        <f t="shared" si="4"/>
        <v>1.7349726775956288E-2</v>
      </c>
      <c r="M29" s="29">
        <f t="shared" si="5"/>
        <v>15820</v>
      </c>
    </row>
    <row r="30" spans="2:13" x14ac:dyDescent="0.3">
      <c r="B30" s="17" t="s">
        <v>49</v>
      </c>
      <c r="C30" s="29">
        <v>12087</v>
      </c>
      <c r="D30" s="17">
        <v>37.75</v>
      </c>
      <c r="E30" s="17">
        <v>28.2</v>
      </c>
      <c r="F30" s="31">
        <f t="shared" si="0"/>
        <v>9.5500000000000007</v>
      </c>
      <c r="G30" s="17">
        <f t="shared" si="1"/>
        <v>2.6092896174863388E-2</v>
      </c>
      <c r="H30" s="29">
        <f t="shared" si="2"/>
        <v>315</v>
      </c>
      <c r="J30" s="35">
        <v>28.2</v>
      </c>
      <c r="K30" s="17">
        <f t="shared" si="3"/>
        <v>9.5500000000000007</v>
      </c>
      <c r="L30" s="17">
        <f t="shared" si="4"/>
        <v>2.6092896174863388E-2</v>
      </c>
      <c r="M30" s="29">
        <f t="shared" si="5"/>
        <v>315</v>
      </c>
    </row>
    <row r="31" spans="2:13" x14ac:dyDescent="0.3">
      <c r="B31" s="17" t="s">
        <v>48</v>
      </c>
      <c r="C31" s="29">
        <v>275049</v>
      </c>
      <c r="D31" s="17">
        <v>37.75</v>
      </c>
      <c r="E31" s="17">
        <v>36.200000000000003</v>
      </c>
      <c r="F31" s="31">
        <f t="shared" si="0"/>
        <v>1.5499999999999972</v>
      </c>
      <c r="G31" s="17">
        <f t="shared" si="1"/>
        <v>4.2349726775956203E-3</v>
      </c>
      <c r="H31" s="29">
        <f t="shared" si="2"/>
        <v>1165</v>
      </c>
      <c r="J31" s="35">
        <v>36.200000000000003</v>
      </c>
      <c r="K31" s="17">
        <f t="shared" si="3"/>
        <v>1.5499999999999972</v>
      </c>
      <c r="L31" s="17">
        <f t="shared" si="4"/>
        <v>4.2349726775956203E-3</v>
      </c>
      <c r="M31" s="29">
        <f t="shared" si="5"/>
        <v>1165</v>
      </c>
    </row>
    <row r="32" spans="2:13" x14ac:dyDescent="0.3">
      <c r="B32" s="17" t="s">
        <v>47</v>
      </c>
      <c r="C32" s="29">
        <v>807314</v>
      </c>
      <c r="D32" s="17">
        <v>37.75</v>
      </c>
      <c r="E32" s="17">
        <v>9.5</v>
      </c>
      <c r="F32" s="31">
        <f t="shared" si="0"/>
        <v>28.25</v>
      </c>
      <c r="G32" s="17">
        <f t="shared" si="1"/>
        <v>7.7185792349726778E-2</v>
      </c>
      <c r="H32" s="29">
        <f t="shared" si="2"/>
        <v>62313</v>
      </c>
      <c r="J32" s="35">
        <v>9.5</v>
      </c>
      <c r="K32" s="17">
        <f t="shared" si="3"/>
        <v>28.25</v>
      </c>
      <c r="L32" s="17">
        <f t="shared" si="4"/>
        <v>7.7185792349726778E-2</v>
      </c>
      <c r="M32" s="29">
        <f t="shared" si="5"/>
        <v>62313</v>
      </c>
    </row>
    <row r="33" spans="2:13" x14ac:dyDescent="0.3">
      <c r="B33" s="17" t="s">
        <v>46</v>
      </c>
      <c r="C33" s="29">
        <v>654298</v>
      </c>
      <c r="D33" s="17">
        <v>37.75</v>
      </c>
      <c r="E33" s="17">
        <v>46.9</v>
      </c>
      <c r="F33" s="31">
        <f t="shared" si="0"/>
        <v>-9.1499999999999986</v>
      </c>
      <c r="G33" s="17">
        <f t="shared" si="1"/>
        <v>-2.4999999999999994E-2</v>
      </c>
      <c r="H33" s="29">
        <f t="shared" si="2"/>
        <v>-16357</v>
      </c>
      <c r="J33" s="35">
        <v>46.9</v>
      </c>
      <c r="K33" s="17">
        <f t="shared" si="3"/>
        <v>-9.1499999999999986</v>
      </c>
      <c r="L33" s="17">
        <f t="shared" si="4"/>
        <v>-2.4999999999999994E-2</v>
      </c>
      <c r="M33" s="29">
        <f t="shared" si="5"/>
        <v>-16357</v>
      </c>
    </row>
    <row r="34" spans="2:13" x14ac:dyDescent="0.3">
      <c r="B34" s="17" t="s">
        <v>45</v>
      </c>
      <c r="C34" s="29">
        <v>478972</v>
      </c>
      <c r="D34" s="17">
        <v>37.75</v>
      </c>
      <c r="E34" s="17">
        <v>65</v>
      </c>
      <c r="F34" s="31">
        <f t="shared" si="0"/>
        <v>-27.25</v>
      </c>
      <c r="G34" s="17">
        <f t="shared" si="1"/>
        <v>-7.4453551912568305E-2</v>
      </c>
      <c r="H34" s="29">
        <f t="shared" si="2"/>
        <v>-35661</v>
      </c>
      <c r="J34" s="35">
        <v>65</v>
      </c>
      <c r="K34" s="17">
        <f t="shared" si="3"/>
        <v>-27.25</v>
      </c>
      <c r="L34" s="17">
        <f t="shared" si="4"/>
        <v>-7.4453551912568305E-2</v>
      </c>
      <c r="M34" s="29">
        <f t="shared" si="5"/>
        <v>-35661</v>
      </c>
    </row>
    <row r="35" spans="2:13" x14ac:dyDescent="0.3">
      <c r="B35" s="17"/>
      <c r="C35" s="17"/>
      <c r="D35" s="17"/>
      <c r="E35" s="17"/>
      <c r="F35" s="17"/>
      <c r="G35" s="17"/>
      <c r="H35" s="17"/>
      <c r="J35" s="35"/>
      <c r="L35" s="17"/>
    </row>
    <row r="36" spans="2:13" x14ac:dyDescent="0.3">
      <c r="B36" s="17"/>
      <c r="C36" s="17"/>
      <c r="D36" s="17"/>
      <c r="E36" s="17"/>
      <c r="F36" s="17"/>
      <c r="G36" s="17"/>
      <c r="H36" s="17"/>
      <c r="J36" s="35"/>
      <c r="L36" s="17"/>
    </row>
    <row r="37" spans="2:13" x14ac:dyDescent="0.3">
      <c r="B37" s="17" t="s">
        <v>44</v>
      </c>
      <c r="C37" s="29">
        <v>28872589</v>
      </c>
      <c r="D37" s="17">
        <v>37.75</v>
      </c>
      <c r="E37" s="17">
        <v>0</v>
      </c>
      <c r="F37" s="31">
        <f t="shared" ref="F37:F47" si="6">D37-E37</f>
        <v>37.75</v>
      </c>
      <c r="G37" s="17">
        <f t="shared" ref="G37:G47" si="7">F37/366</f>
        <v>0.10314207650273224</v>
      </c>
      <c r="H37" s="29">
        <f t="shared" ref="H37:H47" si="8">ROUND(G37*C37,0)</f>
        <v>2977979</v>
      </c>
      <c r="J37" s="35">
        <v>37.75</v>
      </c>
      <c r="K37" s="17">
        <f t="shared" ref="K37:K47" si="9">D37-J37</f>
        <v>0</v>
      </c>
      <c r="L37" s="17">
        <f t="shared" si="4"/>
        <v>0</v>
      </c>
      <c r="M37" s="29">
        <f t="shared" ref="M37:M47" si="10">ROUND(L37*C37,0)</f>
        <v>0</v>
      </c>
    </row>
    <row r="38" spans="2:13" x14ac:dyDescent="0.3">
      <c r="B38" s="17" t="s">
        <v>43</v>
      </c>
      <c r="C38" s="29">
        <v>9813711</v>
      </c>
      <c r="D38" s="17">
        <v>37.75</v>
      </c>
      <c r="E38" s="17">
        <v>238.4</v>
      </c>
      <c r="F38" s="31">
        <f t="shared" si="6"/>
        <v>-200.65</v>
      </c>
      <c r="G38" s="17">
        <f t="shared" si="7"/>
        <v>-0.54822404371584699</v>
      </c>
      <c r="H38" s="29">
        <f t="shared" si="8"/>
        <v>-5380112</v>
      </c>
      <c r="J38" s="35">
        <v>238.4</v>
      </c>
      <c r="K38" s="17">
        <f t="shared" si="9"/>
        <v>-200.65</v>
      </c>
      <c r="L38" s="17">
        <f t="shared" si="4"/>
        <v>-0.54822404371584699</v>
      </c>
      <c r="M38" s="29">
        <f t="shared" si="10"/>
        <v>-5380112</v>
      </c>
    </row>
    <row r="39" spans="2:13" x14ac:dyDescent="0.3">
      <c r="B39" s="17" t="s">
        <v>42</v>
      </c>
      <c r="C39" s="29">
        <v>171010</v>
      </c>
      <c r="D39" s="17">
        <v>37.75</v>
      </c>
      <c r="E39" s="17">
        <v>-152</v>
      </c>
      <c r="F39" s="31">
        <f t="shared" si="6"/>
        <v>189.75</v>
      </c>
      <c r="G39" s="17">
        <f t="shared" si="7"/>
        <v>0.51844262295081966</v>
      </c>
      <c r="H39" s="29">
        <f t="shared" si="8"/>
        <v>88659</v>
      </c>
      <c r="J39" s="35">
        <v>-152</v>
      </c>
      <c r="K39" s="17">
        <f t="shared" si="9"/>
        <v>189.75</v>
      </c>
      <c r="L39" s="17">
        <f t="shared" si="4"/>
        <v>0.51844262295081966</v>
      </c>
      <c r="M39" s="29">
        <f t="shared" si="10"/>
        <v>88659</v>
      </c>
    </row>
    <row r="40" spans="2:13" x14ac:dyDescent="0.3">
      <c r="B40" s="17" t="s">
        <v>41</v>
      </c>
      <c r="C40" s="29">
        <v>666852</v>
      </c>
      <c r="D40" s="17">
        <v>37.75</v>
      </c>
      <c r="E40" s="17">
        <v>11.5</v>
      </c>
      <c r="F40" s="31">
        <f t="shared" si="6"/>
        <v>26.25</v>
      </c>
      <c r="G40" s="17">
        <f t="shared" si="7"/>
        <v>7.1721311475409832E-2</v>
      </c>
      <c r="H40" s="29">
        <f t="shared" si="8"/>
        <v>47828</v>
      </c>
      <c r="J40" s="35">
        <v>11.5</v>
      </c>
      <c r="K40" s="17">
        <f t="shared" si="9"/>
        <v>26.25</v>
      </c>
      <c r="L40" s="17">
        <f t="shared" si="4"/>
        <v>7.1721311475409832E-2</v>
      </c>
      <c r="M40" s="29">
        <f t="shared" si="10"/>
        <v>47828</v>
      </c>
    </row>
    <row r="41" spans="2:13" x14ac:dyDescent="0.3">
      <c r="B41" s="17" t="s">
        <v>40</v>
      </c>
      <c r="C41" s="29">
        <v>1148704</v>
      </c>
      <c r="D41" s="17">
        <v>37.75</v>
      </c>
      <c r="E41" s="17">
        <v>28.8</v>
      </c>
      <c r="F41" s="31">
        <f t="shared" si="6"/>
        <v>8.9499999999999993</v>
      </c>
      <c r="G41" s="17">
        <f t="shared" si="7"/>
        <v>2.4453551912568303E-2</v>
      </c>
      <c r="H41" s="29">
        <f t="shared" si="8"/>
        <v>28090</v>
      </c>
      <c r="J41" s="35">
        <v>28.8</v>
      </c>
      <c r="K41" s="17">
        <f t="shared" si="9"/>
        <v>8.9499999999999993</v>
      </c>
      <c r="L41" s="17">
        <f t="shared" si="4"/>
        <v>2.4453551912568303E-2</v>
      </c>
      <c r="M41" s="29">
        <f t="shared" si="10"/>
        <v>28090</v>
      </c>
    </row>
    <row r="42" spans="2:13" x14ac:dyDescent="0.3">
      <c r="B42" s="17" t="s">
        <v>39</v>
      </c>
      <c r="C42" s="29">
        <v>5212821</v>
      </c>
      <c r="D42" s="17">
        <v>37.75</v>
      </c>
      <c r="E42" s="17">
        <v>28.8</v>
      </c>
      <c r="F42" s="31">
        <f t="shared" si="6"/>
        <v>8.9499999999999993</v>
      </c>
      <c r="G42" s="17">
        <f t="shared" si="7"/>
        <v>2.4453551912568303E-2</v>
      </c>
      <c r="H42" s="29">
        <f t="shared" si="8"/>
        <v>127472</v>
      </c>
      <c r="J42" s="35">
        <v>28.8</v>
      </c>
      <c r="K42" s="17">
        <f t="shared" si="9"/>
        <v>8.9499999999999993</v>
      </c>
      <c r="L42" s="17">
        <f t="shared" si="4"/>
        <v>2.4453551912568303E-2</v>
      </c>
      <c r="M42" s="29">
        <f t="shared" si="10"/>
        <v>127472</v>
      </c>
    </row>
    <row r="43" spans="2:13" x14ac:dyDescent="0.3">
      <c r="B43" s="17" t="s">
        <v>38</v>
      </c>
      <c r="C43" s="29">
        <v>3470120</v>
      </c>
      <c r="D43" s="17">
        <v>37.75</v>
      </c>
      <c r="E43" s="17">
        <v>0</v>
      </c>
      <c r="F43" s="31">
        <f t="shared" si="6"/>
        <v>37.75</v>
      </c>
      <c r="G43" s="17">
        <f t="shared" si="7"/>
        <v>0.10314207650273224</v>
      </c>
      <c r="H43" s="29">
        <f t="shared" si="8"/>
        <v>357915</v>
      </c>
      <c r="J43" s="35">
        <v>37.75</v>
      </c>
      <c r="K43" s="17">
        <f t="shared" si="9"/>
        <v>0</v>
      </c>
      <c r="L43" s="17">
        <f t="shared" si="4"/>
        <v>0</v>
      </c>
      <c r="M43" s="29">
        <f t="shared" si="10"/>
        <v>0</v>
      </c>
    </row>
    <row r="44" spans="2:13" x14ac:dyDescent="0.3">
      <c r="B44" s="17" t="s">
        <v>37</v>
      </c>
      <c r="C44" s="29">
        <v>12708843</v>
      </c>
      <c r="D44" s="17">
        <v>37.75</v>
      </c>
      <c r="E44" s="17">
        <v>89.3</v>
      </c>
      <c r="F44" s="31">
        <f t="shared" si="6"/>
        <v>-51.55</v>
      </c>
      <c r="G44" s="17">
        <f t="shared" si="7"/>
        <v>-0.1408469945355191</v>
      </c>
      <c r="H44" s="29">
        <f t="shared" si="8"/>
        <v>-1790002</v>
      </c>
      <c r="J44" s="35">
        <v>89.3</v>
      </c>
      <c r="K44" s="17">
        <f t="shared" si="9"/>
        <v>-51.55</v>
      </c>
      <c r="L44" s="17">
        <f t="shared" si="4"/>
        <v>-0.1408469945355191</v>
      </c>
      <c r="M44" s="29">
        <f t="shared" si="10"/>
        <v>-1790002</v>
      </c>
    </row>
    <row r="45" spans="2:13" x14ac:dyDescent="0.3">
      <c r="B45" s="17" t="s">
        <v>36</v>
      </c>
      <c r="C45" s="29">
        <v>235349</v>
      </c>
      <c r="D45" s="17">
        <v>37.75</v>
      </c>
      <c r="E45" s="17">
        <v>14.5</v>
      </c>
      <c r="F45" s="31">
        <f t="shared" si="6"/>
        <v>23.25</v>
      </c>
      <c r="G45" s="17">
        <f t="shared" si="7"/>
        <v>6.3524590163934427E-2</v>
      </c>
      <c r="H45" s="29">
        <f t="shared" si="8"/>
        <v>14950</v>
      </c>
      <c r="J45" s="35">
        <v>14.5</v>
      </c>
      <c r="K45" s="17">
        <f t="shared" si="9"/>
        <v>23.25</v>
      </c>
      <c r="L45" s="17">
        <f t="shared" si="4"/>
        <v>6.3524590163934427E-2</v>
      </c>
      <c r="M45" s="29">
        <f t="shared" si="10"/>
        <v>14950</v>
      </c>
    </row>
    <row r="46" spans="2:13" x14ac:dyDescent="0.3">
      <c r="B46" s="17" t="s">
        <v>35</v>
      </c>
      <c r="C46" s="29">
        <v>176512</v>
      </c>
      <c r="D46" s="17">
        <v>37.75</v>
      </c>
      <c r="E46" s="17">
        <v>15.6</v>
      </c>
      <c r="F46" s="31">
        <f t="shared" si="6"/>
        <v>22.15</v>
      </c>
      <c r="G46" s="17">
        <f t="shared" si="7"/>
        <v>6.0519125683060108E-2</v>
      </c>
      <c r="H46" s="29">
        <f t="shared" si="8"/>
        <v>10682</v>
      </c>
      <c r="J46" s="35">
        <v>15.6</v>
      </c>
      <c r="K46" s="17">
        <f t="shared" si="9"/>
        <v>22.15</v>
      </c>
      <c r="L46" s="17">
        <f t="shared" si="4"/>
        <v>6.0519125683060108E-2</v>
      </c>
      <c r="M46" s="29">
        <f t="shared" si="10"/>
        <v>10682</v>
      </c>
    </row>
    <row r="47" spans="2:13" x14ac:dyDescent="0.3">
      <c r="B47" s="17" t="s">
        <v>4</v>
      </c>
      <c r="C47" s="29">
        <v>33184200</v>
      </c>
      <c r="D47" s="17">
        <v>37.75</v>
      </c>
      <c r="E47" s="17">
        <v>0</v>
      </c>
      <c r="F47" s="31">
        <f t="shared" si="6"/>
        <v>37.75</v>
      </c>
      <c r="G47" s="17">
        <f t="shared" si="7"/>
        <v>0.10314207650273224</v>
      </c>
      <c r="H47" s="30">
        <f t="shared" si="8"/>
        <v>3422687</v>
      </c>
      <c r="J47" s="35">
        <v>37.75</v>
      </c>
      <c r="K47" s="17">
        <f t="shared" si="9"/>
        <v>0</v>
      </c>
      <c r="L47" s="17">
        <f t="shared" si="4"/>
        <v>0</v>
      </c>
      <c r="M47" s="30">
        <f t="shared" si="10"/>
        <v>0</v>
      </c>
    </row>
    <row r="48" spans="2:13" x14ac:dyDescent="0.3">
      <c r="B48" s="17" t="s">
        <v>34</v>
      </c>
      <c r="C48" s="17"/>
      <c r="D48" s="17"/>
      <c r="E48" s="17"/>
      <c r="F48" s="17"/>
      <c r="G48" s="17"/>
      <c r="H48" s="17"/>
    </row>
    <row r="49" spans="2:13" x14ac:dyDescent="0.3">
      <c r="B49" s="17"/>
      <c r="C49" s="29">
        <f>SUM(C10:C48)</f>
        <v>142126846</v>
      </c>
      <c r="D49" s="17"/>
      <c r="E49" s="17"/>
      <c r="F49" s="17"/>
      <c r="G49" s="17"/>
      <c r="H49" s="29">
        <f>SUM(H10:H47)</f>
        <v>3137653</v>
      </c>
      <c r="M49" s="29">
        <f>SUM(M10:M47)</f>
        <v>-4961884</v>
      </c>
    </row>
    <row r="51" spans="2:13" x14ac:dyDescent="0.3">
      <c r="K51" s="3"/>
      <c r="L51" s="84" t="s">
        <v>171</v>
      </c>
      <c r="M51" s="85">
        <f>M49-H49</f>
        <v>-8099537</v>
      </c>
    </row>
  </sheetData>
  <mergeCells count="2">
    <mergeCell ref="B2:M2"/>
    <mergeCell ref="B4:M4"/>
  </mergeCells>
  <conditionalFormatting sqref="J10:J47">
    <cfRule type="cellIs" dxfId="0" priority="1" operator="notEqual">
      <formula>E10</formula>
    </cfRule>
  </conditionalFormatting>
  <printOptions horizontalCentered="1"/>
  <pageMargins left="0.7" right="0.7" top="1" bottom="0.75" header="0.5" footer="0.3"/>
  <pageSetup scale="61" orientation="landscape" r:id="rId1"/>
  <headerFooter>
    <oddHeader>&amp;R&amp;"Arial,Bold"&amp;10OAG Response to Staff Post-Hearing Data Request 1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O27"/>
  <sheetViews>
    <sheetView workbookViewId="0">
      <selection activeCell="O17" sqref="O17:O26"/>
    </sheetView>
  </sheetViews>
  <sheetFormatPr defaultRowHeight="14" x14ac:dyDescent="0.3"/>
  <cols>
    <col min="1" max="1" width="1.58203125" customWidth="1"/>
    <col min="3" max="3" width="1.58203125" customWidth="1"/>
    <col min="4" max="4" width="20.08203125" customWidth="1"/>
    <col min="5" max="5" width="1.58203125" customWidth="1"/>
    <col min="6" max="6" width="17.58203125" customWidth="1"/>
    <col min="7" max="7" width="1.58203125" customWidth="1"/>
    <col min="8" max="8" width="9.75" bestFit="1" customWidth="1"/>
    <col min="9" max="9" width="1.58203125" customWidth="1"/>
    <col min="11" max="11" width="1.58203125" customWidth="1"/>
    <col min="12" max="12" width="14" bestFit="1" customWidth="1"/>
    <col min="13" max="13" width="1.58203125" customWidth="1"/>
  </cols>
  <sheetData>
    <row r="2" spans="2:13" ht="20" x14ac:dyDescent="0.4">
      <c r="B2" s="112" t="s">
        <v>0</v>
      </c>
      <c r="C2" s="112"/>
      <c r="D2" s="112"/>
      <c r="E2" s="112"/>
      <c r="F2" s="112"/>
      <c r="G2" s="112"/>
      <c r="H2" s="112"/>
      <c r="I2" s="112"/>
      <c r="J2" s="112"/>
      <c r="K2" s="112"/>
      <c r="L2" s="112"/>
      <c r="M2" s="112"/>
    </row>
    <row r="4" spans="2:13" x14ac:dyDescent="0.3">
      <c r="B4" s="110" t="s">
        <v>5</v>
      </c>
      <c r="C4" s="110"/>
      <c r="D4" s="110"/>
      <c r="E4" s="110"/>
      <c r="F4" s="110"/>
      <c r="G4" s="110"/>
      <c r="H4" s="110"/>
      <c r="I4" s="110"/>
      <c r="J4" s="110"/>
      <c r="K4" s="110"/>
      <c r="L4" s="110"/>
      <c r="M4" s="110"/>
    </row>
    <row r="6" spans="2:13" s="3" customFormat="1" x14ac:dyDescent="0.3">
      <c r="B6" s="6" t="s">
        <v>1</v>
      </c>
      <c r="D6" s="6" t="s">
        <v>6</v>
      </c>
      <c r="F6" s="6" t="s">
        <v>15</v>
      </c>
      <c r="H6" s="6" t="s">
        <v>7</v>
      </c>
      <c r="J6" s="6" t="s">
        <v>8</v>
      </c>
      <c r="L6" s="6" t="s">
        <v>9</v>
      </c>
    </row>
    <row r="8" spans="2:13" x14ac:dyDescent="0.3">
      <c r="B8" s="3" t="s">
        <v>141</v>
      </c>
    </row>
    <row r="10" spans="2:13" x14ac:dyDescent="0.3">
      <c r="B10" s="1">
        <v>1</v>
      </c>
      <c r="D10" t="s">
        <v>10</v>
      </c>
      <c r="F10" s="8">
        <v>5752848</v>
      </c>
      <c r="H10" s="10">
        <f>ROUND(F10/$F$15,4)</f>
        <v>9.5999999999999992E-3</v>
      </c>
      <c r="J10" s="13">
        <v>3.8179999999999999E-2</v>
      </c>
      <c r="L10" s="15">
        <f>ROUND(H10*J10,5)</f>
        <v>3.6999999999999999E-4</v>
      </c>
    </row>
    <row r="11" spans="2:13" x14ac:dyDescent="0.3">
      <c r="B11" s="1">
        <v>2</v>
      </c>
      <c r="D11" t="s">
        <v>11</v>
      </c>
      <c r="F11" s="8">
        <v>275967192</v>
      </c>
      <c r="H11" s="10">
        <f t="shared" ref="H11:H13" si="0">F11/$F$15</f>
        <v>0.46210624277743384</v>
      </c>
      <c r="J11" s="13">
        <v>4.6809999999999997E-2</v>
      </c>
      <c r="L11" s="15">
        <f>ROUND(H11*J11,5)</f>
        <v>2.163E-2</v>
      </c>
    </row>
    <row r="12" spans="2:13" x14ac:dyDescent="0.3">
      <c r="B12" s="1">
        <v>3</v>
      </c>
      <c r="D12" t="s">
        <v>12</v>
      </c>
      <c r="F12" s="8">
        <v>2245236</v>
      </c>
      <c r="H12" s="10">
        <f t="shared" si="0"/>
        <v>3.75964100873496E-3</v>
      </c>
      <c r="J12" s="13">
        <v>8.5099999999999995E-2</v>
      </c>
      <c r="L12" s="15">
        <f>ROUND(H12*J12,5)</f>
        <v>3.2000000000000003E-4</v>
      </c>
    </row>
    <row r="13" spans="2:13" x14ac:dyDescent="0.3">
      <c r="B13" s="1">
        <v>4</v>
      </c>
      <c r="D13" t="s">
        <v>13</v>
      </c>
      <c r="F13" s="9">
        <v>313228976</v>
      </c>
      <c r="H13" s="12">
        <f t="shared" si="0"/>
        <v>0.52450098933638101</v>
      </c>
      <c r="J13" s="13">
        <v>0.1075</v>
      </c>
      <c r="L13" s="16">
        <f>ROUND(H13*J13,5)</f>
        <v>5.638E-2</v>
      </c>
    </row>
    <row r="14" spans="2:13" x14ac:dyDescent="0.3">
      <c r="B14" s="1"/>
      <c r="F14" s="8"/>
    </row>
    <row r="15" spans="2:13" x14ac:dyDescent="0.3">
      <c r="B15" s="1">
        <v>5</v>
      </c>
      <c r="D15" t="s">
        <v>14</v>
      </c>
      <c r="F15" s="8">
        <f>SUM(F10:F14)</f>
        <v>597194252</v>
      </c>
      <c r="H15" s="11">
        <f>SUM(H10:H14)</f>
        <v>0.99996687312254973</v>
      </c>
      <c r="L15" s="13">
        <f>SUM(L10:L14)</f>
        <v>7.8699999999999992E-2</v>
      </c>
    </row>
    <row r="18" spans="2:15" x14ac:dyDescent="0.3">
      <c r="B18" s="3" t="s">
        <v>16</v>
      </c>
    </row>
    <row r="20" spans="2:15" x14ac:dyDescent="0.3">
      <c r="B20" s="1">
        <v>6</v>
      </c>
      <c r="D20" t="s">
        <v>10</v>
      </c>
      <c r="H20" s="10">
        <f>H10</f>
        <v>9.5999999999999992E-3</v>
      </c>
      <c r="J20" s="13">
        <f>J10</f>
        <v>3.8179999999999999E-2</v>
      </c>
      <c r="L20" s="15">
        <f>H20*J20</f>
        <v>3.6652799999999997E-4</v>
      </c>
      <c r="O20" s="13"/>
    </row>
    <row r="21" spans="2:15" x14ac:dyDescent="0.3">
      <c r="B21" s="1">
        <v>7</v>
      </c>
      <c r="D21" t="s">
        <v>11</v>
      </c>
      <c r="H21" s="10">
        <f>1-SUM(H20,H22:H23)</f>
        <v>0.48664035899126501</v>
      </c>
      <c r="J21" s="13">
        <f>J11</f>
        <v>4.6809999999999997E-2</v>
      </c>
      <c r="L21" s="15">
        <f t="shared" ref="L21:L23" si="1">H21*J21</f>
        <v>2.2779635204381112E-2</v>
      </c>
      <c r="O21" s="13"/>
    </row>
    <row r="22" spans="2:15" x14ac:dyDescent="0.3">
      <c r="B22" s="1">
        <v>8</v>
      </c>
      <c r="D22" t="s">
        <v>12</v>
      </c>
      <c r="H22" s="10">
        <f>H12</f>
        <v>3.75964100873496E-3</v>
      </c>
      <c r="J22" s="13">
        <f>J12</f>
        <v>8.5099999999999995E-2</v>
      </c>
      <c r="L22" s="15">
        <f t="shared" si="1"/>
        <v>3.1994544984334506E-4</v>
      </c>
    </row>
    <row r="23" spans="2:15" x14ac:dyDescent="0.3">
      <c r="B23" s="1">
        <v>9</v>
      </c>
      <c r="D23" t="s">
        <v>13</v>
      </c>
      <c r="H23" s="12">
        <v>0.5</v>
      </c>
      <c r="J23" s="13">
        <v>9.4E-2</v>
      </c>
      <c r="L23" s="16">
        <f t="shared" si="1"/>
        <v>4.7E-2</v>
      </c>
    </row>
    <row r="24" spans="2:15" x14ac:dyDescent="0.3">
      <c r="B24" s="1"/>
    </row>
    <row r="25" spans="2:15" x14ac:dyDescent="0.3">
      <c r="B25" s="1">
        <v>10</v>
      </c>
      <c r="D25" t="s">
        <v>14</v>
      </c>
      <c r="H25" s="11">
        <f>SUM(H20:H24)</f>
        <v>1</v>
      </c>
      <c r="L25" s="13">
        <f>SUM(L20:L24)</f>
        <v>7.0466108654224452E-2</v>
      </c>
      <c r="O25" s="13"/>
    </row>
    <row r="27" spans="2:15" x14ac:dyDescent="0.3">
      <c r="B27" s="1">
        <v>11</v>
      </c>
      <c r="D27" t="s">
        <v>17</v>
      </c>
    </row>
  </sheetData>
  <mergeCells count="2">
    <mergeCell ref="B2:M2"/>
    <mergeCell ref="B4:M4"/>
  </mergeCells>
  <pageMargins left="0.7" right="0.7" top="1" bottom="0.75" header="0.5" footer="0.3"/>
  <pageSetup scale="91" orientation="portrait" r:id="rId1"/>
  <headerFooter>
    <oddHeader>&amp;R&amp;"Arial,Bold"&amp;10OAG Response to Staff Post-Hearing Data Request 1
Page &amp;P of &amp;N</oddHeader>
  </headerFooter>
  <ignoredErrors>
    <ignoredError sqref="H2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5"/>
  <sheetViews>
    <sheetView workbookViewId="0">
      <selection activeCell="J22" sqref="J22"/>
    </sheetView>
  </sheetViews>
  <sheetFormatPr defaultRowHeight="14" x14ac:dyDescent="0.3"/>
  <cols>
    <col min="1" max="1" width="1.58203125" customWidth="1"/>
    <col min="2" max="2" width="4.75" bestFit="1" customWidth="1"/>
    <col min="3" max="3" width="1.58203125" customWidth="1"/>
    <col min="4" max="4" width="23.5" bestFit="1" customWidth="1"/>
    <col min="5" max="5" width="1.58203125" customWidth="1"/>
    <col min="6" max="6" width="15.75" bestFit="1" customWidth="1"/>
    <col min="7" max="7" width="1.58203125" customWidth="1"/>
    <col min="8" max="8" width="13.5" customWidth="1"/>
    <col min="9" max="9" width="1.58203125" customWidth="1"/>
  </cols>
  <sheetData>
    <row r="2" spans="2:8" ht="18" x14ac:dyDescent="0.4">
      <c r="B2" s="109" t="s">
        <v>0</v>
      </c>
      <c r="C2" s="109"/>
      <c r="D2" s="109"/>
      <c r="E2" s="109"/>
      <c r="F2" s="109"/>
      <c r="G2" s="109"/>
      <c r="H2" s="109"/>
    </row>
    <row r="4" spans="2:8" x14ac:dyDescent="0.3">
      <c r="B4" s="110" t="s">
        <v>153</v>
      </c>
      <c r="C4" s="110"/>
      <c r="D4" s="110"/>
      <c r="E4" s="110"/>
      <c r="F4" s="110"/>
      <c r="G4" s="110"/>
      <c r="H4" s="110"/>
    </row>
    <row r="7" spans="2:8" x14ac:dyDescent="0.3">
      <c r="B7" s="6" t="s">
        <v>1</v>
      </c>
      <c r="C7" s="1"/>
      <c r="D7" s="6" t="s">
        <v>2</v>
      </c>
      <c r="F7" s="6" t="s">
        <v>33</v>
      </c>
      <c r="H7" s="6" t="s">
        <v>28</v>
      </c>
    </row>
    <row r="9" spans="2:8" x14ac:dyDescent="0.3">
      <c r="B9" s="1">
        <v>1</v>
      </c>
      <c r="D9" t="s">
        <v>83</v>
      </c>
      <c r="F9" s="2">
        <v>116213137</v>
      </c>
      <c r="H9" s="2">
        <f>'Adjustments to Income'!F21</f>
        <v>118368826.81195638</v>
      </c>
    </row>
    <row r="10" spans="2:8" x14ac:dyDescent="0.3">
      <c r="B10" s="1"/>
    </row>
    <row r="11" spans="2:8" x14ac:dyDescent="0.3">
      <c r="B11" s="1">
        <v>2</v>
      </c>
      <c r="D11" t="s">
        <v>81</v>
      </c>
      <c r="F11" s="2">
        <f>46466136+28740336+14723+57080</f>
        <v>75278275</v>
      </c>
      <c r="H11" s="2">
        <f>'Adjustments to Income'!H21</f>
        <v>72013345.988550276</v>
      </c>
    </row>
    <row r="12" spans="2:8" x14ac:dyDescent="0.3">
      <c r="B12" s="1"/>
    </row>
    <row r="13" spans="2:8" x14ac:dyDescent="0.3">
      <c r="B13" s="1">
        <v>3</v>
      </c>
      <c r="D13" s="70" t="s">
        <v>82</v>
      </c>
      <c r="F13" s="39">
        <f>868082+2513031+10651594</f>
        <v>14032707</v>
      </c>
      <c r="H13" s="39">
        <f>'Adjustments to Income'!J21</f>
        <v>15130084.932839537</v>
      </c>
    </row>
    <row r="14" spans="2:8" x14ac:dyDescent="0.3">
      <c r="B14" s="1"/>
    </row>
    <row r="15" spans="2:8" x14ac:dyDescent="0.3">
      <c r="B15" s="1">
        <v>4</v>
      </c>
      <c r="D15" t="s">
        <v>4</v>
      </c>
      <c r="F15" s="38">
        <f>F9-SUM(F11:F13)</f>
        <v>26902155</v>
      </c>
      <c r="H15" s="38">
        <f>H9-SUM(H11:H13)</f>
        <v>31225395.890566558</v>
      </c>
    </row>
  </sheetData>
  <mergeCells count="2">
    <mergeCell ref="B2:H2"/>
    <mergeCell ref="B4:H4"/>
  </mergeCells>
  <printOptions horizontalCentered="1"/>
  <pageMargins left="0.7" right="0.7" top="1" bottom="0.75" header="0.5" footer="0.3"/>
  <pageSetup orientation="landscape" r:id="rId1"/>
  <headerFooter>
    <oddHeader>&amp;R&amp;"Arial,Bold"&amp;10OAG Response to Staff Post-Hearing Data Request 1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P28"/>
  <sheetViews>
    <sheetView topLeftCell="A13" workbookViewId="0">
      <selection activeCell="B29" sqref="B29"/>
    </sheetView>
  </sheetViews>
  <sheetFormatPr defaultRowHeight="14" x14ac:dyDescent="0.3"/>
  <cols>
    <col min="1" max="1" width="1.58203125" customWidth="1"/>
    <col min="2" max="2" width="4.25" style="1" bestFit="1" customWidth="1"/>
    <col min="3" max="3" width="1.58203125" customWidth="1"/>
    <col min="4" max="4" width="40.58203125" bestFit="1" customWidth="1"/>
    <col min="5" max="5" width="1.58203125" customWidth="1"/>
    <col min="6" max="6" width="12.5" bestFit="1" customWidth="1"/>
    <col min="7" max="7" width="1.58203125" customWidth="1"/>
    <col min="8" max="8" width="11.5" bestFit="1" customWidth="1"/>
    <col min="9" max="9" width="1.58203125" customWidth="1"/>
    <col min="10" max="10" width="11.5" bestFit="1" customWidth="1"/>
    <col min="11" max="11" width="1.58203125" customWidth="1"/>
    <col min="12" max="12" width="11.5" bestFit="1" customWidth="1"/>
    <col min="13" max="13" width="1.58203125" customWidth="1"/>
    <col min="16" max="16" width="10.5" bestFit="1" customWidth="1"/>
  </cols>
  <sheetData>
    <row r="2" spans="2:12" ht="20" x14ac:dyDescent="0.4">
      <c r="B2" s="112" t="s">
        <v>0</v>
      </c>
      <c r="C2" s="112"/>
      <c r="D2" s="112"/>
      <c r="E2" s="112"/>
      <c r="F2" s="112"/>
      <c r="G2" s="112"/>
      <c r="H2" s="112"/>
      <c r="I2" s="112"/>
      <c r="J2" s="112"/>
      <c r="K2" s="112"/>
      <c r="L2" s="112"/>
    </row>
    <row r="3" spans="2:12" x14ac:dyDescent="0.3">
      <c r="B3"/>
    </row>
    <row r="4" spans="2:12" x14ac:dyDescent="0.3">
      <c r="B4" s="110" t="s">
        <v>154</v>
      </c>
      <c r="C4" s="110"/>
      <c r="D4" s="110"/>
      <c r="E4" s="110"/>
      <c r="F4" s="110"/>
      <c r="G4" s="110"/>
      <c r="H4" s="110"/>
      <c r="I4" s="110"/>
      <c r="J4" s="110"/>
      <c r="K4" s="110"/>
      <c r="L4" s="110"/>
    </row>
    <row r="6" spans="2:12" x14ac:dyDescent="0.3">
      <c r="I6" s="7" t="s">
        <v>88</v>
      </c>
      <c r="J6" s="10">
        <f>0.05+(1-0.05)*0.21</f>
        <v>0.2495</v>
      </c>
    </row>
    <row r="7" spans="2:12" x14ac:dyDescent="0.3">
      <c r="B7" s="28" t="s">
        <v>1</v>
      </c>
      <c r="C7" s="1"/>
      <c r="D7" s="28" t="s">
        <v>2</v>
      </c>
      <c r="F7" s="28" t="s">
        <v>84</v>
      </c>
      <c r="G7" s="1"/>
      <c r="H7" s="28" t="s">
        <v>85</v>
      </c>
      <c r="I7" s="1"/>
      <c r="J7" s="28" t="s">
        <v>86</v>
      </c>
      <c r="K7" s="1"/>
      <c r="L7" s="28" t="s">
        <v>87</v>
      </c>
    </row>
    <row r="9" spans="2:12" x14ac:dyDescent="0.3">
      <c r="B9" s="1">
        <v>1</v>
      </c>
      <c r="D9" s="3" t="s">
        <v>139</v>
      </c>
      <c r="F9" s="8">
        <f>'Income Statement'!F9</f>
        <v>116213137</v>
      </c>
      <c r="G9" s="8"/>
      <c r="H9" s="8">
        <f>'Income Statement'!F11</f>
        <v>75278275</v>
      </c>
      <c r="I9" s="8"/>
      <c r="J9" s="8">
        <f>'Income Statement'!F13</f>
        <v>14032707</v>
      </c>
      <c r="K9" s="8"/>
      <c r="L9" s="8">
        <f>F9-SUM(H9:J9)</f>
        <v>26902155</v>
      </c>
    </row>
    <row r="11" spans="2:12" x14ac:dyDescent="0.3">
      <c r="B11" s="1">
        <v>2</v>
      </c>
      <c r="D11" t="s">
        <v>95</v>
      </c>
    </row>
    <row r="12" spans="2:12" x14ac:dyDescent="0.3">
      <c r="B12" s="1">
        <v>3</v>
      </c>
      <c r="D12" s="24" t="s">
        <v>173</v>
      </c>
      <c r="F12">
        <v>0</v>
      </c>
      <c r="H12" s="8">
        <f>'Labor Adj'!F24</f>
        <v>-2178740.5782256387</v>
      </c>
      <c r="J12" s="40">
        <f>ROUND((F12-H12)*$J$6,0)</f>
        <v>543596</v>
      </c>
      <c r="L12" s="40">
        <f>F12-SUM(H12:J12)</f>
        <v>1635144.5782256387</v>
      </c>
    </row>
    <row r="13" spans="2:12" x14ac:dyDescent="0.3">
      <c r="B13" s="1">
        <v>4</v>
      </c>
      <c r="D13" s="24" t="s">
        <v>89</v>
      </c>
      <c r="H13" s="8">
        <f>-'Incentive Comp ADJ calc'!E24</f>
        <v>-373598</v>
      </c>
      <c r="J13" s="40">
        <f t="shared" ref="J13:J18" si="0">ROUND((F13-H13)*$J$6,0)</f>
        <v>93213</v>
      </c>
      <c r="L13" s="40">
        <f t="shared" ref="L13:L17" si="1">F13-SUM(H13:J13)</f>
        <v>280385</v>
      </c>
    </row>
    <row r="14" spans="2:12" x14ac:dyDescent="0.3">
      <c r="B14" s="1">
        <v>5</v>
      </c>
      <c r="D14" s="24" t="s">
        <v>90</v>
      </c>
      <c r="H14" s="36"/>
      <c r="J14" s="40">
        <f t="shared" si="0"/>
        <v>0</v>
      </c>
      <c r="L14" s="40">
        <f t="shared" si="1"/>
        <v>0</v>
      </c>
    </row>
    <row r="15" spans="2:12" x14ac:dyDescent="0.3">
      <c r="B15" s="1">
        <v>6</v>
      </c>
      <c r="D15" s="24" t="s">
        <v>91</v>
      </c>
      <c r="H15" s="8">
        <v>-349284</v>
      </c>
      <c r="J15" s="40">
        <f t="shared" si="0"/>
        <v>87146</v>
      </c>
      <c r="L15" s="40">
        <f t="shared" si="1"/>
        <v>262138</v>
      </c>
    </row>
    <row r="16" spans="2:12" x14ac:dyDescent="0.3">
      <c r="B16" s="1">
        <v>7</v>
      </c>
      <c r="D16" s="24" t="s">
        <v>92</v>
      </c>
      <c r="F16" s="8">
        <f>Revenues!L24</f>
        <v>2155689.8119563712</v>
      </c>
      <c r="H16" s="8">
        <f>Revenues!L28</f>
        <v>280142.79137592041</v>
      </c>
      <c r="J16" s="40">
        <f t="shared" si="0"/>
        <v>467949</v>
      </c>
      <c r="L16" s="40">
        <f t="shared" si="1"/>
        <v>1407598.0205804508</v>
      </c>
    </row>
    <row r="17" spans="2:16" x14ac:dyDescent="0.3">
      <c r="B17" s="1">
        <v>8</v>
      </c>
      <c r="D17" s="24" t="s">
        <v>93</v>
      </c>
      <c r="H17" s="8">
        <f>'Water Loss Expense'!F24</f>
        <v>-522333.22460000002</v>
      </c>
      <c r="J17" s="40">
        <f t="shared" si="0"/>
        <v>130322</v>
      </c>
      <c r="L17" s="40">
        <f t="shared" si="1"/>
        <v>392011.22460000002</v>
      </c>
      <c r="P17" s="8"/>
    </row>
    <row r="18" spans="2:16" x14ac:dyDescent="0.3">
      <c r="B18" s="1">
        <v>9</v>
      </c>
      <c r="D18" s="24" t="s">
        <v>94</v>
      </c>
      <c r="F18" s="70"/>
      <c r="G18" s="70"/>
      <c r="H18" s="40">
        <v>-121116</v>
      </c>
      <c r="I18" s="70"/>
      <c r="J18" s="40">
        <f t="shared" si="0"/>
        <v>30218</v>
      </c>
      <c r="K18" s="70"/>
      <c r="L18" s="40">
        <f>F18-SUM(H18:J18)</f>
        <v>90898</v>
      </c>
    </row>
    <row r="19" spans="2:16" x14ac:dyDescent="0.3">
      <c r="B19" s="1">
        <v>10</v>
      </c>
      <c r="D19" s="24" t="s">
        <v>168</v>
      </c>
      <c r="F19" s="22"/>
      <c r="H19" s="22"/>
      <c r="J19" s="9">
        <f>'Interest Sync'!F21</f>
        <v>-255066.06716046375</v>
      </c>
      <c r="L19" s="9">
        <f>F19-SUM(H19:J19)</f>
        <v>255066.06716046375</v>
      </c>
    </row>
    <row r="21" spans="2:16" x14ac:dyDescent="0.3">
      <c r="B21" s="1">
        <v>11</v>
      </c>
      <c r="D21" s="3" t="s">
        <v>140</v>
      </c>
      <c r="F21" s="8">
        <f>F9+SUM(F12:F19)</f>
        <v>118368826.81195638</v>
      </c>
      <c r="H21" s="8">
        <f>H9+SUM(H12:H19)</f>
        <v>72013345.988550276</v>
      </c>
      <c r="J21" s="8">
        <f>J9+SUM(J12:J19)</f>
        <v>15130084.932839537</v>
      </c>
      <c r="L21" s="8">
        <f>L9+SUM(L12:L19)</f>
        <v>31225395.890566554</v>
      </c>
    </row>
    <row r="22" spans="2:16" x14ac:dyDescent="0.3">
      <c r="B22" s="87" t="s">
        <v>174</v>
      </c>
    </row>
    <row r="23" spans="2:16" x14ac:dyDescent="0.3">
      <c r="B23" s="1" t="s">
        <v>137</v>
      </c>
    </row>
    <row r="24" spans="2:16" ht="14.25" customHeight="1" x14ac:dyDescent="0.3">
      <c r="B24" s="113" t="s">
        <v>189</v>
      </c>
      <c r="C24" s="113"/>
      <c r="D24" s="113"/>
      <c r="E24" s="113"/>
      <c r="F24" s="113"/>
      <c r="G24" s="113"/>
      <c r="H24" s="113"/>
      <c r="I24" s="113"/>
      <c r="J24" s="113"/>
      <c r="K24" s="113"/>
      <c r="L24" s="113"/>
    </row>
    <row r="25" spans="2:16" x14ac:dyDescent="0.3">
      <c r="B25" s="113"/>
      <c r="C25" s="113"/>
      <c r="D25" s="113"/>
      <c r="E25" s="113"/>
      <c r="F25" s="113"/>
      <c r="G25" s="113"/>
      <c r="H25" s="113"/>
      <c r="I25" s="113"/>
      <c r="J25" s="113"/>
      <c r="K25" s="113"/>
      <c r="L25" s="113"/>
    </row>
    <row r="26" spans="2:16" x14ac:dyDescent="0.3">
      <c r="B26" s="113"/>
      <c r="C26" s="113"/>
      <c r="D26" s="113"/>
      <c r="E26" s="113"/>
      <c r="F26" s="113"/>
      <c r="G26" s="113"/>
      <c r="H26" s="113"/>
      <c r="I26" s="113"/>
      <c r="J26" s="113"/>
      <c r="K26" s="113"/>
      <c r="L26" s="113"/>
    </row>
    <row r="27" spans="2:16" x14ac:dyDescent="0.3">
      <c r="B27" s="113"/>
      <c r="C27" s="113"/>
      <c r="D27" s="113"/>
      <c r="E27" s="113"/>
      <c r="F27" s="113"/>
      <c r="G27" s="113"/>
      <c r="H27" s="113"/>
      <c r="I27" s="113"/>
      <c r="J27" s="113"/>
      <c r="K27" s="113"/>
      <c r="L27" s="113"/>
    </row>
    <row r="28" spans="2:16" x14ac:dyDescent="0.3">
      <c r="B28" s="113"/>
      <c r="C28" s="113"/>
      <c r="D28" s="113"/>
      <c r="E28" s="113"/>
      <c r="F28" s="113"/>
      <c r="G28" s="113"/>
      <c r="H28" s="113"/>
      <c r="I28" s="113"/>
      <c r="J28" s="113"/>
      <c r="K28" s="113"/>
      <c r="L28" s="113"/>
    </row>
  </sheetData>
  <mergeCells count="3">
    <mergeCell ref="B2:L2"/>
    <mergeCell ref="B4:L4"/>
    <mergeCell ref="B24:L28"/>
  </mergeCells>
  <printOptions horizontalCentered="1"/>
  <pageMargins left="0.7" right="0.7" top="1" bottom="0.75" header="0.5" footer="0.3"/>
  <pageSetup orientation="landscape" r:id="rId1"/>
  <headerFooter>
    <oddHeader>&amp;R&amp;"Arial,Bold"&amp;10OAG Response to Staff Post-Hearing Data Request 1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4"/>
  <sheetViews>
    <sheetView topLeftCell="A4" workbookViewId="0">
      <selection activeCell="B35" sqref="B35"/>
    </sheetView>
  </sheetViews>
  <sheetFormatPr defaultColWidth="9" defaultRowHeight="14" x14ac:dyDescent="0.3"/>
  <cols>
    <col min="1" max="1" width="1.58203125" style="17" customWidth="1"/>
    <col min="2" max="2" width="4.75" style="17" bestFit="1" customWidth="1"/>
    <col min="3" max="3" width="1.58203125" style="17" customWidth="1"/>
    <col min="4" max="4" width="64.5" style="17" customWidth="1"/>
    <col min="5" max="5" width="1.58203125" style="17" customWidth="1"/>
    <col min="6" max="6" width="13.75" style="17" bestFit="1" customWidth="1"/>
    <col min="7" max="7" width="1.58203125" style="17" customWidth="1"/>
    <col min="8" max="16384" width="9" style="17"/>
  </cols>
  <sheetData>
    <row r="1" spans="1:7" x14ac:dyDescent="0.3">
      <c r="A1" s="88"/>
      <c r="B1" s="89"/>
      <c r="C1" s="89"/>
      <c r="D1" s="89"/>
      <c r="E1" s="89"/>
      <c r="F1" s="89"/>
      <c r="G1" s="90"/>
    </row>
    <row r="2" spans="1:7" x14ac:dyDescent="0.3">
      <c r="A2" s="91"/>
      <c r="B2" s="114" t="s">
        <v>177</v>
      </c>
      <c r="C2" s="114"/>
      <c r="D2" s="114"/>
      <c r="E2" s="114"/>
      <c r="F2" s="114"/>
      <c r="G2" s="92"/>
    </row>
    <row r="3" spans="1:7" x14ac:dyDescent="0.3">
      <c r="A3" s="91"/>
      <c r="B3" s="93"/>
      <c r="C3" s="93"/>
      <c r="D3" s="93"/>
      <c r="E3" s="93"/>
      <c r="F3" s="93"/>
      <c r="G3" s="92"/>
    </row>
    <row r="4" spans="1:7" x14ac:dyDescent="0.3">
      <c r="A4" s="91"/>
      <c r="B4" s="114" t="s">
        <v>178</v>
      </c>
      <c r="C4" s="114"/>
      <c r="D4" s="114"/>
      <c r="E4" s="114"/>
      <c r="F4" s="114"/>
      <c r="G4" s="92"/>
    </row>
    <row r="5" spans="1:7" x14ac:dyDescent="0.3">
      <c r="A5" s="91"/>
      <c r="B5" s="93"/>
      <c r="C5" s="93"/>
      <c r="D5" s="93"/>
      <c r="E5" s="93"/>
      <c r="F5" s="93"/>
      <c r="G5" s="92"/>
    </row>
    <row r="6" spans="1:7" s="98" customFormat="1" x14ac:dyDescent="0.3">
      <c r="A6" s="94"/>
      <c r="B6" s="95" t="s">
        <v>1</v>
      </c>
      <c r="C6" s="96"/>
      <c r="D6" s="95" t="s">
        <v>2</v>
      </c>
      <c r="E6" s="96"/>
      <c r="F6" s="95" t="s">
        <v>29</v>
      </c>
      <c r="G6" s="97"/>
    </row>
    <row r="7" spans="1:7" x14ac:dyDescent="0.3">
      <c r="A7" s="91"/>
      <c r="B7" s="93"/>
      <c r="C7" s="93"/>
      <c r="D7" s="93"/>
      <c r="E7" s="93"/>
      <c r="F7" s="93"/>
      <c r="G7" s="92"/>
    </row>
    <row r="8" spans="1:7" x14ac:dyDescent="0.3">
      <c r="A8" s="91"/>
      <c r="B8" s="99">
        <v>1</v>
      </c>
      <c r="C8" s="93"/>
      <c r="D8" s="93" t="s">
        <v>179</v>
      </c>
      <c r="E8" s="93"/>
      <c r="F8" s="100">
        <v>10605901.973850101</v>
      </c>
      <c r="G8" s="92"/>
    </row>
    <row r="9" spans="1:7" x14ac:dyDescent="0.3">
      <c r="A9" s="91"/>
      <c r="B9" s="99"/>
      <c r="C9" s="93"/>
      <c r="D9" s="93"/>
      <c r="E9" s="93"/>
      <c r="F9" s="93"/>
      <c r="G9" s="92"/>
    </row>
    <row r="10" spans="1:7" x14ac:dyDescent="0.3">
      <c r="A10" s="91"/>
      <c r="B10" s="99">
        <v>2</v>
      </c>
      <c r="C10" s="93"/>
      <c r="D10" s="93" t="s">
        <v>180</v>
      </c>
      <c r="E10" s="93"/>
      <c r="F10" s="101">
        <v>7802450.2692343555</v>
      </c>
      <c r="G10" s="92"/>
    </row>
    <row r="11" spans="1:7" x14ac:dyDescent="0.3">
      <c r="A11" s="91"/>
      <c r="B11" s="99"/>
      <c r="C11" s="93"/>
      <c r="D11" s="93"/>
      <c r="E11" s="93"/>
      <c r="F11" s="93"/>
      <c r="G11" s="92"/>
    </row>
    <row r="12" spans="1:7" x14ac:dyDescent="0.3">
      <c r="A12" s="91"/>
      <c r="B12" s="99">
        <v>3</v>
      </c>
      <c r="C12" s="93"/>
      <c r="D12" s="93" t="s">
        <v>181</v>
      </c>
      <c r="E12" s="93"/>
      <c r="F12" s="102">
        <f>F10/F8</f>
        <v>0.73567060005571117</v>
      </c>
      <c r="G12" s="92"/>
    </row>
    <row r="13" spans="1:7" x14ac:dyDescent="0.3">
      <c r="A13" s="91"/>
      <c r="B13" s="99"/>
      <c r="C13" s="93"/>
      <c r="D13" s="93"/>
      <c r="E13" s="93"/>
      <c r="F13" s="93"/>
      <c r="G13" s="92"/>
    </row>
    <row r="14" spans="1:7" x14ac:dyDescent="0.3">
      <c r="A14" s="91"/>
      <c r="B14" s="99">
        <v>4</v>
      </c>
      <c r="C14" s="93"/>
      <c r="D14" s="93" t="s">
        <v>182</v>
      </c>
      <c r="E14" s="93"/>
      <c r="F14" s="103">
        <v>0.56305119271916892</v>
      </c>
      <c r="G14" s="92"/>
    </row>
    <row r="15" spans="1:7" x14ac:dyDescent="0.3">
      <c r="A15" s="91"/>
      <c r="B15" s="99"/>
      <c r="C15" s="93"/>
      <c r="D15" s="93"/>
      <c r="E15" s="93"/>
      <c r="F15" s="93"/>
      <c r="G15" s="92"/>
    </row>
    <row r="16" spans="1:7" x14ac:dyDescent="0.3">
      <c r="A16" s="91"/>
      <c r="B16" s="99">
        <v>5</v>
      </c>
      <c r="C16" s="93"/>
      <c r="D16" s="93" t="s">
        <v>183</v>
      </c>
      <c r="E16" s="93"/>
      <c r="F16" s="101">
        <f>F8*F14</f>
        <v>5971665.7562388871</v>
      </c>
      <c r="G16" s="92"/>
    </row>
    <row r="17" spans="1:7" x14ac:dyDescent="0.3">
      <c r="A17" s="91"/>
      <c r="B17" s="93"/>
      <c r="C17" s="93"/>
      <c r="D17" s="93"/>
      <c r="E17" s="93"/>
      <c r="F17" s="93"/>
      <c r="G17" s="92"/>
    </row>
    <row r="18" spans="1:7" x14ac:dyDescent="0.3">
      <c r="A18" s="91"/>
      <c r="B18" s="99">
        <v>6</v>
      </c>
      <c r="C18" s="93"/>
      <c r="D18" s="93" t="s">
        <v>184</v>
      </c>
      <c r="E18" s="93"/>
      <c r="F18" s="104">
        <f>F16-F10</f>
        <v>-1830784.5129954685</v>
      </c>
      <c r="G18" s="92"/>
    </row>
    <row r="19" spans="1:7" x14ac:dyDescent="0.3">
      <c r="A19" s="91"/>
      <c r="B19" s="93"/>
      <c r="C19" s="93"/>
      <c r="D19" s="93"/>
      <c r="E19" s="93"/>
      <c r="F19" s="93"/>
      <c r="G19" s="92"/>
    </row>
    <row r="20" spans="1:7" x14ac:dyDescent="0.3">
      <c r="A20" s="91"/>
      <c r="B20" s="99">
        <v>7</v>
      </c>
      <c r="C20" s="93"/>
      <c r="D20" s="93" t="s">
        <v>185</v>
      </c>
      <c r="E20" s="93"/>
      <c r="F20" s="100">
        <v>-617983</v>
      </c>
      <c r="G20" s="92"/>
    </row>
    <row r="21" spans="1:7" x14ac:dyDescent="0.3">
      <c r="A21" s="91"/>
      <c r="B21" s="93"/>
      <c r="C21" s="93"/>
      <c r="D21" s="93"/>
      <c r="E21" s="93"/>
      <c r="F21" s="93"/>
      <c r="G21" s="92"/>
    </row>
    <row r="22" spans="1:7" x14ac:dyDescent="0.3">
      <c r="A22" s="91"/>
      <c r="B22" s="99">
        <v>8</v>
      </c>
      <c r="C22" s="93"/>
      <c r="D22" s="93" t="s">
        <v>186</v>
      </c>
      <c r="E22" s="93"/>
      <c r="F22" s="104">
        <f>F20*F14</f>
        <v>-347956.06523017015</v>
      </c>
      <c r="G22" s="92"/>
    </row>
    <row r="23" spans="1:7" x14ac:dyDescent="0.3">
      <c r="A23" s="91"/>
      <c r="B23" s="99"/>
      <c r="C23" s="93"/>
      <c r="D23" s="93"/>
      <c r="E23" s="93"/>
      <c r="F23" s="93"/>
      <c r="G23" s="92"/>
    </row>
    <row r="24" spans="1:7" ht="14.5" thickBot="1" x14ac:dyDescent="0.35">
      <c r="A24" s="91"/>
      <c r="B24" s="99">
        <v>9</v>
      </c>
      <c r="C24" s="93"/>
      <c r="D24" s="93" t="s">
        <v>187</v>
      </c>
      <c r="E24" s="93"/>
      <c r="F24" s="105">
        <f>F18+F22</f>
        <v>-2178740.5782256387</v>
      </c>
      <c r="G24" s="92"/>
    </row>
    <row r="25" spans="1:7" ht="14.5" thickTop="1" x14ac:dyDescent="0.3">
      <c r="A25" s="106"/>
      <c r="B25" s="107"/>
      <c r="C25" s="107"/>
      <c r="D25" s="107"/>
      <c r="E25" s="107"/>
      <c r="F25" s="107"/>
      <c r="G25" s="108"/>
    </row>
    <row r="27" spans="1:7" x14ac:dyDescent="0.3">
      <c r="B27" s="17" t="s">
        <v>137</v>
      </c>
    </row>
    <row r="29" spans="1:7" ht="15" customHeight="1" x14ac:dyDescent="0.3">
      <c r="B29" s="115" t="s">
        <v>188</v>
      </c>
      <c r="C29" s="115"/>
      <c r="D29" s="115"/>
      <c r="E29" s="115"/>
      <c r="F29" s="115"/>
    </row>
    <row r="30" spans="1:7" x14ac:dyDescent="0.3">
      <c r="B30" s="115"/>
      <c r="C30" s="115"/>
      <c r="D30" s="115"/>
      <c r="E30" s="115"/>
      <c r="F30" s="115"/>
    </row>
    <row r="31" spans="1:7" x14ac:dyDescent="0.3">
      <c r="B31" s="115"/>
      <c r="C31" s="115"/>
      <c r="D31" s="115"/>
      <c r="E31" s="115"/>
      <c r="F31" s="115"/>
    </row>
    <row r="32" spans="1:7" x14ac:dyDescent="0.3">
      <c r="B32" s="115"/>
      <c r="C32" s="115"/>
      <c r="D32" s="115"/>
      <c r="E32" s="115"/>
      <c r="F32" s="115"/>
    </row>
    <row r="33" spans="2:6" x14ac:dyDescent="0.3">
      <c r="B33" s="115"/>
      <c r="C33" s="115"/>
      <c r="D33" s="115"/>
      <c r="E33" s="115"/>
      <c r="F33" s="115"/>
    </row>
    <row r="34" spans="2:6" x14ac:dyDescent="0.3">
      <c r="B34" s="115"/>
      <c r="C34" s="115"/>
      <c r="D34" s="115"/>
      <c r="E34" s="115"/>
      <c r="F34" s="115"/>
    </row>
  </sheetData>
  <mergeCells count="3">
    <mergeCell ref="B2:F2"/>
    <mergeCell ref="B4:F4"/>
    <mergeCell ref="B29:F34"/>
  </mergeCells>
  <printOptions horizontalCentered="1"/>
  <pageMargins left="0.7" right="0.7" top="1" bottom="0.75" header="0.5" footer="0.3"/>
  <pageSetup scale="98" orientation="landscape" r:id="rId1"/>
  <headerFooter>
    <oddHeader>&amp;R&amp;"Arial,Bold"&amp;10OAG Response to Staff Post-Hearing Data Request 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24"/>
  <sheetViews>
    <sheetView topLeftCell="A16" workbookViewId="0">
      <selection activeCell="K14" sqref="K14"/>
    </sheetView>
  </sheetViews>
  <sheetFormatPr defaultRowHeight="14" x14ac:dyDescent="0.3"/>
  <cols>
    <col min="1" max="1" width="1.58203125" customWidth="1"/>
    <col min="2" max="2" width="15.25" customWidth="1"/>
    <col min="3" max="3" width="13.75" customWidth="1"/>
    <col min="4" max="4" width="12.83203125" customWidth="1"/>
    <col min="5" max="5" width="13.5" customWidth="1"/>
    <col min="7" max="7" width="1.58203125" customWidth="1"/>
    <col min="9" max="9" width="10.5" bestFit="1" customWidth="1"/>
    <col min="11" max="11" width="21" style="1" bestFit="1" customWidth="1"/>
    <col min="12" max="12" width="8.58203125" bestFit="1" customWidth="1"/>
  </cols>
  <sheetData>
    <row r="1" spans="2:6" x14ac:dyDescent="0.3">
      <c r="C1" s="83"/>
      <c r="D1" s="83"/>
      <c r="E1" s="83"/>
      <c r="F1" s="83"/>
    </row>
    <row r="2" spans="2:6" ht="20" x14ac:dyDescent="0.4">
      <c r="B2" s="112" t="s">
        <v>0</v>
      </c>
      <c r="C2" s="112"/>
      <c r="D2" s="112"/>
      <c r="E2" s="112"/>
      <c r="F2" s="112"/>
    </row>
    <row r="3" spans="2:6" x14ac:dyDescent="0.3">
      <c r="B3" s="83"/>
    </row>
    <row r="4" spans="2:6" x14ac:dyDescent="0.3">
      <c r="B4" s="110" t="s">
        <v>155</v>
      </c>
      <c r="C4" s="110"/>
      <c r="D4" s="110"/>
      <c r="E4" s="110"/>
      <c r="F4" s="110"/>
    </row>
    <row r="5" spans="2:6" x14ac:dyDescent="0.3">
      <c r="B5" s="83"/>
    </row>
    <row r="6" spans="2:6" x14ac:dyDescent="0.3">
      <c r="B6" s="117" t="s">
        <v>161</v>
      </c>
      <c r="C6" s="117"/>
      <c r="D6" s="117"/>
      <c r="E6" s="117"/>
      <c r="F6" s="117"/>
    </row>
    <row r="8" spans="2:6" x14ac:dyDescent="0.3">
      <c r="B8" s="1" t="s">
        <v>98</v>
      </c>
      <c r="C8" s="1" t="s">
        <v>18</v>
      </c>
      <c r="D8" s="1" t="s">
        <v>19</v>
      </c>
      <c r="E8" s="1" t="s">
        <v>14</v>
      </c>
      <c r="F8" s="1" t="s">
        <v>169</v>
      </c>
    </row>
    <row r="9" spans="2:6" x14ac:dyDescent="0.3">
      <c r="B9" s="1"/>
      <c r="C9" s="1"/>
      <c r="D9" s="1"/>
      <c r="E9" s="1"/>
    </row>
    <row r="10" spans="2:6" x14ac:dyDescent="0.3">
      <c r="B10" s="1">
        <v>2018</v>
      </c>
      <c r="C10" s="81">
        <v>362968</v>
      </c>
      <c r="D10" s="81">
        <v>3019</v>
      </c>
      <c r="E10" s="81">
        <f>SUM(C10:D10)</f>
        <v>365987</v>
      </c>
      <c r="F10" s="116" t="s">
        <v>32</v>
      </c>
    </row>
    <row r="11" spans="2:6" x14ac:dyDescent="0.3">
      <c r="B11" s="1">
        <v>2019</v>
      </c>
      <c r="C11" s="81">
        <v>302074</v>
      </c>
      <c r="D11" s="81">
        <v>22459</v>
      </c>
      <c r="E11" s="81">
        <f t="shared" ref="E11:E14" si="0">SUM(C11:D11)</f>
        <v>324533</v>
      </c>
      <c r="F11" s="116"/>
    </row>
    <row r="12" spans="2:6" x14ac:dyDescent="0.3">
      <c r="B12" s="1">
        <v>2020</v>
      </c>
      <c r="C12" s="81">
        <v>744128</v>
      </c>
      <c r="D12" s="81">
        <v>24085</v>
      </c>
      <c r="E12" s="81">
        <f t="shared" si="0"/>
        <v>768213</v>
      </c>
      <c r="F12" s="116"/>
    </row>
    <row r="13" spans="2:6" x14ac:dyDescent="0.3">
      <c r="B13" s="1">
        <v>2021</v>
      </c>
      <c r="C13" s="81">
        <v>742522</v>
      </c>
      <c r="D13" s="81">
        <v>59159</v>
      </c>
      <c r="E13" s="81">
        <f t="shared" si="0"/>
        <v>801681</v>
      </c>
      <c r="F13" s="116"/>
    </row>
    <row r="14" spans="2:6" x14ac:dyDescent="0.3">
      <c r="B14" s="1">
        <v>2022</v>
      </c>
      <c r="C14" s="81">
        <v>762545</v>
      </c>
      <c r="D14" s="81">
        <v>38270</v>
      </c>
      <c r="E14" s="81">
        <f t="shared" si="0"/>
        <v>800815</v>
      </c>
      <c r="F14" s="116"/>
    </row>
    <row r="16" spans="2:6" x14ac:dyDescent="0.3">
      <c r="B16" s="1" t="s">
        <v>162</v>
      </c>
      <c r="C16" s="10">
        <f>SUM(C10:C14)/SUM(E10:E14)</f>
        <v>0.95198268407884545</v>
      </c>
      <c r="D16" s="10">
        <f>1-C16</f>
        <v>4.8017315921154546E-2</v>
      </c>
      <c r="E16" s="10">
        <f>SUM(C16:D16)</f>
        <v>1</v>
      </c>
    </row>
    <row r="18" spans="2:5" x14ac:dyDescent="0.3">
      <c r="B18" t="s">
        <v>163</v>
      </c>
      <c r="E18" s="19">
        <v>712961</v>
      </c>
    </row>
    <row r="20" spans="2:5" ht="28" x14ac:dyDescent="0.3">
      <c r="B20" s="4" t="s">
        <v>164</v>
      </c>
      <c r="C20" s="19">
        <f>ROUND(C16*E18,0)</f>
        <v>678727</v>
      </c>
      <c r="D20" s="19">
        <f>E18-C20</f>
        <v>34234</v>
      </c>
    </row>
    <row r="22" spans="2:5" ht="42" x14ac:dyDescent="0.3">
      <c r="B22" s="4" t="s">
        <v>165</v>
      </c>
      <c r="C22" s="26">
        <v>0.5</v>
      </c>
      <c r="D22" s="26">
        <v>1</v>
      </c>
    </row>
    <row r="24" spans="2:5" x14ac:dyDescent="0.3">
      <c r="B24" s="1" t="s">
        <v>166</v>
      </c>
      <c r="C24" s="19">
        <f>ROUND(C20*C22,0)</f>
        <v>339364</v>
      </c>
      <c r="D24" s="19">
        <f>ROUND(D20*D22,0)</f>
        <v>34234</v>
      </c>
      <c r="E24" s="82">
        <f>SUM(C24:D24)</f>
        <v>373598</v>
      </c>
    </row>
  </sheetData>
  <mergeCells count="4">
    <mergeCell ref="F10:F14"/>
    <mergeCell ref="B6:F6"/>
    <mergeCell ref="B4:F4"/>
    <mergeCell ref="B2:F2"/>
  </mergeCells>
  <printOptions horizontalCentered="1"/>
  <pageMargins left="0.7" right="0.7" top="1" bottom="0.75" header="0.5" footer="0.3"/>
  <pageSetup orientation="portrait" r:id="rId1"/>
  <headerFooter>
    <oddHeader>&amp;R&amp;"Arial,Bold"&amp;10OAG Response to Staff Post-Hearing Data Request 1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N36"/>
  <sheetViews>
    <sheetView topLeftCell="A16" workbookViewId="0">
      <selection sqref="A1:M37"/>
    </sheetView>
  </sheetViews>
  <sheetFormatPr defaultRowHeight="14" x14ac:dyDescent="0.3"/>
  <cols>
    <col min="1" max="1" width="1.58203125" customWidth="1"/>
    <col min="2" max="2" width="9" style="50"/>
    <col min="3" max="3" width="1.58203125" customWidth="1"/>
    <col min="4" max="4" width="26.25" bestFit="1" customWidth="1"/>
    <col min="5" max="5" width="1.58203125" customWidth="1"/>
    <col min="6" max="6" width="12.58203125" bestFit="1" customWidth="1"/>
    <col min="7" max="7" width="1.58203125" customWidth="1"/>
    <col min="8" max="8" width="15" bestFit="1" customWidth="1"/>
    <col min="9" max="9" width="1.58203125" customWidth="1"/>
    <col min="10" max="10" width="15.75" bestFit="1" customWidth="1"/>
    <col min="11" max="11" width="1.58203125" customWidth="1"/>
    <col min="12" max="12" width="30.33203125" bestFit="1" customWidth="1"/>
    <col min="13" max="13" width="1.58203125" customWidth="1"/>
    <col min="14" max="14" width="10.08203125" bestFit="1" customWidth="1"/>
  </cols>
  <sheetData>
    <row r="2" spans="2:12" ht="20" x14ac:dyDescent="0.4">
      <c r="B2" s="112" t="s">
        <v>96</v>
      </c>
      <c r="C2" s="112"/>
      <c r="D2" s="112"/>
      <c r="E2" s="112"/>
      <c r="F2" s="112"/>
      <c r="G2" s="112"/>
      <c r="H2" s="112"/>
      <c r="I2" s="112"/>
      <c r="J2" s="112"/>
      <c r="K2" s="112"/>
      <c r="L2" s="112"/>
    </row>
    <row r="4" spans="2:12" x14ac:dyDescent="0.3">
      <c r="B4" s="110" t="s">
        <v>97</v>
      </c>
      <c r="C4" s="110"/>
      <c r="D4" s="110"/>
      <c r="E4" s="110"/>
      <c r="F4" s="110"/>
      <c r="G4" s="110"/>
      <c r="H4" s="110"/>
      <c r="I4" s="110"/>
      <c r="J4" s="110"/>
      <c r="K4" s="110"/>
      <c r="L4" s="110"/>
    </row>
    <row r="7" spans="2:12" s="5" customFormat="1" x14ac:dyDescent="0.3">
      <c r="B7" s="41" t="s">
        <v>1</v>
      </c>
      <c r="D7" s="6" t="s">
        <v>98</v>
      </c>
      <c r="F7" s="6" t="s">
        <v>99</v>
      </c>
      <c r="H7" s="6" t="s">
        <v>100</v>
      </c>
      <c r="J7" s="6" t="s">
        <v>101</v>
      </c>
      <c r="L7" s="6" t="s">
        <v>102</v>
      </c>
    </row>
    <row r="8" spans="2:12" s="5" customFormat="1" x14ac:dyDescent="0.3">
      <c r="B8" s="42"/>
      <c r="D8" s="27"/>
      <c r="F8" s="43" t="s">
        <v>103</v>
      </c>
      <c r="H8" s="27"/>
      <c r="J8" s="43" t="s">
        <v>103</v>
      </c>
      <c r="L8" s="27"/>
    </row>
    <row r="10" spans="2:12" ht="16.5" x14ac:dyDescent="0.3">
      <c r="B10" s="44">
        <v>1</v>
      </c>
      <c r="D10" s="1" t="s">
        <v>104</v>
      </c>
      <c r="F10" s="20">
        <v>5648780</v>
      </c>
      <c r="H10" s="20">
        <v>119360</v>
      </c>
      <c r="J10" s="45">
        <f>F10/H10</f>
        <v>47.325569705093834</v>
      </c>
    </row>
    <row r="11" spans="2:12" ht="16.5" x14ac:dyDescent="0.3">
      <c r="B11" s="44">
        <v>2</v>
      </c>
      <c r="D11" s="1" t="s">
        <v>105</v>
      </c>
      <c r="F11" s="20">
        <v>5931753</v>
      </c>
      <c r="H11" s="20">
        <v>120704</v>
      </c>
      <c r="J11" s="45">
        <f>F11/H11</f>
        <v>49.142969578472957</v>
      </c>
    </row>
    <row r="12" spans="2:12" ht="16.5" x14ac:dyDescent="0.3">
      <c r="B12" s="44">
        <v>3</v>
      </c>
      <c r="D12" s="1" t="s">
        <v>106</v>
      </c>
      <c r="F12" s="20">
        <v>6072579</v>
      </c>
      <c r="H12" s="20">
        <v>122008</v>
      </c>
      <c r="J12" s="45">
        <f>F12/H12</f>
        <v>49.771973968920072</v>
      </c>
    </row>
    <row r="13" spans="2:12" ht="16.5" x14ac:dyDescent="0.3">
      <c r="B13" s="44">
        <v>4</v>
      </c>
      <c r="D13" s="1" t="s">
        <v>107</v>
      </c>
      <c r="F13" s="20">
        <v>5874579</v>
      </c>
      <c r="H13" s="20">
        <v>123090</v>
      </c>
      <c r="J13" s="45">
        <f>F13/H13</f>
        <v>47.725883499878137</v>
      </c>
    </row>
    <row r="14" spans="2:12" ht="16.5" x14ac:dyDescent="0.3">
      <c r="B14" s="44">
        <v>5</v>
      </c>
      <c r="D14" s="1" t="s">
        <v>108</v>
      </c>
      <c r="F14" s="20">
        <v>5987176</v>
      </c>
      <c r="H14" s="20">
        <v>124036</v>
      </c>
      <c r="J14" s="45">
        <f>F14/H14</f>
        <v>48.269663646038246</v>
      </c>
    </row>
    <row r="15" spans="2:12" x14ac:dyDescent="0.3">
      <c r="B15" s="44"/>
    </row>
    <row r="16" spans="2:12" ht="16.5" x14ac:dyDescent="0.3">
      <c r="B16" s="44">
        <v>6</v>
      </c>
      <c r="D16" s="1" t="s">
        <v>109</v>
      </c>
      <c r="F16" s="46">
        <v>5748449</v>
      </c>
      <c r="G16" s="47"/>
      <c r="H16" s="46">
        <v>126013.58</v>
      </c>
      <c r="I16" s="47"/>
      <c r="J16" s="48">
        <f>F16/H16</f>
        <v>45.617694537366525</v>
      </c>
    </row>
    <row r="17" spans="2:14" x14ac:dyDescent="0.3">
      <c r="B17" s="44"/>
    </row>
    <row r="18" spans="2:14" ht="42" x14ac:dyDescent="0.3">
      <c r="B18" s="44">
        <v>7</v>
      </c>
      <c r="D18" s="4" t="s">
        <v>110</v>
      </c>
      <c r="F18" s="49">
        <f>H18*J18</f>
        <v>6122895.7278020447</v>
      </c>
      <c r="G18" s="50"/>
      <c r="H18" s="51">
        <f>H16</f>
        <v>126013.58</v>
      </c>
      <c r="I18" s="50"/>
      <c r="J18" s="52">
        <f>AVERAGE(J12:J14)</f>
        <v>48.589173704945487</v>
      </c>
    </row>
    <row r="19" spans="2:14" x14ac:dyDescent="0.3">
      <c r="B19" s="44"/>
    </row>
    <row r="20" spans="2:14" x14ac:dyDescent="0.3">
      <c r="B20" s="44">
        <v>8</v>
      </c>
      <c r="D20" t="s">
        <v>111</v>
      </c>
      <c r="L20" s="21">
        <f>F18-F16</f>
        <v>374446.72780204471</v>
      </c>
      <c r="N20" s="21"/>
    </row>
    <row r="21" spans="2:14" x14ac:dyDescent="0.3">
      <c r="B21" s="44"/>
    </row>
    <row r="22" spans="2:14" ht="16.5" x14ac:dyDescent="0.3">
      <c r="B22" s="44">
        <v>9</v>
      </c>
      <c r="D22" t="s">
        <v>112</v>
      </c>
      <c r="L22" s="53">
        <v>5.7569999999999997</v>
      </c>
    </row>
    <row r="23" spans="2:14" x14ac:dyDescent="0.3">
      <c r="B23" s="44"/>
    </row>
    <row r="24" spans="2:14" x14ac:dyDescent="0.3">
      <c r="B24" s="44">
        <v>10</v>
      </c>
      <c r="D24" t="s">
        <v>113</v>
      </c>
      <c r="L24" s="54">
        <f>L20*L22</f>
        <v>2155689.8119563712</v>
      </c>
    </row>
    <row r="25" spans="2:14" x14ac:dyDescent="0.3">
      <c r="B25" s="44"/>
      <c r="L25" s="55"/>
    </row>
    <row r="26" spans="2:14" ht="16.5" x14ac:dyDescent="0.3">
      <c r="B26" s="44">
        <v>11</v>
      </c>
      <c r="D26" t="s">
        <v>114</v>
      </c>
      <c r="L26" s="56">
        <f>(5624592+5664614)/15089470</f>
        <v>0.74815126044851143</v>
      </c>
    </row>
    <row r="27" spans="2:14" x14ac:dyDescent="0.3">
      <c r="B27" s="44"/>
      <c r="L27" s="57"/>
    </row>
    <row r="28" spans="2:14" x14ac:dyDescent="0.3">
      <c r="B28" s="44">
        <v>12</v>
      </c>
      <c r="D28" t="s">
        <v>115</v>
      </c>
      <c r="L28" s="54">
        <f>L20*L26</f>
        <v>280142.79137592041</v>
      </c>
    </row>
    <row r="29" spans="2:14" x14ac:dyDescent="0.3">
      <c r="B29" s="44"/>
      <c r="L29" s="57"/>
    </row>
    <row r="30" spans="2:14" ht="14.5" thickBot="1" x14ac:dyDescent="0.35">
      <c r="B30" s="44">
        <v>13</v>
      </c>
      <c r="D30" t="s">
        <v>116</v>
      </c>
      <c r="L30" s="58">
        <f>L24-L28</f>
        <v>1875547.0205804508</v>
      </c>
    </row>
    <row r="31" spans="2:14" ht="14.5" thickTop="1" x14ac:dyDescent="0.3">
      <c r="B31" s="59" t="s">
        <v>117</v>
      </c>
    </row>
    <row r="32" spans="2:14" x14ac:dyDescent="0.3">
      <c r="B32" s="60" t="s">
        <v>118</v>
      </c>
      <c r="C32" s="61"/>
      <c r="D32" s="61"/>
      <c r="E32" s="61"/>
      <c r="F32" s="61"/>
      <c r="G32" s="61"/>
      <c r="H32" s="61"/>
    </row>
    <row r="33" spans="2:8" x14ac:dyDescent="0.3">
      <c r="B33" s="118" t="s">
        <v>119</v>
      </c>
      <c r="C33" s="118"/>
      <c r="D33" s="118"/>
      <c r="E33" s="118"/>
      <c r="F33" s="118"/>
      <c r="G33" s="118"/>
      <c r="H33" s="118"/>
    </row>
    <row r="34" spans="2:8" x14ac:dyDescent="0.3">
      <c r="B34" s="60" t="s">
        <v>120</v>
      </c>
      <c r="C34" s="61"/>
      <c r="D34" s="61"/>
      <c r="E34" s="61"/>
      <c r="F34" s="61"/>
      <c r="G34" s="61"/>
      <c r="H34" s="61"/>
    </row>
    <row r="35" spans="2:8" x14ac:dyDescent="0.3">
      <c r="B35" s="60" t="s">
        <v>121</v>
      </c>
      <c r="C35" s="61"/>
      <c r="D35" s="61"/>
      <c r="E35" s="61"/>
      <c r="F35" s="61"/>
      <c r="G35" s="61"/>
      <c r="H35" s="61"/>
    </row>
    <row r="36" spans="2:8" x14ac:dyDescent="0.3">
      <c r="B36" s="60" t="s">
        <v>122</v>
      </c>
    </row>
  </sheetData>
  <mergeCells count="3">
    <mergeCell ref="B2:L2"/>
    <mergeCell ref="B4:L4"/>
    <mergeCell ref="B33:H33"/>
  </mergeCells>
  <printOptions horizontalCentered="1"/>
  <pageMargins left="0.7" right="0.7" top="1" bottom="0.75" header="0.5" footer="0.3"/>
  <pageSetup scale="86" orientation="landscape" r:id="rId1"/>
  <headerFooter>
    <oddHeader>&amp;R&amp;"Arial,Bold"&amp;10OAG Response to Staff Post-Hearing Data Request 1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Revenue Requirement</vt:lpstr>
      <vt:lpstr>Rate Base</vt:lpstr>
      <vt:lpstr>CWC</vt:lpstr>
      <vt:lpstr>ROR</vt:lpstr>
      <vt:lpstr>Income Statement</vt:lpstr>
      <vt:lpstr>Adjustments to Income</vt:lpstr>
      <vt:lpstr>Labor Adj</vt:lpstr>
      <vt:lpstr>Incentive Comp ADJ calc</vt:lpstr>
      <vt:lpstr>Revenues</vt:lpstr>
      <vt:lpstr>Water Loss Expense</vt:lpstr>
      <vt:lpstr>Interest Sync</vt:lpstr>
      <vt:lpstr>'Adjustments to Income'!Print_Area</vt:lpstr>
      <vt:lpstr>CWC!Print_Area</vt:lpstr>
      <vt:lpstr>'Incentive Comp ADJ calc'!Print_Area</vt:lpstr>
      <vt:lpstr>'Income Statement'!Print_Area</vt:lpstr>
      <vt:lpstr>'Interest Sync'!Print_Area</vt:lpstr>
      <vt:lpstr>'Rate Base'!Print_Area</vt:lpstr>
      <vt:lpstr>'Revenue Requirement'!Print_Area</vt:lpstr>
      <vt:lpstr>Revenues!Print_Area</vt:lpstr>
      <vt:lpstr>ROR!Print_Area</vt:lpstr>
      <vt:lpstr>'Water Loss Expense'!Print_Area</vt:lpstr>
    </vt:vector>
  </TitlesOfParts>
  <Company>BAI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Hagemeyer, Jeremy</dc:creator>
  <cp:lastModifiedBy>angela.goad</cp:lastModifiedBy>
  <cp:lastPrinted>2023-12-18T18:19:48Z</cp:lastPrinted>
  <dcterms:created xsi:type="dcterms:W3CDTF">2023-12-14T17:08:42Z</dcterms:created>
  <dcterms:modified xsi:type="dcterms:W3CDTF">2023-12-22T03:42:46Z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{46A358EE-4183-4ABB-A26B-0E994505AFBF}</vt:lpwstr>
  </property>
</Properties>
</file>