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gela.goad\Documents\Water Rate Cases\Kentucky-American Water Company\Case No. 2023-00191\OAG and LFUCG Response to Kentucky-American's Discovery\"/>
    </mc:Choice>
  </mc:AlternateContent>
  <xr:revisionPtr revIDLastSave="0" documentId="8_{A073A199-4A5C-4C81-AA82-BA6BA9F43A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GRM-1" sheetId="2" r:id="rId1"/>
    <sheet name="Table GRM-2" sheetId="10" r:id="rId2"/>
    <sheet name="Table GRM-3" sheetId="6" r:id="rId3"/>
    <sheet name="Table GRM-4" sheetId="7" r:id="rId4"/>
    <sheet name="Table GRM-5" sheetId="8" r:id="rId5"/>
    <sheet name="Table GRM-6" sheetId="4" r:id="rId6"/>
    <sheet name="Table GRM-7" sheetId="13" r:id="rId7"/>
    <sheet name="Table GRM-8" sheetId="12" r:id="rId8"/>
    <sheet name="Table GRM-9" sheetId="11" r:id="rId9"/>
    <sheet name="Exhibit GRM-2" sheetId="5" r:id="rId10"/>
    <sheet name="Payroll Analysis" sheetId="9" r:id="rId11"/>
    <sheet name="Revenues" sheetId="14" r:id="rId12"/>
    <sheet name="Water Loss Expense" sheetId="15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0">'Payroll Analysis'!$A$1:$AL$77</definedName>
    <definedName name="_xlnm.Print_Area" localSheetId="11">Revenues!$A$1:$M$36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5" l="1"/>
  <c r="F16" i="15"/>
  <c r="F18" i="15" s="1"/>
  <c r="F20" i="15" s="1"/>
  <c r="F24" i="15" s="1"/>
  <c r="F14" i="15"/>
  <c r="L26" i="14" l="1"/>
  <c r="H18" i="14"/>
  <c r="J16" i="14"/>
  <c r="J14" i="14"/>
  <c r="J13" i="14"/>
  <c r="J12" i="14"/>
  <c r="J18" i="14" s="1"/>
  <c r="F18" i="14" s="1"/>
  <c r="L20" i="14" s="1"/>
  <c r="J11" i="14"/>
  <c r="J10" i="14"/>
  <c r="L28" i="14" l="1"/>
  <c r="L24" i="14"/>
  <c r="L30" i="14" s="1"/>
  <c r="J15" i="13" l="1"/>
  <c r="J13" i="13"/>
  <c r="J12" i="13"/>
  <c r="J11" i="13"/>
  <c r="J10" i="13"/>
  <c r="J9" i="13"/>
  <c r="F12" i="11" l="1"/>
  <c r="F26" i="10" l="1"/>
  <c r="J25" i="10"/>
  <c r="L25" i="10" s="1"/>
  <c r="J24" i="10"/>
  <c r="L24" i="10" s="1"/>
  <c r="L23" i="10"/>
  <c r="J23" i="10"/>
  <c r="J22" i="10"/>
  <c r="L22" i="10" s="1"/>
  <c r="D15" i="10"/>
  <c r="F13" i="10" s="1"/>
  <c r="J13" i="10" s="1"/>
  <c r="L13" i="10" s="1"/>
  <c r="L26" i="10" l="1"/>
  <c r="H35" i="10" s="1"/>
  <c r="F14" i="10"/>
  <c r="J14" i="10" s="1"/>
  <c r="L14" i="10" s="1"/>
  <c r="F11" i="10"/>
  <c r="F12" i="10"/>
  <c r="J12" i="10" s="1"/>
  <c r="L12" i="10" s="1"/>
  <c r="D26" i="10"/>
  <c r="J26" i="10"/>
  <c r="D23" i="10" l="1"/>
  <c r="D22" i="10"/>
  <c r="D25" i="10"/>
  <c r="F15" i="10"/>
  <c r="J11" i="10"/>
  <c r="J15" i="10" l="1"/>
  <c r="L11" i="10"/>
  <c r="L15" i="10" s="1"/>
  <c r="H34" i="10" s="1"/>
  <c r="H37" i="10" s="1"/>
  <c r="AE46" i="9" l="1"/>
  <c r="AE60" i="9" s="1"/>
  <c r="J46" i="9"/>
  <c r="N44" i="9"/>
  <c r="N56" i="9" s="1"/>
  <c r="F44" i="9"/>
  <c r="AK42" i="9"/>
  <c r="AI42" i="9"/>
  <c r="AG42" i="9"/>
  <c r="AE42" i="9"/>
  <c r="AC42" i="9"/>
  <c r="AA42" i="9"/>
  <c r="R42" i="9"/>
  <c r="P42" i="9"/>
  <c r="N42" i="9"/>
  <c r="L42" i="9"/>
  <c r="J42" i="9"/>
  <c r="H42" i="9"/>
  <c r="AK40" i="9"/>
  <c r="AI40" i="9"/>
  <c r="AG40" i="9"/>
  <c r="AE40" i="9"/>
  <c r="AC40" i="9"/>
  <c r="AA40" i="9"/>
  <c r="R40" i="9"/>
  <c r="P40" i="9"/>
  <c r="N40" i="9"/>
  <c r="L40" i="9"/>
  <c r="J40" i="9"/>
  <c r="H40" i="9"/>
  <c r="L35" i="9"/>
  <c r="AK34" i="9"/>
  <c r="AK35" i="9" s="1"/>
  <c r="AI34" i="9"/>
  <c r="AG34" i="9"/>
  <c r="AE34" i="9"/>
  <c r="AC34" i="9"/>
  <c r="AC35" i="9" s="1"/>
  <c r="AA34" i="9"/>
  <c r="Y34" i="9"/>
  <c r="R34" i="9"/>
  <c r="R46" i="9" s="1"/>
  <c r="P34" i="9"/>
  <c r="P35" i="9" s="1"/>
  <c r="N34" i="9"/>
  <c r="N46" i="9" s="1"/>
  <c r="L34" i="9"/>
  <c r="L46" i="9" s="1"/>
  <c r="J34" i="9"/>
  <c r="J35" i="9" s="1"/>
  <c r="H34" i="9"/>
  <c r="H46" i="9" s="1"/>
  <c r="F34" i="9"/>
  <c r="P33" i="9"/>
  <c r="P36" i="9" s="1"/>
  <c r="AK32" i="9"/>
  <c r="AK44" i="9" s="1"/>
  <c r="AI32" i="9"/>
  <c r="AG32" i="9"/>
  <c r="AG33" i="9" s="1"/>
  <c r="AE32" i="9"/>
  <c r="AC32" i="9"/>
  <c r="AC33" i="9" s="1"/>
  <c r="AA32" i="9"/>
  <c r="Y32" i="9"/>
  <c r="Y36" i="9" s="1"/>
  <c r="R32" i="9"/>
  <c r="P32" i="9"/>
  <c r="N32" i="9"/>
  <c r="L32" i="9"/>
  <c r="L44" i="9" s="1"/>
  <c r="L56" i="9" s="1"/>
  <c r="J32" i="9"/>
  <c r="H32" i="9"/>
  <c r="F32" i="9"/>
  <c r="AK30" i="9"/>
  <c r="AI30" i="9"/>
  <c r="AG30" i="9"/>
  <c r="AE30" i="9"/>
  <c r="AC30" i="9"/>
  <c r="AA30" i="9"/>
  <c r="R30" i="9"/>
  <c r="P30" i="9"/>
  <c r="N30" i="9"/>
  <c r="L30" i="9"/>
  <c r="J30" i="9"/>
  <c r="H30" i="9"/>
  <c r="AK28" i="9"/>
  <c r="AI28" i="9"/>
  <c r="AG28" i="9"/>
  <c r="AE28" i="9"/>
  <c r="AC28" i="9"/>
  <c r="AA28" i="9"/>
  <c r="R28" i="9"/>
  <c r="P28" i="9"/>
  <c r="N28" i="9"/>
  <c r="L28" i="9"/>
  <c r="J28" i="9"/>
  <c r="H28" i="9"/>
  <c r="AK24" i="9"/>
  <c r="AI24" i="9"/>
  <c r="AG24" i="9"/>
  <c r="AE24" i="9"/>
  <c r="AC24" i="9"/>
  <c r="R24" i="9"/>
  <c r="P24" i="9"/>
  <c r="N24" i="9"/>
  <c r="L24" i="9"/>
  <c r="J24" i="9"/>
  <c r="AK22" i="9"/>
  <c r="AI22" i="9"/>
  <c r="AG22" i="9"/>
  <c r="AE22" i="9"/>
  <c r="AC22" i="9"/>
  <c r="AA22" i="9"/>
  <c r="R22" i="9"/>
  <c r="P22" i="9"/>
  <c r="N22" i="9"/>
  <c r="L22" i="9"/>
  <c r="J22" i="9"/>
  <c r="H22" i="9"/>
  <c r="AK18" i="9"/>
  <c r="AI18" i="9"/>
  <c r="AG18" i="9"/>
  <c r="AE18" i="9"/>
  <c r="AC18" i="9"/>
  <c r="AA18" i="9"/>
  <c r="R18" i="9"/>
  <c r="P18" i="9"/>
  <c r="N18" i="9"/>
  <c r="L18" i="9"/>
  <c r="J18" i="9"/>
  <c r="H18" i="9"/>
  <c r="AK16" i="9"/>
  <c r="AI16" i="9"/>
  <c r="AG16" i="9"/>
  <c r="AE16" i="9"/>
  <c r="AC16" i="9"/>
  <c r="AA16" i="9"/>
  <c r="R16" i="9"/>
  <c r="P16" i="9"/>
  <c r="N16" i="9"/>
  <c r="L16" i="9"/>
  <c r="J16" i="9"/>
  <c r="H16" i="9"/>
  <c r="AK12" i="9"/>
  <c r="AI12" i="9"/>
  <c r="AG12" i="9"/>
  <c r="AE12" i="9"/>
  <c r="AC12" i="9"/>
  <c r="AA12" i="9"/>
  <c r="R12" i="9"/>
  <c r="P12" i="9"/>
  <c r="N12" i="9"/>
  <c r="L12" i="9"/>
  <c r="J12" i="9"/>
  <c r="H12" i="9"/>
  <c r="AK10" i="9"/>
  <c r="AI10" i="9"/>
  <c r="AG10" i="9"/>
  <c r="AE10" i="9"/>
  <c r="AC10" i="9"/>
  <c r="AA10" i="9"/>
  <c r="R10" i="9"/>
  <c r="P10" i="9"/>
  <c r="N10" i="9"/>
  <c r="L10" i="9"/>
  <c r="J10" i="9"/>
  <c r="H10" i="9"/>
  <c r="F16" i="8"/>
  <c r="F18" i="8" s="1"/>
  <c r="F12" i="8"/>
  <c r="G23" i="6"/>
  <c r="G21" i="6"/>
  <c r="N36" i="9" l="1"/>
  <c r="N51" i="9" s="1"/>
  <c r="N53" i="9" s="1"/>
  <c r="AI33" i="9"/>
  <c r="AI36" i="9" s="1"/>
  <c r="AG44" i="9"/>
  <c r="AG56" i="9" s="1"/>
  <c r="AI44" i="9"/>
  <c r="AI45" i="9" s="1"/>
  <c r="AI48" i="9" s="1"/>
  <c r="N33" i="9"/>
  <c r="J47" i="9"/>
  <c r="AA35" i="9"/>
  <c r="R35" i="9"/>
  <c r="AC46" i="9"/>
  <c r="AC60" i="9" s="1"/>
  <c r="AE33" i="9"/>
  <c r="J59" i="9"/>
  <c r="AE35" i="9"/>
  <c r="AK46" i="9"/>
  <c r="AK59" i="9" s="1"/>
  <c r="N60" i="9"/>
  <c r="N47" i="9"/>
  <c r="F48" i="9"/>
  <c r="F52" i="9" s="1"/>
  <c r="L47" i="9"/>
  <c r="L60" i="9"/>
  <c r="R60" i="9"/>
  <c r="R59" i="9"/>
  <c r="AK56" i="9"/>
  <c r="J61" i="9"/>
  <c r="H59" i="9"/>
  <c r="H33" i="9"/>
  <c r="H36" i="9" s="1"/>
  <c r="AI35" i="9"/>
  <c r="AE36" i="9"/>
  <c r="AA44" i="9"/>
  <c r="AA55" i="9" s="1"/>
  <c r="AC36" i="9"/>
  <c r="Y44" i="9"/>
  <c r="J33" i="9"/>
  <c r="J36" i="9" s="1"/>
  <c r="AG36" i="9"/>
  <c r="AC44" i="9"/>
  <c r="AC55" i="9" s="1"/>
  <c r="Y46" i="9"/>
  <c r="Y60" i="9" s="1"/>
  <c r="L59" i="9"/>
  <c r="L61" i="9" s="1"/>
  <c r="H60" i="9"/>
  <c r="AK60" i="9"/>
  <c r="AK33" i="9"/>
  <c r="AG35" i="9"/>
  <c r="P46" i="9"/>
  <c r="P59" i="9" s="1"/>
  <c r="Y55" i="9"/>
  <c r="L33" i="9"/>
  <c r="L36" i="9" s="1"/>
  <c r="H35" i="9"/>
  <c r="F36" i="9"/>
  <c r="AE44" i="9"/>
  <c r="AE55" i="9" s="1"/>
  <c r="AA46" i="9"/>
  <c r="N59" i="9"/>
  <c r="N61" i="9" s="1"/>
  <c r="J60" i="9"/>
  <c r="AK36" i="9"/>
  <c r="AG45" i="9"/>
  <c r="AG48" i="9" s="1"/>
  <c r="AG52" i="9" s="1"/>
  <c r="AG55" i="9"/>
  <c r="AG57" i="9" s="1"/>
  <c r="F55" i="9"/>
  <c r="AI55" i="9"/>
  <c r="H44" i="9"/>
  <c r="AK55" i="9"/>
  <c r="AK57" i="9" s="1"/>
  <c r="R33" i="9"/>
  <c r="R36" i="9" s="1"/>
  <c r="N35" i="9"/>
  <c r="AG46" i="9"/>
  <c r="AA33" i="9"/>
  <c r="AA36" i="9" s="1"/>
  <c r="J44" i="9"/>
  <c r="J55" i="9" s="1"/>
  <c r="F46" i="9"/>
  <c r="F60" i="9" s="1"/>
  <c r="AI46" i="9"/>
  <c r="F56" i="9"/>
  <c r="AI56" i="9"/>
  <c r="AA59" i="9"/>
  <c r="L55" i="9"/>
  <c r="L57" i="9" s="1"/>
  <c r="N55" i="9"/>
  <c r="N57" i="9" s="1"/>
  <c r="AE59" i="9"/>
  <c r="AE61" i="9" s="1"/>
  <c r="P44" i="9"/>
  <c r="N45" i="9"/>
  <c r="N48" i="9" s="1"/>
  <c r="N52" i="9" s="1"/>
  <c r="R44" i="9"/>
  <c r="R55" i="9" s="1"/>
  <c r="F22" i="8"/>
  <c r="F24" i="8" s="1"/>
  <c r="AK45" i="9" l="1"/>
  <c r="AK48" i="9" s="1"/>
  <c r="AK52" i="9" s="1"/>
  <c r="AI57" i="9"/>
  <c r="R61" i="9"/>
  <c r="AC59" i="9"/>
  <c r="AC61" i="9" s="1"/>
  <c r="AE47" i="9"/>
  <c r="F51" i="9"/>
  <c r="AI52" i="9"/>
  <c r="AI51" i="9"/>
  <c r="AI53" i="9" s="1"/>
  <c r="AA57" i="9"/>
  <c r="H56" i="9"/>
  <c r="H45" i="9"/>
  <c r="H48" i="9" s="1"/>
  <c r="AA56" i="9"/>
  <c r="AA45" i="9"/>
  <c r="AA48" i="9" s="1"/>
  <c r="F57" i="9"/>
  <c r="AA60" i="9"/>
  <c r="AA61" i="9" s="1"/>
  <c r="AA47" i="9"/>
  <c r="H47" i="9"/>
  <c r="AG47" i="9"/>
  <c r="AG60" i="9"/>
  <c r="AE48" i="9"/>
  <c r="AE52" i="9" s="1"/>
  <c r="AE56" i="9"/>
  <c r="AE57" i="9" s="1"/>
  <c r="AE45" i="9"/>
  <c r="Y59" i="9"/>
  <c r="Y61" i="9" s="1"/>
  <c r="R48" i="9"/>
  <c r="R52" i="9" s="1"/>
  <c r="R56" i="9"/>
  <c r="R57" i="9" s="1"/>
  <c r="R45" i="9"/>
  <c r="AC56" i="9"/>
  <c r="AC57" i="9" s="1"/>
  <c r="AC45" i="9"/>
  <c r="AC48" i="9" s="1"/>
  <c r="H61" i="9"/>
  <c r="AI47" i="9"/>
  <c r="AI60" i="9"/>
  <c r="F53" i="9"/>
  <c r="P45" i="9"/>
  <c r="P56" i="9"/>
  <c r="P48" i="9"/>
  <c r="J56" i="9"/>
  <c r="J57" i="9" s="1"/>
  <c r="J45" i="9"/>
  <c r="J48" i="9" s="1"/>
  <c r="AG51" i="9"/>
  <c r="AG53" i="9" s="1"/>
  <c r="AI59" i="9"/>
  <c r="L45" i="9"/>
  <c r="L48" i="9" s="1"/>
  <c r="L52" i="9" s="1"/>
  <c r="AC47" i="9"/>
  <c r="AK61" i="9"/>
  <c r="F59" i="9"/>
  <c r="F61" i="9" s="1"/>
  <c r="H55" i="9"/>
  <c r="H57" i="9" s="1"/>
  <c r="AK47" i="9"/>
  <c r="Y57" i="9"/>
  <c r="AK51" i="9"/>
  <c r="P60" i="9"/>
  <c r="P61" i="9" s="1"/>
  <c r="P47" i="9"/>
  <c r="Y48" i="9"/>
  <c r="Y56" i="9"/>
  <c r="AG59" i="9"/>
  <c r="R47" i="9"/>
  <c r="P55" i="9"/>
  <c r="P57" i="9" s="1"/>
  <c r="L51" i="9" l="1"/>
  <c r="L53" i="9" s="1"/>
  <c r="AK53" i="9"/>
  <c r="AA52" i="9"/>
  <c r="AA51" i="9"/>
  <c r="AA53" i="9" s="1"/>
  <c r="AC52" i="9"/>
  <c r="AA68" i="9" s="1"/>
  <c r="AA72" i="9" s="1"/>
  <c r="AA76" i="9" s="1"/>
  <c r="AC51" i="9"/>
  <c r="J52" i="9"/>
  <c r="H68" i="9" s="1"/>
  <c r="H72" i="9" s="1"/>
  <c r="H76" i="9" s="1"/>
  <c r="J51" i="9"/>
  <c r="H52" i="9"/>
  <c r="F68" i="9" s="1"/>
  <c r="F72" i="9" s="1"/>
  <c r="F76" i="9" s="1"/>
  <c r="H51" i="9"/>
  <c r="P52" i="9"/>
  <c r="P51" i="9"/>
  <c r="P53" i="9" s="1"/>
  <c r="AE51" i="9"/>
  <c r="AE53" i="9" s="1"/>
  <c r="R51" i="9"/>
  <c r="R53" i="9" s="1"/>
  <c r="AG61" i="9"/>
  <c r="Y52" i="9"/>
  <c r="Y68" i="9" s="1"/>
  <c r="Y72" i="9" s="1"/>
  <c r="Y76" i="9" s="1"/>
  <c r="Y51" i="9"/>
  <c r="AI61" i="9"/>
  <c r="H53" i="9" l="1"/>
  <c r="F67" i="9"/>
  <c r="H67" i="9"/>
  <c r="J53" i="9"/>
  <c r="AA67" i="9"/>
  <c r="AC53" i="9"/>
  <c r="Y53" i="9"/>
  <c r="Y67" i="9"/>
  <c r="Y71" i="9" l="1"/>
  <c r="Y69" i="9"/>
  <c r="AA71" i="9"/>
  <c r="AA69" i="9"/>
  <c r="H71" i="9"/>
  <c r="H69" i="9"/>
  <c r="F71" i="9"/>
  <c r="F69" i="9"/>
  <c r="Y75" i="9" l="1"/>
  <c r="Y73" i="9"/>
  <c r="F75" i="9"/>
  <c r="F73" i="9"/>
  <c r="H75" i="9"/>
  <c r="H73" i="9"/>
  <c r="AA75" i="9"/>
  <c r="AA73" i="9"/>
  <c r="H46" i="5" l="1"/>
  <c r="J46" i="5" s="1"/>
  <c r="L46" i="5" s="1"/>
  <c r="N46" i="5" s="1"/>
  <c r="J45" i="5"/>
  <c r="L45" i="5" s="1"/>
  <c r="N45" i="5" s="1"/>
  <c r="J44" i="5"/>
  <c r="L44" i="5" s="1"/>
  <c r="N44" i="5" s="1"/>
  <c r="J43" i="5"/>
  <c r="L43" i="5" s="1"/>
  <c r="N43" i="5" s="1"/>
  <c r="H42" i="5"/>
  <c r="J42" i="5" s="1"/>
  <c r="L42" i="5" s="1"/>
  <c r="N42" i="5" s="1"/>
  <c r="J41" i="5"/>
  <c r="L41" i="5" s="1"/>
  <c r="N41" i="5" s="1"/>
  <c r="J40" i="5"/>
  <c r="L40" i="5" s="1"/>
  <c r="N40" i="5" s="1"/>
  <c r="J39" i="5"/>
  <c r="L39" i="5" s="1"/>
  <c r="N39" i="5" s="1"/>
  <c r="J38" i="5"/>
  <c r="L38" i="5" s="1"/>
  <c r="N38" i="5" s="1"/>
  <c r="J37" i="5"/>
  <c r="L37" i="5" s="1"/>
  <c r="N37" i="5" s="1"/>
  <c r="H36" i="5"/>
  <c r="J36" i="5" s="1"/>
  <c r="L36" i="5" s="1"/>
  <c r="N36" i="5" s="1"/>
  <c r="D34" i="5"/>
  <c r="D47" i="5" s="1"/>
  <c r="J33" i="5"/>
  <c r="L33" i="5" s="1"/>
  <c r="N33" i="5" s="1"/>
  <c r="J32" i="5"/>
  <c r="L32" i="5" s="1"/>
  <c r="N32" i="5" s="1"/>
  <c r="J31" i="5"/>
  <c r="L31" i="5" s="1"/>
  <c r="N31" i="5" s="1"/>
  <c r="J30" i="5"/>
  <c r="L30" i="5" s="1"/>
  <c r="N30" i="5" s="1"/>
  <c r="J29" i="5"/>
  <c r="L29" i="5" s="1"/>
  <c r="N29" i="5" s="1"/>
  <c r="J28" i="5"/>
  <c r="L28" i="5" s="1"/>
  <c r="N28" i="5" s="1"/>
  <c r="J27" i="5"/>
  <c r="L27" i="5" s="1"/>
  <c r="N27" i="5" s="1"/>
  <c r="J26" i="5"/>
  <c r="L26" i="5" s="1"/>
  <c r="N26" i="5" s="1"/>
  <c r="H25" i="5"/>
  <c r="J25" i="5" s="1"/>
  <c r="L25" i="5" s="1"/>
  <c r="N25" i="5" s="1"/>
  <c r="H24" i="5"/>
  <c r="J24" i="5" s="1"/>
  <c r="L24" i="5" s="1"/>
  <c r="N24" i="5" s="1"/>
  <c r="J23" i="5"/>
  <c r="L23" i="5" s="1"/>
  <c r="N23" i="5" s="1"/>
  <c r="J22" i="5"/>
  <c r="L22" i="5" s="1"/>
  <c r="N22" i="5" s="1"/>
  <c r="L21" i="5"/>
  <c r="N21" i="5" s="1"/>
  <c r="J21" i="5"/>
  <c r="J20" i="5"/>
  <c r="L20" i="5" s="1"/>
  <c r="N20" i="5" s="1"/>
  <c r="J19" i="5"/>
  <c r="L19" i="5" s="1"/>
  <c r="N19" i="5" s="1"/>
  <c r="J18" i="5"/>
  <c r="L18" i="5" s="1"/>
  <c r="N18" i="5" s="1"/>
  <c r="L17" i="5"/>
  <c r="N17" i="5" s="1"/>
  <c r="J17" i="5"/>
  <c r="J16" i="5"/>
  <c r="L16" i="5" s="1"/>
  <c r="N16" i="5" s="1"/>
  <c r="J15" i="5"/>
  <c r="L15" i="5" s="1"/>
  <c r="N15" i="5" s="1"/>
  <c r="H14" i="5"/>
  <c r="J14" i="5" s="1"/>
  <c r="L14" i="5" s="1"/>
  <c r="N14" i="5" s="1"/>
  <c r="J13" i="5"/>
  <c r="L13" i="5" s="1"/>
  <c r="N13" i="5" s="1"/>
  <c r="J12" i="5"/>
  <c r="L12" i="5" s="1"/>
  <c r="N12" i="5" s="1"/>
  <c r="J11" i="5"/>
  <c r="L11" i="5" s="1"/>
  <c r="N11" i="5" s="1"/>
  <c r="J10" i="5"/>
  <c r="L10" i="5" s="1"/>
  <c r="N10" i="5" s="1"/>
  <c r="J9" i="5"/>
  <c r="L9" i="5" s="1"/>
  <c r="N9" i="5" s="1"/>
  <c r="N34" i="5" l="1"/>
  <c r="N47" i="5" s="1"/>
  <c r="I29" i="2" l="1"/>
  <c r="I31" i="2" s="1"/>
</calcChain>
</file>

<file path=xl/sharedStrings.xml><?xml version="1.0" encoding="utf-8"?>
<sst xmlns="http://schemas.openxmlformats.org/spreadsheetml/2006/main" count="369" uniqueCount="239">
  <si>
    <t>Table GRM-1</t>
  </si>
  <si>
    <r>
      <rPr>
        <b/>
        <u/>
        <sz val="11"/>
        <color theme="1"/>
        <rFont val="Times New Roman"/>
        <family val="1"/>
      </rPr>
      <t>KAWC Revenue Requirement Adjustments and Deficiency</t>
    </r>
    <r>
      <rPr>
        <b/>
        <sz val="11"/>
        <color theme="1"/>
        <rFont val="Times New Roman"/>
        <family val="1"/>
      </rPr>
      <t xml:space="preserve">
($000's)</t>
    </r>
  </si>
  <si>
    <t>Line</t>
  </si>
  <si>
    <t>Issue</t>
  </si>
  <si>
    <t>Witness</t>
  </si>
  <si>
    <t>Labor Costs</t>
  </si>
  <si>
    <t>KAWC Claimed Revenue Deficiency</t>
  </si>
  <si>
    <t>Rate of Return</t>
  </si>
  <si>
    <t>Baudino</t>
  </si>
  <si>
    <t>Labor Adjustment</t>
  </si>
  <si>
    <t>Meyer</t>
  </si>
  <si>
    <t>Incentive Compensation Adjustment</t>
  </si>
  <si>
    <t>Non-Labor Employee Costs Adjustment</t>
  </si>
  <si>
    <t>TBD</t>
  </si>
  <si>
    <t>Credit Card Fees Adjustment</t>
  </si>
  <si>
    <t>Revenue Adjustment</t>
  </si>
  <si>
    <t>Water Losses Adjustment</t>
  </si>
  <si>
    <t>Misc. Expense Adjustment</t>
  </si>
  <si>
    <t>Cash Working Capital Adjustment</t>
  </si>
  <si>
    <t>Total Adjustments</t>
  </si>
  <si>
    <t>OAG/LFUCG Proposed Revenue Deficiency</t>
  </si>
  <si>
    <t>Average Number of Customers</t>
  </si>
  <si>
    <t>Year</t>
  </si>
  <si>
    <t>Proposed Test Year</t>
  </si>
  <si>
    <t>________________</t>
  </si>
  <si>
    <t>Sources:</t>
  </si>
  <si>
    <t>Lines 1-5: KAWC Exhibit 37, Schedule I-4</t>
  </si>
  <si>
    <t>Line 6: KAWC Exhibit 37, Schedule M-3. Calculated by dividing the sum of Customer Meter Billings ÷ 12</t>
  </si>
  <si>
    <t>Table GRM-3</t>
  </si>
  <si>
    <t>Table GRM-6</t>
  </si>
  <si>
    <t>Kentucky-American Water Company</t>
  </si>
  <si>
    <t>Description</t>
  </si>
  <si>
    <t>Amount</t>
  </si>
  <si>
    <t>Revenue Lag</t>
  </si>
  <si>
    <t>Expense Lag</t>
  </si>
  <si>
    <t>Net Lag</t>
  </si>
  <si>
    <t>CWC Factor</t>
  </si>
  <si>
    <t>CWC Requirement</t>
  </si>
  <si>
    <t>(1)</t>
  </si>
  <si>
    <t>(2)</t>
  </si>
  <si>
    <t>(3)</t>
  </si>
  <si>
    <t>(4)</t>
  </si>
  <si>
    <t>(5) = (3) - (4)</t>
  </si>
  <si>
    <t>(6) = (5) / 366</t>
  </si>
  <si>
    <t>(7) = (1) * (6)</t>
  </si>
  <si>
    <t>Salaries &amp; Wages</t>
  </si>
  <si>
    <t>Fuel, Power and Electric</t>
  </si>
  <si>
    <t>Chemicals</t>
  </si>
  <si>
    <t>Purchased Water</t>
  </si>
  <si>
    <t>Waste Disposal</t>
  </si>
  <si>
    <t>Service Company Charges</t>
  </si>
  <si>
    <t>Contracted Services</t>
  </si>
  <si>
    <t>Group Insurance</t>
  </si>
  <si>
    <t>Opeb</t>
  </si>
  <si>
    <t>Other Benefits</t>
  </si>
  <si>
    <t>Pensions</t>
  </si>
  <si>
    <t>Insurance Other than Group</t>
  </si>
  <si>
    <t>Rents</t>
  </si>
  <si>
    <t>Regulatory Expense</t>
  </si>
  <si>
    <t>Maintenance Service &amp; Supplies</t>
  </si>
  <si>
    <t>Amortization</t>
  </si>
  <si>
    <t>Uncollectibles</t>
  </si>
  <si>
    <t>Office Supplies &amp; Services</t>
  </si>
  <si>
    <t>Employee Related Exp, Travel &amp; Ent</t>
  </si>
  <si>
    <t>Building Maintenance &amp; Services</t>
  </si>
  <si>
    <t>Postage Printing &amp; Stationary</t>
  </si>
  <si>
    <t>Telecommunication</t>
  </si>
  <si>
    <t>Miscellaneous Expense</t>
  </si>
  <si>
    <t>Transportation</t>
  </si>
  <si>
    <t>Other Customer Accounting</t>
  </si>
  <si>
    <t>Total O &amp; M Expenses</t>
  </si>
  <si>
    <t>Depreciation and Amortization</t>
  </si>
  <si>
    <t>Property Taxes</t>
  </si>
  <si>
    <t>Utility Tax</t>
  </si>
  <si>
    <t>Payroll Taxes</t>
  </si>
  <si>
    <t>Income Taxes - Current - SIT</t>
  </si>
  <si>
    <t>Income Taxes - Current - FIT</t>
  </si>
  <si>
    <t>Deferred Income Taxes</t>
  </si>
  <si>
    <t>Interest Expense - Long - Term Debt</t>
  </si>
  <si>
    <t>Interest Expense - Short - Term Debt</t>
  </si>
  <si>
    <t>Preferred Dividends</t>
  </si>
  <si>
    <t>Net Income</t>
  </si>
  <si>
    <t>Net Operating Funds</t>
  </si>
  <si>
    <t>Historic Levels of Total Labor Costs</t>
  </si>
  <si>
    <t>Proposed Base Year</t>
  </si>
  <si>
    <t>Proposed Test Year Net of Vacancies</t>
  </si>
  <si>
    <t>KAW_APP_EX37G_063023 Page 3.</t>
  </si>
  <si>
    <t>Vacancies: KAWC response to OAG Data Request 2-10</t>
  </si>
  <si>
    <t>Historic Percentages of Capitalized/Expense Payroll Costs</t>
  </si>
  <si>
    <t>Percent Capitalized</t>
  </si>
  <si>
    <t>Percent Expensed</t>
  </si>
  <si>
    <t>Source:</t>
  </si>
  <si>
    <t>KAWC Exhibit 37, Schedule G</t>
  </si>
  <si>
    <t>Payroll Adjustment Summary</t>
  </si>
  <si>
    <t>Total Test Year Payroll Costs</t>
  </si>
  <si>
    <t>Company Proposed Payroll Expense Portion ($)</t>
  </si>
  <si>
    <t>Company Proposed Payroll Expense Portion (%) [Line 2 ÷ Line 1]</t>
  </si>
  <si>
    <t>OAG/LFUCG Proposed Payroll Expense Portion (%)</t>
  </si>
  <si>
    <t>OAG/LFUCG Proposed Payroll Expense Portion ($) [ Line 1 x Line 4]</t>
  </si>
  <si>
    <t>OAG/LFUCG Proposed Payroll Expense Adjustment for O&amp;M % [Line 5 - Line 2]</t>
  </si>
  <si>
    <t>Vacancy Cost to Be Removed - before application of O&amp;M percentage</t>
  </si>
  <si>
    <t>OAG/LFUCG Expense Portion of Vacancy Labor Costs Adjustment [Line 7 x Line 4]</t>
  </si>
  <si>
    <t>Total OAG/LFUCG Labor Cost Adjustment [Line 6 + Line 8]</t>
  </si>
  <si>
    <t>TABLE GRM-5</t>
  </si>
  <si>
    <t>Table GRM-4</t>
  </si>
  <si>
    <t>Functionalized Growth in Labor Hours</t>
  </si>
  <si>
    <t>Functionalized Growth in Labor Dollars</t>
  </si>
  <si>
    <t>Production</t>
  </si>
  <si>
    <t xml:space="preserve">    Straight-Time Hours</t>
  </si>
  <si>
    <t xml:space="preserve">    Straight-Time Dollars</t>
  </si>
  <si>
    <t xml:space="preserve">         Percent Increase</t>
  </si>
  <si>
    <t xml:space="preserve">    Overtime Hours</t>
  </si>
  <si>
    <t xml:space="preserve">    Overtime Dollars</t>
  </si>
  <si>
    <t>Distribution</t>
  </si>
  <si>
    <t>Commercial</t>
  </si>
  <si>
    <t>Administrative and General</t>
  </si>
  <si>
    <t>Total Straight Time Hours Before Construction and Other</t>
  </si>
  <si>
    <t>Total Straight Time Dollars Before Construction and Other</t>
  </si>
  <si>
    <t xml:space="preserve">    Percent Increase</t>
  </si>
  <si>
    <t>Total Overtime Hours Before Construction and Other</t>
  </si>
  <si>
    <t>Total Overtime Dollars Before Construction and Other</t>
  </si>
  <si>
    <t>Total Labor Hours Before Contruction and Other</t>
  </si>
  <si>
    <t>Total Labor Dollars Before Construction and Other</t>
  </si>
  <si>
    <t>Construction and Other</t>
  </si>
  <si>
    <t>Total Straight Time Hours</t>
  </si>
  <si>
    <t>Total Straight Time Dollars</t>
  </si>
  <si>
    <t>Total Overtime Hours</t>
  </si>
  <si>
    <t>Total Overtime Dollars</t>
  </si>
  <si>
    <t>Total Labor Hours</t>
  </si>
  <si>
    <t>Total Labor Dollars</t>
  </si>
  <si>
    <t>Total Labor Hours Before Contruction and Other Percent of Total</t>
  </si>
  <si>
    <t>Total Labor Dollars Before Contruction and Other Percent of Total</t>
  </si>
  <si>
    <t>Construction and Other Percent of Total</t>
  </si>
  <si>
    <t>Total Straight Time Hours Before Construction and Other Percent of Total</t>
  </si>
  <si>
    <t>Total Straight Time Dollars Before Construction and Other Percent of Total</t>
  </si>
  <si>
    <t>Construction and Other Straight Time Percent of Total</t>
  </si>
  <si>
    <t>Total Labor Hours Straightime Percent of Total</t>
  </si>
  <si>
    <t>Total Overtime Hours Before Construction and Other Percent of Total</t>
  </si>
  <si>
    <t>Total Overtime Dollars Before Construction and Other Percent of Total</t>
  </si>
  <si>
    <t>Construction and Other Overtime Percent of Total</t>
  </si>
  <si>
    <t>Total Labor Hours Overtime Percent of Total</t>
  </si>
  <si>
    <t>Total Labor Dollars Overtime</t>
  </si>
  <si>
    <t xml:space="preserve">5 Year </t>
  </si>
  <si>
    <t>3 Year</t>
  </si>
  <si>
    <t>5 Year</t>
  </si>
  <si>
    <t>Average Before Labor O&amp;M Percent of Total</t>
  </si>
  <si>
    <t>Average Construction and Other Percent of Total</t>
  </si>
  <si>
    <t>Propoed Labor O&amp;M Expense</t>
  </si>
  <si>
    <t>Proposed Capitalized Expense</t>
  </si>
  <si>
    <t>Total Proposed Labor Hours</t>
  </si>
  <si>
    <t>Adjustment to Labor O&amp;M Expense</t>
  </si>
  <si>
    <t>Adjustment to Capitalized Expense</t>
  </si>
  <si>
    <t>TABLE GRM-2</t>
  </si>
  <si>
    <t>Cost of Capital - As Filed and As Recommended by Richard A. Baudino</t>
  </si>
  <si>
    <t>Company Proposed Cost of Capital (KAWC Exhibit 37, Schedule J-1)</t>
  </si>
  <si>
    <t>Capital Amount</t>
  </si>
  <si>
    <t>Capital Ratio</t>
  </si>
  <si>
    <t>Component Costs</t>
  </si>
  <si>
    <t>Wtd. Average Costs</t>
  </si>
  <si>
    <t>Pre-Tax Wtd Avg. Cost of Capital</t>
  </si>
  <si>
    <t>Short-Term Debt</t>
  </si>
  <si>
    <t>Long-Term Debt</t>
  </si>
  <si>
    <t>Preferred Stock</t>
  </si>
  <si>
    <t>Common Equity</t>
  </si>
  <si>
    <t>Total Capital</t>
  </si>
  <si>
    <t>Richard A. Baudino Proposed Cost of Capital</t>
  </si>
  <si>
    <t xml:space="preserve">                                     </t>
  </si>
  <si>
    <t>Note: Pre-Tax Wtd. Average Cost of Capital calculated using KAWC's Gross Revenue Conversion Factor of 1.342559. See KAWC Exhibit 37A, page 2 of 2, line 32.</t>
  </si>
  <si>
    <t>Company Proposed Rate Base</t>
  </si>
  <si>
    <t>Application Exhibit 37A Page 2 of 2</t>
  </si>
  <si>
    <t>Company Required Return @ Pre-tax ROR</t>
  </si>
  <si>
    <t>Return Using Mr. Baudino's recommendation @ Pre-tax ROR</t>
  </si>
  <si>
    <t>Value of Mr. Baudino's recommendation</t>
  </si>
  <si>
    <t>OAG/LFUCG Proposed CWC Requirement</t>
  </si>
  <si>
    <t>Miscellaneous Expense Reduction Breakdown</t>
  </si>
  <si>
    <t>Expense Description</t>
  </si>
  <si>
    <t>Food - not justified with specificity</t>
  </si>
  <si>
    <t>Gifts/Promotional items</t>
  </si>
  <si>
    <t>Dues for Covered Activities</t>
  </si>
  <si>
    <t>Shared Services Business Development - not justified with specificity</t>
  </si>
  <si>
    <t>Total Proposed Miscellaneous Expense Disallowance</t>
  </si>
  <si>
    <t>TABLE GRM-9</t>
  </si>
  <si>
    <t xml:space="preserve">Recreation of Mr. Lewis' Table Detailing Historical </t>
  </si>
  <si>
    <t>Non-Revenue Water (NRW) and Unaccounted-For Water (UFW)</t>
  </si>
  <si>
    <t>NRW</t>
  </si>
  <si>
    <t>UFW</t>
  </si>
  <si>
    <t xml:space="preserve">                       </t>
  </si>
  <si>
    <t>See pages 36 and 37 of Mr. Lewis' Direct Testimony</t>
  </si>
  <si>
    <t>TABLE GRM-8</t>
  </si>
  <si>
    <t>Usage Per Customer</t>
  </si>
  <si>
    <t>Usage</t>
  </si>
  <si>
    <t>Avg. Customers</t>
  </si>
  <si>
    <t>Usage/
Customer</t>
  </si>
  <si>
    <t>(000 Gal)</t>
  </si>
  <si>
    <r>
      <t xml:space="preserve">2018 </t>
    </r>
    <r>
      <rPr>
        <vertAlign val="superscript"/>
        <sz val="11"/>
        <color theme="1"/>
        <rFont val="Times New Roman"/>
        <family val="1"/>
      </rPr>
      <t>1</t>
    </r>
  </si>
  <si>
    <r>
      <t xml:space="preserve">2019 </t>
    </r>
    <r>
      <rPr>
        <vertAlign val="superscript"/>
        <sz val="11"/>
        <color theme="1"/>
        <rFont val="Times New Roman"/>
        <family val="1"/>
      </rPr>
      <t>1</t>
    </r>
  </si>
  <si>
    <r>
      <t xml:space="preserve">2020 </t>
    </r>
    <r>
      <rPr>
        <vertAlign val="superscript"/>
        <sz val="11"/>
        <color theme="1"/>
        <rFont val="Times New Roman"/>
        <family val="1"/>
      </rPr>
      <t>1</t>
    </r>
  </si>
  <si>
    <r>
      <t xml:space="preserve">2021 </t>
    </r>
    <r>
      <rPr>
        <vertAlign val="superscript"/>
        <sz val="11"/>
        <color theme="1"/>
        <rFont val="Times New Roman"/>
        <family val="1"/>
      </rPr>
      <t>1</t>
    </r>
  </si>
  <si>
    <r>
      <t xml:space="preserve">2022 </t>
    </r>
    <r>
      <rPr>
        <vertAlign val="superscript"/>
        <sz val="11"/>
        <color theme="1"/>
        <rFont val="Times New Roman"/>
        <family val="1"/>
      </rPr>
      <t>1</t>
    </r>
  </si>
  <si>
    <r>
      <t xml:space="preserve">Company Test Year 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</si>
  <si>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KAWC Exhibit 37, Schedule I-4.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</si>
  <si>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KAWC Exhibit 37, Schedule M-3.  Avg. Customers calculated by dividing the sum of Customer Meter Billings ÷ 12.</t>
    </r>
  </si>
  <si>
    <t>TABLE GRM-7</t>
  </si>
  <si>
    <t>Residential Revenue Adjustment</t>
  </si>
  <si>
    <t>Usage/Customer</t>
  </si>
  <si>
    <t>Revenue Adjustment Calculation</t>
  </si>
  <si>
    <r>
      <t xml:space="preserve">2018 </t>
    </r>
    <r>
      <rPr>
        <vertAlign val="superscript"/>
        <sz val="11"/>
        <color theme="1"/>
        <rFont val="Arial"/>
        <family val="2"/>
      </rPr>
      <t>1</t>
    </r>
  </si>
  <si>
    <r>
      <t xml:space="preserve">2019 </t>
    </r>
    <r>
      <rPr>
        <vertAlign val="superscript"/>
        <sz val="11"/>
        <color theme="1"/>
        <rFont val="Arial"/>
        <family val="2"/>
      </rPr>
      <t>1</t>
    </r>
  </si>
  <si>
    <r>
      <t xml:space="preserve">2020 </t>
    </r>
    <r>
      <rPr>
        <vertAlign val="superscript"/>
        <sz val="11"/>
        <color theme="1"/>
        <rFont val="Arial"/>
        <family val="2"/>
      </rPr>
      <t>1</t>
    </r>
  </si>
  <si>
    <r>
      <t xml:space="preserve">2021 </t>
    </r>
    <r>
      <rPr>
        <vertAlign val="superscript"/>
        <sz val="11"/>
        <color theme="1"/>
        <rFont val="Arial"/>
        <family val="2"/>
      </rPr>
      <t>1</t>
    </r>
  </si>
  <si>
    <r>
      <t xml:space="preserve">2022 </t>
    </r>
    <r>
      <rPr>
        <vertAlign val="superscript"/>
        <sz val="11"/>
        <color theme="1"/>
        <rFont val="Arial"/>
        <family val="2"/>
      </rPr>
      <t>1</t>
    </r>
  </si>
  <si>
    <r>
      <t xml:space="preserve">Company Test Year </t>
    </r>
    <r>
      <rPr>
        <vertAlign val="superscript"/>
        <sz val="11"/>
        <color theme="1"/>
        <rFont val="Arial"/>
        <family val="2"/>
      </rPr>
      <t>2</t>
    </r>
  </si>
  <si>
    <t>3 Year Avg. Usage/Customer x Company Proposed Customers</t>
  </si>
  <si>
    <t>Incremental Usage Adjustment (000 Gal) [Line 7 Usage - Line 6 Usage]</t>
  </si>
  <si>
    <r>
      <t>Current Residential Charge per 1,000 Gallons</t>
    </r>
    <r>
      <rPr>
        <vertAlign val="superscript"/>
        <sz val="11"/>
        <color theme="1"/>
        <rFont val="Arial"/>
        <family val="2"/>
      </rPr>
      <t>3</t>
    </r>
  </si>
  <si>
    <t>Incremental Increase in Residential Usage Revenues Required [Line 8 x Line 9]</t>
  </si>
  <si>
    <r>
      <t>Cost of Chemicals, Fuel, and Power expense per 1000 gallons</t>
    </r>
    <r>
      <rPr>
        <vertAlign val="superscript"/>
        <sz val="11"/>
        <color theme="1"/>
        <rFont val="Arial"/>
        <family val="2"/>
      </rPr>
      <t>4</t>
    </r>
  </si>
  <si>
    <t>Additional Cost for Incremental Usage Adjusment [Line 8 x Line 11]</t>
  </si>
  <si>
    <t>Net Reduction in Company Revenue Requirement [Line 10 - Line 12]</t>
  </si>
  <si>
    <t>1 KAWC Exhibit 37, Schedule I-4.</t>
  </si>
  <si>
    <t>2 KAWC Exhibit 37, Schedule M-3.  Avg. Customers calculated by dividing the sum of Customer Meter Billings ÷ 12.</t>
  </si>
  <si>
    <t>3 KAWC Exhibit 37, Schedule M-3, Line 19, under current rates column.</t>
  </si>
  <si>
    <t>4 KAWC response to OAG DR 1-91</t>
  </si>
  <si>
    <t>Expenses Related to Water Loss Adjustment</t>
  </si>
  <si>
    <r>
      <t>KAWC Proposed System Delivery</t>
    </r>
    <r>
      <rPr>
        <vertAlign val="superscript"/>
        <sz val="11"/>
        <color theme="1"/>
        <rFont val="Arial"/>
        <family val="2"/>
      </rPr>
      <t>1</t>
    </r>
  </si>
  <si>
    <r>
      <t>KAWC Proposed Unaccounted-For Water (UFW) Percentage</t>
    </r>
    <r>
      <rPr>
        <vertAlign val="superscript"/>
        <sz val="11"/>
        <color theme="1"/>
        <rFont val="Arial"/>
        <family val="2"/>
      </rPr>
      <t>2</t>
    </r>
  </si>
  <si>
    <t>AG Proposed UFW Percentage</t>
  </si>
  <si>
    <t>KAWC UFW (Line 1 x Line 2)</t>
  </si>
  <si>
    <r>
      <t>AG Proposed Increase to System Delivery</t>
    </r>
    <r>
      <rPr>
        <vertAlign val="superscript"/>
        <sz val="11"/>
        <color theme="1"/>
        <rFont val="Arial"/>
        <family val="2"/>
      </rPr>
      <t>3</t>
    </r>
  </si>
  <si>
    <t>AG UFW ((Line 1 + Line 5) x Line 3)</t>
  </si>
  <si>
    <t>AG Proposed Adjustment to UFW (Line 5 - Line 4)</t>
  </si>
  <si>
    <r>
      <t>Expense Related to Water Loss Per Hundreds of Gallons</t>
    </r>
    <r>
      <rPr>
        <vertAlign val="superscript"/>
        <sz val="11"/>
        <color theme="1"/>
        <rFont val="Arial"/>
        <family val="2"/>
      </rPr>
      <t>1</t>
    </r>
  </si>
  <si>
    <t>AG Proposed Adjustment to Expenses Related to Water Loss</t>
  </si>
  <si>
    <t>____________</t>
  </si>
  <si>
    <t xml:space="preserve">1. KAW Response to OAG First Set of Data Requests Number 91. </t>
  </si>
  <si>
    <t>2. Direct Testimony of William A. Lewis Page 39 Line 19.</t>
  </si>
  <si>
    <t>Note:</t>
  </si>
  <si>
    <t>* AG UFW calculated with an increased system delivery to reflect the proposed incremental residential revenue usage increase.</t>
  </si>
  <si>
    <t>3. Direct Testimony of Greg R. Meyer Page 22 Line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</si>
</sst>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* #,##0_);_(* \(#,##0\);_(* &quot;-&quot;??_);_(@_)"/>
    <numFmt numFmtId="168" formatCode="0.000%"/>
    <numFmt numFmtId="169" formatCode="&quot;$&quot;#,##0.000_);[Red]\(&quot;$&quot;#,##0.000\)"/>
    <numFmt numFmtId="170" formatCode="&quot;$&quot;#,##0"/>
    <numFmt numFmtId="171" formatCode="_(&quot;$&quot;* #,##0.0000_);_(&quot;$&quot;* \(#,##0.0000\);_(&quot;$&quot;* &quot;-&quot;??_);_(@_)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Calibri"/>
      <family val="2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Times New Roman"/>
      <family val="1"/>
    </font>
    <font>
      <b/>
      <u/>
      <sz val="11"/>
      <color theme="1"/>
      <name val="Arial"/>
      <family val="2"/>
    </font>
    <font>
      <vertAlign val="superscript"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6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6" xfId="0" applyFont="1" applyFill="1" applyBorder="1"/>
    <xf numFmtId="0" fontId="8" fillId="2" borderId="6" xfId="0" applyFont="1" applyFill="1" applyBorder="1"/>
    <xf numFmtId="0" fontId="3" fillId="2" borderId="8" xfId="0" applyFont="1" applyFill="1" applyBorder="1"/>
    <xf numFmtId="0" fontId="4" fillId="2" borderId="6" xfId="0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center"/>
    </xf>
    <xf numFmtId="9" fontId="3" fillId="2" borderId="0" xfId="3" applyFont="1" applyFill="1" applyBorder="1" applyAlignment="1">
      <alignment horizontal="center"/>
    </xf>
    <xf numFmtId="9" fontId="3" fillId="2" borderId="0" xfId="3" applyFont="1" applyFill="1" applyBorder="1"/>
    <xf numFmtId="0" fontId="3" fillId="2" borderId="0" xfId="0" applyFont="1" applyFill="1"/>
    <xf numFmtId="0" fontId="8" fillId="2" borderId="0" xfId="0" applyFont="1" applyFill="1" applyBorder="1"/>
    <xf numFmtId="0" fontId="9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0" fontId="2" fillId="0" borderId="0" xfId="0" applyFont="1" applyAlignment="1">
      <alignment horizontal="center"/>
    </xf>
    <xf numFmtId="167" fontId="0" fillId="0" borderId="0" xfId="1" applyNumberFormat="1" applyFont="1"/>
    <xf numFmtId="167" fontId="0" fillId="0" borderId="0" xfId="0" applyNumberFormat="1"/>
    <xf numFmtId="0" fontId="3" fillId="0" borderId="0" xfId="0" applyFo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5" fontId="3" fillId="2" borderId="0" xfId="0" applyNumberFormat="1" applyFont="1" applyFill="1" applyBorder="1"/>
    <xf numFmtId="10" fontId="3" fillId="2" borderId="0" xfId="3" applyNumberFormat="1" applyFont="1" applyFill="1" applyBorder="1"/>
    <xf numFmtId="168" fontId="3" fillId="2" borderId="0" xfId="3" applyNumberFormat="1" applyFont="1" applyFill="1" applyBorder="1"/>
    <xf numFmtId="168" fontId="3" fillId="2" borderId="0" xfId="0" applyNumberFormat="1" applyFont="1" applyFill="1" applyBorder="1"/>
    <xf numFmtId="37" fontId="3" fillId="2" borderId="0" xfId="0" applyNumberFormat="1" applyFont="1" applyFill="1" applyBorder="1"/>
    <xf numFmtId="5" fontId="3" fillId="2" borderId="10" xfId="0" applyNumberFormat="1" applyFont="1" applyFill="1" applyBorder="1"/>
    <xf numFmtId="10" fontId="3" fillId="2" borderId="10" xfId="0" applyNumberFormat="1" applyFont="1" applyFill="1" applyBorder="1"/>
    <xf numFmtId="168" fontId="3" fillId="2" borderId="10" xfId="0" applyNumberFormat="1" applyFont="1" applyFill="1" applyBorder="1"/>
    <xf numFmtId="0" fontId="13" fillId="2" borderId="0" xfId="0" applyFont="1" applyFill="1" applyBorder="1"/>
    <xf numFmtId="5" fontId="3" fillId="0" borderId="0" xfId="0" applyNumberFormat="1" applyFont="1"/>
    <xf numFmtId="10" fontId="3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0" fillId="0" borderId="0" xfId="0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7" fontId="3" fillId="2" borderId="0" xfId="1" applyNumberFormat="1" applyFont="1" applyFill="1" applyBorder="1"/>
    <xf numFmtId="2" fontId="3" fillId="2" borderId="0" xfId="0" applyNumberFormat="1" applyFont="1" applyFill="1" applyBorder="1"/>
    <xf numFmtId="167" fontId="3" fillId="2" borderId="0" xfId="1" applyNumberFormat="1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3" fillId="2" borderId="0" xfId="2" applyNumberFormat="1" applyFont="1" applyFill="1" applyBorder="1"/>
    <xf numFmtId="165" fontId="3" fillId="2" borderId="0" xfId="0" applyNumberFormat="1" applyFont="1" applyFill="1" applyBorder="1"/>
    <xf numFmtId="0" fontId="8" fillId="0" borderId="0" xfId="0" applyFont="1"/>
    <xf numFmtId="0" fontId="3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2" borderId="6" xfId="2" applyNumberFormat="1" applyFont="1" applyFill="1" applyBorder="1"/>
    <xf numFmtId="10" fontId="3" fillId="2" borderId="6" xfId="3" applyNumberFormat="1" applyFont="1" applyFill="1" applyBorder="1"/>
    <xf numFmtId="165" fontId="3" fillId="2" borderId="6" xfId="0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0" fontId="17" fillId="0" borderId="0" xfId="0" applyFont="1" applyAlignment="1"/>
    <xf numFmtId="1" fontId="3" fillId="0" borderId="0" xfId="3" applyNumberFormat="1" applyFont="1"/>
    <xf numFmtId="0" fontId="19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5" fontId="3" fillId="0" borderId="0" xfId="2" applyNumberFormat="1" applyFont="1"/>
    <xf numFmtId="43" fontId="3" fillId="0" borderId="0" xfId="1" applyNumberFormat="1" applyFont="1"/>
    <xf numFmtId="43" fontId="3" fillId="0" borderId="0" xfId="0" applyNumberFormat="1" applyFont="1"/>
    <xf numFmtId="166" fontId="3" fillId="0" borderId="0" xfId="0" applyNumberFormat="1" applyFont="1"/>
    <xf numFmtId="43" fontId="3" fillId="0" borderId="0" xfId="1" applyNumberFormat="1" applyFont="1" applyFill="1"/>
    <xf numFmtId="165" fontId="3" fillId="0" borderId="0" xfId="2" applyNumberFormat="1" applyFont="1" applyFill="1"/>
    <xf numFmtId="165" fontId="3" fillId="0" borderId="6" xfId="2" applyNumberFormat="1" applyFont="1" applyFill="1" applyBorder="1"/>
    <xf numFmtId="165" fontId="3" fillId="0" borderId="6" xfId="2" applyNumberFormat="1" applyFont="1" applyBorder="1"/>
    <xf numFmtId="1" fontId="3" fillId="0" borderId="0" xfId="3" applyNumberFormat="1" applyFont="1" applyAlignment="1">
      <alignment horizontal="center"/>
    </xf>
    <xf numFmtId="1" fontId="3" fillId="0" borderId="6" xfId="3" applyNumberFormat="1" applyFont="1" applyBorder="1" applyAlignment="1">
      <alignment horizontal="center"/>
    </xf>
    <xf numFmtId="44" fontId="3" fillId="0" borderId="0" xfId="2" applyFont="1"/>
    <xf numFmtId="167" fontId="3" fillId="0" borderId="0" xfId="1" applyNumberFormat="1" applyFont="1"/>
    <xf numFmtId="10" fontId="3" fillId="0" borderId="0" xfId="3" applyNumberFormat="1" applyFont="1"/>
    <xf numFmtId="167" fontId="3" fillId="0" borderId="0" xfId="0" applyNumberFormat="1" applyFont="1" applyBorder="1"/>
    <xf numFmtId="167" fontId="3" fillId="0" borderId="6" xfId="1" applyNumberFormat="1" applyFont="1" applyBorder="1"/>
    <xf numFmtId="10" fontId="3" fillId="0" borderId="6" xfId="3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9" fontId="3" fillId="0" borderId="0" xfId="3" applyNumberFormat="1" applyFont="1"/>
    <xf numFmtId="9" fontId="3" fillId="0" borderId="0" xfId="3" applyFont="1"/>
    <xf numFmtId="9" fontId="3" fillId="0" borderId="6" xfId="3" applyFont="1" applyBorder="1"/>
    <xf numFmtId="10" fontId="3" fillId="0" borderId="0" xfId="0" applyNumberFormat="1" applyFont="1"/>
    <xf numFmtId="10" fontId="3" fillId="0" borderId="6" xfId="0" applyNumberFormat="1" applyFont="1" applyBorder="1"/>
    <xf numFmtId="167" fontId="3" fillId="0" borderId="0" xfId="0" applyNumberFormat="1" applyFont="1"/>
    <xf numFmtId="167" fontId="3" fillId="0" borderId="6" xfId="0" applyNumberFormat="1" applyFont="1" applyBorder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7" fontId="0" fillId="0" borderId="0" xfId="1" applyNumberFormat="1" applyFont="1" applyAlignment="1"/>
    <xf numFmtId="2" fontId="0" fillId="0" borderId="0" xfId="0" applyNumberFormat="1" applyAlignment="1"/>
    <xf numFmtId="0" fontId="0" fillId="0" borderId="0" xfId="0" applyAlignment="1">
      <alignment horizontal="center" wrapText="1"/>
    </xf>
    <xf numFmtId="167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9" fontId="0" fillId="0" borderId="6" xfId="0" applyNumberFormat="1" applyBorder="1"/>
    <xf numFmtId="170" fontId="0" fillId="0" borderId="6" xfId="2" applyNumberFormat="1" applyFont="1" applyBorder="1"/>
    <xf numFmtId="170" fontId="0" fillId="0" borderId="0" xfId="2" applyNumberFormat="1" applyFont="1" applyBorder="1"/>
    <xf numFmtId="171" fontId="0" fillId="0" borderId="6" xfId="2" applyNumberFormat="1" applyFont="1" applyBorder="1"/>
    <xf numFmtId="171" fontId="0" fillId="0" borderId="0" xfId="2" applyNumberFormat="1" applyFont="1"/>
    <xf numFmtId="170" fontId="0" fillId="0" borderId="9" xfId="2" applyNumberFormat="1" applyFont="1" applyBorder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0" fillId="0" borderId="0" xfId="3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65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2"/>
  <sheetViews>
    <sheetView tabSelected="1" zoomScaleNormal="100" workbookViewId="0">
      <selection activeCell="L20" sqref="L20"/>
    </sheetView>
  </sheetViews>
  <sheetFormatPr defaultRowHeight="14" x14ac:dyDescent="0.3"/>
  <cols>
    <col min="2" max="2" width="1.58203125" customWidth="1"/>
    <col min="3" max="3" width="4.58203125" bestFit="1" customWidth="1"/>
    <col min="4" max="4" width="1.58203125" customWidth="1"/>
    <col min="5" max="5" width="30.83203125" bestFit="1" customWidth="1"/>
    <col min="6" max="6" width="1.58203125" customWidth="1"/>
    <col min="7" max="7" width="7.5" bestFit="1" customWidth="1"/>
    <col min="8" max="8" width="1.58203125" customWidth="1"/>
    <col min="9" max="9" width="11" bestFit="1" customWidth="1"/>
    <col min="10" max="10" width="1.58203125" customWidth="1"/>
  </cols>
  <sheetData>
    <row r="2" spans="2:13" x14ac:dyDescent="0.3">
      <c r="B2" s="1"/>
      <c r="C2" s="2"/>
      <c r="D2" s="2"/>
      <c r="E2" s="2"/>
      <c r="F2" s="2"/>
      <c r="G2" s="2"/>
      <c r="H2" s="2"/>
      <c r="I2" s="2"/>
      <c r="J2" s="3"/>
    </row>
    <row r="3" spans="2:13" x14ac:dyDescent="0.3">
      <c r="B3" s="4"/>
      <c r="C3" s="143" t="s">
        <v>0</v>
      </c>
      <c r="D3" s="143"/>
      <c r="E3" s="143"/>
      <c r="F3" s="143"/>
      <c r="G3" s="143"/>
      <c r="H3" s="143"/>
      <c r="I3" s="143"/>
      <c r="J3" s="5"/>
    </row>
    <row r="4" spans="2:13" x14ac:dyDescent="0.3">
      <c r="B4" s="4"/>
      <c r="C4" s="6"/>
      <c r="D4" s="6"/>
      <c r="E4" s="6"/>
      <c r="F4" s="6"/>
      <c r="G4" s="6"/>
      <c r="H4" s="6"/>
      <c r="I4" s="6"/>
      <c r="J4" s="5"/>
    </row>
    <row r="5" spans="2:13" ht="28" customHeight="1" x14ac:dyDescent="0.3">
      <c r="B5" s="4"/>
      <c r="C5" s="144" t="s">
        <v>1</v>
      </c>
      <c r="D5" s="144"/>
      <c r="E5" s="144"/>
      <c r="F5" s="144"/>
      <c r="G5" s="144"/>
      <c r="H5" s="144"/>
      <c r="I5" s="144"/>
      <c r="J5" s="5"/>
      <c r="K5" s="7"/>
      <c r="M5" s="7"/>
    </row>
    <row r="6" spans="2:13" x14ac:dyDescent="0.3">
      <c r="B6" s="4"/>
      <c r="C6" s="6"/>
      <c r="D6" s="6"/>
      <c r="E6" s="6"/>
      <c r="F6" s="6"/>
      <c r="G6" s="6"/>
      <c r="H6" s="6"/>
      <c r="I6" s="6"/>
      <c r="J6" s="5"/>
    </row>
    <row r="7" spans="2:13" x14ac:dyDescent="0.3">
      <c r="B7" s="4"/>
      <c r="C7" s="8" t="s">
        <v>2</v>
      </c>
      <c r="D7" s="6"/>
      <c r="E7" s="8" t="s">
        <v>3</v>
      </c>
      <c r="F7" s="9"/>
      <c r="G7" s="8" t="s">
        <v>4</v>
      </c>
      <c r="H7" s="6"/>
      <c r="I7" s="8" t="s">
        <v>5</v>
      </c>
      <c r="J7" s="5"/>
    </row>
    <row r="8" spans="2:13" x14ac:dyDescent="0.3">
      <c r="B8" s="4"/>
      <c r="C8" s="6"/>
      <c r="D8" s="6"/>
      <c r="E8" s="6"/>
      <c r="F8" s="6"/>
      <c r="G8" s="6"/>
      <c r="H8" s="6"/>
      <c r="I8" s="6"/>
      <c r="J8" s="5"/>
    </row>
    <row r="9" spans="2:13" x14ac:dyDescent="0.3">
      <c r="B9" s="4"/>
      <c r="C9" s="10">
        <v>1</v>
      </c>
      <c r="D9" s="6"/>
      <c r="E9" s="11" t="s">
        <v>6</v>
      </c>
      <c r="F9" s="11"/>
      <c r="G9" s="12"/>
      <c r="H9" s="6"/>
      <c r="I9" s="13">
        <v>26100</v>
      </c>
      <c r="J9" s="5"/>
    </row>
    <row r="10" spans="2:13" x14ac:dyDescent="0.3">
      <c r="B10" s="4"/>
      <c r="C10" s="10"/>
      <c r="D10" s="6"/>
      <c r="E10" s="10"/>
      <c r="F10" s="10"/>
      <c r="G10" s="10"/>
      <c r="H10" s="6"/>
      <c r="I10" s="14"/>
      <c r="J10" s="5"/>
    </row>
    <row r="11" spans="2:13" x14ac:dyDescent="0.3">
      <c r="B11" s="4"/>
      <c r="C11" s="10">
        <v>2</v>
      </c>
      <c r="D11" s="6"/>
      <c r="E11" s="11" t="s">
        <v>7</v>
      </c>
      <c r="F11" s="11"/>
      <c r="G11" s="12" t="s">
        <v>8</v>
      </c>
      <c r="H11" s="6"/>
      <c r="I11" s="13">
        <v>-6733</v>
      </c>
      <c r="J11" s="5"/>
    </row>
    <row r="12" spans="2:13" x14ac:dyDescent="0.3">
      <c r="B12" s="4"/>
      <c r="C12" s="10"/>
      <c r="D12" s="6"/>
      <c r="E12" s="10"/>
      <c r="F12" s="10"/>
      <c r="G12" s="10"/>
      <c r="H12" s="6"/>
      <c r="I12" s="15"/>
      <c r="J12" s="5"/>
    </row>
    <row r="13" spans="2:13" x14ac:dyDescent="0.3">
      <c r="B13" s="4"/>
      <c r="C13" s="10">
        <v>3</v>
      </c>
      <c r="D13" s="6"/>
      <c r="E13" s="11" t="s">
        <v>9</v>
      </c>
      <c r="F13" s="11"/>
      <c r="G13" s="12" t="s">
        <v>10</v>
      </c>
      <c r="H13" s="6"/>
      <c r="I13" s="16">
        <v>-2179</v>
      </c>
      <c r="J13" s="5"/>
    </row>
    <row r="14" spans="2:13" x14ac:dyDescent="0.3">
      <c r="B14" s="4"/>
      <c r="C14" s="10"/>
      <c r="D14" s="6"/>
      <c r="E14" s="10"/>
      <c r="F14" s="10"/>
      <c r="G14" s="10"/>
      <c r="H14" s="6"/>
      <c r="I14" s="17"/>
      <c r="J14" s="5"/>
    </row>
    <row r="15" spans="2:13" x14ac:dyDescent="0.3">
      <c r="B15" s="4"/>
      <c r="C15" s="10">
        <v>4</v>
      </c>
      <c r="D15" s="6"/>
      <c r="E15" s="11" t="s">
        <v>11</v>
      </c>
      <c r="F15" s="11"/>
      <c r="G15" s="12" t="s">
        <v>10</v>
      </c>
      <c r="H15" s="6"/>
      <c r="I15" s="16">
        <v>-374</v>
      </c>
      <c r="J15" s="5"/>
    </row>
    <row r="16" spans="2:13" x14ac:dyDescent="0.3">
      <c r="B16" s="4"/>
      <c r="C16" s="10"/>
      <c r="D16" s="6"/>
      <c r="E16" s="11"/>
      <c r="F16" s="11"/>
      <c r="G16" s="12"/>
      <c r="H16" s="6"/>
      <c r="I16" s="16"/>
      <c r="J16" s="5"/>
    </row>
    <row r="17" spans="2:10" x14ac:dyDescent="0.3">
      <c r="B17" s="4"/>
      <c r="C17" s="10">
        <v>5</v>
      </c>
      <c r="D17" s="6"/>
      <c r="E17" s="11" t="s">
        <v>12</v>
      </c>
      <c r="F17" s="11"/>
      <c r="G17" s="12" t="s">
        <v>10</v>
      </c>
      <c r="H17" s="6"/>
      <c r="I17" s="16" t="s">
        <v>13</v>
      </c>
      <c r="J17" s="5"/>
    </row>
    <row r="18" spans="2:10" x14ac:dyDescent="0.3">
      <c r="B18" s="4"/>
      <c r="C18" s="10"/>
      <c r="D18" s="6"/>
      <c r="E18" s="10"/>
      <c r="F18" s="10"/>
      <c r="G18" s="10"/>
      <c r="H18" s="6"/>
      <c r="I18" s="15"/>
      <c r="J18" s="5"/>
    </row>
    <row r="19" spans="2:10" x14ac:dyDescent="0.3">
      <c r="B19" s="4"/>
      <c r="C19" s="10">
        <v>6</v>
      </c>
      <c r="D19" s="6"/>
      <c r="E19" s="11" t="s">
        <v>14</v>
      </c>
      <c r="F19" s="11"/>
      <c r="G19" s="12" t="s">
        <v>10</v>
      </c>
      <c r="H19" s="6"/>
      <c r="I19" s="16">
        <v>-349</v>
      </c>
      <c r="J19" s="5"/>
    </row>
    <row r="20" spans="2:10" x14ac:dyDescent="0.3">
      <c r="B20" s="4"/>
      <c r="C20" s="10"/>
      <c r="D20" s="6"/>
      <c r="E20" s="10"/>
      <c r="F20" s="10"/>
      <c r="G20" s="10"/>
      <c r="H20" s="6"/>
      <c r="I20" s="15"/>
      <c r="J20" s="5"/>
    </row>
    <row r="21" spans="2:10" x14ac:dyDescent="0.3">
      <c r="B21" s="4"/>
      <c r="C21" s="10">
        <v>7</v>
      </c>
      <c r="D21" s="6"/>
      <c r="E21" s="11" t="s">
        <v>15</v>
      </c>
      <c r="F21" s="11"/>
      <c r="G21" s="12" t="s">
        <v>10</v>
      </c>
      <c r="H21" s="6"/>
      <c r="I21" s="16">
        <v>-1876</v>
      </c>
      <c r="J21" s="5"/>
    </row>
    <row r="22" spans="2:10" x14ac:dyDescent="0.3">
      <c r="B22" s="4"/>
      <c r="C22" s="10"/>
      <c r="D22" s="6"/>
      <c r="E22" s="10"/>
      <c r="F22" s="10"/>
      <c r="G22" s="10"/>
      <c r="H22" s="6"/>
      <c r="I22" s="17"/>
      <c r="J22" s="5"/>
    </row>
    <row r="23" spans="2:10" x14ac:dyDescent="0.3">
      <c r="B23" s="4"/>
      <c r="C23" s="10">
        <v>8</v>
      </c>
      <c r="D23" s="6"/>
      <c r="E23" s="18" t="s">
        <v>16</v>
      </c>
      <c r="F23" s="11"/>
      <c r="G23" s="12" t="s">
        <v>10</v>
      </c>
      <c r="H23" s="6"/>
      <c r="I23" s="16">
        <v>-522</v>
      </c>
      <c r="J23" s="5"/>
    </row>
    <row r="24" spans="2:10" x14ac:dyDescent="0.3">
      <c r="B24" s="4"/>
      <c r="C24" s="10"/>
      <c r="D24" s="6"/>
      <c r="E24" s="10"/>
      <c r="F24" s="10"/>
      <c r="G24" s="10"/>
      <c r="H24" s="6"/>
      <c r="I24" s="15"/>
      <c r="J24" s="5"/>
    </row>
    <row r="25" spans="2:10" x14ac:dyDescent="0.3">
      <c r="B25" s="4"/>
      <c r="C25" s="10">
        <v>9</v>
      </c>
      <c r="D25" s="6"/>
      <c r="E25" s="11" t="s">
        <v>17</v>
      </c>
      <c r="F25" s="11"/>
      <c r="G25" s="12" t="s">
        <v>10</v>
      </c>
      <c r="H25" s="6"/>
      <c r="I25" s="16">
        <v>-121</v>
      </c>
      <c r="J25" s="5"/>
    </row>
    <row r="26" spans="2:10" x14ac:dyDescent="0.3">
      <c r="B26" s="4"/>
      <c r="C26" s="10"/>
      <c r="D26" s="6"/>
      <c r="E26" s="10"/>
      <c r="F26" s="10"/>
      <c r="G26" s="10"/>
      <c r="H26" s="6"/>
      <c r="I26" s="15"/>
      <c r="J26" s="5"/>
    </row>
    <row r="27" spans="2:10" x14ac:dyDescent="0.3">
      <c r="B27" s="4"/>
      <c r="C27" s="10">
        <v>10</v>
      </c>
      <c r="D27" s="6"/>
      <c r="E27" s="11" t="s">
        <v>18</v>
      </c>
      <c r="F27" s="11"/>
      <c r="G27" s="12" t="s">
        <v>10</v>
      </c>
      <c r="H27" s="6"/>
      <c r="I27" s="19">
        <v>-703</v>
      </c>
      <c r="J27" s="5"/>
    </row>
    <row r="28" spans="2:10" x14ac:dyDescent="0.3">
      <c r="B28" s="4"/>
      <c r="C28" s="10"/>
      <c r="D28" s="6"/>
      <c r="E28" s="11"/>
      <c r="F28" s="11"/>
      <c r="G28" s="12"/>
      <c r="H28" s="6"/>
      <c r="I28" s="19"/>
      <c r="J28" s="5"/>
    </row>
    <row r="29" spans="2:10" x14ac:dyDescent="0.3">
      <c r="B29" s="4"/>
      <c r="C29" s="10">
        <v>11</v>
      </c>
      <c r="D29" s="6"/>
      <c r="E29" s="11" t="s">
        <v>19</v>
      </c>
      <c r="F29" s="11"/>
      <c r="G29" s="12"/>
      <c r="H29" s="6"/>
      <c r="I29" s="20">
        <f>SUM(I11:I27)</f>
        <v>-12857</v>
      </c>
      <c r="J29" s="5"/>
    </row>
    <row r="30" spans="2:10" x14ac:dyDescent="0.3">
      <c r="B30" s="4"/>
      <c r="C30" s="10"/>
      <c r="D30" s="6"/>
      <c r="E30" s="11"/>
      <c r="F30" s="11"/>
      <c r="G30" s="12"/>
      <c r="H30" s="6"/>
      <c r="I30" s="19"/>
      <c r="J30" s="5"/>
    </row>
    <row r="31" spans="2:10" x14ac:dyDescent="0.3">
      <c r="B31" s="4"/>
      <c r="C31" s="10">
        <v>12</v>
      </c>
      <c r="D31" s="6"/>
      <c r="E31" s="11" t="s">
        <v>20</v>
      </c>
      <c r="F31" s="11"/>
      <c r="G31" s="12"/>
      <c r="H31" s="6"/>
      <c r="I31" s="21">
        <f>I9+I29</f>
        <v>13243</v>
      </c>
      <c r="J31" s="5"/>
    </row>
    <row r="32" spans="2:10" x14ac:dyDescent="0.3">
      <c r="B32" s="22"/>
      <c r="C32" s="23"/>
      <c r="D32" s="23"/>
      <c r="E32" s="24"/>
      <c r="F32" s="24"/>
      <c r="G32" s="24"/>
      <c r="H32" s="23"/>
      <c r="I32" s="23"/>
      <c r="J32" s="25"/>
    </row>
  </sheetData>
  <mergeCells count="2">
    <mergeCell ref="C3:I3"/>
    <mergeCell ref="C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AD48"/>
  <sheetViews>
    <sheetView zoomScaleNormal="100" workbookViewId="0">
      <selection activeCell="R36" sqref="R36"/>
    </sheetView>
  </sheetViews>
  <sheetFormatPr defaultColWidth="9" defaultRowHeight="14" x14ac:dyDescent="0.3"/>
  <cols>
    <col min="1" max="1" width="1.58203125" style="39" customWidth="1"/>
    <col min="2" max="2" width="31.5" style="39" bestFit="1" customWidth="1"/>
    <col min="3" max="3" width="1.58203125" style="39" customWidth="1"/>
    <col min="4" max="4" width="13.25" style="39" bestFit="1" customWidth="1"/>
    <col min="5" max="5" width="1.58203125" style="39" customWidth="1"/>
    <col min="6" max="6" width="8.08203125" style="39" bestFit="1" customWidth="1"/>
    <col min="7" max="7" width="1.58203125" style="39" customWidth="1"/>
    <col min="8" max="8" width="8.25" style="39" bestFit="1" customWidth="1"/>
    <col min="9" max="9" width="1.58203125" style="39" customWidth="1"/>
    <col min="10" max="10" width="11.33203125" style="39" bestFit="1" customWidth="1"/>
    <col min="11" max="11" width="1.58203125" style="39" customWidth="1"/>
    <col min="12" max="12" width="12" style="39" bestFit="1" customWidth="1"/>
    <col min="13" max="13" width="1.58203125" style="39" customWidth="1"/>
    <col min="14" max="14" width="11.75" style="39" bestFit="1" customWidth="1"/>
    <col min="15" max="15" width="1.58203125" style="39" customWidth="1"/>
    <col min="16" max="18" width="9" style="39"/>
    <col min="19" max="19" width="31.5" style="39" bestFit="1" customWidth="1"/>
    <col min="20" max="20" width="9" style="39"/>
    <col min="21" max="21" width="15.75" style="39" bestFit="1" customWidth="1"/>
    <col min="22" max="16384" width="9" style="39"/>
  </cols>
  <sheetData>
    <row r="2" spans="2:30" ht="17.5" x14ac:dyDescent="0.35">
      <c r="B2" s="149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2:30" x14ac:dyDescent="0.3">
      <c r="B3" s="80"/>
    </row>
    <row r="4" spans="2:30" ht="15" x14ac:dyDescent="0.3">
      <c r="B4" s="150" t="s">
        <v>173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6" spans="2:30" s="83" customFormat="1" ht="28" x14ac:dyDescent="0.3">
      <c r="B6" s="82" t="s">
        <v>31</v>
      </c>
      <c r="D6" s="82" t="s">
        <v>32</v>
      </c>
      <c r="F6" s="84" t="s">
        <v>33</v>
      </c>
      <c r="H6" s="84" t="s">
        <v>34</v>
      </c>
      <c r="J6" s="82" t="s">
        <v>35</v>
      </c>
      <c r="L6" s="82" t="s">
        <v>36</v>
      </c>
      <c r="N6" s="84" t="s">
        <v>37</v>
      </c>
    </row>
    <row r="7" spans="2:30" s="85" customFormat="1" x14ac:dyDescent="0.3">
      <c r="B7" s="85" t="s">
        <v>38</v>
      </c>
      <c r="D7" s="85" t="s">
        <v>39</v>
      </c>
      <c r="F7" s="85" t="s">
        <v>40</v>
      </c>
      <c r="H7" s="85" t="s">
        <v>41</v>
      </c>
      <c r="J7" s="85" t="s">
        <v>42</v>
      </c>
      <c r="L7" s="85" t="s">
        <v>43</v>
      </c>
      <c r="N7" s="86" t="s">
        <v>44</v>
      </c>
    </row>
    <row r="8" spans="2:30" x14ac:dyDescent="0.3">
      <c r="N8" s="87"/>
    </row>
    <row r="9" spans="2:30" x14ac:dyDescent="0.3">
      <c r="B9" s="39" t="s">
        <v>45</v>
      </c>
      <c r="D9" s="87">
        <v>8967621</v>
      </c>
      <c r="F9" s="39">
        <v>37.75</v>
      </c>
      <c r="H9" s="88">
        <v>11.5</v>
      </c>
      <c r="J9" s="89">
        <f>F9-H9</f>
        <v>26.25</v>
      </c>
      <c r="L9" s="90">
        <f>J9/366</f>
        <v>7.1721311475409832E-2</v>
      </c>
      <c r="N9" s="87">
        <f t="shared" ref="N9:N33" si="0">D9*L9</f>
        <v>643169.53893442615</v>
      </c>
    </row>
    <row r="10" spans="2:30" x14ac:dyDescent="0.3">
      <c r="B10" s="39" t="s">
        <v>46</v>
      </c>
      <c r="D10" s="87">
        <v>5664614</v>
      </c>
      <c r="F10" s="39">
        <v>37.75</v>
      </c>
      <c r="H10" s="88">
        <v>24.6</v>
      </c>
      <c r="J10" s="89">
        <f t="shared" ref="J10:J33" si="1">F10-H10</f>
        <v>13.149999999999999</v>
      </c>
      <c r="L10" s="90">
        <f t="shared" ref="L10:L33" si="2">J10/366</f>
        <v>3.5928961748633872E-2</v>
      </c>
      <c r="N10" s="87">
        <f t="shared" si="0"/>
        <v>203523.69972677593</v>
      </c>
    </row>
    <row r="11" spans="2:30" x14ac:dyDescent="0.3">
      <c r="B11" s="39" t="s">
        <v>47</v>
      </c>
      <c r="D11" s="87">
        <v>5624592</v>
      </c>
      <c r="F11" s="39">
        <v>37.75</v>
      </c>
      <c r="H11" s="88">
        <v>28.5</v>
      </c>
      <c r="J11" s="89">
        <f t="shared" si="1"/>
        <v>9.25</v>
      </c>
      <c r="L11" s="90">
        <f t="shared" si="2"/>
        <v>2.5273224043715847E-2</v>
      </c>
      <c r="N11" s="87">
        <f t="shared" si="0"/>
        <v>142151.57377049181</v>
      </c>
    </row>
    <row r="12" spans="2:30" x14ac:dyDescent="0.3">
      <c r="B12" s="39" t="s">
        <v>48</v>
      </c>
      <c r="D12" s="87">
        <v>368973</v>
      </c>
      <c r="F12" s="39">
        <v>37.75</v>
      </c>
      <c r="H12" s="88">
        <v>44</v>
      </c>
      <c r="J12" s="89">
        <f t="shared" si="1"/>
        <v>-6.25</v>
      </c>
      <c r="L12" s="90">
        <f t="shared" si="2"/>
        <v>-1.7076502732240439E-2</v>
      </c>
      <c r="N12" s="87">
        <f t="shared" si="0"/>
        <v>-6300.7684426229516</v>
      </c>
    </row>
    <row r="13" spans="2:30" x14ac:dyDescent="0.3">
      <c r="B13" s="39" t="s">
        <v>49</v>
      </c>
      <c r="D13" s="87">
        <v>679404</v>
      </c>
      <c r="F13" s="39">
        <v>37.75</v>
      </c>
      <c r="H13" s="88">
        <v>75.7</v>
      </c>
      <c r="J13" s="89">
        <f t="shared" si="1"/>
        <v>-37.950000000000003</v>
      </c>
      <c r="L13" s="90">
        <f t="shared" si="2"/>
        <v>-0.10368852459016394</v>
      </c>
      <c r="N13" s="87">
        <f t="shared" si="0"/>
        <v>-70446.398360655745</v>
      </c>
    </row>
    <row r="14" spans="2:30" x14ac:dyDescent="0.3">
      <c r="B14" s="39" t="s">
        <v>50</v>
      </c>
      <c r="D14" s="87">
        <v>12519428</v>
      </c>
      <c r="F14" s="39">
        <v>37.75</v>
      </c>
      <c r="H14" s="91">
        <f>H15</f>
        <v>25.6</v>
      </c>
      <c r="J14" s="89">
        <f t="shared" si="1"/>
        <v>12.149999999999999</v>
      </c>
      <c r="L14" s="90">
        <f t="shared" si="2"/>
        <v>3.3196721311475406E-2</v>
      </c>
      <c r="N14" s="87">
        <f t="shared" si="0"/>
        <v>415603.96229508193</v>
      </c>
    </row>
    <row r="15" spans="2:30" x14ac:dyDescent="0.3">
      <c r="B15" s="39" t="s">
        <v>51</v>
      </c>
      <c r="D15" s="87">
        <v>1437684</v>
      </c>
      <c r="F15" s="39">
        <v>37.75</v>
      </c>
      <c r="H15" s="91">
        <v>25.6</v>
      </c>
      <c r="J15" s="89">
        <f t="shared" si="1"/>
        <v>12.149999999999999</v>
      </c>
      <c r="L15" s="90">
        <f t="shared" si="2"/>
        <v>3.3196721311475406E-2</v>
      </c>
      <c r="N15" s="87">
        <f t="shared" si="0"/>
        <v>47726.39508196721</v>
      </c>
    </row>
    <row r="16" spans="2:30" x14ac:dyDescent="0.3">
      <c r="B16" s="39" t="s">
        <v>52</v>
      </c>
      <c r="D16" s="87">
        <v>1572674</v>
      </c>
      <c r="F16" s="39">
        <v>37.75</v>
      </c>
      <c r="H16" s="91">
        <v>10.5</v>
      </c>
      <c r="J16" s="89">
        <f t="shared" si="1"/>
        <v>27.25</v>
      </c>
      <c r="L16" s="90">
        <f t="shared" si="2"/>
        <v>7.4453551912568305E-2</v>
      </c>
      <c r="N16" s="87">
        <f t="shared" si="0"/>
        <v>117091.16530054645</v>
      </c>
    </row>
    <row r="17" spans="2:14" x14ac:dyDescent="0.3">
      <c r="B17" s="39" t="s">
        <v>53</v>
      </c>
      <c r="D17" s="87">
        <v>-600315</v>
      </c>
      <c r="F17" s="39">
        <v>37.75</v>
      </c>
      <c r="H17" s="91">
        <v>-97.5</v>
      </c>
      <c r="J17" s="89">
        <f t="shared" si="1"/>
        <v>135.25</v>
      </c>
      <c r="L17" s="90">
        <f t="shared" si="2"/>
        <v>0.36953551912568305</v>
      </c>
      <c r="N17" s="87">
        <f t="shared" si="0"/>
        <v>-221837.71516393442</v>
      </c>
    </row>
    <row r="18" spans="2:14" x14ac:dyDescent="0.3">
      <c r="B18" s="39" t="s">
        <v>54</v>
      </c>
      <c r="D18" s="87">
        <v>775907</v>
      </c>
      <c r="F18" s="39">
        <v>37.75</v>
      </c>
      <c r="H18" s="91">
        <v>16</v>
      </c>
      <c r="J18" s="89">
        <f t="shared" si="1"/>
        <v>21.75</v>
      </c>
      <c r="L18" s="90">
        <f t="shared" si="2"/>
        <v>5.9426229508196718E-2</v>
      </c>
      <c r="N18" s="87">
        <f t="shared" si="0"/>
        <v>46109.227459016394</v>
      </c>
    </row>
    <row r="19" spans="2:14" x14ac:dyDescent="0.3">
      <c r="B19" s="39" t="s">
        <v>55</v>
      </c>
      <c r="D19" s="87">
        <v>136903</v>
      </c>
      <c r="F19" s="39">
        <v>37.75</v>
      </c>
      <c r="H19" s="91">
        <v>-4.2</v>
      </c>
      <c r="J19" s="89">
        <f t="shared" si="1"/>
        <v>41.95</v>
      </c>
      <c r="L19" s="90">
        <f t="shared" si="2"/>
        <v>0.11461748633879783</v>
      </c>
      <c r="N19" s="87">
        <f t="shared" si="0"/>
        <v>15691.477732240439</v>
      </c>
    </row>
    <row r="20" spans="2:14" x14ac:dyDescent="0.3">
      <c r="B20" s="39" t="s">
        <v>56</v>
      </c>
      <c r="D20" s="87">
        <v>1653304</v>
      </c>
      <c r="F20" s="39">
        <v>37.75</v>
      </c>
      <c r="H20" s="91">
        <v>-90.7</v>
      </c>
      <c r="J20" s="89">
        <f t="shared" si="1"/>
        <v>128.44999999999999</v>
      </c>
      <c r="L20" s="90">
        <f t="shared" si="2"/>
        <v>0.35095628415300545</v>
      </c>
      <c r="N20" s="87">
        <f t="shared" si="0"/>
        <v>580237.42841530056</v>
      </c>
    </row>
    <row r="21" spans="2:14" x14ac:dyDescent="0.3">
      <c r="B21" s="39" t="s">
        <v>57</v>
      </c>
      <c r="D21" s="87">
        <v>47180</v>
      </c>
      <c r="F21" s="39">
        <v>37.75</v>
      </c>
      <c r="H21" s="91">
        <v>24.3</v>
      </c>
      <c r="J21" s="89">
        <f t="shared" si="1"/>
        <v>13.45</v>
      </c>
      <c r="L21" s="90">
        <f t="shared" si="2"/>
        <v>3.6748633879781417E-2</v>
      </c>
      <c r="N21" s="87">
        <f t="shared" si="0"/>
        <v>1733.8005464480873</v>
      </c>
    </row>
    <row r="22" spans="2:14" x14ac:dyDescent="0.3">
      <c r="B22" s="39" t="s">
        <v>58</v>
      </c>
      <c r="D22" s="92">
        <v>660519</v>
      </c>
      <c r="F22" s="39">
        <v>37.75</v>
      </c>
      <c r="H22" s="91">
        <v>37.75</v>
      </c>
      <c r="J22" s="89">
        <f t="shared" si="1"/>
        <v>0</v>
      </c>
      <c r="L22" s="90">
        <f t="shared" si="2"/>
        <v>0</v>
      </c>
      <c r="N22" s="87">
        <f t="shared" si="0"/>
        <v>0</v>
      </c>
    </row>
    <row r="23" spans="2:14" x14ac:dyDescent="0.3">
      <c r="B23" s="39" t="s">
        <v>59</v>
      </c>
      <c r="D23" s="92">
        <v>1309065</v>
      </c>
      <c r="F23" s="39">
        <v>37.75</v>
      </c>
      <c r="H23" s="91">
        <v>50.3</v>
      </c>
      <c r="J23" s="89">
        <f t="shared" si="1"/>
        <v>-12.549999999999997</v>
      </c>
      <c r="L23" s="90">
        <f t="shared" si="2"/>
        <v>-3.428961748633879E-2</v>
      </c>
      <c r="N23" s="87">
        <f t="shared" si="0"/>
        <v>-44887.338114754086</v>
      </c>
    </row>
    <row r="24" spans="2:14" x14ac:dyDescent="0.3">
      <c r="B24" s="39" t="s">
        <v>60</v>
      </c>
      <c r="D24" s="92">
        <v>1416156</v>
      </c>
      <c r="F24" s="39">
        <v>37.75</v>
      </c>
      <c r="H24" s="91">
        <f>F24</f>
        <v>37.75</v>
      </c>
      <c r="J24" s="89">
        <f t="shared" si="1"/>
        <v>0</v>
      </c>
      <c r="L24" s="90">
        <f t="shared" si="2"/>
        <v>0</v>
      </c>
      <c r="N24" s="87">
        <f t="shared" si="0"/>
        <v>0</v>
      </c>
    </row>
    <row r="25" spans="2:14" x14ac:dyDescent="0.3">
      <c r="B25" s="39" t="s">
        <v>61</v>
      </c>
      <c r="D25" s="92">
        <v>676694</v>
      </c>
      <c r="F25" s="39">
        <v>37.75</v>
      </c>
      <c r="H25" s="91">
        <f>F25</f>
        <v>37.75</v>
      </c>
      <c r="J25" s="89">
        <f t="shared" si="1"/>
        <v>0</v>
      </c>
      <c r="L25" s="90">
        <f t="shared" si="2"/>
        <v>0</v>
      </c>
      <c r="N25" s="87">
        <f t="shared" si="0"/>
        <v>0</v>
      </c>
    </row>
    <row r="26" spans="2:14" x14ac:dyDescent="0.3">
      <c r="B26" s="39" t="s">
        <v>62</v>
      </c>
      <c r="D26" s="92">
        <v>239411</v>
      </c>
      <c r="F26" s="39">
        <v>37.75</v>
      </c>
      <c r="H26" s="91">
        <v>31.8</v>
      </c>
      <c r="J26" s="89">
        <f t="shared" si="1"/>
        <v>5.9499999999999993</v>
      </c>
      <c r="L26" s="90">
        <f t="shared" si="2"/>
        <v>1.6256830601092894E-2</v>
      </c>
      <c r="N26" s="87">
        <f t="shared" si="0"/>
        <v>3892.0640710382509</v>
      </c>
    </row>
    <row r="27" spans="2:14" x14ac:dyDescent="0.3">
      <c r="B27" s="39" t="s">
        <v>63</v>
      </c>
      <c r="D27" s="92">
        <v>176764</v>
      </c>
      <c r="F27" s="39">
        <v>37.75</v>
      </c>
      <c r="H27" s="91">
        <v>59.5</v>
      </c>
      <c r="J27" s="89">
        <f t="shared" si="1"/>
        <v>-21.75</v>
      </c>
      <c r="L27" s="90">
        <f t="shared" si="2"/>
        <v>-5.9426229508196718E-2</v>
      </c>
      <c r="N27" s="87">
        <f t="shared" si="0"/>
        <v>-10504.418032786885</v>
      </c>
    </row>
    <row r="28" spans="2:14" x14ac:dyDescent="0.3">
      <c r="B28" s="39" t="s">
        <v>64</v>
      </c>
      <c r="D28" s="92">
        <v>911837</v>
      </c>
      <c r="F28" s="39">
        <v>37.75</v>
      </c>
      <c r="H28" s="91">
        <v>31.4</v>
      </c>
      <c r="J28" s="89">
        <f t="shared" si="1"/>
        <v>6.3500000000000014</v>
      </c>
      <c r="L28" s="90">
        <f t="shared" si="2"/>
        <v>1.7349726775956288E-2</v>
      </c>
      <c r="N28" s="87">
        <f t="shared" si="0"/>
        <v>15820.122814207654</v>
      </c>
    </row>
    <row r="29" spans="2:14" x14ac:dyDescent="0.3">
      <c r="B29" s="39" t="s">
        <v>65</v>
      </c>
      <c r="D29" s="92">
        <v>12087</v>
      </c>
      <c r="F29" s="39">
        <v>37.75</v>
      </c>
      <c r="H29" s="91">
        <v>28.2</v>
      </c>
      <c r="J29" s="89">
        <f t="shared" si="1"/>
        <v>9.5500000000000007</v>
      </c>
      <c r="L29" s="90">
        <f t="shared" si="2"/>
        <v>2.6092896174863388E-2</v>
      </c>
      <c r="N29" s="87">
        <f t="shared" si="0"/>
        <v>315.38483606557378</v>
      </c>
    </row>
    <row r="30" spans="2:14" x14ac:dyDescent="0.3">
      <c r="B30" s="39" t="s">
        <v>66</v>
      </c>
      <c r="D30" s="92">
        <v>275049</v>
      </c>
      <c r="F30" s="39">
        <v>37.75</v>
      </c>
      <c r="H30" s="91">
        <v>36.200000000000003</v>
      </c>
      <c r="J30" s="89">
        <f t="shared" si="1"/>
        <v>1.5499999999999972</v>
      </c>
      <c r="L30" s="90">
        <f t="shared" si="2"/>
        <v>4.2349726775956203E-3</v>
      </c>
      <c r="N30" s="87">
        <f t="shared" si="0"/>
        <v>1164.8249999999978</v>
      </c>
    </row>
    <row r="31" spans="2:14" x14ac:dyDescent="0.3">
      <c r="B31" s="39" t="s">
        <v>67</v>
      </c>
      <c r="D31" s="92">
        <v>807314</v>
      </c>
      <c r="F31" s="39">
        <v>37.75</v>
      </c>
      <c r="H31" s="91">
        <v>9.5</v>
      </c>
      <c r="J31" s="89">
        <f t="shared" si="1"/>
        <v>28.25</v>
      </c>
      <c r="L31" s="90">
        <f t="shared" si="2"/>
        <v>7.7185792349726778E-2</v>
      </c>
      <c r="N31" s="87">
        <f t="shared" si="0"/>
        <v>62313.170765027324</v>
      </c>
    </row>
    <row r="32" spans="2:14" x14ac:dyDescent="0.3">
      <c r="B32" s="39" t="s">
        <v>68</v>
      </c>
      <c r="D32" s="92">
        <v>654298</v>
      </c>
      <c r="F32" s="39">
        <v>37.75</v>
      </c>
      <c r="H32" s="91">
        <v>46.9</v>
      </c>
      <c r="J32" s="89">
        <f t="shared" si="1"/>
        <v>-9.1499999999999986</v>
      </c>
      <c r="L32" s="90">
        <f t="shared" si="2"/>
        <v>-2.4999999999999994E-2</v>
      </c>
      <c r="N32" s="87">
        <f t="shared" si="0"/>
        <v>-16357.449999999997</v>
      </c>
    </row>
    <row r="33" spans="2:14" x14ac:dyDescent="0.3">
      <c r="B33" s="39" t="s">
        <v>69</v>
      </c>
      <c r="D33" s="93">
        <v>478972</v>
      </c>
      <c r="F33" s="39">
        <v>37.75</v>
      </c>
      <c r="H33" s="91">
        <v>65</v>
      </c>
      <c r="J33" s="89">
        <f t="shared" si="1"/>
        <v>-27.25</v>
      </c>
      <c r="L33" s="90">
        <f t="shared" si="2"/>
        <v>-7.4453551912568305E-2</v>
      </c>
      <c r="N33" s="94">
        <f t="shared" si="0"/>
        <v>-35661.166666666664</v>
      </c>
    </row>
    <row r="34" spans="2:14" x14ac:dyDescent="0.3">
      <c r="B34" s="39" t="s">
        <v>70</v>
      </c>
      <c r="D34" s="92">
        <f>SUM(D9:D33)</f>
        <v>46466135</v>
      </c>
      <c r="H34" s="91"/>
      <c r="L34" s="90"/>
      <c r="N34" s="87">
        <f>SUM(N9:N33)</f>
        <v>1890548.581967213</v>
      </c>
    </row>
    <row r="35" spans="2:14" x14ac:dyDescent="0.3">
      <c r="D35" s="92"/>
      <c r="H35" s="91"/>
      <c r="L35" s="90"/>
      <c r="N35" s="87"/>
    </row>
    <row r="36" spans="2:14" x14ac:dyDescent="0.3">
      <c r="B36" s="39" t="s">
        <v>71</v>
      </c>
      <c r="D36" s="92">
        <v>28872589</v>
      </c>
      <c r="F36" s="39">
        <v>37.75</v>
      </c>
      <c r="H36" s="91">
        <f>F36</f>
        <v>37.75</v>
      </c>
      <c r="J36" s="89">
        <f t="shared" ref="J36:J46" si="3">F36-H36</f>
        <v>0</v>
      </c>
      <c r="L36" s="90">
        <f t="shared" ref="L36:L46" si="4">J36/366</f>
        <v>0</v>
      </c>
      <c r="N36" s="87">
        <f t="shared" ref="N36:N46" si="5">D36*L36</f>
        <v>0</v>
      </c>
    </row>
    <row r="37" spans="2:14" x14ac:dyDescent="0.3">
      <c r="B37" s="39" t="s">
        <v>72</v>
      </c>
      <c r="D37" s="92">
        <v>9813711</v>
      </c>
      <c r="F37" s="39">
        <v>37.75</v>
      </c>
      <c r="H37" s="91">
        <v>238.4</v>
      </c>
      <c r="J37" s="89">
        <f t="shared" si="3"/>
        <v>-200.65</v>
      </c>
      <c r="L37" s="90">
        <f t="shared" si="4"/>
        <v>-0.54822404371584699</v>
      </c>
      <c r="N37" s="87">
        <f t="shared" si="5"/>
        <v>-5380112.3282786887</v>
      </c>
    </row>
    <row r="38" spans="2:14" x14ac:dyDescent="0.3">
      <c r="B38" s="39" t="s">
        <v>73</v>
      </c>
      <c r="D38" s="92">
        <v>171010</v>
      </c>
      <c r="F38" s="39">
        <v>37.75</v>
      </c>
      <c r="H38" s="91">
        <v>-152</v>
      </c>
      <c r="J38" s="89">
        <f t="shared" si="3"/>
        <v>189.75</v>
      </c>
      <c r="L38" s="90">
        <f t="shared" si="4"/>
        <v>0.51844262295081966</v>
      </c>
      <c r="N38" s="87">
        <f t="shared" si="5"/>
        <v>88658.87295081967</v>
      </c>
    </row>
    <row r="39" spans="2:14" x14ac:dyDescent="0.3">
      <c r="B39" s="39" t="s">
        <v>74</v>
      </c>
      <c r="D39" s="92">
        <v>666852</v>
      </c>
      <c r="F39" s="39">
        <v>37.75</v>
      </c>
      <c r="H39" s="91">
        <v>11.5</v>
      </c>
      <c r="J39" s="89">
        <f t="shared" si="3"/>
        <v>26.25</v>
      </c>
      <c r="L39" s="90">
        <f t="shared" si="4"/>
        <v>7.1721311475409832E-2</v>
      </c>
      <c r="N39" s="87">
        <f t="shared" si="5"/>
        <v>47827.5</v>
      </c>
    </row>
    <row r="40" spans="2:14" x14ac:dyDescent="0.3">
      <c r="B40" s="39" t="s">
        <v>75</v>
      </c>
      <c r="D40" s="92">
        <v>1148704</v>
      </c>
      <c r="F40" s="39">
        <v>37.75</v>
      </c>
      <c r="H40" s="91">
        <v>28.8</v>
      </c>
      <c r="J40" s="89">
        <f t="shared" si="3"/>
        <v>8.9499999999999993</v>
      </c>
      <c r="L40" s="90">
        <f t="shared" si="4"/>
        <v>2.4453551912568303E-2</v>
      </c>
      <c r="N40" s="87">
        <f t="shared" si="5"/>
        <v>28089.892896174861</v>
      </c>
    </row>
    <row r="41" spans="2:14" x14ac:dyDescent="0.3">
      <c r="B41" s="39" t="s">
        <v>76</v>
      </c>
      <c r="D41" s="92">
        <v>5212821</v>
      </c>
      <c r="F41" s="39">
        <v>37.75</v>
      </c>
      <c r="H41" s="91">
        <v>28.8</v>
      </c>
      <c r="J41" s="89">
        <f t="shared" si="3"/>
        <v>8.9499999999999993</v>
      </c>
      <c r="L41" s="90">
        <f t="shared" si="4"/>
        <v>2.4453551912568303E-2</v>
      </c>
      <c r="N41" s="87">
        <f t="shared" si="5"/>
        <v>127471.9889344262</v>
      </c>
    </row>
    <row r="42" spans="2:14" x14ac:dyDescent="0.3">
      <c r="B42" s="39" t="s">
        <v>77</v>
      </c>
      <c r="D42" s="92">
        <v>3470120</v>
      </c>
      <c r="F42" s="39">
        <v>37.75</v>
      </c>
      <c r="H42" s="91">
        <f>F42</f>
        <v>37.75</v>
      </c>
      <c r="J42" s="89">
        <f t="shared" si="3"/>
        <v>0</v>
      </c>
      <c r="L42" s="90">
        <f t="shared" si="4"/>
        <v>0</v>
      </c>
      <c r="N42" s="87">
        <f t="shared" si="5"/>
        <v>0</v>
      </c>
    </row>
    <row r="43" spans="2:14" x14ac:dyDescent="0.3">
      <c r="B43" s="39" t="s">
        <v>78</v>
      </c>
      <c r="D43" s="92">
        <v>12708843</v>
      </c>
      <c r="F43" s="39">
        <v>37.75</v>
      </c>
      <c r="H43" s="91">
        <v>89.3</v>
      </c>
      <c r="J43" s="89">
        <f t="shared" si="3"/>
        <v>-51.55</v>
      </c>
      <c r="L43" s="90">
        <f t="shared" si="4"/>
        <v>-0.1408469945355191</v>
      </c>
      <c r="N43" s="87">
        <f t="shared" si="5"/>
        <v>-1790002.3405737702</v>
      </c>
    </row>
    <row r="44" spans="2:14" x14ac:dyDescent="0.3">
      <c r="B44" s="39" t="s">
        <v>79</v>
      </c>
      <c r="D44" s="92">
        <v>235349</v>
      </c>
      <c r="F44" s="39">
        <v>37.75</v>
      </c>
      <c r="H44" s="91">
        <v>14.5</v>
      </c>
      <c r="J44" s="89">
        <f t="shared" si="3"/>
        <v>23.25</v>
      </c>
      <c r="L44" s="90">
        <f t="shared" si="4"/>
        <v>6.3524590163934427E-2</v>
      </c>
      <c r="N44" s="87">
        <f t="shared" si="5"/>
        <v>14950.448770491803</v>
      </c>
    </row>
    <row r="45" spans="2:14" x14ac:dyDescent="0.3">
      <c r="B45" s="39" t="s">
        <v>80</v>
      </c>
      <c r="D45" s="92">
        <v>176512</v>
      </c>
      <c r="F45" s="39">
        <v>37.75</v>
      </c>
      <c r="H45" s="91">
        <v>15.6</v>
      </c>
      <c r="J45" s="89">
        <f t="shared" si="3"/>
        <v>22.15</v>
      </c>
      <c r="L45" s="90">
        <f t="shared" si="4"/>
        <v>6.0519125683060108E-2</v>
      </c>
      <c r="N45" s="87">
        <f t="shared" si="5"/>
        <v>10682.351912568305</v>
      </c>
    </row>
    <row r="46" spans="2:14" x14ac:dyDescent="0.3">
      <c r="B46" s="39" t="s">
        <v>81</v>
      </c>
      <c r="D46" s="93">
        <v>33184200</v>
      </c>
      <c r="F46" s="39">
        <v>37.75</v>
      </c>
      <c r="H46" s="91">
        <f>F46</f>
        <v>37.75</v>
      </c>
      <c r="J46" s="89">
        <f t="shared" si="3"/>
        <v>0</v>
      </c>
      <c r="L46" s="90">
        <f t="shared" si="4"/>
        <v>0</v>
      </c>
      <c r="N46" s="94">
        <f t="shared" si="5"/>
        <v>0</v>
      </c>
    </row>
    <row r="47" spans="2:14" x14ac:dyDescent="0.3">
      <c r="B47" s="39" t="s">
        <v>82</v>
      </c>
      <c r="D47" s="87">
        <f>SUM(D34:D46)</f>
        <v>142126846</v>
      </c>
      <c r="H47" s="88"/>
      <c r="N47" s="87">
        <f>SUM(N34:N46)</f>
        <v>-4961885.0314207654</v>
      </c>
    </row>
    <row r="48" spans="2:14" x14ac:dyDescent="0.3">
      <c r="N48" s="87"/>
    </row>
  </sheetData>
  <mergeCells count="2">
    <mergeCell ref="B2:N2"/>
    <mergeCell ref="B4:N4"/>
  </mergeCells>
  <pageMargins left="0.7" right="0.7" top="0.75" bottom="0.75" header="0.3" footer="0.3"/>
  <pageSetup scale="77" orientation="portrait" r:id="rId1"/>
  <headerFooter>
    <oddHeader>&amp;RExhibit GRM-2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79"/>
  <sheetViews>
    <sheetView topLeftCell="A16" zoomScaleNormal="100" workbookViewId="0">
      <selection activeCell="D3" sqref="D3"/>
    </sheetView>
  </sheetViews>
  <sheetFormatPr defaultColWidth="9" defaultRowHeight="14" x14ac:dyDescent="0.3"/>
  <cols>
    <col min="1" max="1" width="1.58203125" style="39" customWidth="1"/>
    <col min="2" max="2" width="4.25" style="83" bestFit="1" customWidth="1"/>
    <col min="3" max="3" width="1.58203125" style="39" customWidth="1"/>
    <col min="4" max="4" width="61.83203125" style="39" bestFit="1" customWidth="1"/>
    <col min="5" max="5" width="1.58203125" style="39" customWidth="1"/>
    <col min="6" max="6" width="11.08203125" style="39" bestFit="1" customWidth="1"/>
    <col min="7" max="7" width="1.58203125" style="39" customWidth="1"/>
    <col min="8" max="8" width="8.58203125" style="39" bestFit="1" customWidth="1"/>
    <col min="9" max="9" width="1.58203125" style="39" customWidth="1"/>
    <col min="10" max="10" width="9.25" style="39" bestFit="1" customWidth="1"/>
    <col min="11" max="11" width="1.58203125" style="39" customWidth="1"/>
    <col min="12" max="12" width="9.25" style="39" bestFit="1" customWidth="1"/>
    <col min="13" max="13" width="1.58203125" style="39" customWidth="1"/>
    <col min="14" max="14" width="8.58203125" style="39" bestFit="1" customWidth="1"/>
    <col min="15" max="15" width="1.58203125" style="39" customWidth="1"/>
    <col min="16" max="16" width="9.33203125" style="39" bestFit="1" customWidth="1"/>
    <col min="17" max="17" width="1.58203125" style="39" customWidth="1"/>
    <col min="18" max="18" width="10" style="39" bestFit="1" customWidth="1"/>
    <col min="19" max="20" width="1.58203125" style="39" customWidth="1"/>
    <col min="21" max="21" width="4.25" style="83" bestFit="1" customWidth="1"/>
    <col min="22" max="22" width="1.58203125" style="39" customWidth="1"/>
    <col min="23" max="23" width="62.83203125" style="39" bestFit="1" customWidth="1"/>
    <col min="24" max="24" width="1.58203125" style="39" customWidth="1"/>
    <col min="25" max="25" width="12.58203125" style="39" bestFit="1" customWidth="1"/>
    <col min="26" max="26" width="1.58203125" style="39" customWidth="1"/>
    <col min="27" max="27" width="12.08203125" style="39" bestFit="1" customWidth="1"/>
    <col min="28" max="28" width="1.58203125" style="39" customWidth="1"/>
    <col min="29" max="29" width="12.58203125" style="39" bestFit="1" customWidth="1"/>
    <col min="30" max="30" width="1.58203125" style="39" customWidth="1"/>
    <col min="31" max="31" width="12" style="39" bestFit="1" customWidth="1"/>
    <col min="32" max="32" width="1.58203125" style="39" customWidth="1"/>
    <col min="33" max="33" width="12.58203125" style="39" bestFit="1" customWidth="1"/>
    <col min="34" max="34" width="1.58203125" style="39" customWidth="1"/>
    <col min="35" max="35" width="13.58203125" style="39" bestFit="1" customWidth="1"/>
    <col min="36" max="36" width="1.58203125" style="39" customWidth="1"/>
    <col min="37" max="37" width="13" style="39" bestFit="1" customWidth="1"/>
    <col min="38" max="38" width="1.58203125" style="39" customWidth="1"/>
    <col min="39" max="16384" width="9" style="39"/>
  </cols>
  <sheetData>
    <row r="1" spans="2:38" x14ac:dyDescent="0.3">
      <c r="B1" s="95"/>
      <c r="U1" s="95"/>
    </row>
    <row r="2" spans="2:38" ht="17.5" x14ac:dyDescent="0.35">
      <c r="B2" s="149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79"/>
      <c r="U2" s="149" t="s">
        <v>30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79"/>
    </row>
    <row r="3" spans="2:38" x14ac:dyDescent="0.3">
      <c r="B3" s="95"/>
      <c r="U3" s="95"/>
    </row>
    <row r="4" spans="2:38" ht="15" x14ac:dyDescent="0.3">
      <c r="B4" s="150" t="s">
        <v>105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81"/>
      <c r="U4" s="150" t="s">
        <v>106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81"/>
    </row>
    <row r="5" spans="2:38" x14ac:dyDescent="0.3">
      <c r="B5" s="95"/>
      <c r="U5" s="95"/>
    </row>
    <row r="6" spans="2:38" s="83" customFormat="1" ht="28" x14ac:dyDescent="0.3">
      <c r="B6" s="96" t="s">
        <v>2</v>
      </c>
      <c r="D6" s="82" t="s">
        <v>31</v>
      </c>
      <c r="F6" s="82">
        <v>2018</v>
      </c>
      <c r="H6" s="82">
        <v>2019</v>
      </c>
      <c r="J6" s="82">
        <v>2020</v>
      </c>
      <c r="L6" s="82">
        <v>2021</v>
      </c>
      <c r="N6" s="82">
        <v>2022</v>
      </c>
      <c r="P6" s="84" t="s">
        <v>84</v>
      </c>
      <c r="R6" s="84" t="s">
        <v>23</v>
      </c>
      <c r="U6" s="96" t="s">
        <v>2</v>
      </c>
      <c r="W6" s="82" t="s">
        <v>31</v>
      </c>
      <c r="Y6" s="82">
        <v>2018</v>
      </c>
      <c r="AA6" s="82">
        <v>2019</v>
      </c>
      <c r="AC6" s="82">
        <v>2020</v>
      </c>
      <c r="AE6" s="82">
        <v>2021</v>
      </c>
      <c r="AG6" s="82">
        <v>2022</v>
      </c>
      <c r="AI6" s="84" t="s">
        <v>84</v>
      </c>
      <c r="AK6" s="84" t="s">
        <v>23</v>
      </c>
    </row>
    <row r="8" spans="2:38" x14ac:dyDescent="0.3">
      <c r="B8" s="83">
        <v>1</v>
      </c>
      <c r="D8" s="39" t="s">
        <v>107</v>
      </c>
      <c r="U8" s="83">
        <v>1</v>
      </c>
      <c r="W8" s="39" t="s">
        <v>107</v>
      </c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</row>
    <row r="9" spans="2:38" x14ac:dyDescent="0.3">
      <c r="B9" s="83">
        <v>2</v>
      </c>
      <c r="D9" s="39" t="s">
        <v>108</v>
      </c>
      <c r="F9" s="98">
        <v>72367</v>
      </c>
      <c r="G9" s="98"/>
      <c r="H9" s="98">
        <v>65319</v>
      </c>
      <c r="I9" s="98"/>
      <c r="J9" s="98">
        <v>71463</v>
      </c>
      <c r="K9" s="98"/>
      <c r="L9" s="98">
        <v>72627</v>
      </c>
      <c r="M9" s="98"/>
      <c r="N9" s="98">
        <v>75509</v>
      </c>
      <c r="O9" s="98"/>
      <c r="P9" s="98">
        <v>74811</v>
      </c>
      <c r="Q9" s="98"/>
      <c r="R9" s="98">
        <v>86531</v>
      </c>
      <c r="U9" s="83">
        <v>2</v>
      </c>
      <c r="W9" s="39" t="s">
        <v>109</v>
      </c>
      <c r="Y9" s="87">
        <v>2169109</v>
      </c>
      <c r="Z9" s="87"/>
      <c r="AA9" s="87">
        <v>1943419</v>
      </c>
      <c r="AB9" s="87"/>
      <c r="AC9" s="87">
        <v>2144924</v>
      </c>
      <c r="AD9" s="87"/>
      <c r="AE9" s="87">
        <v>2188471</v>
      </c>
      <c r="AF9" s="87"/>
      <c r="AG9" s="87">
        <v>2297853</v>
      </c>
      <c r="AH9" s="87"/>
      <c r="AI9" s="87">
        <v>2361277</v>
      </c>
      <c r="AJ9" s="87"/>
      <c r="AK9" s="87">
        <v>2732738</v>
      </c>
    </row>
    <row r="10" spans="2:38" x14ac:dyDescent="0.3">
      <c r="B10" s="83">
        <v>3</v>
      </c>
      <c r="D10" s="39" t="s">
        <v>110</v>
      </c>
      <c r="F10" s="98"/>
      <c r="G10" s="98"/>
      <c r="H10" s="99">
        <f>H9/F9-1</f>
        <v>-9.7392457888264006E-2</v>
      </c>
      <c r="I10" s="99"/>
      <c r="J10" s="99">
        <f>J9/H9-1</f>
        <v>9.4061452257383049E-2</v>
      </c>
      <c r="K10" s="99"/>
      <c r="L10" s="99">
        <f>L9/J9-1</f>
        <v>1.6288149112128059E-2</v>
      </c>
      <c r="M10" s="99"/>
      <c r="N10" s="99">
        <f>N9/L9-1</f>
        <v>3.9682211849587645E-2</v>
      </c>
      <c r="O10" s="99"/>
      <c r="P10" s="99">
        <f>P9/N9-1</f>
        <v>-9.2439311870108343E-3</v>
      </c>
      <c r="Q10" s="99"/>
      <c r="R10" s="99">
        <f>R9/P9-1</f>
        <v>0.15666145352956118</v>
      </c>
      <c r="U10" s="83">
        <v>3</v>
      </c>
      <c r="W10" s="39" t="s">
        <v>110</v>
      </c>
      <c r="Y10" s="98"/>
      <c r="Z10" s="98"/>
      <c r="AA10" s="99">
        <f>AA9/Y9-1</f>
        <v>-0.10404733003274613</v>
      </c>
      <c r="AB10" s="99"/>
      <c r="AC10" s="99">
        <f>AC9/AA9-1</f>
        <v>0.10368582379816194</v>
      </c>
      <c r="AD10" s="99"/>
      <c r="AE10" s="99">
        <f>AE9/AC9-1</f>
        <v>2.0302351039011235E-2</v>
      </c>
      <c r="AF10" s="99"/>
      <c r="AG10" s="99">
        <f>AG9/AE9-1</f>
        <v>4.9981014141836866E-2</v>
      </c>
      <c r="AH10" s="99"/>
      <c r="AI10" s="99">
        <f>AI9/AG9-1</f>
        <v>2.7601417497115754E-2</v>
      </c>
      <c r="AJ10" s="99"/>
      <c r="AK10" s="99">
        <f>AK9/AI9-1</f>
        <v>0.15731360615463585</v>
      </c>
    </row>
    <row r="11" spans="2:38" x14ac:dyDescent="0.3">
      <c r="B11" s="83">
        <v>4</v>
      </c>
      <c r="D11" s="39" t="s">
        <v>111</v>
      </c>
      <c r="F11" s="98">
        <v>7388</v>
      </c>
      <c r="G11" s="98"/>
      <c r="H11" s="98">
        <v>7016</v>
      </c>
      <c r="I11" s="98"/>
      <c r="J11" s="98">
        <v>5566</v>
      </c>
      <c r="K11" s="98"/>
      <c r="L11" s="98">
        <v>5140</v>
      </c>
      <c r="M11" s="98"/>
      <c r="N11" s="98">
        <v>6198</v>
      </c>
      <c r="O11" s="98"/>
      <c r="P11" s="98">
        <v>5217</v>
      </c>
      <c r="Q11" s="98"/>
      <c r="R11" s="98">
        <v>5870</v>
      </c>
      <c r="U11" s="83">
        <v>4</v>
      </c>
      <c r="W11" s="39" t="s">
        <v>112</v>
      </c>
      <c r="Y11" s="87">
        <v>357175</v>
      </c>
      <c r="Z11" s="87"/>
      <c r="AA11" s="87">
        <v>364359</v>
      </c>
      <c r="AB11" s="87"/>
      <c r="AC11" s="87">
        <v>302611</v>
      </c>
      <c r="AD11" s="87"/>
      <c r="AE11" s="87">
        <v>281379</v>
      </c>
      <c r="AF11" s="87"/>
      <c r="AG11" s="87">
        <v>350039</v>
      </c>
      <c r="AH11" s="87"/>
      <c r="AI11" s="87">
        <v>326274</v>
      </c>
      <c r="AJ11" s="87"/>
      <c r="AK11" s="87">
        <v>253507</v>
      </c>
    </row>
    <row r="12" spans="2:38" x14ac:dyDescent="0.3">
      <c r="B12" s="83">
        <v>5</v>
      </c>
      <c r="D12" s="39" t="s">
        <v>110</v>
      </c>
      <c r="F12" s="98"/>
      <c r="G12" s="98"/>
      <c r="H12" s="99">
        <f>H11/F11-1</f>
        <v>-5.0351922035733576E-2</v>
      </c>
      <c r="I12" s="99"/>
      <c r="J12" s="99">
        <f>J11/H11-1</f>
        <v>-0.20667046750285067</v>
      </c>
      <c r="K12" s="99"/>
      <c r="L12" s="99">
        <f>L11/J11-1</f>
        <v>-7.6536112109234611E-2</v>
      </c>
      <c r="M12" s="99"/>
      <c r="N12" s="99">
        <f>N11/L11-1</f>
        <v>0.20583657587548632</v>
      </c>
      <c r="O12" s="99"/>
      <c r="P12" s="99">
        <f>P11/N11-1</f>
        <v>-0.15827686350435621</v>
      </c>
      <c r="Q12" s="99"/>
      <c r="R12" s="99">
        <f>R11/P11-1</f>
        <v>0.1251677209124018</v>
      </c>
      <c r="U12" s="83">
        <v>5</v>
      </c>
      <c r="W12" s="39" t="s">
        <v>110</v>
      </c>
      <c r="Y12" s="98"/>
      <c r="Z12" s="98"/>
      <c r="AA12" s="99">
        <f>AA11/Y11-1</f>
        <v>2.011338979491839E-2</v>
      </c>
      <c r="AB12" s="99"/>
      <c r="AC12" s="99">
        <f>AC11/AA11-1</f>
        <v>-0.16947022030469949</v>
      </c>
      <c r="AD12" s="99"/>
      <c r="AE12" s="99">
        <f>AE11/AC11-1</f>
        <v>-7.0162684105997464E-2</v>
      </c>
      <c r="AF12" s="99"/>
      <c r="AG12" s="99">
        <f>AG11/AE11-1</f>
        <v>0.24401252403342122</v>
      </c>
      <c r="AH12" s="99"/>
      <c r="AI12" s="99">
        <f>AI11/AG11-1</f>
        <v>-6.7892434842974692E-2</v>
      </c>
      <c r="AJ12" s="99"/>
      <c r="AK12" s="99">
        <f>AK11/AI11-1</f>
        <v>-0.22302420664839984</v>
      </c>
    </row>
    <row r="13" spans="2:38" x14ac:dyDescent="0.3"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</row>
    <row r="14" spans="2:38" x14ac:dyDescent="0.3">
      <c r="B14" s="83">
        <v>6</v>
      </c>
      <c r="D14" s="39" t="s">
        <v>113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U14" s="83">
        <v>6</v>
      </c>
      <c r="W14" s="39" t="s">
        <v>113</v>
      </c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2:38" x14ac:dyDescent="0.3">
      <c r="B15" s="83">
        <v>7</v>
      </c>
      <c r="D15" s="39" t="s">
        <v>108</v>
      </c>
      <c r="F15" s="98">
        <v>77560</v>
      </c>
      <c r="G15" s="98"/>
      <c r="H15" s="98">
        <v>88032</v>
      </c>
      <c r="I15" s="98"/>
      <c r="J15" s="98">
        <v>87477</v>
      </c>
      <c r="K15" s="98"/>
      <c r="L15" s="98">
        <v>64504</v>
      </c>
      <c r="M15" s="98"/>
      <c r="N15" s="98">
        <v>79270</v>
      </c>
      <c r="O15" s="98"/>
      <c r="P15" s="98">
        <v>74908</v>
      </c>
      <c r="Q15" s="98"/>
      <c r="R15" s="98">
        <v>104664</v>
      </c>
      <c r="U15" s="83">
        <v>7</v>
      </c>
      <c r="W15" s="39" t="s">
        <v>109</v>
      </c>
      <c r="Y15" s="87">
        <v>2078930</v>
      </c>
      <c r="Z15" s="87"/>
      <c r="AA15" s="87">
        <v>2396403</v>
      </c>
      <c r="AB15" s="87"/>
      <c r="AC15" s="87">
        <v>2496463</v>
      </c>
      <c r="AD15" s="87"/>
      <c r="AE15" s="87">
        <v>1853022</v>
      </c>
      <c r="AF15" s="87"/>
      <c r="AG15" s="87">
        <v>2341954</v>
      </c>
      <c r="AH15" s="87"/>
      <c r="AI15" s="87">
        <v>2219557</v>
      </c>
      <c r="AJ15" s="87"/>
      <c r="AK15" s="87">
        <v>3018129</v>
      </c>
    </row>
    <row r="16" spans="2:38" x14ac:dyDescent="0.3">
      <c r="B16" s="83">
        <v>8</v>
      </c>
      <c r="D16" s="39" t="s">
        <v>110</v>
      </c>
      <c r="F16" s="98"/>
      <c r="G16" s="98"/>
      <c r="H16" s="99">
        <f>H15/F15-1</f>
        <v>0.13501805054151617</v>
      </c>
      <c r="I16" s="99"/>
      <c r="J16" s="99">
        <f>J15/H15-1</f>
        <v>-6.3045256270447547E-3</v>
      </c>
      <c r="K16" s="99"/>
      <c r="L16" s="99">
        <f>L15/J15-1</f>
        <v>-0.26261760234118681</v>
      </c>
      <c r="M16" s="99"/>
      <c r="N16" s="99">
        <f>N15/L15-1</f>
        <v>0.22891603621480838</v>
      </c>
      <c r="O16" s="99"/>
      <c r="P16" s="99">
        <f>P15/N15-1</f>
        <v>-5.5027122492746328E-2</v>
      </c>
      <c r="Q16" s="99"/>
      <c r="R16" s="99">
        <f>R15/P15-1</f>
        <v>0.39723394030010151</v>
      </c>
      <c r="U16" s="83">
        <v>8</v>
      </c>
      <c r="W16" s="39" t="s">
        <v>110</v>
      </c>
      <c r="Y16" s="98"/>
      <c r="Z16" s="98"/>
      <c r="AA16" s="99">
        <f>AA15/Y15-1</f>
        <v>0.15270980744902429</v>
      </c>
      <c r="AB16" s="99"/>
      <c r="AC16" s="99">
        <f>AC15/AA15-1</f>
        <v>4.1754245842623217E-2</v>
      </c>
      <c r="AD16" s="99"/>
      <c r="AE16" s="99">
        <f>AE15/AC15-1</f>
        <v>-0.25774105204042674</v>
      </c>
      <c r="AF16" s="99"/>
      <c r="AG16" s="99">
        <f>AG15/AE15-1</f>
        <v>0.26385655432045607</v>
      </c>
      <c r="AH16" s="99"/>
      <c r="AI16" s="99">
        <f>AI15/AG15-1</f>
        <v>-5.2262768611168298E-2</v>
      </c>
      <c r="AJ16" s="99"/>
      <c r="AK16" s="99">
        <f>AK15/AI15-1</f>
        <v>0.35978891283260572</v>
      </c>
    </row>
    <row r="17" spans="2:37" x14ac:dyDescent="0.3">
      <c r="B17" s="83">
        <v>9</v>
      </c>
      <c r="D17" s="39" t="s">
        <v>111</v>
      </c>
      <c r="F17" s="98">
        <v>10403</v>
      </c>
      <c r="G17" s="98"/>
      <c r="H17" s="98">
        <v>11636</v>
      </c>
      <c r="I17" s="98"/>
      <c r="J17" s="98">
        <v>6638</v>
      </c>
      <c r="K17" s="98"/>
      <c r="L17" s="98">
        <v>4527</v>
      </c>
      <c r="M17" s="98"/>
      <c r="N17" s="98">
        <v>6129</v>
      </c>
      <c r="O17" s="98"/>
      <c r="P17" s="98">
        <v>11705</v>
      </c>
      <c r="Q17" s="98"/>
      <c r="R17" s="98">
        <v>6373</v>
      </c>
      <c r="U17" s="83">
        <v>9</v>
      </c>
      <c r="W17" s="39" t="s">
        <v>112</v>
      </c>
      <c r="Y17" s="87">
        <v>430563</v>
      </c>
      <c r="Z17" s="87"/>
      <c r="AA17" s="87">
        <v>497178</v>
      </c>
      <c r="AB17" s="87"/>
      <c r="AC17" s="87">
        <v>300698</v>
      </c>
      <c r="AD17" s="87"/>
      <c r="AE17" s="87">
        <v>208754</v>
      </c>
      <c r="AF17" s="87"/>
      <c r="AG17" s="87">
        <v>303434</v>
      </c>
      <c r="AH17" s="87"/>
      <c r="AI17" s="87">
        <v>621083</v>
      </c>
      <c r="AJ17" s="87"/>
      <c r="AK17" s="87">
        <v>277372</v>
      </c>
    </row>
    <row r="18" spans="2:37" x14ac:dyDescent="0.3">
      <c r="B18" s="83">
        <v>10</v>
      </c>
      <c r="D18" s="39" t="s">
        <v>110</v>
      </c>
      <c r="F18" s="98"/>
      <c r="G18" s="98"/>
      <c r="H18" s="99">
        <f>H17/F17-1</f>
        <v>0.11852350283572055</v>
      </c>
      <c r="I18" s="99"/>
      <c r="J18" s="99">
        <f>J17/H17-1</f>
        <v>-0.42952904778274326</v>
      </c>
      <c r="K18" s="99"/>
      <c r="L18" s="99">
        <f>L17/J17-1</f>
        <v>-0.3180174751431154</v>
      </c>
      <c r="M18" s="99"/>
      <c r="N18" s="99">
        <f>N17/L17-1</f>
        <v>0.35387673956262433</v>
      </c>
      <c r="O18" s="99"/>
      <c r="P18" s="99">
        <f>P17/N17-1</f>
        <v>0.90977320933268069</v>
      </c>
      <c r="Q18" s="99"/>
      <c r="R18" s="99">
        <f>R17/P17-1</f>
        <v>-0.45553182400683467</v>
      </c>
      <c r="U18" s="83">
        <v>10</v>
      </c>
      <c r="W18" s="39" t="s">
        <v>110</v>
      </c>
      <c r="Y18" s="98"/>
      <c r="Z18" s="98"/>
      <c r="AA18" s="99">
        <f>AA17/Y17-1</f>
        <v>0.1547160345872729</v>
      </c>
      <c r="AB18" s="99"/>
      <c r="AC18" s="99">
        <f>AC17/AA17-1</f>
        <v>-0.3951904549276114</v>
      </c>
      <c r="AD18" s="99"/>
      <c r="AE18" s="99">
        <f>AE17/AC17-1</f>
        <v>-0.30576857844082772</v>
      </c>
      <c r="AF18" s="99"/>
      <c r="AG18" s="99">
        <f>AG17/AE17-1</f>
        <v>0.45354819548367931</v>
      </c>
      <c r="AH18" s="99"/>
      <c r="AI18" s="99">
        <f>AI17/AG17-1</f>
        <v>1.0468470903062941</v>
      </c>
      <c r="AJ18" s="99"/>
      <c r="AK18" s="99">
        <f>AK17/AI17-1</f>
        <v>-0.55340590549089252</v>
      </c>
    </row>
    <row r="19" spans="2:37" x14ac:dyDescent="0.3"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2:37" x14ac:dyDescent="0.3">
      <c r="B20" s="83">
        <v>11</v>
      </c>
      <c r="D20" s="39" t="s">
        <v>114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U20" s="83">
        <v>11</v>
      </c>
      <c r="W20" s="39" t="s">
        <v>114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2:37" x14ac:dyDescent="0.3">
      <c r="B21" s="83">
        <v>12</v>
      </c>
      <c r="D21" s="39" t="s">
        <v>108</v>
      </c>
      <c r="F21" s="98">
        <v>1760</v>
      </c>
      <c r="G21" s="98"/>
      <c r="H21" s="98">
        <v>2335</v>
      </c>
      <c r="I21" s="98"/>
      <c r="J21" s="98">
        <v>5343</v>
      </c>
      <c r="K21" s="98"/>
      <c r="L21" s="98">
        <v>3666</v>
      </c>
      <c r="M21" s="98"/>
      <c r="N21" s="98">
        <v>3627</v>
      </c>
      <c r="O21" s="98"/>
      <c r="P21" s="98">
        <v>5048</v>
      </c>
      <c r="Q21" s="98"/>
      <c r="R21" s="98">
        <v>10625</v>
      </c>
      <c r="U21" s="83">
        <v>12</v>
      </c>
      <c r="W21" s="39" t="s">
        <v>109</v>
      </c>
      <c r="Y21" s="87">
        <v>72086</v>
      </c>
      <c r="Z21" s="87"/>
      <c r="AA21" s="87">
        <v>99061</v>
      </c>
      <c r="AB21" s="87"/>
      <c r="AC21" s="87">
        <v>190775</v>
      </c>
      <c r="AD21" s="87"/>
      <c r="AE21" s="87">
        <v>103601</v>
      </c>
      <c r="AF21" s="87"/>
      <c r="AG21" s="87">
        <v>277223</v>
      </c>
      <c r="AH21" s="87"/>
      <c r="AI21" s="87">
        <v>193196</v>
      </c>
      <c r="AJ21" s="87"/>
      <c r="AK21" s="87">
        <v>312204</v>
      </c>
    </row>
    <row r="22" spans="2:37" x14ac:dyDescent="0.3">
      <c r="B22" s="83">
        <v>13</v>
      </c>
      <c r="D22" s="39" t="s">
        <v>110</v>
      </c>
      <c r="F22" s="98"/>
      <c r="G22" s="98"/>
      <c r="H22" s="99">
        <f>H21/F21-1</f>
        <v>0.32670454545454541</v>
      </c>
      <c r="I22" s="99"/>
      <c r="J22" s="99">
        <f>J21/H21-1</f>
        <v>1.2882226980728051</v>
      </c>
      <c r="K22" s="99"/>
      <c r="L22" s="99">
        <f>L21/J21-1</f>
        <v>-0.31386861313868608</v>
      </c>
      <c r="M22" s="99"/>
      <c r="N22" s="99">
        <f>N21/L21-1</f>
        <v>-1.0638297872340385E-2</v>
      </c>
      <c r="O22" s="99"/>
      <c r="P22" s="99">
        <f>P21/N21-1</f>
        <v>0.39178384339674666</v>
      </c>
      <c r="Q22" s="99"/>
      <c r="R22" s="99">
        <f>R21/P21-1</f>
        <v>1.1047939778129954</v>
      </c>
      <c r="U22" s="83">
        <v>13</v>
      </c>
      <c r="W22" s="39" t="s">
        <v>110</v>
      </c>
      <c r="Y22" s="98"/>
      <c r="Z22" s="98"/>
      <c r="AA22" s="99">
        <f>AA21/Y21-1</f>
        <v>0.37420580972727024</v>
      </c>
      <c r="AB22" s="99"/>
      <c r="AC22" s="99">
        <f>AC21/AA21-1</f>
        <v>0.92583357729076021</v>
      </c>
      <c r="AD22" s="99"/>
      <c r="AE22" s="99">
        <f>AE21/AC21-1</f>
        <v>-0.45694666491940772</v>
      </c>
      <c r="AF22" s="99"/>
      <c r="AG22" s="99">
        <f>AG21/AE21-1</f>
        <v>1.6758718545187787</v>
      </c>
      <c r="AH22" s="99"/>
      <c r="AI22" s="99">
        <f>AI21/AG21-1</f>
        <v>-0.30310255642569339</v>
      </c>
      <c r="AJ22" s="99"/>
      <c r="AK22" s="99">
        <f>AK21/AI21-1</f>
        <v>0.61599619039731679</v>
      </c>
    </row>
    <row r="23" spans="2:37" x14ac:dyDescent="0.3">
      <c r="B23" s="83">
        <v>14</v>
      </c>
      <c r="D23" s="39" t="s">
        <v>111</v>
      </c>
      <c r="F23" s="98">
        <v>0</v>
      </c>
      <c r="G23" s="98"/>
      <c r="H23" s="98">
        <v>1</v>
      </c>
      <c r="I23" s="98"/>
      <c r="J23" s="98">
        <v>1</v>
      </c>
      <c r="K23" s="98"/>
      <c r="L23" s="98">
        <v>1</v>
      </c>
      <c r="M23" s="98"/>
      <c r="N23" s="98">
        <v>1</v>
      </c>
      <c r="O23" s="98"/>
      <c r="P23" s="98">
        <v>4</v>
      </c>
      <c r="Q23" s="98"/>
      <c r="R23" s="98">
        <v>13</v>
      </c>
      <c r="U23" s="83">
        <v>14</v>
      </c>
      <c r="W23" s="39" t="s">
        <v>112</v>
      </c>
      <c r="Y23" s="87">
        <v>0</v>
      </c>
      <c r="Z23" s="87"/>
      <c r="AA23" s="87">
        <v>25</v>
      </c>
      <c r="AB23" s="87"/>
      <c r="AC23" s="87">
        <v>67</v>
      </c>
      <c r="AD23" s="87"/>
      <c r="AE23" s="87">
        <v>66</v>
      </c>
      <c r="AF23" s="87"/>
      <c r="AG23" s="87">
        <v>26</v>
      </c>
      <c r="AH23" s="87"/>
      <c r="AI23" s="87">
        <v>205</v>
      </c>
      <c r="AJ23" s="87"/>
      <c r="AK23" s="87">
        <v>665</v>
      </c>
    </row>
    <row r="24" spans="2:37" x14ac:dyDescent="0.3">
      <c r="B24" s="83">
        <v>15</v>
      </c>
      <c r="D24" s="39" t="s">
        <v>110</v>
      </c>
      <c r="F24" s="98"/>
      <c r="G24" s="98"/>
      <c r="H24" s="99"/>
      <c r="I24" s="99"/>
      <c r="J24" s="99">
        <f>J23/H23-1</f>
        <v>0</v>
      </c>
      <c r="K24" s="99"/>
      <c r="L24" s="99">
        <f>L23/J23-1</f>
        <v>0</v>
      </c>
      <c r="M24" s="99"/>
      <c r="N24" s="99">
        <f>N23/L23-1</f>
        <v>0</v>
      </c>
      <c r="O24" s="99"/>
      <c r="P24" s="99">
        <f>P23/N23-1</f>
        <v>3</v>
      </c>
      <c r="Q24" s="99"/>
      <c r="R24" s="99">
        <f>R23/P23-1</f>
        <v>2.25</v>
      </c>
      <c r="U24" s="83">
        <v>15</v>
      </c>
      <c r="W24" s="39" t="s">
        <v>110</v>
      </c>
      <c r="Y24" s="98"/>
      <c r="Z24" s="98"/>
      <c r="AA24" s="99"/>
      <c r="AB24" s="99"/>
      <c r="AC24" s="99">
        <f>AC23/AA23-1</f>
        <v>1.6800000000000002</v>
      </c>
      <c r="AD24" s="99"/>
      <c r="AE24" s="99">
        <f>AE23/AC23-1</f>
        <v>-1.4925373134328401E-2</v>
      </c>
      <c r="AF24" s="99"/>
      <c r="AG24" s="99">
        <f>AG23/AE23-1</f>
        <v>-0.60606060606060608</v>
      </c>
      <c r="AH24" s="99"/>
      <c r="AI24" s="99">
        <f>AI23/AG23-1</f>
        <v>6.884615384615385</v>
      </c>
      <c r="AJ24" s="99"/>
      <c r="AK24" s="99">
        <f>AK23/AI23-1</f>
        <v>2.2439024390243905</v>
      </c>
    </row>
    <row r="25" spans="2:37" x14ac:dyDescent="0.3"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2:37" x14ac:dyDescent="0.3">
      <c r="B26" s="83">
        <v>16</v>
      </c>
      <c r="D26" s="39" t="s">
        <v>115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U26" s="83">
        <v>16</v>
      </c>
      <c r="W26" s="39" t="s">
        <v>115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 spans="2:37" x14ac:dyDescent="0.3">
      <c r="B27" s="83">
        <v>17</v>
      </c>
      <c r="D27" s="39" t="s">
        <v>108</v>
      </c>
      <c r="F27" s="98">
        <v>18091</v>
      </c>
      <c r="G27" s="98"/>
      <c r="H27" s="98">
        <v>16304</v>
      </c>
      <c r="I27" s="98"/>
      <c r="J27" s="98">
        <v>16243</v>
      </c>
      <c r="K27" s="98"/>
      <c r="L27" s="98">
        <v>15332</v>
      </c>
      <c r="M27" s="98"/>
      <c r="N27" s="98">
        <v>15744</v>
      </c>
      <c r="O27" s="98"/>
      <c r="P27" s="98">
        <v>15580</v>
      </c>
      <c r="Q27" s="98"/>
      <c r="R27" s="98">
        <v>24748</v>
      </c>
      <c r="U27" s="83">
        <v>17</v>
      </c>
      <c r="W27" s="39" t="s">
        <v>109</v>
      </c>
      <c r="Y27" s="87">
        <v>725229</v>
      </c>
      <c r="Z27" s="87"/>
      <c r="AA27" s="87">
        <v>686210</v>
      </c>
      <c r="AB27" s="87"/>
      <c r="AC27" s="87">
        <v>716623</v>
      </c>
      <c r="AD27" s="87"/>
      <c r="AE27" s="87">
        <v>709628</v>
      </c>
      <c r="AF27" s="87"/>
      <c r="AG27" s="87">
        <v>913667</v>
      </c>
      <c r="AH27" s="87"/>
      <c r="AI27" s="87">
        <v>941641</v>
      </c>
      <c r="AJ27" s="87"/>
      <c r="AK27" s="87">
        <v>1191455</v>
      </c>
    </row>
    <row r="28" spans="2:37" x14ac:dyDescent="0.3">
      <c r="B28" s="83">
        <v>18</v>
      </c>
      <c r="D28" s="39" t="s">
        <v>110</v>
      </c>
      <c r="F28" s="98"/>
      <c r="G28" s="98"/>
      <c r="H28" s="99">
        <f>H27/F27-1</f>
        <v>-9.8778398098501974E-2</v>
      </c>
      <c r="I28" s="99"/>
      <c r="J28" s="99">
        <f>J27/H27-1</f>
        <v>-3.7414131501471992E-3</v>
      </c>
      <c r="K28" s="99"/>
      <c r="L28" s="99">
        <f>L27/J27-1</f>
        <v>-5.6085698454719002E-2</v>
      </c>
      <c r="M28" s="99"/>
      <c r="N28" s="99">
        <f>N27/L27-1</f>
        <v>2.6871901904513384E-2</v>
      </c>
      <c r="O28" s="99"/>
      <c r="P28" s="99">
        <f>P27/N27-1</f>
        <v>-1.041666666666663E-2</v>
      </c>
      <c r="Q28" s="99"/>
      <c r="R28" s="99">
        <f>R27/P27-1</f>
        <v>0.58844672657252883</v>
      </c>
      <c r="U28" s="83">
        <v>18</v>
      </c>
      <c r="W28" s="39" t="s">
        <v>110</v>
      </c>
      <c r="Y28" s="98"/>
      <c r="Z28" s="98"/>
      <c r="AA28" s="99">
        <f>AA27/Y27-1</f>
        <v>-5.3802316233906855E-2</v>
      </c>
      <c r="AB28" s="99"/>
      <c r="AC28" s="99">
        <f>AC27/AA27-1</f>
        <v>4.4320251817956624E-2</v>
      </c>
      <c r="AD28" s="99"/>
      <c r="AE28" s="99">
        <f>AE27/AC27-1</f>
        <v>-9.7610598599263687E-3</v>
      </c>
      <c r="AF28" s="99"/>
      <c r="AG28" s="99">
        <f>AG27/AE27-1</f>
        <v>0.28752952251038577</v>
      </c>
      <c r="AH28" s="99"/>
      <c r="AI28" s="99">
        <f>AI27/AG27-1</f>
        <v>3.0617281788660522E-2</v>
      </c>
      <c r="AJ28" s="99"/>
      <c r="AK28" s="99">
        <f>AK27/AI27-1</f>
        <v>0.26529643462848362</v>
      </c>
    </row>
    <row r="29" spans="2:37" x14ac:dyDescent="0.3">
      <c r="B29" s="83">
        <v>19</v>
      </c>
      <c r="D29" s="39" t="s">
        <v>111</v>
      </c>
      <c r="F29" s="98">
        <v>30</v>
      </c>
      <c r="G29" s="98"/>
      <c r="H29" s="98">
        <v>13</v>
      </c>
      <c r="I29" s="98"/>
      <c r="J29" s="98">
        <v>20</v>
      </c>
      <c r="K29" s="98"/>
      <c r="L29" s="98">
        <v>5</v>
      </c>
      <c r="M29" s="98"/>
      <c r="N29" s="98">
        <v>4</v>
      </c>
      <c r="O29" s="98"/>
      <c r="P29" s="98">
        <v>2</v>
      </c>
      <c r="Q29" s="98"/>
      <c r="R29" s="98">
        <v>390</v>
      </c>
      <c r="U29" s="83">
        <v>19</v>
      </c>
      <c r="W29" s="39" t="s">
        <v>112</v>
      </c>
      <c r="Y29" s="87">
        <v>1054</v>
      </c>
      <c r="Z29" s="87"/>
      <c r="AA29" s="87">
        <v>413</v>
      </c>
      <c r="AB29" s="87"/>
      <c r="AC29" s="87">
        <v>782</v>
      </c>
      <c r="AD29" s="87"/>
      <c r="AE29" s="87">
        <v>343</v>
      </c>
      <c r="AF29" s="87"/>
      <c r="AG29" s="87">
        <v>141</v>
      </c>
      <c r="AH29" s="87"/>
      <c r="AI29" s="87">
        <v>77</v>
      </c>
      <c r="AJ29" s="87"/>
      <c r="AK29" s="87">
        <v>16380</v>
      </c>
    </row>
    <row r="30" spans="2:37" x14ac:dyDescent="0.3">
      <c r="B30" s="83">
        <v>20</v>
      </c>
      <c r="D30" s="39" t="s">
        <v>110</v>
      </c>
      <c r="F30" s="98"/>
      <c r="G30" s="98"/>
      <c r="H30" s="99">
        <f>H29/F29-1</f>
        <v>-0.56666666666666665</v>
      </c>
      <c r="I30" s="99"/>
      <c r="J30" s="99">
        <f>J29/H29-1</f>
        <v>0.53846153846153855</v>
      </c>
      <c r="K30" s="99"/>
      <c r="L30" s="99">
        <f>L29/J29-1</f>
        <v>-0.75</v>
      </c>
      <c r="M30" s="99"/>
      <c r="N30" s="99">
        <f>N29/L29-1</f>
        <v>-0.19999999999999996</v>
      </c>
      <c r="O30" s="99"/>
      <c r="P30" s="99">
        <f>P29/N29-1</f>
        <v>-0.5</v>
      </c>
      <c r="Q30" s="99"/>
      <c r="R30" s="99">
        <f>R29/P29-1</f>
        <v>194</v>
      </c>
      <c r="U30" s="83">
        <v>20</v>
      </c>
      <c r="W30" s="39" t="s">
        <v>110</v>
      </c>
      <c r="Y30" s="98"/>
      <c r="Z30" s="98"/>
      <c r="AA30" s="99">
        <f>AA29/Y29-1</f>
        <v>-0.60815939278937381</v>
      </c>
      <c r="AB30" s="99"/>
      <c r="AC30" s="99">
        <f>AC29/AA29-1</f>
        <v>0.89346246973365617</v>
      </c>
      <c r="AD30" s="99"/>
      <c r="AE30" s="99">
        <f>AE29/AC29-1</f>
        <v>-0.5613810741687979</v>
      </c>
      <c r="AF30" s="99"/>
      <c r="AG30" s="99">
        <f>AG29/AE29-1</f>
        <v>-0.58892128279883382</v>
      </c>
      <c r="AH30" s="99"/>
      <c r="AI30" s="99">
        <f>AI29/AG29-1</f>
        <v>-0.45390070921985815</v>
      </c>
      <c r="AJ30" s="99"/>
      <c r="AK30" s="99">
        <f>AK29/AI29-1</f>
        <v>211.72727272727272</v>
      </c>
    </row>
    <row r="31" spans="2:37" x14ac:dyDescent="0.3"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 spans="2:37" x14ac:dyDescent="0.3">
      <c r="B32" s="83">
        <v>26</v>
      </c>
      <c r="D32" s="39" t="s">
        <v>116</v>
      </c>
      <c r="F32" s="98">
        <f>SUM(F9,F15,F21,F27)</f>
        <v>169778</v>
      </c>
      <c r="G32" s="98"/>
      <c r="H32" s="98">
        <f>SUM(H9,H15,H21,H27)</f>
        <v>171990</v>
      </c>
      <c r="I32" s="98"/>
      <c r="J32" s="98">
        <f>SUM(J9,J15,J21,J27)</f>
        <v>180526</v>
      </c>
      <c r="K32" s="98"/>
      <c r="L32" s="98">
        <f>SUM(L9,L15,L21,L27)</f>
        <v>156129</v>
      </c>
      <c r="M32" s="98"/>
      <c r="N32" s="98">
        <f>SUM(N9,N15,N21,N27)</f>
        <v>174150</v>
      </c>
      <c r="O32" s="98"/>
      <c r="P32" s="98">
        <f>SUM(P9,P15,P21,P27)</f>
        <v>170347</v>
      </c>
      <c r="Q32" s="98"/>
      <c r="R32" s="98">
        <f>SUM(R9,R15,R21,R27)</f>
        <v>226568</v>
      </c>
      <c r="U32" s="83">
        <v>26</v>
      </c>
      <c r="W32" s="39" t="s">
        <v>117</v>
      </c>
      <c r="Y32" s="98">
        <f>SUM(Y9,Y15,Y21,Y27)</f>
        <v>5045354</v>
      </c>
      <c r="Z32" s="98"/>
      <c r="AA32" s="98">
        <f>SUM(AA9,AA15,AA21,AA27)</f>
        <v>5125093</v>
      </c>
      <c r="AB32" s="98"/>
      <c r="AC32" s="98">
        <f>SUM(AC9,AC15,AC21,AC27)</f>
        <v>5548785</v>
      </c>
      <c r="AD32" s="98"/>
      <c r="AE32" s="98">
        <f>SUM(AE9,AE15,AE21,AE27)</f>
        <v>4854722</v>
      </c>
      <c r="AF32" s="98"/>
      <c r="AG32" s="98">
        <f>SUM(AG9,AG15,AG21,AG27)</f>
        <v>5830697</v>
      </c>
      <c r="AH32" s="98"/>
      <c r="AI32" s="98">
        <f>SUM(AI9,AI15,AI21,AI27)</f>
        <v>5715671</v>
      </c>
      <c r="AJ32" s="98"/>
      <c r="AK32" s="98">
        <f>SUM(AK9,AK15,AK21,AK27)</f>
        <v>7254526</v>
      </c>
    </row>
    <row r="33" spans="2:37" x14ac:dyDescent="0.3">
      <c r="B33" s="83">
        <v>27</v>
      </c>
      <c r="D33" s="39" t="s">
        <v>118</v>
      </c>
      <c r="F33" s="98"/>
      <c r="G33" s="98"/>
      <c r="H33" s="99">
        <f>H32/F32-1</f>
        <v>1.30287787581429E-2</v>
      </c>
      <c r="I33" s="99"/>
      <c r="J33" s="99">
        <f>J32/H32-1</f>
        <v>4.9630792487935338E-2</v>
      </c>
      <c r="K33" s="99"/>
      <c r="L33" s="99">
        <f>L32/J32-1</f>
        <v>-0.13514396818186858</v>
      </c>
      <c r="M33" s="99"/>
      <c r="N33" s="99">
        <f>N32/L32-1</f>
        <v>0.11542378417846777</v>
      </c>
      <c r="O33" s="99"/>
      <c r="P33" s="99">
        <f>P32/N32-1</f>
        <v>-2.1837496411139856E-2</v>
      </c>
      <c r="Q33" s="99"/>
      <c r="R33" s="99">
        <f>R32/P32-1</f>
        <v>0.33003809870440914</v>
      </c>
      <c r="U33" s="83">
        <v>27</v>
      </c>
      <c r="W33" s="39" t="s">
        <v>118</v>
      </c>
      <c r="Y33" s="98"/>
      <c r="Z33" s="98"/>
      <c r="AA33" s="99">
        <f>AA32/Y32-1</f>
        <v>1.5804441075888853E-2</v>
      </c>
      <c r="AB33" s="99"/>
      <c r="AC33" s="99">
        <f>AC32/AA32-1</f>
        <v>8.2670109596060026E-2</v>
      </c>
      <c r="AD33" s="99"/>
      <c r="AE33" s="99">
        <f>AE32/AC32-1</f>
        <v>-0.12508377960220118</v>
      </c>
      <c r="AF33" s="99"/>
      <c r="AG33" s="99">
        <f>AG32/AE32-1</f>
        <v>0.20103622823304823</v>
      </c>
      <c r="AH33" s="99"/>
      <c r="AI33" s="99">
        <f>AI32/AG32-1</f>
        <v>-1.9727658631549572E-2</v>
      </c>
      <c r="AJ33" s="99"/>
      <c r="AK33" s="99">
        <f>AK32/AI32-1</f>
        <v>0.26923435586128042</v>
      </c>
    </row>
    <row r="34" spans="2:37" x14ac:dyDescent="0.3">
      <c r="B34" s="83">
        <v>28</v>
      </c>
      <c r="D34" s="39" t="s">
        <v>119</v>
      </c>
      <c r="F34" s="100">
        <f>SUM(F11,F17,F23,F29)</f>
        <v>17821</v>
      </c>
      <c r="G34" s="98"/>
      <c r="H34" s="100">
        <f>SUM(H11,H17,H23,H29)</f>
        <v>18666</v>
      </c>
      <c r="I34" s="98"/>
      <c r="J34" s="100">
        <f>SUM(J11,J17,J23,J29)</f>
        <v>12225</v>
      </c>
      <c r="K34" s="98"/>
      <c r="L34" s="100">
        <f>SUM(L11,L17,L23,L29)</f>
        <v>9673</v>
      </c>
      <c r="M34" s="98"/>
      <c r="N34" s="100">
        <f>SUM(N11,N17,N23,N29)</f>
        <v>12332</v>
      </c>
      <c r="O34" s="98"/>
      <c r="P34" s="100">
        <f>SUM(P11,P17,P23,P29)</f>
        <v>16928</v>
      </c>
      <c r="Q34" s="98"/>
      <c r="R34" s="100">
        <f>SUM(R11,R17,R23,R29)</f>
        <v>12646</v>
      </c>
      <c r="U34" s="83">
        <v>28</v>
      </c>
      <c r="W34" s="39" t="s">
        <v>120</v>
      </c>
      <c r="Y34" s="100">
        <f>SUM(Y11,Y17,Y23,Y29)</f>
        <v>788792</v>
      </c>
      <c r="Z34" s="98"/>
      <c r="AA34" s="100">
        <f>SUM(AA11,AA17,AA23,AA29)</f>
        <v>861975</v>
      </c>
      <c r="AB34" s="98"/>
      <c r="AC34" s="100">
        <f>SUM(AC11,AC17,AC23,AC29)</f>
        <v>604158</v>
      </c>
      <c r="AD34" s="98"/>
      <c r="AE34" s="100">
        <f>SUM(AE11,AE17,AE23,AE29)</f>
        <v>490542</v>
      </c>
      <c r="AF34" s="98"/>
      <c r="AG34" s="100">
        <f>SUM(AG11,AG17,AG23,AG29)</f>
        <v>653640</v>
      </c>
      <c r="AH34" s="98"/>
      <c r="AI34" s="100">
        <f>SUM(AI11,AI17,AI23,AI29)</f>
        <v>947639</v>
      </c>
      <c r="AJ34" s="98"/>
      <c r="AK34" s="100">
        <f>SUM(AK11,AK17,AK23,AK29)</f>
        <v>547924</v>
      </c>
    </row>
    <row r="35" spans="2:37" x14ac:dyDescent="0.3">
      <c r="B35" s="83">
        <v>29</v>
      </c>
      <c r="D35" s="39" t="s">
        <v>118</v>
      </c>
      <c r="F35" s="101"/>
      <c r="G35" s="98"/>
      <c r="H35" s="102">
        <f>H34/F34-1</f>
        <v>4.7415969923124468E-2</v>
      </c>
      <c r="I35" s="99"/>
      <c r="J35" s="102">
        <f>J34/H34-1</f>
        <v>-0.34506589521054321</v>
      </c>
      <c r="K35" s="99"/>
      <c r="L35" s="102">
        <f>L34/J34-1</f>
        <v>-0.20875255623721878</v>
      </c>
      <c r="M35" s="99"/>
      <c r="N35" s="102">
        <f>N34/L34-1</f>
        <v>0.27488886591543471</v>
      </c>
      <c r="O35" s="99"/>
      <c r="P35" s="102">
        <f>P34/N34-1</f>
        <v>0.37268893934479408</v>
      </c>
      <c r="Q35" s="99"/>
      <c r="R35" s="102">
        <f>R34/P34-1</f>
        <v>-0.25295368620037806</v>
      </c>
      <c r="U35" s="83">
        <v>29</v>
      </c>
      <c r="W35" s="39" t="s">
        <v>118</v>
      </c>
      <c r="Y35" s="101"/>
      <c r="Z35" s="98"/>
      <c r="AA35" s="102">
        <f>AA34/Y34-1</f>
        <v>9.2778577876043267E-2</v>
      </c>
      <c r="AB35" s="99"/>
      <c r="AC35" s="102">
        <f>AC34/AA34-1</f>
        <v>-0.29910032193509095</v>
      </c>
      <c r="AD35" s="99"/>
      <c r="AE35" s="102">
        <f>AE34/AC34-1</f>
        <v>-0.18805676660741066</v>
      </c>
      <c r="AF35" s="99"/>
      <c r="AG35" s="102">
        <f>AG34/AE34-1</f>
        <v>0.33248529177929709</v>
      </c>
      <c r="AH35" s="99"/>
      <c r="AI35" s="102">
        <f>AI34/AG34-1</f>
        <v>0.44978734471574566</v>
      </c>
      <c r="AJ35" s="99"/>
      <c r="AK35" s="102">
        <f>AK34/AI34-1</f>
        <v>-0.42180091786007123</v>
      </c>
    </row>
    <row r="36" spans="2:37" x14ac:dyDescent="0.3">
      <c r="B36" s="83">
        <v>30</v>
      </c>
      <c r="D36" s="39" t="s">
        <v>121</v>
      </c>
      <c r="F36" s="98">
        <f>SUM(F32:F34)</f>
        <v>187599</v>
      </c>
      <c r="G36" s="98"/>
      <c r="H36" s="98">
        <f>SUM(H32:H34)</f>
        <v>190656.01302877875</v>
      </c>
      <c r="I36" s="98"/>
      <c r="J36" s="98">
        <f>SUM(J32:J34)</f>
        <v>192751.04963079249</v>
      </c>
      <c r="K36" s="98"/>
      <c r="L36" s="98">
        <f>SUM(L32:L34)</f>
        <v>165801.86485603181</v>
      </c>
      <c r="M36" s="98"/>
      <c r="N36" s="98">
        <f>SUM(N32:N34)</f>
        <v>186482.11542378418</v>
      </c>
      <c r="O36" s="98"/>
      <c r="P36" s="98">
        <f>SUM(P32:P34)</f>
        <v>187274.9781625036</v>
      </c>
      <c r="Q36" s="98"/>
      <c r="R36" s="98">
        <f>SUM(R32:R34)</f>
        <v>239214.33003809871</v>
      </c>
      <c r="U36" s="83">
        <v>30</v>
      </c>
      <c r="W36" s="39" t="s">
        <v>122</v>
      </c>
      <c r="Y36" s="87">
        <f>SUM(Y32:Y34)</f>
        <v>5834146</v>
      </c>
      <c r="Z36" s="87"/>
      <c r="AA36" s="87">
        <f>SUM(AA32:AA34)</f>
        <v>5987068.0158044407</v>
      </c>
      <c r="AB36" s="87"/>
      <c r="AC36" s="87">
        <f>SUM(AC32:AC34)</f>
        <v>6152943.0826701093</v>
      </c>
      <c r="AD36" s="87"/>
      <c r="AE36" s="87">
        <f>SUM(AE32:AE34)</f>
        <v>5345263.8749162201</v>
      </c>
      <c r="AF36" s="87"/>
      <c r="AG36" s="87">
        <f>SUM(AG32:AG34)</f>
        <v>6484337.2010362279</v>
      </c>
      <c r="AH36" s="87"/>
      <c r="AI36" s="87">
        <f>SUM(AI32:AI34)</f>
        <v>6663309.9802723415</v>
      </c>
      <c r="AJ36" s="87"/>
      <c r="AK36" s="87">
        <f>SUM(AK32:AK34)</f>
        <v>7802450.2692343555</v>
      </c>
    </row>
    <row r="37" spans="2:37" x14ac:dyDescent="0.3"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</row>
    <row r="38" spans="2:37" x14ac:dyDescent="0.3">
      <c r="B38" s="83">
        <v>21</v>
      </c>
      <c r="D38" s="39" t="s">
        <v>123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U38" s="83">
        <v>21</v>
      </c>
      <c r="W38" s="39" t="s">
        <v>123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 spans="2:37" x14ac:dyDescent="0.3">
      <c r="B39" s="83">
        <v>22</v>
      </c>
      <c r="D39" s="39" t="s">
        <v>108</v>
      </c>
      <c r="F39" s="98">
        <v>103572</v>
      </c>
      <c r="G39" s="98"/>
      <c r="H39" s="98">
        <v>115692</v>
      </c>
      <c r="I39" s="98"/>
      <c r="J39" s="98">
        <v>129418</v>
      </c>
      <c r="K39" s="98"/>
      <c r="L39" s="98">
        <v>116699</v>
      </c>
      <c r="M39" s="98"/>
      <c r="N39" s="98">
        <v>138649</v>
      </c>
      <c r="O39" s="98"/>
      <c r="P39" s="98">
        <v>129739</v>
      </c>
      <c r="Q39" s="98"/>
      <c r="R39" s="98">
        <v>90585</v>
      </c>
      <c r="U39" s="83">
        <v>22</v>
      </c>
      <c r="W39" s="39" t="s">
        <v>109</v>
      </c>
      <c r="Y39" s="87">
        <v>3140690</v>
      </c>
      <c r="Z39" s="87"/>
      <c r="AA39" s="87">
        <v>3513957</v>
      </c>
      <c r="AB39" s="87"/>
      <c r="AC39" s="87">
        <v>4065350</v>
      </c>
      <c r="AD39" s="87"/>
      <c r="AE39" s="87">
        <v>3803187</v>
      </c>
      <c r="AF39" s="87"/>
      <c r="AG39" s="87">
        <v>4714656</v>
      </c>
      <c r="AH39" s="87"/>
      <c r="AI39" s="87">
        <v>4464980</v>
      </c>
      <c r="AJ39" s="87"/>
      <c r="AK39" s="87">
        <v>2659902</v>
      </c>
    </row>
    <row r="40" spans="2:37" x14ac:dyDescent="0.3">
      <c r="B40" s="83">
        <v>23</v>
      </c>
      <c r="D40" s="39" t="s">
        <v>110</v>
      </c>
      <c r="F40" s="98"/>
      <c r="G40" s="98"/>
      <c r="H40" s="99">
        <f>H39/F39-1</f>
        <v>0.11702004402734323</v>
      </c>
      <c r="I40" s="99"/>
      <c r="J40" s="99">
        <f>J39/H39-1</f>
        <v>0.11864260277287975</v>
      </c>
      <c r="K40" s="99"/>
      <c r="L40" s="99">
        <f>L39/J39-1</f>
        <v>-9.8278446583937362E-2</v>
      </c>
      <c r="M40" s="99"/>
      <c r="N40" s="99">
        <f>N39/L39-1</f>
        <v>0.18809072914078095</v>
      </c>
      <c r="O40" s="99"/>
      <c r="P40" s="99">
        <f>P39/N39-1</f>
        <v>-6.4262995045041849E-2</v>
      </c>
      <c r="Q40" s="99"/>
      <c r="R40" s="99">
        <f>R39/P39-1</f>
        <v>-0.30179051788590938</v>
      </c>
      <c r="U40" s="83">
        <v>23</v>
      </c>
      <c r="W40" s="39" t="s">
        <v>110</v>
      </c>
      <c r="Y40" s="98"/>
      <c r="Z40" s="98"/>
      <c r="AA40" s="99">
        <f>AA39/Y39-1</f>
        <v>0.11884872432490945</v>
      </c>
      <c r="AB40" s="99"/>
      <c r="AC40" s="99">
        <f>AC39/AA39-1</f>
        <v>0.15691512445940581</v>
      </c>
      <c r="AD40" s="99"/>
      <c r="AE40" s="99">
        <f>AE39/AC39-1</f>
        <v>-6.4487190524801008E-2</v>
      </c>
      <c r="AF40" s="99"/>
      <c r="AG40" s="99">
        <f>AG39/AE39-1</f>
        <v>0.23965926471667043</v>
      </c>
      <c r="AH40" s="99"/>
      <c r="AI40" s="99">
        <f>AI39/AG39-1</f>
        <v>-5.295741619324934E-2</v>
      </c>
      <c r="AJ40" s="99"/>
      <c r="AK40" s="99">
        <f>AK39/AI39-1</f>
        <v>-0.40427459921433018</v>
      </c>
    </row>
    <row r="41" spans="2:37" x14ac:dyDescent="0.3">
      <c r="B41" s="83">
        <v>24</v>
      </c>
      <c r="D41" s="39" t="s">
        <v>111</v>
      </c>
      <c r="F41" s="103">
        <v>12421</v>
      </c>
      <c r="G41" s="98"/>
      <c r="H41" s="103">
        <v>11724</v>
      </c>
      <c r="I41" s="98"/>
      <c r="J41" s="103">
        <v>7193</v>
      </c>
      <c r="K41" s="98"/>
      <c r="L41" s="103">
        <v>9250</v>
      </c>
      <c r="M41" s="98"/>
      <c r="N41" s="103">
        <v>12840</v>
      </c>
      <c r="O41" s="98"/>
      <c r="P41" s="103">
        <v>14493</v>
      </c>
      <c r="Q41" s="98"/>
      <c r="R41" s="103">
        <v>3388</v>
      </c>
      <c r="U41" s="83">
        <v>24</v>
      </c>
      <c r="W41" s="39" t="s">
        <v>112</v>
      </c>
      <c r="Y41" s="104">
        <v>530616</v>
      </c>
      <c r="Z41" s="87"/>
      <c r="AA41" s="104">
        <v>509950</v>
      </c>
      <c r="AB41" s="87"/>
      <c r="AC41" s="104">
        <v>320802</v>
      </c>
      <c r="AD41" s="87"/>
      <c r="AE41" s="104">
        <v>433735</v>
      </c>
      <c r="AF41" s="87"/>
      <c r="AG41" s="104">
        <v>644560</v>
      </c>
      <c r="AH41" s="87"/>
      <c r="AI41" s="104">
        <v>729005</v>
      </c>
      <c r="AJ41" s="87"/>
      <c r="AK41" s="104">
        <v>143550</v>
      </c>
    </row>
    <row r="42" spans="2:37" x14ac:dyDescent="0.3">
      <c r="B42" s="83">
        <v>25</v>
      </c>
      <c r="D42" s="39" t="s">
        <v>110</v>
      </c>
      <c r="F42" s="101"/>
      <c r="G42" s="98"/>
      <c r="H42" s="102">
        <f>H41/F41-1</f>
        <v>-5.6114644553578619E-2</v>
      </c>
      <c r="I42" s="99"/>
      <c r="J42" s="102">
        <f>J41/H41-1</f>
        <v>-0.38647219379051523</v>
      </c>
      <c r="K42" s="99"/>
      <c r="L42" s="102">
        <f>L41/J41-1</f>
        <v>0.28597247323787012</v>
      </c>
      <c r="M42" s="99"/>
      <c r="N42" s="102">
        <f>N41/L41-1</f>
        <v>0.38810810810810814</v>
      </c>
      <c r="O42" s="99"/>
      <c r="P42" s="102">
        <f>P41/N41-1</f>
        <v>0.12873831775700939</v>
      </c>
      <c r="Q42" s="99"/>
      <c r="R42" s="102">
        <f>R41/P41-1</f>
        <v>-0.76623197405644106</v>
      </c>
      <c r="U42" s="83">
        <v>25</v>
      </c>
      <c r="W42" s="39" t="s">
        <v>110</v>
      </c>
      <c r="Y42" s="101"/>
      <c r="Z42" s="98"/>
      <c r="AA42" s="102">
        <f>AA41/Y41-1</f>
        <v>-3.8947185912222793E-2</v>
      </c>
      <c r="AB42" s="99"/>
      <c r="AC42" s="102">
        <f>AC41/AA41-1</f>
        <v>-0.37091479556819296</v>
      </c>
      <c r="AD42" s="99"/>
      <c r="AE42" s="102">
        <f>AE41/AC41-1</f>
        <v>0.35203334143802101</v>
      </c>
      <c r="AF42" s="99"/>
      <c r="AG42" s="102">
        <f>AG41/AE41-1</f>
        <v>0.48606868249046076</v>
      </c>
      <c r="AH42" s="99"/>
      <c r="AI42" s="102">
        <f>AI41/AG41-1</f>
        <v>0.13101185304703988</v>
      </c>
      <c r="AJ42" s="99"/>
      <c r="AK42" s="102">
        <f>AK41/AI41-1</f>
        <v>-0.80308777031707601</v>
      </c>
    </row>
    <row r="43" spans="2:37" x14ac:dyDescent="0.3"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</row>
    <row r="44" spans="2:37" x14ac:dyDescent="0.3">
      <c r="B44" s="83">
        <v>26</v>
      </c>
      <c r="D44" s="39" t="s">
        <v>124</v>
      </c>
      <c r="F44" s="98">
        <f>F32+F39</f>
        <v>273350</v>
      </c>
      <c r="G44" s="98"/>
      <c r="H44" s="98">
        <f>H32+H39</f>
        <v>287682</v>
      </c>
      <c r="I44" s="98"/>
      <c r="J44" s="98">
        <f>J32+J39</f>
        <v>309944</v>
      </c>
      <c r="K44" s="98"/>
      <c r="L44" s="98">
        <f>L32+L39</f>
        <v>272828</v>
      </c>
      <c r="M44" s="98"/>
      <c r="N44" s="98">
        <f>N32+N39</f>
        <v>312799</v>
      </c>
      <c r="O44" s="98"/>
      <c r="P44" s="98">
        <f>P32+P39</f>
        <v>300086</v>
      </c>
      <c r="Q44" s="98"/>
      <c r="R44" s="98">
        <f>R32+R39</f>
        <v>317153</v>
      </c>
      <c r="U44" s="83">
        <v>26</v>
      </c>
      <c r="W44" s="39" t="s">
        <v>125</v>
      </c>
      <c r="Y44" s="87">
        <f>Y32+Y39</f>
        <v>8186044</v>
      </c>
      <c r="Z44" s="87"/>
      <c r="AA44" s="87">
        <f>AA32+AA39</f>
        <v>8639050</v>
      </c>
      <c r="AB44" s="87"/>
      <c r="AC44" s="87">
        <f>AC32+AC39</f>
        <v>9614135</v>
      </c>
      <c r="AD44" s="87"/>
      <c r="AE44" s="87">
        <f>AE32+AE39</f>
        <v>8657909</v>
      </c>
      <c r="AF44" s="87"/>
      <c r="AG44" s="87">
        <f>AG32+AG39</f>
        <v>10545353</v>
      </c>
      <c r="AH44" s="87"/>
      <c r="AI44" s="87">
        <f>AI32+AI39</f>
        <v>10180651</v>
      </c>
      <c r="AJ44" s="87"/>
      <c r="AK44" s="87">
        <f>AK32+AK39</f>
        <v>9914428</v>
      </c>
    </row>
    <row r="45" spans="2:37" x14ac:dyDescent="0.3">
      <c r="B45" s="83">
        <v>27</v>
      </c>
      <c r="D45" s="39" t="s">
        <v>118</v>
      </c>
      <c r="F45" s="98"/>
      <c r="G45" s="98"/>
      <c r="H45" s="99">
        <f>H44/F44-1</f>
        <v>5.2430949332357812E-2</v>
      </c>
      <c r="I45" s="99"/>
      <c r="J45" s="99">
        <f>J44/H44-1</f>
        <v>7.7384056006284618E-2</v>
      </c>
      <c r="K45" s="99"/>
      <c r="L45" s="99">
        <f>L44/J44-1</f>
        <v>-0.11975066463619233</v>
      </c>
      <c r="M45" s="99"/>
      <c r="N45" s="99">
        <f>N44/L44-1</f>
        <v>0.14650622370137967</v>
      </c>
      <c r="O45" s="99"/>
      <c r="P45" s="99">
        <f>P44/N44-1</f>
        <v>-4.0642713052151724E-2</v>
      </c>
      <c r="Q45" s="99"/>
      <c r="R45" s="99">
        <f>R44/P44-1</f>
        <v>5.6873696207087265E-2</v>
      </c>
      <c r="U45" s="83">
        <v>27</v>
      </c>
      <c r="W45" s="39" t="s">
        <v>118</v>
      </c>
      <c r="Y45" s="98"/>
      <c r="Z45" s="98"/>
      <c r="AA45" s="99">
        <f>AA44/Y44-1</f>
        <v>5.5338818115319155E-2</v>
      </c>
      <c r="AB45" s="99"/>
      <c r="AC45" s="99">
        <f>AC44/AA44-1</f>
        <v>0.11286947060151298</v>
      </c>
      <c r="AD45" s="99"/>
      <c r="AE45" s="99">
        <f>AE44/AC44-1</f>
        <v>-9.9460429877466838E-2</v>
      </c>
      <c r="AF45" s="99"/>
      <c r="AG45" s="99">
        <f>AG44/AE44-1</f>
        <v>0.21800229131537407</v>
      </c>
      <c r="AH45" s="99"/>
      <c r="AI45" s="99">
        <f>AI44/AG44-1</f>
        <v>-3.458414336627702E-2</v>
      </c>
      <c r="AJ45" s="99"/>
      <c r="AK45" s="99">
        <f>AK44/AI44-1</f>
        <v>-2.61498994514201E-2</v>
      </c>
    </row>
    <row r="46" spans="2:37" x14ac:dyDescent="0.3">
      <c r="B46" s="83">
        <v>28</v>
      </c>
      <c r="D46" s="39" t="s">
        <v>126</v>
      </c>
      <c r="F46" s="100">
        <f>F34+F41</f>
        <v>30242</v>
      </c>
      <c r="G46" s="98"/>
      <c r="H46" s="100">
        <f>H34+H41</f>
        <v>30390</v>
      </c>
      <c r="I46" s="98"/>
      <c r="J46" s="100">
        <f>J34+J41</f>
        <v>19418</v>
      </c>
      <c r="K46" s="98"/>
      <c r="L46" s="100">
        <f>L34+L41</f>
        <v>18923</v>
      </c>
      <c r="M46" s="98"/>
      <c r="N46" s="100">
        <f>N34+N41</f>
        <v>25172</v>
      </c>
      <c r="O46" s="98"/>
      <c r="P46" s="100">
        <f>P34+P41</f>
        <v>31421</v>
      </c>
      <c r="Q46" s="98"/>
      <c r="R46" s="100">
        <f>R34+R41</f>
        <v>16034</v>
      </c>
      <c r="U46" s="83">
        <v>28</v>
      </c>
      <c r="W46" s="39" t="s">
        <v>127</v>
      </c>
      <c r="Y46" s="104">
        <f>Y34+Y41</f>
        <v>1319408</v>
      </c>
      <c r="Z46" s="87"/>
      <c r="AA46" s="104">
        <f>AA34+AA41</f>
        <v>1371925</v>
      </c>
      <c r="AB46" s="87"/>
      <c r="AC46" s="104">
        <f>AC34+AC41</f>
        <v>924960</v>
      </c>
      <c r="AD46" s="87"/>
      <c r="AE46" s="104">
        <f>AE34+AE41</f>
        <v>924277</v>
      </c>
      <c r="AF46" s="87"/>
      <c r="AG46" s="104">
        <f>AG34+AG41</f>
        <v>1298200</v>
      </c>
      <c r="AH46" s="87"/>
      <c r="AI46" s="104">
        <f>AI34+AI41</f>
        <v>1676644</v>
      </c>
      <c r="AJ46" s="87"/>
      <c r="AK46" s="104">
        <f>AK34+AK41</f>
        <v>691474</v>
      </c>
    </row>
    <row r="47" spans="2:37" x14ac:dyDescent="0.3">
      <c r="B47" s="83">
        <v>29</v>
      </c>
      <c r="D47" s="39" t="s">
        <v>118</v>
      </c>
      <c r="F47" s="101"/>
      <c r="G47" s="98"/>
      <c r="H47" s="102">
        <f>H46/F46-1</f>
        <v>4.8938562264400076E-3</v>
      </c>
      <c r="I47" s="99"/>
      <c r="J47" s="102">
        <f>J46/H46-1</f>
        <v>-0.36103981572885813</v>
      </c>
      <c r="K47" s="99"/>
      <c r="L47" s="102">
        <f>L46/J46-1</f>
        <v>-2.5491811721083502E-2</v>
      </c>
      <c r="M47" s="99"/>
      <c r="N47" s="102">
        <f>N46/L46-1</f>
        <v>0.33023304972784451</v>
      </c>
      <c r="O47" s="99"/>
      <c r="P47" s="102">
        <f>P46/N46-1</f>
        <v>0.2482520260607024</v>
      </c>
      <c r="Q47" s="99"/>
      <c r="R47" s="102">
        <f>R46/P46-1</f>
        <v>-0.48970433786321255</v>
      </c>
      <c r="U47" s="83">
        <v>29</v>
      </c>
      <c r="W47" s="39" t="s">
        <v>118</v>
      </c>
      <c r="Y47" s="101"/>
      <c r="Z47" s="98"/>
      <c r="AA47" s="102">
        <f>AA46/Y46-1</f>
        <v>3.9803457308126067E-2</v>
      </c>
      <c r="AB47" s="99"/>
      <c r="AC47" s="102">
        <f>AC46/AA46-1</f>
        <v>-0.32579404850848259</v>
      </c>
      <c r="AD47" s="99"/>
      <c r="AE47" s="102">
        <f>AE46/AC46-1</f>
        <v>-7.3841030963506249E-4</v>
      </c>
      <c r="AF47" s="99"/>
      <c r="AG47" s="102">
        <f>AG46/AE46-1</f>
        <v>0.40455729180754263</v>
      </c>
      <c r="AH47" s="99"/>
      <c r="AI47" s="102">
        <f>AI46/AG46-1</f>
        <v>0.29151440456016031</v>
      </c>
      <c r="AJ47" s="99"/>
      <c r="AK47" s="102">
        <f>AK46/AI46-1</f>
        <v>-0.5875844842435245</v>
      </c>
    </row>
    <row r="48" spans="2:37" x14ac:dyDescent="0.3">
      <c r="B48" s="83">
        <v>30</v>
      </c>
      <c r="D48" s="39" t="s">
        <v>128</v>
      </c>
      <c r="F48" s="98">
        <f>SUM(F44:F46)</f>
        <v>303592</v>
      </c>
      <c r="G48" s="98"/>
      <c r="H48" s="98">
        <f>SUM(H44:H46)</f>
        <v>318072.05243094935</v>
      </c>
      <c r="I48" s="98"/>
      <c r="J48" s="98">
        <f>SUM(J44:J46)</f>
        <v>329362.077384056</v>
      </c>
      <c r="K48" s="98"/>
      <c r="L48" s="98">
        <f>SUM(L44:L46)</f>
        <v>291750.88024933537</v>
      </c>
      <c r="M48" s="98"/>
      <c r="N48" s="98">
        <f>SUM(N44:N46)</f>
        <v>337971.14650622371</v>
      </c>
      <c r="O48" s="98"/>
      <c r="P48" s="98">
        <f>SUM(P44,P46)</f>
        <v>331507</v>
      </c>
      <c r="Q48" s="98"/>
      <c r="R48" s="98">
        <f>SUM(R44,R46)</f>
        <v>333187</v>
      </c>
      <c r="U48" s="83">
        <v>30</v>
      </c>
      <c r="W48" s="39" t="s">
        <v>129</v>
      </c>
      <c r="Y48" s="87">
        <f>SUM(Y44:Y46)</f>
        <v>9505452</v>
      </c>
      <c r="Z48" s="87"/>
      <c r="AA48" s="87">
        <f>SUM(AA44:AA46)</f>
        <v>10010975.055338819</v>
      </c>
      <c r="AB48" s="87"/>
      <c r="AC48" s="87">
        <f>SUM(AC44:AC46)</f>
        <v>10539095.112869471</v>
      </c>
      <c r="AD48" s="87"/>
      <c r="AE48" s="87">
        <f>SUM(AE44:AE46)</f>
        <v>9582185.9005395696</v>
      </c>
      <c r="AF48" s="87"/>
      <c r="AG48" s="87">
        <f>SUM(AG44:AG46)</f>
        <v>11843553.218002291</v>
      </c>
      <c r="AH48" s="87"/>
      <c r="AI48" s="87">
        <f>SUM(AI44:AI46)</f>
        <v>11857294.965415856</v>
      </c>
      <c r="AJ48" s="87"/>
      <c r="AK48" s="87">
        <f>SUM(AK44:AK46)</f>
        <v>10605901.973850101</v>
      </c>
    </row>
    <row r="49" spans="2:37" x14ac:dyDescent="0.3"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</row>
    <row r="51" spans="2:37" x14ac:dyDescent="0.3">
      <c r="B51" s="83">
        <v>31</v>
      </c>
      <c r="D51" s="39" t="s">
        <v>130</v>
      </c>
      <c r="F51" s="99">
        <f>F36/F48</f>
        <v>0.6179313025376163</v>
      </c>
      <c r="G51" s="99"/>
      <c r="H51" s="99">
        <f>H36/H48</f>
        <v>0.59941139616523997</v>
      </c>
      <c r="I51" s="99"/>
      <c r="J51" s="99">
        <f>J36/J48</f>
        <v>0.58522538830732829</v>
      </c>
      <c r="K51" s="99"/>
      <c r="L51" s="99">
        <f>L36/L48</f>
        <v>0.56829945025130568</v>
      </c>
      <c r="M51" s="99"/>
      <c r="N51" s="99">
        <f>N36/N48</f>
        <v>0.55176933697311981</v>
      </c>
      <c r="O51" s="99"/>
      <c r="P51" s="99">
        <f>P36/P48</f>
        <v>0.5649201318901369</v>
      </c>
      <c r="Q51" s="99"/>
      <c r="R51" s="99">
        <f>R36/R48</f>
        <v>0.71795817375257354</v>
      </c>
      <c r="U51" s="83">
        <v>31</v>
      </c>
      <c r="W51" s="39" t="s">
        <v>131</v>
      </c>
      <c r="Y51" s="99">
        <f>Y36/Y48</f>
        <v>0.61376839312849085</v>
      </c>
      <c r="Z51" s="99"/>
      <c r="AA51" s="99">
        <f>AA36/AA48</f>
        <v>0.59805043791529156</v>
      </c>
      <c r="AB51" s="99"/>
      <c r="AC51" s="99">
        <f>AC36/AC48</f>
        <v>0.58382081353043713</v>
      </c>
      <c r="AD51" s="99"/>
      <c r="AE51" s="99">
        <f>AE36/AE48</f>
        <v>0.55783345578958454</v>
      </c>
      <c r="AF51" s="99"/>
      <c r="AG51" s="99">
        <f>AG36/AG48</f>
        <v>0.54749930883748521</v>
      </c>
      <c r="AH51" s="99"/>
      <c r="AI51" s="99">
        <f>AI36/AI48</f>
        <v>0.56195869291496936</v>
      </c>
      <c r="AJ51" s="99"/>
      <c r="AK51" s="99">
        <f>AK36/AK48</f>
        <v>0.73567060005571117</v>
      </c>
    </row>
    <row r="52" spans="2:37" x14ac:dyDescent="0.3">
      <c r="B52" s="83">
        <v>32</v>
      </c>
      <c r="D52" s="39" t="s">
        <v>132</v>
      </c>
      <c r="F52" s="102">
        <f>SUM(F39,F41)/F48</f>
        <v>0.3820686974623837</v>
      </c>
      <c r="G52" s="102"/>
      <c r="H52" s="102">
        <f>SUM(H39,H41)/H48</f>
        <v>0.40058847995663149</v>
      </c>
      <c r="I52" s="102"/>
      <c r="J52" s="102">
        <f>SUM(J39,J41)/J48</f>
        <v>0.41477452742898313</v>
      </c>
      <c r="K52" s="102"/>
      <c r="L52" s="102">
        <f>SUM(L39,L41)/L48</f>
        <v>0.43170049698688756</v>
      </c>
      <c r="M52" s="102"/>
      <c r="N52" s="102">
        <f>SUM(N39,N41)/N48</f>
        <v>0.4482305710591491</v>
      </c>
      <c r="O52" s="102"/>
      <c r="P52" s="102">
        <f>SUM(P39,P41)/P48</f>
        <v>0.43507980223645354</v>
      </c>
      <c r="Q52" s="102"/>
      <c r="R52" s="102">
        <f>SUM(R39,R41)/R48</f>
        <v>0.28204281679657367</v>
      </c>
      <c r="U52" s="83">
        <v>32</v>
      </c>
      <c r="W52" s="39" t="s">
        <v>132</v>
      </c>
      <c r="Y52" s="102">
        <f>SUM(Y39,Y41)/Y48</f>
        <v>0.38623160687150909</v>
      </c>
      <c r="Z52" s="102"/>
      <c r="AA52" s="102">
        <f>SUM(AA39,AA41)/AA48</f>
        <v>0.40194955813560479</v>
      </c>
      <c r="AB52" s="102"/>
      <c r="AC52" s="102">
        <f>SUM(AC39,AC41)/AC48</f>
        <v>0.41617918360410222</v>
      </c>
      <c r="AD52" s="102"/>
      <c r="AE52" s="102">
        <f>SUM(AE39,AE41)/AE48</f>
        <v>0.44216654153635448</v>
      </c>
      <c r="AF52" s="102"/>
      <c r="AG52" s="102">
        <f>SUM(AG39,AG41)/AG48</f>
        <v>0.45250068973000018</v>
      </c>
      <c r="AH52" s="102"/>
      <c r="AI52" s="102">
        <f>SUM(AI39,AI41)/AI48</f>
        <v>0.43804130833797117</v>
      </c>
      <c r="AJ52" s="102"/>
      <c r="AK52" s="102">
        <f>SUM(AK39,AK41)/AK48</f>
        <v>0.26432942779522078</v>
      </c>
    </row>
    <row r="53" spans="2:37" x14ac:dyDescent="0.3">
      <c r="B53" s="83">
        <v>33</v>
      </c>
      <c r="D53" s="39" t="s">
        <v>128</v>
      </c>
      <c r="F53" s="105">
        <f>SUM(F51:F52)</f>
        <v>1</v>
      </c>
      <c r="G53" s="105"/>
      <c r="H53" s="105">
        <f>SUM(H51:H52)</f>
        <v>0.99999987612187147</v>
      </c>
      <c r="I53" s="105"/>
      <c r="J53" s="105">
        <f>SUM(J51:J52)</f>
        <v>0.99999991573631142</v>
      </c>
      <c r="K53" s="105"/>
      <c r="L53" s="105">
        <f>SUM(L51:L52)</f>
        <v>0.9999999472381933</v>
      </c>
      <c r="M53" s="105"/>
      <c r="N53" s="105">
        <f>SUM(N51:N52)</f>
        <v>0.9999999080322689</v>
      </c>
      <c r="O53" s="105"/>
      <c r="P53" s="105">
        <f>SUM(P51:P52)</f>
        <v>0.99999993412659038</v>
      </c>
      <c r="Q53" s="105"/>
      <c r="R53" s="105">
        <f>SUM(R51:R52)</f>
        <v>1.0000009905491472</v>
      </c>
      <c r="U53" s="83">
        <v>33</v>
      </c>
      <c r="W53" s="39" t="s">
        <v>129</v>
      </c>
      <c r="Y53" s="105">
        <f>SUM(Y51:Y52)</f>
        <v>1</v>
      </c>
      <c r="Z53" s="105"/>
      <c r="AA53" s="105">
        <f>SUM(AA51:AA52)</f>
        <v>0.99999999605089629</v>
      </c>
      <c r="AB53" s="105"/>
      <c r="AC53" s="105">
        <f>SUM(AC51:AC52)</f>
        <v>0.99999999713453935</v>
      </c>
      <c r="AD53" s="105"/>
      <c r="AE53" s="105">
        <f>SUM(AE51:AE52)</f>
        <v>0.99999999732593903</v>
      </c>
      <c r="AF53" s="105"/>
      <c r="AG53" s="105">
        <f>SUM(AG51:AG52)</f>
        <v>0.99999999856748545</v>
      </c>
      <c r="AH53" s="105"/>
      <c r="AI53" s="105">
        <f>SUM(AI51:AI52)</f>
        <v>1.0000000012529404</v>
      </c>
      <c r="AJ53" s="105"/>
      <c r="AK53" s="105">
        <f>SUM(AK51:AK52)</f>
        <v>1.000000027850932</v>
      </c>
    </row>
    <row r="54" spans="2:37" x14ac:dyDescent="0.3">
      <c r="F54" s="106"/>
    </row>
    <row r="55" spans="2:37" x14ac:dyDescent="0.3">
      <c r="B55" s="83">
        <v>34</v>
      </c>
      <c r="D55" s="39" t="s">
        <v>133</v>
      </c>
      <c r="F55" s="106">
        <f>F32/F44</f>
        <v>0.62110115236875796</v>
      </c>
      <c r="H55" s="106">
        <f>H32/H44</f>
        <v>0.59784762341752351</v>
      </c>
      <c r="J55" s="106">
        <f>J32/J44</f>
        <v>0.58244715174354078</v>
      </c>
      <c r="L55" s="106">
        <f>L32/L44</f>
        <v>0.57226164469922447</v>
      </c>
      <c r="N55" s="106">
        <f>N32/N44</f>
        <v>0.55674730417936114</v>
      </c>
      <c r="P55" s="106">
        <f>P32/P44</f>
        <v>0.56766060396019813</v>
      </c>
      <c r="R55" s="106">
        <f>R32/R44</f>
        <v>0.71438075629112763</v>
      </c>
      <c r="U55" s="83">
        <v>34</v>
      </c>
      <c r="W55" s="39" t="s">
        <v>134</v>
      </c>
      <c r="Y55" s="106">
        <f>Y32/Y44</f>
        <v>0.61633604705765077</v>
      </c>
      <c r="AA55" s="106">
        <f>AA32/AA44</f>
        <v>0.59324728992192433</v>
      </c>
      <c r="AC55" s="106">
        <f>AC32/AC44</f>
        <v>0.57714864623806506</v>
      </c>
      <c r="AE55" s="106">
        <f>AE32/AE44</f>
        <v>0.56072684524635219</v>
      </c>
      <c r="AG55" s="106">
        <f>AG32/AG44</f>
        <v>0.55291624661592642</v>
      </c>
      <c r="AI55" s="106">
        <f>AI32/AI44</f>
        <v>0.56142490298508418</v>
      </c>
      <c r="AK55" s="106">
        <f>AK32/AK44</f>
        <v>0.7317140232396665</v>
      </c>
    </row>
    <row r="56" spans="2:37" x14ac:dyDescent="0.3">
      <c r="B56" s="83">
        <v>35</v>
      </c>
      <c r="D56" s="39" t="s">
        <v>135</v>
      </c>
      <c r="F56" s="107">
        <f>F39/F44</f>
        <v>0.37889884763124199</v>
      </c>
      <c r="H56" s="107">
        <f>H39/H44</f>
        <v>0.40215237658247649</v>
      </c>
      <c r="J56" s="107">
        <f>J39/J44</f>
        <v>0.41755284825645922</v>
      </c>
      <c r="L56" s="107">
        <f>L39/L44</f>
        <v>0.42773835530077559</v>
      </c>
      <c r="N56" s="107">
        <f>N39/N44</f>
        <v>0.44325269582063881</v>
      </c>
      <c r="P56" s="107">
        <f>P39/P44</f>
        <v>0.43233939603980193</v>
      </c>
      <c r="R56" s="107">
        <f>R39/R44</f>
        <v>0.28561924370887237</v>
      </c>
      <c r="U56" s="83">
        <v>35</v>
      </c>
      <c r="W56" s="39" t="s">
        <v>135</v>
      </c>
      <c r="Y56" s="107">
        <f>Y39/Y44</f>
        <v>0.38366395294234917</v>
      </c>
      <c r="AA56" s="107">
        <f>AA39/AA44</f>
        <v>0.40675271007807573</v>
      </c>
      <c r="AC56" s="107">
        <f>AC39/AC44</f>
        <v>0.42285135376193489</v>
      </c>
      <c r="AE56" s="107">
        <f>AE39/AE44</f>
        <v>0.43927315475364781</v>
      </c>
      <c r="AG56" s="107">
        <f>AG39/AG44</f>
        <v>0.44708375338407352</v>
      </c>
      <c r="AI56" s="107">
        <f>AI39/AI44</f>
        <v>0.43857509701491587</v>
      </c>
      <c r="AK56" s="107">
        <f>AK39/AK44</f>
        <v>0.2682859767603335</v>
      </c>
    </row>
    <row r="57" spans="2:37" x14ac:dyDescent="0.3">
      <c r="B57" s="83">
        <v>36</v>
      </c>
      <c r="D57" s="39" t="s">
        <v>136</v>
      </c>
      <c r="F57" s="106">
        <f>SUM(F55:F56)</f>
        <v>1</v>
      </c>
      <c r="H57" s="106">
        <f>SUM(H55:H56)</f>
        <v>1</v>
      </c>
      <c r="J57" s="106">
        <f>SUM(J55:J56)</f>
        <v>1</v>
      </c>
      <c r="L57" s="106">
        <f>SUM(L55:L56)</f>
        <v>1</v>
      </c>
      <c r="N57" s="106">
        <f>SUM(N55:N56)</f>
        <v>1</v>
      </c>
      <c r="P57" s="106">
        <f>SUM(P55:P56)</f>
        <v>1</v>
      </c>
      <c r="R57" s="106">
        <f>SUM(R55:R56)</f>
        <v>1</v>
      </c>
      <c r="U57" s="83">
        <v>36</v>
      </c>
      <c r="W57" s="39" t="s">
        <v>129</v>
      </c>
      <c r="Y57" s="106">
        <f>SUM(Y55:Y56)</f>
        <v>1</v>
      </c>
      <c r="AA57" s="106">
        <f>SUM(AA55:AA56)</f>
        <v>1</v>
      </c>
      <c r="AC57" s="106">
        <f>SUM(AC55:AC56)</f>
        <v>1</v>
      </c>
      <c r="AE57" s="106">
        <f>SUM(AE55:AE56)</f>
        <v>1</v>
      </c>
      <c r="AG57" s="106">
        <f>SUM(AG55:AG56)</f>
        <v>1</v>
      </c>
      <c r="AI57" s="106">
        <f>SUM(AI55:AI56)</f>
        <v>1</v>
      </c>
      <c r="AK57" s="106">
        <f>SUM(AK55:AK56)</f>
        <v>1</v>
      </c>
    </row>
    <row r="58" spans="2:37" x14ac:dyDescent="0.3">
      <c r="F58" s="106"/>
      <c r="H58" s="106"/>
      <c r="J58" s="106"/>
      <c r="L58" s="106"/>
      <c r="N58" s="106"/>
      <c r="P58" s="106"/>
      <c r="R58" s="106"/>
      <c r="Y58" s="106"/>
      <c r="AA58" s="106"/>
      <c r="AC58" s="106"/>
      <c r="AE58" s="106"/>
      <c r="AG58" s="106"/>
      <c r="AI58" s="106"/>
      <c r="AK58" s="106"/>
    </row>
    <row r="59" spans="2:37" x14ac:dyDescent="0.3">
      <c r="B59" s="83">
        <v>37</v>
      </c>
      <c r="D59" s="39" t="s">
        <v>137</v>
      </c>
      <c r="F59" s="106">
        <f>F34/F46</f>
        <v>0.58927980953640635</v>
      </c>
      <c r="H59" s="106">
        <f>H34/H46</f>
        <v>0.61421520236920035</v>
      </c>
      <c r="J59" s="106">
        <f>J34/J46</f>
        <v>0.62957050159645689</v>
      </c>
      <c r="L59" s="106">
        <f>L34/L46</f>
        <v>0.51117687470274265</v>
      </c>
      <c r="N59" s="106">
        <f>N34/N46</f>
        <v>0.48990942316860003</v>
      </c>
      <c r="P59" s="106">
        <f>P34/P46</f>
        <v>0.53874797110212913</v>
      </c>
      <c r="R59" s="106">
        <f>R34/R46</f>
        <v>0.78869901459398772</v>
      </c>
      <c r="U59" s="83">
        <v>37</v>
      </c>
      <c r="W59" s="39" t="s">
        <v>138</v>
      </c>
      <c r="Y59" s="106">
        <f>Y34/Y46</f>
        <v>0.59783781817299875</v>
      </c>
      <c r="AA59" s="106">
        <f>AA34/AA46</f>
        <v>0.62829600743480873</v>
      </c>
      <c r="AC59" s="106">
        <f>AC34/AC46</f>
        <v>0.65317202906071614</v>
      </c>
      <c r="AE59" s="106">
        <f>AE34/AE46</f>
        <v>0.530730506114509</v>
      </c>
      <c r="AG59" s="106">
        <f>AG34/AG46</f>
        <v>0.50349714989986138</v>
      </c>
      <c r="AI59" s="106">
        <f>AI34/AI46</f>
        <v>0.56519988739410398</v>
      </c>
      <c r="AK59" s="106">
        <f>AK34/AK46</f>
        <v>0.79240000347084638</v>
      </c>
    </row>
    <row r="60" spans="2:37" x14ac:dyDescent="0.3">
      <c r="B60" s="83">
        <v>38</v>
      </c>
      <c r="D60" s="39" t="s">
        <v>139</v>
      </c>
      <c r="F60" s="107">
        <f>F41/F46</f>
        <v>0.4107201904635937</v>
      </c>
      <c r="H60" s="107">
        <f>H41/H46</f>
        <v>0.38578479763079959</v>
      </c>
      <c r="J60" s="107">
        <f>J41/J46</f>
        <v>0.37042949840354311</v>
      </c>
      <c r="L60" s="107">
        <f>L41/L46</f>
        <v>0.4888231252972573</v>
      </c>
      <c r="N60" s="107">
        <f>N41/N46</f>
        <v>0.51009057683140002</v>
      </c>
      <c r="P60" s="107">
        <f>P41/P46</f>
        <v>0.46125202889787087</v>
      </c>
      <c r="R60" s="107">
        <f>R41/R46</f>
        <v>0.21130098540601222</v>
      </c>
      <c r="U60" s="83">
        <v>38</v>
      </c>
      <c r="W60" s="39" t="s">
        <v>139</v>
      </c>
      <c r="Y60" s="107">
        <f>Y41/Y46</f>
        <v>0.4021621818270012</v>
      </c>
      <c r="AA60" s="107">
        <f>AA41/AA46</f>
        <v>0.37170399256519127</v>
      </c>
      <c r="AC60" s="107">
        <f>AC41/AC46</f>
        <v>0.34682797093928386</v>
      </c>
      <c r="AE60" s="107">
        <f>AE41/AE46</f>
        <v>0.46926949388549105</v>
      </c>
      <c r="AG60" s="107">
        <f>AG41/AG46</f>
        <v>0.49650285010013867</v>
      </c>
      <c r="AI60" s="107">
        <f>AI41/AI46</f>
        <v>0.43480011260589607</v>
      </c>
      <c r="AK60" s="107">
        <f>AK41/AK46</f>
        <v>0.20759999652915367</v>
      </c>
    </row>
    <row r="61" spans="2:37" x14ac:dyDescent="0.3">
      <c r="B61" s="83">
        <v>39</v>
      </c>
      <c r="D61" s="39" t="s">
        <v>140</v>
      </c>
      <c r="F61" s="106">
        <f>SUM(F59:F60)</f>
        <v>1</v>
      </c>
      <c r="H61" s="106">
        <f>SUM(H59:H60)</f>
        <v>1</v>
      </c>
      <c r="J61" s="106">
        <f>SUM(J59:J60)</f>
        <v>1</v>
      </c>
      <c r="L61" s="106">
        <f>SUM(L59:L60)</f>
        <v>1</v>
      </c>
      <c r="N61" s="106">
        <f>SUM(N59:N60)</f>
        <v>1</v>
      </c>
      <c r="P61" s="106">
        <f>SUM(P59:P60)</f>
        <v>1</v>
      </c>
      <c r="R61" s="106">
        <f>SUM(R59:R60)</f>
        <v>1</v>
      </c>
      <c r="U61" s="83">
        <v>39</v>
      </c>
      <c r="W61" s="39" t="s">
        <v>141</v>
      </c>
      <c r="Y61" s="106">
        <f>SUM(Y59:Y60)</f>
        <v>1</v>
      </c>
      <c r="AA61" s="106">
        <f>SUM(AA59:AA60)</f>
        <v>1</v>
      </c>
      <c r="AC61" s="106">
        <f>SUM(AC59:AC60)</f>
        <v>1</v>
      </c>
      <c r="AE61" s="106">
        <f>SUM(AE59:AE60)</f>
        <v>1</v>
      </c>
      <c r="AG61" s="106">
        <f>SUM(AG59:AG60)</f>
        <v>1</v>
      </c>
      <c r="AI61" s="106">
        <f>SUM(AI59:AI60)</f>
        <v>1</v>
      </c>
      <c r="AK61" s="106">
        <f>SUM(AK59:AK60)</f>
        <v>1</v>
      </c>
    </row>
    <row r="65" spans="2:27" x14ac:dyDescent="0.3">
      <c r="F65" s="39" t="s">
        <v>142</v>
      </c>
      <c r="H65" s="39" t="s">
        <v>143</v>
      </c>
      <c r="Y65" s="39" t="s">
        <v>144</v>
      </c>
      <c r="AA65" s="39" t="s">
        <v>143</v>
      </c>
    </row>
    <row r="67" spans="2:27" x14ac:dyDescent="0.3">
      <c r="B67" s="83">
        <v>40</v>
      </c>
      <c r="D67" s="39" t="s">
        <v>145</v>
      </c>
      <c r="F67" s="108">
        <f>AVERAGE(F51:N51)</f>
        <v>0.58452737484692208</v>
      </c>
      <c r="H67" s="108">
        <f>AVERAGE(J51:N51)</f>
        <v>0.568431391843918</v>
      </c>
      <c r="U67" s="83">
        <v>40</v>
      </c>
      <c r="W67" s="39" t="s">
        <v>145</v>
      </c>
      <c r="Y67" s="108">
        <f>AVERAGE(Y51:AG51)</f>
        <v>0.58019448184025779</v>
      </c>
      <c r="AA67" s="108">
        <f>AVERAGE(AC51:AG51)</f>
        <v>0.56305119271916892</v>
      </c>
    </row>
    <row r="68" spans="2:27" x14ac:dyDescent="0.3">
      <c r="B68" s="83">
        <v>41</v>
      </c>
      <c r="D68" s="39" t="s">
        <v>146</v>
      </c>
      <c r="F68" s="109">
        <f t="shared" ref="F68" si="0">AVERAGE(F52:N52)</f>
        <v>0.415472554578807</v>
      </c>
      <c r="H68" s="109">
        <f>AVERAGE(J52:N52)</f>
        <v>0.43156853182500665</v>
      </c>
      <c r="U68" s="83">
        <v>41</v>
      </c>
      <c r="W68" s="39" t="s">
        <v>146</v>
      </c>
      <c r="Y68" s="109">
        <f t="shared" ref="Y68" si="1">AVERAGE(Y52:AG52)</f>
        <v>0.41980551597551419</v>
      </c>
      <c r="AA68" s="109">
        <f>AVERAGE(AC52:AG52)</f>
        <v>0.43694880495681893</v>
      </c>
    </row>
    <row r="69" spans="2:27" x14ac:dyDescent="0.3">
      <c r="B69" s="83">
        <v>42</v>
      </c>
      <c r="D69" s="39" t="s">
        <v>129</v>
      </c>
      <c r="F69" s="108">
        <f>F67+F68</f>
        <v>0.99999992942572913</v>
      </c>
      <c r="H69" s="108">
        <f>H67+H68</f>
        <v>0.99999992366892465</v>
      </c>
      <c r="U69" s="83">
        <v>42</v>
      </c>
      <c r="W69" s="39" t="s">
        <v>129</v>
      </c>
      <c r="Y69" s="108">
        <f>Y67+Y68</f>
        <v>0.99999999781577198</v>
      </c>
      <c r="AA69" s="108">
        <f>AA67+AA68</f>
        <v>0.99999999767598791</v>
      </c>
    </row>
    <row r="71" spans="2:27" x14ac:dyDescent="0.3">
      <c r="B71" s="83">
        <v>43</v>
      </c>
      <c r="D71" s="39" t="s">
        <v>147</v>
      </c>
      <c r="F71" s="110">
        <f>F67*R48</f>
        <v>194756.92244312144</v>
      </c>
      <c r="H71" s="100">
        <f>H67*R48</f>
        <v>189393.9501542995</v>
      </c>
      <c r="U71" s="83">
        <v>43</v>
      </c>
      <c r="W71" s="39" t="s">
        <v>147</v>
      </c>
      <c r="Y71" s="87">
        <f>Y67*AK48</f>
        <v>6153485.8001665268</v>
      </c>
      <c r="AA71" s="100">
        <f>AA67*AK48</f>
        <v>5971665.7562388871</v>
      </c>
    </row>
    <row r="72" spans="2:27" x14ac:dyDescent="0.3">
      <c r="B72" s="83">
        <v>44</v>
      </c>
      <c r="D72" s="39" t="s">
        <v>148</v>
      </c>
      <c r="F72" s="111">
        <f>F68*R48</f>
        <v>138430.05404244896</v>
      </c>
      <c r="H72" s="111">
        <f>H68*R48</f>
        <v>143793.0244131785</v>
      </c>
      <c r="U72" s="83">
        <v>44</v>
      </c>
      <c r="W72" s="39" t="s">
        <v>148</v>
      </c>
      <c r="Y72" s="94">
        <f>Y68*AK48</f>
        <v>4452416.150517866</v>
      </c>
      <c r="AA72" s="111">
        <f>AA68*AK48</f>
        <v>4634236.1929629687</v>
      </c>
    </row>
    <row r="73" spans="2:27" x14ac:dyDescent="0.3">
      <c r="B73" s="83">
        <v>45</v>
      </c>
      <c r="D73" s="39" t="s">
        <v>149</v>
      </c>
      <c r="F73" s="98">
        <f>F71+F72</f>
        <v>333186.97648557043</v>
      </c>
      <c r="H73" s="98">
        <f>H71+H72</f>
        <v>333186.974567478</v>
      </c>
      <c r="U73" s="83">
        <v>45</v>
      </c>
      <c r="W73" s="39" t="s">
        <v>149</v>
      </c>
      <c r="Y73" s="87">
        <f>Y71+Y72</f>
        <v>10605901.950684393</v>
      </c>
      <c r="AA73" s="98">
        <f>AA71+AA72</f>
        <v>10605901.949201856</v>
      </c>
    </row>
    <row r="74" spans="2:27" x14ac:dyDescent="0.3">
      <c r="Y74" s="87"/>
    </row>
    <row r="75" spans="2:27" x14ac:dyDescent="0.3">
      <c r="B75" s="83">
        <v>46</v>
      </c>
      <c r="D75" s="39" t="s">
        <v>150</v>
      </c>
      <c r="F75" s="110">
        <f>F71-R36</f>
        <v>-44457.407594977267</v>
      </c>
      <c r="H75" s="110">
        <f>H71-R36</f>
        <v>-49820.379883799207</v>
      </c>
      <c r="U75" s="83">
        <v>46</v>
      </c>
      <c r="W75" s="39" t="s">
        <v>150</v>
      </c>
      <c r="Y75" s="87">
        <f>Y71-AK36</f>
        <v>-1648964.4690678287</v>
      </c>
      <c r="AA75" s="110">
        <f>AA71-AK36</f>
        <v>-1830784.5129954685</v>
      </c>
    </row>
    <row r="76" spans="2:27" x14ac:dyDescent="0.3">
      <c r="B76" s="83">
        <v>47</v>
      </c>
      <c r="D76" s="39" t="s">
        <v>151</v>
      </c>
      <c r="F76" s="110">
        <f>F72-(R39+R41)</f>
        <v>44457.054042448959</v>
      </c>
      <c r="H76" s="110">
        <f>H72-(R39+R41)</f>
        <v>49820.0244131785</v>
      </c>
      <c r="U76" s="83">
        <v>47</v>
      </c>
      <c r="W76" s="39" t="s">
        <v>151</v>
      </c>
      <c r="Y76" s="87">
        <f>Y72-(AK39+AK41)</f>
        <v>1648964.150517866</v>
      </c>
      <c r="AA76" s="110">
        <f>AA72-(AK39+AK41)</f>
        <v>1830784.1929629687</v>
      </c>
    </row>
    <row r="77" spans="2:27" x14ac:dyDescent="0.3">
      <c r="F77" s="98"/>
      <c r="Y77" s="87"/>
    </row>
    <row r="78" spans="2:27" x14ac:dyDescent="0.3">
      <c r="B78" s="112" t="s">
        <v>91</v>
      </c>
      <c r="C78" s="113"/>
      <c r="D78" s="113"/>
    </row>
    <row r="79" spans="2:27" x14ac:dyDescent="0.3">
      <c r="B79" s="31" t="s">
        <v>92</v>
      </c>
      <c r="C79" s="113"/>
      <c r="D79" s="113"/>
    </row>
  </sheetData>
  <mergeCells count="4">
    <mergeCell ref="B2:R2"/>
    <mergeCell ref="U2:AK2"/>
    <mergeCell ref="B4:R4"/>
    <mergeCell ref="U4:AK4"/>
  </mergeCells>
  <printOptions horizontalCentered="1"/>
  <pageMargins left="0.7" right="0.7" top="0.75" bottom="0.75" header="0.3" footer="0.3"/>
  <pageSetup scale="65" orientation="landscape" r:id="rId1"/>
  <rowBreaks count="1" manualBreakCount="1">
    <brk id="49" max="37" man="1"/>
  </rowBreaks>
  <colBreaks count="1" manualBreakCount="1">
    <brk id="19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N36"/>
  <sheetViews>
    <sheetView workbookViewId="0">
      <selection activeCell="L20" sqref="L20"/>
    </sheetView>
  </sheetViews>
  <sheetFormatPr defaultRowHeight="14" x14ac:dyDescent="0.3"/>
  <cols>
    <col min="1" max="1" width="1.58203125" customWidth="1"/>
    <col min="2" max="2" width="9" style="125"/>
    <col min="3" max="3" width="1.58203125" customWidth="1"/>
    <col min="4" max="4" width="26.25" bestFit="1" customWidth="1"/>
    <col min="5" max="5" width="1.58203125" customWidth="1"/>
    <col min="6" max="6" width="12.58203125" bestFit="1" customWidth="1"/>
    <col min="7" max="7" width="1.58203125" customWidth="1"/>
    <col min="8" max="8" width="15" bestFit="1" customWidth="1"/>
    <col min="9" max="9" width="1.58203125" customWidth="1"/>
    <col min="10" max="10" width="15.75" bestFit="1" customWidth="1"/>
    <col min="11" max="11" width="1.58203125" customWidth="1"/>
    <col min="12" max="12" width="30.33203125" bestFit="1" customWidth="1"/>
    <col min="13" max="13" width="1.58203125" customWidth="1"/>
    <col min="14" max="14" width="10.08203125" bestFit="1" customWidth="1"/>
  </cols>
  <sheetData>
    <row r="2" spans="2:12" ht="20" x14ac:dyDescent="0.4">
      <c r="B2" s="151" t="s">
        <v>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4" spans="2:12" x14ac:dyDescent="0.3">
      <c r="B4" s="152" t="s">
        <v>203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7" spans="2:12" s="36" customFormat="1" x14ac:dyDescent="0.3">
      <c r="B7" s="114" t="s">
        <v>2</v>
      </c>
      <c r="D7" s="115" t="s">
        <v>22</v>
      </c>
      <c r="F7" s="115" t="s">
        <v>190</v>
      </c>
      <c r="H7" s="115" t="s">
        <v>191</v>
      </c>
      <c r="J7" s="115" t="s">
        <v>204</v>
      </c>
      <c r="L7" s="115" t="s">
        <v>205</v>
      </c>
    </row>
    <row r="8" spans="2:12" s="36" customFormat="1" x14ac:dyDescent="0.3">
      <c r="B8" s="116"/>
      <c r="D8" s="117"/>
      <c r="F8" s="118" t="s">
        <v>193</v>
      </c>
      <c r="H8" s="117"/>
      <c r="J8" s="118" t="s">
        <v>193</v>
      </c>
      <c r="L8" s="117"/>
    </row>
    <row r="10" spans="2:12" ht="16.5" x14ac:dyDescent="0.3">
      <c r="B10" s="119">
        <v>1</v>
      </c>
      <c r="D10" s="34" t="s">
        <v>206</v>
      </c>
      <c r="F10" s="37">
        <v>5648780</v>
      </c>
      <c r="H10" s="37">
        <v>119360</v>
      </c>
      <c r="J10" s="120">
        <f>F10/H10</f>
        <v>47.325569705093834</v>
      </c>
    </row>
    <row r="11" spans="2:12" ht="16.5" x14ac:dyDescent="0.3">
      <c r="B11" s="119">
        <v>2</v>
      </c>
      <c r="D11" s="34" t="s">
        <v>207</v>
      </c>
      <c r="F11" s="37">
        <v>5931753</v>
      </c>
      <c r="H11" s="37">
        <v>120704</v>
      </c>
      <c r="J11" s="120">
        <f>F11/H11</f>
        <v>49.142969578472957</v>
      </c>
    </row>
    <row r="12" spans="2:12" ht="16.5" x14ac:dyDescent="0.3">
      <c r="B12" s="119">
        <v>3</v>
      </c>
      <c r="D12" s="34" t="s">
        <v>208</v>
      </c>
      <c r="F12" s="37">
        <v>6072579</v>
      </c>
      <c r="H12" s="37">
        <v>122008</v>
      </c>
      <c r="J12" s="120">
        <f>F12/H12</f>
        <v>49.771973968920072</v>
      </c>
    </row>
    <row r="13" spans="2:12" ht="16.5" x14ac:dyDescent="0.3">
      <c r="B13" s="119">
        <v>4</v>
      </c>
      <c r="D13" s="34" t="s">
        <v>209</v>
      </c>
      <c r="F13" s="37">
        <v>5874579</v>
      </c>
      <c r="H13" s="37">
        <v>123090</v>
      </c>
      <c r="J13" s="120">
        <f>F13/H13</f>
        <v>47.725883499878137</v>
      </c>
    </row>
    <row r="14" spans="2:12" ht="16.5" x14ac:dyDescent="0.3">
      <c r="B14" s="119">
        <v>5</v>
      </c>
      <c r="D14" s="34" t="s">
        <v>210</v>
      </c>
      <c r="F14" s="37">
        <v>5987176</v>
      </c>
      <c r="H14" s="37">
        <v>124036</v>
      </c>
      <c r="J14" s="120">
        <f>F14/H14</f>
        <v>48.269663646038246</v>
      </c>
    </row>
    <row r="15" spans="2:12" x14ac:dyDescent="0.3">
      <c r="B15" s="119"/>
    </row>
    <row r="16" spans="2:12" ht="16.5" x14ac:dyDescent="0.3">
      <c r="B16" s="119">
        <v>6</v>
      </c>
      <c r="D16" s="34" t="s">
        <v>211</v>
      </c>
      <c r="F16" s="121">
        <v>5748449</v>
      </c>
      <c r="G16" s="56"/>
      <c r="H16" s="121">
        <v>126013.58</v>
      </c>
      <c r="I16" s="56"/>
      <c r="J16" s="122">
        <f>F16/H16</f>
        <v>45.617694537366525</v>
      </c>
    </row>
    <row r="17" spans="2:14" x14ac:dyDescent="0.3">
      <c r="B17" s="119"/>
    </row>
    <row r="18" spans="2:14" ht="42" x14ac:dyDescent="0.3">
      <c r="B18" s="119">
        <v>7</v>
      </c>
      <c r="D18" s="123" t="s">
        <v>212</v>
      </c>
      <c r="F18" s="124">
        <f>H18*J18</f>
        <v>6122895.7278020447</v>
      </c>
      <c r="G18" s="125"/>
      <c r="H18" s="126">
        <f>H16</f>
        <v>126013.58</v>
      </c>
      <c r="I18" s="125"/>
      <c r="J18" s="127">
        <f>AVERAGE(J12:J14)</f>
        <v>48.589173704945487</v>
      </c>
    </row>
    <row r="19" spans="2:14" x14ac:dyDescent="0.3">
      <c r="B19" s="119"/>
    </row>
    <row r="20" spans="2:14" x14ac:dyDescent="0.3">
      <c r="B20" s="119">
        <v>8</v>
      </c>
      <c r="D20" t="s">
        <v>213</v>
      </c>
      <c r="L20" s="38">
        <f>F18-F16</f>
        <v>374446.72780204471</v>
      </c>
      <c r="N20" s="38"/>
    </row>
    <row r="21" spans="2:14" x14ac:dyDescent="0.3">
      <c r="B21" s="119"/>
    </row>
    <row r="22" spans="2:14" ht="16.5" x14ac:dyDescent="0.3">
      <c r="B22" s="119">
        <v>9</v>
      </c>
      <c r="D22" t="s">
        <v>214</v>
      </c>
      <c r="L22" s="128">
        <v>5.7569999999999997</v>
      </c>
    </row>
    <row r="23" spans="2:14" x14ac:dyDescent="0.3">
      <c r="B23" s="119"/>
    </row>
    <row r="24" spans="2:14" x14ac:dyDescent="0.3">
      <c r="B24" s="119">
        <v>10</v>
      </c>
      <c r="D24" t="s">
        <v>215</v>
      </c>
      <c r="L24" s="129">
        <f>L20*L22</f>
        <v>2155689.8119563712</v>
      </c>
    </row>
    <row r="25" spans="2:14" x14ac:dyDescent="0.3">
      <c r="B25" s="119"/>
      <c r="L25" s="130"/>
    </row>
    <row r="26" spans="2:14" ht="16.5" x14ac:dyDescent="0.3">
      <c r="B26" s="119">
        <v>11</v>
      </c>
      <c r="D26" t="s">
        <v>216</v>
      </c>
      <c r="L26" s="131">
        <f>(5624592+5664614)/15089470</f>
        <v>0.74815126044851143</v>
      </c>
    </row>
    <row r="27" spans="2:14" x14ac:dyDescent="0.3">
      <c r="B27" s="119"/>
      <c r="L27" s="132"/>
    </row>
    <row r="28" spans="2:14" x14ac:dyDescent="0.3">
      <c r="B28" s="119">
        <v>12</v>
      </c>
      <c r="D28" t="s">
        <v>217</v>
      </c>
      <c r="L28" s="129">
        <f>L20*L26</f>
        <v>280142.79137592041</v>
      </c>
    </row>
    <row r="29" spans="2:14" x14ac:dyDescent="0.3">
      <c r="B29" s="119"/>
      <c r="L29" s="132"/>
    </row>
    <row r="30" spans="2:14" ht="14.5" thickBot="1" x14ac:dyDescent="0.35">
      <c r="B30" s="119">
        <v>13</v>
      </c>
      <c r="D30" t="s">
        <v>218</v>
      </c>
      <c r="L30" s="133">
        <f>L24-L28</f>
        <v>1875547.0205804508</v>
      </c>
    </row>
    <row r="31" spans="2:14" ht="14.5" thickTop="1" x14ac:dyDescent="0.3">
      <c r="B31" s="134" t="s">
        <v>166</v>
      </c>
    </row>
    <row r="32" spans="2:14" x14ac:dyDescent="0.3">
      <c r="B32" s="135" t="s">
        <v>25</v>
      </c>
      <c r="C32" s="32"/>
      <c r="D32" s="32"/>
      <c r="E32" s="32"/>
      <c r="F32" s="32"/>
      <c r="G32" s="32"/>
      <c r="H32" s="32"/>
    </row>
    <row r="33" spans="2:8" x14ac:dyDescent="0.3">
      <c r="B33" s="153" t="s">
        <v>219</v>
      </c>
      <c r="C33" s="153"/>
      <c r="D33" s="153"/>
      <c r="E33" s="153"/>
      <c r="F33" s="153"/>
      <c r="G33" s="153"/>
      <c r="H33" s="153"/>
    </row>
    <row r="34" spans="2:8" x14ac:dyDescent="0.3">
      <c r="B34" s="135" t="s">
        <v>220</v>
      </c>
      <c r="C34" s="32"/>
      <c r="D34" s="32"/>
      <c r="E34" s="32"/>
      <c r="F34" s="32"/>
      <c r="G34" s="32"/>
      <c r="H34" s="32"/>
    </row>
    <row r="35" spans="2:8" x14ac:dyDescent="0.3">
      <c r="B35" s="135" t="s">
        <v>221</v>
      </c>
      <c r="C35" s="32"/>
      <c r="D35" s="32"/>
      <c r="E35" s="32"/>
      <c r="F35" s="32"/>
      <c r="G35" s="32"/>
      <c r="H35" s="32"/>
    </row>
    <row r="36" spans="2:8" x14ac:dyDescent="0.3">
      <c r="B36" s="135" t="s">
        <v>222</v>
      </c>
    </row>
  </sheetData>
  <mergeCells count="3">
    <mergeCell ref="B2:L2"/>
    <mergeCell ref="B4:L4"/>
    <mergeCell ref="B33:H33"/>
  </mergeCells>
  <pageMargins left="0.7" right="0.7" top="0.75" bottom="0.75" header="0.3" footer="0.3"/>
  <pageSetup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34"/>
  <sheetViews>
    <sheetView workbookViewId="0">
      <selection activeCell="I28" sqref="I28"/>
    </sheetView>
  </sheetViews>
  <sheetFormatPr defaultRowHeight="14" x14ac:dyDescent="0.3"/>
  <cols>
    <col min="1" max="1" width="1.58203125" customWidth="1"/>
    <col min="2" max="2" width="4.25" bestFit="1" customWidth="1"/>
    <col min="3" max="3" width="1.58203125" customWidth="1"/>
    <col min="4" max="4" width="52.83203125" bestFit="1" customWidth="1"/>
    <col min="5" max="5" width="1.58203125" customWidth="1"/>
    <col min="6" max="6" width="12.08203125" bestFit="1" customWidth="1"/>
    <col min="7" max="7" width="1.58203125" customWidth="1"/>
  </cols>
  <sheetData>
    <row r="2" spans="2:6" ht="18" x14ac:dyDescent="0.4">
      <c r="B2" s="154" t="s">
        <v>30</v>
      </c>
      <c r="C2" s="154"/>
      <c r="D2" s="154"/>
      <c r="E2" s="154"/>
      <c r="F2" s="154"/>
    </row>
    <row r="4" spans="2:6" ht="15.5" x14ac:dyDescent="0.35">
      <c r="B4" s="155" t="s">
        <v>223</v>
      </c>
      <c r="C4" s="155"/>
      <c r="D4" s="155"/>
      <c r="E4" s="155"/>
      <c r="F4" s="155"/>
    </row>
    <row r="6" spans="2:6" x14ac:dyDescent="0.3">
      <c r="B6" s="33" t="s">
        <v>2</v>
      </c>
      <c r="D6" s="33" t="s">
        <v>31</v>
      </c>
      <c r="F6" s="33" t="s">
        <v>32</v>
      </c>
    </row>
    <row r="8" spans="2:6" ht="16.5" x14ac:dyDescent="0.3">
      <c r="B8" s="34">
        <v>1</v>
      </c>
      <c r="D8" t="s">
        <v>224</v>
      </c>
      <c r="F8" s="37">
        <v>150894700</v>
      </c>
    </row>
    <row r="9" spans="2:6" x14ac:dyDescent="0.3">
      <c r="B9" s="34"/>
    </row>
    <row r="10" spans="2:6" ht="16.5" x14ac:dyDescent="0.3">
      <c r="B10" s="34">
        <v>2</v>
      </c>
      <c r="D10" t="s">
        <v>225</v>
      </c>
      <c r="F10" s="136">
        <v>0.2</v>
      </c>
    </row>
    <row r="11" spans="2:6" x14ac:dyDescent="0.3">
      <c r="B11" s="34"/>
      <c r="F11" s="137"/>
    </row>
    <row r="12" spans="2:6" x14ac:dyDescent="0.3">
      <c r="B12" s="34">
        <v>3</v>
      </c>
      <c r="D12" t="s">
        <v>226</v>
      </c>
      <c r="F12" s="136">
        <v>0.15</v>
      </c>
    </row>
    <row r="13" spans="2:6" x14ac:dyDescent="0.3">
      <c r="B13" s="34"/>
      <c r="F13" s="138"/>
    </row>
    <row r="14" spans="2:6" x14ac:dyDescent="0.3">
      <c r="B14" s="34">
        <v>4</v>
      </c>
      <c r="D14" t="s">
        <v>227</v>
      </c>
      <c r="F14" s="38">
        <f>F8*F10</f>
        <v>30178940</v>
      </c>
    </row>
    <row r="15" spans="2:6" x14ac:dyDescent="0.3">
      <c r="B15" s="34"/>
      <c r="F15" s="38"/>
    </row>
    <row r="16" spans="2:6" ht="16.5" x14ac:dyDescent="0.3">
      <c r="B16" s="34">
        <v>5</v>
      </c>
      <c r="D16" t="s">
        <v>228</v>
      </c>
      <c r="F16" s="38">
        <f>3744470</f>
        <v>3744470</v>
      </c>
    </row>
    <row r="17" spans="2:6" x14ac:dyDescent="0.3">
      <c r="B17" s="34"/>
      <c r="F17" s="38"/>
    </row>
    <row r="18" spans="2:6" x14ac:dyDescent="0.3">
      <c r="B18" s="34">
        <v>6</v>
      </c>
      <c r="D18" t="s">
        <v>229</v>
      </c>
      <c r="F18" s="38">
        <f>(F8+F16)*F12</f>
        <v>23195875.5</v>
      </c>
    </row>
    <row r="19" spans="2:6" x14ac:dyDescent="0.3">
      <c r="B19" s="34"/>
    </row>
    <row r="20" spans="2:6" x14ac:dyDescent="0.3">
      <c r="B20" s="34">
        <v>7</v>
      </c>
      <c r="D20" t="s">
        <v>230</v>
      </c>
      <c r="F20" s="38">
        <f>F18-F14</f>
        <v>-6983064.5</v>
      </c>
    </row>
    <row r="21" spans="2:6" x14ac:dyDescent="0.3">
      <c r="B21" s="34"/>
    </row>
    <row r="22" spans="2:6" ht="16.5" x14ac:dyDescent="0.3">
      <c r="B22" s="34">
        <v>8</v>
      </c>
      <c r="D22" t="s">
        <v>231</v>
      </c>
      <c r="F22" s="132">
        <f>0.0373+0.0375</f>
        <v>7.4800000000000005E-2</v>
      </c>
    </row>
    <row r="23" spans="2:6" x14ac:dyDescent="0.3">
      <c r="B23" s="34"/>
      <c r="F23" s="139"/>
    </row>
    <row r="24" spans="2:6" x14ac:dyDescent="0.3">
      <c r="B24" s="34">
        <v>9</v>
      </c>
      <c r="D24" t="s">
        <v>232</v>
      </c>
      <c r="F24" s="35">
        <f>F20*F22</f>
        <v>-522333.22460000002</v>
      </c>
    </row>
    <row r="26" spans="2:6" x14ac:dyDescent="0.3">
      <c r="B26" t="s">
        <v>233</v>
      </c>
    </row>
    <row r="27" spans="2:6" x14ac:dyDescent="0.3">
      <c r="B27" s="32" t="s">
        <v>25</v>
      </c>
    </row>
    <row r="28" spans="2:6" x14ac:dyDescent="0.3">
      <c r="B28" s="140" t="s">
        <v>234</v>
      </c>
    </row>
    <row r="29" spans="2:6" x14ac:dyDescent="0.3">
      <c r="B29" s="32" t="s">
        <v>235</v>
      </c>
    </row>
    <row r="30" spans="2:6" x14ac:dyDescent="0.3">
      <c r="B30" s="141" t="s">
        <v>238</v>
      </c>
      <c r="C30" s="142"/>
      <c r="D30" s="142"/>
    </row>
    <row r="31" spans="2:6" x14ac:dyDescent="0.3">
      <c r="B31" s="32"/>
    </row>
    <row r="32" spans="2:6" x14ac:dyDescent="0.3">
      <c r="B32" s="32" t="s">
        <v>236</v>
      </c>
    </row>
    <row r="33" spans="2:6" x14ac:dyDescent="0.3">
      <c r="B33" s="156" t="s">
        <v>237</v>
      </c>
      <c r="C33" s="156"/>
      <c r="D33" s="156"/>
      <c r="E33" s="156"/>
      <c r="F33" s="156"/>
    </row>
    <row r="34" spans="2:6" x14ac:dyDescent="0.3">
      <c r="B34" s="156"/>
      <c r="C34" s="156"/>
      <c r="D34" s="156"/>
      <c r="E34" s="156"/>
      <c r="F34" s="156"/>
    </row>
  </sheetData>
  <mergeCells count="3">
    <mergeCell ref="B2:F2"/>
    <mergeCell ref="B4:F4"/>
    <mergeCell ref="B33:F34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workbookViewId="0"/>
  </sheetViews>
  <sheetFormatPr defaultColWidth="9" defaultRowHeight="14" x14ac:dyDescent="0.3"/>
  <cols>
    <col min="1" max="1" width="1.58203125" style="39" customWidth="1"/>
    <col min="2" max="2" width="16.25" style="39" customWidth="1"/>
    <col min="3" max="3" width="1.58203125" style="39" customWidth="1"/>
    <col min="4" max="4" width="13.83203125" style="39" customWidth="1"/>
    <col min="5" max="5" width="1.58203125" style="39" customWidth="1"/>
    <col min="6" max="6" width="11.5" style="39" bestFit="1" customWidth="1"/>
    <col min="7" max="7" width="1.58203125" style="39" customWidth="1"/>
    <col min="8" max="8" width="13.75" style="39" customWidth="1"/>
    <col min="9" max="9" width="1.58203125" style="39" customWidth="1"/>
    <col min="10" max="10" width="11.75" style="39" bestFit="1" customWidth="1"/>
    <col min="11" max="11" width="1.58203125" style="39" customWidth="1"/>
    <col min="12" max="12" width="12" style="39" customWidth="1"/>
    <col min="13" max="13" width="1.58203125" style="39" customWidth="1"/>
    <col min="14" max="16384" width="9" style="39"/>
  </cols>
  <sheetData>
    <row r="1" spans="1:1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3">
      <c r="A2" s="4"/>
      <c r="B2" s="143" t="s">
        <v>152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5"/>
    </row>
    <row r="3" spans="1:13" x14ac:dyDescent="0.3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</row>
    <row r="4" spans="1:13" x14ac:dyDescent="0.3">
      <c r="A4" s="4"/>
      <c r="B4" s="145" t="s">
        <v>153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5"/>
    </row>
    <row r="5" spans="1:13" x14ac:dyDescent="0.3">
      <c r="A5" s="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"/>
    </row>
    <row r="6" spans="1:13" x14ac:dyDescent="0.3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1:13" x14ac:dyDescent="0.3">
      <c r="A7" s="4"/>
      <c r="B7" s="143" t="s">
        <v>154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5"/>
    </row>
    <row r="8" spans="1:13" x14ac:dyDescent="0.3">
      <c r="A8" s="4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5"/>
    </row>
    <row r="9" spans="1:13" ht="42" x14ac:dyDescent="0.3">
      <c r="A9" s="4"/>
      <c r="B9" s="41"/>
      <c r="C9" s="41"/>
      <c r="D9" s="26" t="s">
        <v>155</v>
      </c>
      <c r="E9" s="9"/>
      <c r="F9" s="8" t="s">
        <v>156</v>
      </c>
      <c r="G9" s="9"/>
      <c r="H9" s="26" t="s">
        <v>157</v>
      </c>
      <c r="I9" s="9"/>
      <c r="J9" s="26" t="s">
        <v>158</v>
      </c>
      <c r="K9" s="9"/>
      <c r="L9" s="26" t="s">
        <v>159</v>
      </c>
      <c r="M9" s="5"/>
    </row>
    <row r="10" spans="1:13" x14ac:dyDescent="0.3">
      <c r="A10" s="4"/>
      <c r="B10" s="6"/>
      <c r="C10" s="6"/>
      <c r="D10" s="42"/>
      <c r="E10" s="10"/>
      <c r="F10" s="10"/>
      <c r="G10" s="10"/>
      <c r="H10" s="42"/>
      <c r="I10" s="10"/>
      <c r="J10" s="42"/>
      <c r="K10" s="10"/>
      <c r="L10" s="42"/>
      <c r="M10" s="5"/>
    </row>
    <row r="11" spans="1:13" x14ac:dyDescent="0.3">
      <c r="A11" s="4"/>
      <c r="B11" s="6" t="s">
        <v>160</v>
      </c>
      <c r="C11" s="6"/>
      <c r="D11" s="43">
        <v>5752848</v>
      </c>
      <c r="E11" s="6"/>
      <c r="F11" s="44">
        <f>D11/$D$15</f>
        <v>9.6331268613196117E-3</v>
      </c>
      <c r="G11" s="6"/>
      <c r="H11" s="45">
        <v>3.8179999999999999E-2</v>
      </c>
      <c r="I11" s="6"/>
      <c r="J11" s="45">
        <f>ROUND(F11*H11,4)</f>
        <v>4.0000000000000002E-4</v>
      </c>
      <c r="K11" s="6"/>
      <c r="L11" s="46">
        <f>J11</f>
        <v>4.0000000000000002E-4</v>
      </c>
      <c r="M11" s="5"/>
    </row>
    <row r="12" spans="1:13" x14ac:dyDescent="0.3">
      <c r="A12" s="4"/>
      <c r="B12" s="6" t="s">
        <v>161</v>
      </c>
      <c r="C12" s="6"/>
      <c r="D12" s="47">
        <v>275967193</v>
      </c>
      <c r="E12" s="6"/>
      <c r="F12" s="44">
        <f t="shared" ref="F12:F14" si="0">D12/$D$15</f>
        <v>0.46210624367813535</v>
      </c>
      <c r="G12" s="6"/>
      <c r="H12" s="45">
        <v>4.6809999999999997E-2</v>
      </c>
      <c r="I12" s="6"/>
      <c r="J12" s="45">
        <f t="shared" ref="J12:J14" si="1">ROUND(F12*H12,4)</f>
        <v>2.1600000000000001E-2</v>
      </c>
      <c r="K12" s="6"/>
      <c r="L12" s="46">
        <f>J12</f>
        <v>2.1600000000000001E-2</v>
      </c>
      <c r="M12" s="5"/>
    </row>
    <row r="13" spans="1:13" x14ac:dyDescent="0.3">
      <c r="A13" s="4"/>
      <c r="B13" s="6" t="s">
        <v>162</v>
      </c>
      <c r="C13" s="6"/>
      <c r="D13" s="47">
        <v>2245236</v>
      </c>
      <c r="E13" s="6"/>
      <c r="F13" s="44">
        <f t="shared" si="0"/>
        <v>3.7596410024394525E-3</v>
      </c>
      <c r="G13" s="6"/>
      <c r="H13" s="45">
        <v>8.5099999999999995E-2</v>
      </c>
      <c r="I13" s="6"/>
      <c r="J13" s="45">
        <f t="shared" si="1"/>
        <v>2.9999999999999997E-4</v>
      </c>
      <c r="K13" s="6"/>
      <c r="L13" s="45">
        <f>J13*1.342559</f>
        <v>4.0276769999999997E-4</v>
      </c>
      <c r="M13" s="5"/>
    </row>
    <row r="14" spans="1:13" x14ac:dyDescent="0.3">
      <c r="A14" s="4"/>
      <c r="B14" s="6" t="s">
        <v>163</v>
      </c>
      <c r="C14" s="6"/>
      <c r="D14" s="47">
        <v>313228976</v>
      </c>
      <c r="E14" s="6"/>
      <c r="F14" s="44">
        <f t="shared" si="0"/>
        <v>0.52450098845810555</v>
      </c>
      <c r="G14" s="6"/>
      <c r="H14" s="45">
        <v>0.1075</v>
      </c>
      <c r="I14" s="6"/>
      <c r="J14" s="45">
        <f t="shared" si="1"/>
        <v>5.6399999999999999E-2</v>
      </c>
      <c r="K14" s="6"/>
      <c r="L14" s="45">
        <f>J14*1.342559</f>
        <v>7.5720327599999998E-2</v>
      </c>
      <c r="M14" s="5"/>
    </row>
    <row r="15" spans="1:13" ht="22.5" customHeight="1" thickBot="1" x14ac:dyDescent="0.35">
      <c r="A15" s="4"/>
      <c r="B15" s="6" t="s">
        <v>164</v>
      </c>
      <c r="C15" s="6"/>
      <c r="D15" s="48">
        <f>SUM(D11:D14)</f>
        <v>597194253</v>
      </c>
      <c r="E15" s="6"/>
      <c r="F15" s="49">
        <f>SUM(F11:F14)</f>
        <v>1</v>
      </c>
      <c r="G15" s="6"/>
      <c r="H15" s="6"/>
      <c r="I15" s="6"/>
      <c r="J15" s="50">
        <f>SUM(J11:J14)</f>
        <v>7.8700000000000006E-2</v>
      </c>
      <c r="K15" s="6"/>
      <c r="L15" s="50">
        <f>SUM(L11:L14)</f>
        <v>9.8123095300000004E-2</v>
      </c>
      <c r="M15" s="5"/>
    </row>
    <row r="16" spans="1:13" ht="14.5" thickTop="1" x14ac:dyDescent="0.3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</row>
    <row r="17" spans="1:13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x14ac:dyDescent="0.3">
      <c r="A18" s="4"/>
      <c r="B18" s="143" t="s">
        <v>165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5"/>
    </row>
    <row r="19" spans="1:13" x14ac:dyDescent="0.3">
      <c r="A19" s="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"/>
    </row>
    <row r="20" spans="1:13" ht="42" x14ac:dyDescent="0.3">
      <c r="A20" s="4"/>
      <c r="B20" s="41"/>
      <c r="C20" s="41"/>
      <c r="D20" s="26" t="s">
        <v>155</v>
      </c>
      <c r="E20" s="9"/>
      <c r="F20" s="8" t="s">
        <v>156</v>
      </c>
      <c r="G20" s="9"/>
      <c r="H20" s="26" t="s">
        <v>157</v>
      </c>
      <c r="I20" s="9"/>
      <c r="J20" s="26" t="s">
        <v>158</v>
      </c>
      <c r="K20" s="9"/>
      <c r="L20" s="26" t="s">
        <v>159</v>
      </c>
      <c r="M20" s="5"/>
    </row>
    <row r="21" spans="1:13" x14ac:dyDescent="0.3">
      <c r="A21" s="4"/>
      <c r="B21" s="6"/>
      <c r="C21" s="6"/>
      <c r="D21" s="42"/>
      <c r="E21" s="10"/>
      <c r="F21" s="10"/>
      <c r="G21" s="10"/>
      <c r="H21" s="42"/>
      <c r="I21" s="10"/>
      <c r="J21" s="42"/>
      <c r="K21" s="10"/>
      <c r="L21" s="42"/>
      <c r="M21" s="5"/>
    </row>
    <row r="22" spans="1:13" x14ac:dyDescent="0.3">
      <c r="A22" s="4"/>
      <c r="B22" s="6" t="s">
        <v>160</v>
      </c>
      <c r="C22" s="6"/>
      <c r="D22" s="43">
        <f>F22*D26</f>
        <v>5733064.8287999993</v>
      </c>
      <c r="E22" s="6"/>
      <c r="F22" s="44">
        <v>9.5999999999999992E-3</v>
      </c>
      <c r="G22" s="6"/>
      <c r="H22" s="45">
        <v>3.8179999999999999E-2</v>
      </c>
      <c r="I22" s="6"/>
      <c r="J22" s="45">
        <f>F22*H22</f>
        <v>3.6652799999999997E-4</v>
      </c>
      <c r="K22" s="6"/>
      <c r="L22" s="46">
        <f>J22</f>
        <v>3.6652799999999997E-4</v>
      </c>
      <c r="M22" s="5"/>
    </row>
    <row r="23" spans="1:13" x14ac:dyDescent="0.3">
      <c r="A23" s="4"/>
      <c r="B23" s="6" t="s">
        <v>161</v>
      </c>
      <c r="C23" s="6"/>
      <c r="D23" s="47">
        <f>F23*D26</f>
        <v>290594723.50979996</v>
      </c>
      <c r="E23" s="6"/>
      <c r="F23" s="44">
        <v>0.48659999999999998</v>
      </c>
      <c r="G23" s="6"/>
      <c r="H23" s="45">
        <v>4.6809999999999997E-2</v>
      </c>
      <c r="I23" s="6"/>
      <c r="J23" s="45">
        <f t="shared" ref="J23:J25" si="2">F23*H23</f>
        <v>2.2777745999999998E-2</v>
      </c>
      <c r="K23" s="6"/>
      <c r="L23" s="46">
        <f>J23</f>
        <v>2.2777745999999998E-2</v>
      </c>
      <c r="M23" s="5"/>
    </row>
    <row r="24" spans="1:13" x14ac:dyDescent="0.3">
      <c r="A24" s="4"/>
      <c r="B24" s="6" t="s">
        <v>162</v>
      </c>
      <c r="C24" s="6"/>
      <c r="D24" s="47">
        <v>2245236</v>
      </c>
      <c r="E24" s="6"/>
      <c r="F24" s="44">
        <v>3.7596410024394525E-3</v>
      </c>
      <c r="G24" s="6"/>
      <c r="H24" s="45">
        <v>8.5099999999999995E-2</v>
      </c>
      <c r="I24" s="6"/>
      <c r="J24" s="45">
        <f t="shared" si="2"/>
        <v>3.1994544930759739E-4</v>
      </c>
      <c r="K24" s="6"/>
      <c r="L24" s="45">
        <f>J24*1.342559</f>
        <v>4.2954564247695866E-4</v>
      </c>
      <c r="M24" s="5"/>
    </row>
    <row r="25" spans="1:13" x14ac:dyDescent="0.3">
      <c r="A25" s="4"/>
      <c r="B25" s="6" t="s">
        <v>163</v>
      </c>
      <c r="C25" s="6"/>
      <c r="D25" s="47">
        <f>F25*D26</f>
        <v>298621228.66140002</v>
      </c>
      <c r="E25" s="6"/>
      <c r="F25" s="44">
        <v>0.50004035899756061</v>
      </c>
      <c r="G25" s="6"/>
      <c r="H25" s="45">
        <v>9.4E-2</v>
      </c>
      <c r="I25" s="6"/>
      <c r="J25" s="45">
        <f t="shared" si="2"/>
        <v>4.7003793745770697E-2</v>
      </c>
      <c r="K25" s="6"/>
      <c r="L25" s="45">
        <f>J25*1.342559</f>
        <v>6.3105366327528167E-2</v>
      </c>
      <c r="M25" s="5"/>
    </row>
    <row r="26" spans="1:13" ht="22.5" customHeight="1" thickBot="1" x14ac:dyDescent="0.35">
      <c r="A26" s="4"/>
      <c r="B26" s="6" t="s">
        <v>164</v>
      </c>
      <c r="C26" s="6"/>
      <c r="D26" s="48">
        <f>D15</f>
        <v>597194253</v>
      </c>
      <c r="E26" s="6"/>
      <c r="F26" s="49">
        <f>SUM(F22:F25)</f>
        <v>1</v>
      </c>
      <c r="G26" s="6"/>
      <c r="H26" s="6"/>
      <c r="I26" s="6"/>
      <c r="J26" s="50">
        <f>SUM(J22:J25)</f>
        <v>7.0468013195078297E-2</v>
      </c>
      <c r="K26" s="6"/>
      <c r="L26" s="50">
        <f>SUM(L22:L25)</f>
        <v>8.6679185970005124E-2</v>
      </c>
      <c r="M26" s="5"/>
    </row>
    <row r="27" spans="1:13" ht="14.5" thickTop="1" x14ac:dyDescent="0.3">
      <c r="A27" s="4"/>
      <c r="B27" s="51" t="s">
        <v>166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</row>
    <row r="28" spans="1:13" ht="28.5" customHeight="1" x14ac:dyDescent="0.3">
      <c r="A28" s="4"/>
      <c r="B28" s="146" t="s">
        <v>167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5"/>
    </row>
    <row r="29" spans="1:13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"/>
    </row>
    <row r="32" spans="1:13" x14ac:dyDescent="0.3">
      <c r="B32" s="39" t="s">
        <v>168</v>
      </c>
      <c r="H32" s="52">
        <v>588397566</v>
      </c>
      <c r="I32" s="39" t="s">
        <v>169</v>
      </c>
    </row>
    <row r="34" spans="2:8" x14ac:dyDescent="0.3">
      <c r="B34" s="39" t="s">
        <v>170</v>
      </c>
      <c r="H34" s="52">
        <f>L15*H32</f>
        <v>57735390.442906044</v>
      </c>
    </row>
    <row r="35" spans="2:8" x14ac:dyDescent="0.3">
      <c r="B35" s="39" t="s">
        <v>171</v>
      </c>
      <c r="H35" s="52">
        <f>H32*L26</f>
        <v>51001822.047612362</v>
      </c>
    </row>
    <row r="36" spans="2:8" x14ac:dyDescent="0.3">
      <c r="H36" s="52"/>
    </row>
    <row r="37" spans="2:8" x14ac:dyDescent="0.3">
      <c r="B37" s="39" t="s">
        <v>172</v>
      </c>
      <c r="H37" s="52">
        <f>H34-H35</f>
        <v>6733568.3952936828</v>
      </c>
    </row>
  </sheetData>
  <mergeCells count="5">
    <mergeCell ref="B2:L2"/>
    <mergeCell ref="B4:L4"/>
    <mergeCell ref="B7:L7"/>
    <mergeCell ref="B18:L18"/>
    <mergeCell ref="B28:L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9"/>
  <sheetViews>
    <sheetView workbookViewId="0">
      <selection activeCell="I12" sqref="I12"/>
    </sheetView>
  </sheetViews>
  <sheetFormatPr defaultColWidth="9" defaultRowHeight="14" x14ac:dyDescent="0.3"/>
  <cols>
    <col min="1" max="2" width="1.58203125" style="39" customWidth="1"/>
    <col min="3" max="3" width="5.25" style="39" customWidth="1"/>
    <col min="4" max="4" width="1.58203125" style="39" customWidth="1"/>
    <col min="5" max="5" width="32" style="39" bestFit="1" customWidth="1"/>
    <col min="6" max="6" width="1.58203125" style="39" customWidth="1"/>
    <col min="7" max="7" width="12.08203125" style="39" bestFit="1" customWidth="1"/>
    <col min="8" max="8" width="1.58203125" style="39" customWidth="1"/>
    <col min="9" max="16384" width="9" style="39"/>
  </cols>
  <sheetData>
    <row r="2" spans="2:8" x14ac:dyDescent="0.3">
      <c r="B2" s="1"/>
      <c r="C2" s="2"/>
      <c r="D2" s="2"/>
      <c r="E2" s="2"/>
      <c r="F2" s="2"/>
      <c r="G2" s="2"/>
      <c r="H2" s="3"/>
    </row>
    <row r="3" spans="2:8" x14ac:dyDescent="0.3">
      <c r="B3" s="4"/>
      <c r="C3" s="143" t="s">
        <v>28</v>
      </c>
      <c r="D3" s="143"/>
      <c r="E3" s="143"/>
      <c r="F3" s="143"/>
      <c r="G3" s="143"/>
      <c r="H3" s="5"/>
    </row>
    <row r="4" spans="2:8" x14ac:dyDescent="0.3">
      <c r="B4" s="4"/>
      <c r="C4" s="6"/>
      <c r="D4" s="6"/>
      <c r="E4" s="6"/>
      <c r="F4" s="6"/>
      <c r="G4" s="6"/>
      <c r="H4" s="5"/>
    </row>
    <row r="5" spans="2:8" x14ac:dyDescent="0.3">
      <c r="B5" s="4"/>
      <c r="C5" s="143" t="s">
        <v>83</v>
      </c>
      <c r="D5" s="143"/>
      <c r="E5" s="143"/>
      <c r="F5" s="143"/>
      <c r="G5" s="143"/>
      <c r="H5" s="5"/>
    </row>
    <row r="6" spans="2:8" x14ac:dyDescent="0.3">
      <c r="B6" s="4"/>
      <c r="C6" s="6"/>
      <c r="D6" s="6"/>
      <c r="E6" s="6"/>
      <c r="F6" s="6"/>
      <c r="G6" s="6"/>
      <c r="H6" s="5"/>
    </row>
    <row r="7" spans="2:8" x14ac:dyDescent="0.3">
      <c r="B7" s="4"/>
      <c r="C7" s="8" t="s">
        <v>2</v>
      </c>
      <c r="D7" s="6"/>
      <c r="E7" s="8" t="s">
        <v>22</v>
      </c>
      <c r="F7" s="6"/>
      <c r="G7" s="8" t="s">
        <v>5</v>
      </c>
      <c r="H7" s="5"/>
    </row>
    <row r="8" spans="2:8" x14ac:dyDescent="0.3">
      <c r="B8" s="4"/>
      <c r="C8" s="6"/>
      <c r="D8" s="6"/>
      <c r="E8" s="6"/>
      <c r="F8" s="6"/>
      <c r="G8" s="6"/>
      <c r="H8" s="5"/>
    </row>
    <row r="9" spans="2:8" x14ac:dyDescent="0.3">
      <c r="B9" s="4"/>
      <c r="C9" s="10">
        <v>1</v>
      </c>
      <c r="D9" s="6"/>
      <c r="E9" s="10">
        <v>2018</v>
      </c>
      <c r="F9" s="6"/>
      <c r="G9" s="68">
        <v>9505452</v>
      </c>
      <c r="H9" s="5"/>
    </row>
    <row r="10" spans="2:8" x14ac:dyDescent="0.3">
      <c r="B10" s="4"/>
      <c r="C10" s="10"/>
      <c r="D10" s="6"/>
      <c r="E10" s="10"/>
      <c r="F10" s="6"/>
      <c r="G10" s="68"/>
      <c r="H10" s="5"/>
    </row>
    <row r="11" spans="2:8" x14ac:dyDescent="0.3">
      <c r="B11" s="4"/>
      <c r="C11" s="10">
        <v>2</v>
      </c>
      <c r="D11" s="6"/>
      <c r="E11" s="10">
        <v>2019</v>
      </c>
      <c r="F11" s="6"/>
      <c r="G11" s="68">
        <v>10010975</v>
      </c>
      <c r="H11" s="5"/>
    </row>
    <row r="12" spans="2:8" x14ac:dyDescent="0.3">
      <c r="B12" s="4"/>
      <c r="C12" s="10"/>
      <c r="D12" s="6"/>
      <c r="E12" s="10"/>
      <c r="F12" s="6"/>
      <c r="G12" s="68"/>
      <c r="H12" s="5"/>
    </row>
    <row r="13" spans="2:8" x14ac:dyDescent="0.3">
      <c r="B13" s="4"/>
      <c r="C13" s="10">
        <v>3</v>
      </c>
      <c r="D13" s="6"/>
      <c r="E13" s="10">
        <v>2020</v>
      </c>
      <c r="F13" s="6"/>
      <c r="G13" s="68">
        <v>10539095</v>
      </c>
      <c r="H13" s="5"/>
    </row>
    <row r="14" spans="2:8" x14ac:dyDescent="0.3">
      <c r="B14" s="4"/>
      <c r="C14" s="10"/>
      <c r="D14" s="6"/>
      <c r="E14" s="10"/>
      <c r="F14" s="6"/>
      <c r="G14" s="68"/>
      <c r="H14" s="5"/>
    </row>
    <row r="15" spans="2:8" x14ac:dyDescent="0.3">
      <c r="B15" s="4"/>
      <c r="C15" s="10">
        <v>4</v>
      </c>
      <c r="D15" s="6"/>
      <c r="E15" s="10">
        <v>2021</v>
      </c>
      <c r="F15" s="6"/>
      <c r="G15" s="68">
        <v>9582186</v>
      </c>
      <c r="H15" s="5"/>
    </row>
    <row r="16" spans="2:8" x14ac:dyDescent="0.3">
      <c r="B16" s="4"/>
      <c r="C16" s="10"/>
      <c r="D16" s="6"/>
      <c r="E16" s="10"/>
      <c r="F16" s="6"/>
      <c r="G16" s="68"/>
      <c r="H16" s="5"/>
    </row>
    <row r="17" spans="2:8" x14ac:dyDescent="0.3">
      <c r="B17" s="4"/>
      <c r="C17" s="10">
        <v>5</v>
      </c>
      <c r="D17" s="6"/>
      <c r="E17" s="10">
        <v>2022</v>
      </c>
      <c r="F17" s="6"/>
      <c r="G17" s="68">
        <v>11843553</v>
      </c>
      <c r="H17" s="5"/>
    </row>
    <row r="18" spans="2:8" x14ac:dyDescent="0.3">
      <c r="B18" s="4"/>
      <c r="C18" s="10"/>
      <c r="D18" s="6"/>
      <c r="E18" s="10"/>
      <c r="F18" s="6"/>
      <c r="G18" s="68"/>
      <c r="H18" s="5"/>
    </row>
    <row r="19" spans="2:8" x14ac:dyDescent="0.3">
      <c r="B19" s="4"/>
      <c r="C19" s="10">
        <v>6</v>
      </c>
      <c r="D19" s="6"/>
      <c r="E19" s="10" t="s">
        <v>84</v>
      </c>
      <c r="F19" s="6"/>
      <c r="G19" s="68">
        <v>11857295</v>
      </c>
      <c r="H19" s="5"/>
    </row>
    <row r="20" spans="2:8" x14ac:dyDescent="0.3">
      <c r="B20" s="4"/>
      <c r="C20" s="10"/>
      <c r="D20" s="6"/>
      <c r="E20" s="10"/>
      <c r="F20" s="6"/>
      <c r="G20" s="68"/>
      <c r="H20" s="5"/>
    </row>
    <row r="21" spans="2:8" x14ac:dyDescent="0.3">
      <c r="B21" s="4"/>
      <c r="C21" s="10">
        <v>7</v>
      </c>
      <c r="D21" s="6"/>
      <c r="E21" s="10" t="s">
        <v>23</v>
      </c>
      <c r="F21" s="6"/>
      <c r="G21" s="68">
        <f>10605902</f>
        <v>10605902</v>
      </c>
      <c r="H21" s="5"/>
    </row>
    <row r="22" spans="2:8" x14ac:dyDescent="0.3">
      <c r="B22" s="4"/>
      <c r="C22" s="10"/>
      <c r="D22" s="6"/>
      <c r="E22" s="10"/>
      <c r="F22" s="6"/>
      <c r="G22" s="68"/>
      <c r="H22" s="5"/>
    </row>
    <row r="23" spans="2:8" x14ac:dyDescent="0.3">
      <c r="B23" s="4"/>
      <c r="C23" s="10">
        <v>8</v>
      </c>
      <c r="D23" s="6"/>
      <c r="E23" s="6" t="s">
        <v>85</v>
      </c>
      <c r="F23" s="6"/>
      <c r="G23" s="69">
        <f>G21-617983</f>
        <v>9987919</v>
      </c>
      <c r="H23" s="5"/>
    </row>
    <row r="24" spans="2:8" x14ac:dyDescent="0.3">
      <c r="B24" s="4"/>
      <c r="C24" s="6" t="s">
        <v>24</v>
      </c>
      <c r="D24" s="6"/>
      <c r="E24" s="30"/>
      <c r="F24" s="6"/>
      <c r="G24" s="6"/>
      <c r="H24" s="5"/>
    </row>
    <row r="25" spans="2:8" x14ac:dyDescent="0.3">
      <c r="B25" s="4"/>
      <c r="C25" s="31" t="s">
        <v>25</v>
      </c>
      <c r="D25" s="6"/>
      <c r="E25" s="30"/>
      <c r="F25" s="6"/>
      <c r="G25" s="6"/>
      <c r="H25" s="5"/>
    </row>
    <row r="26" spans="2:8" x14ac:dyDescent="0.3">
      <c r="B26" s="4"/>
      <c r="C26" s="31" t="s">
        <v>86</v>
      </c>
      <c r="D26" s="6"/>
      <c r="E26" s="30"/>
      <c r="F26" s="6"/>
      <c r="G26" s="6"/>
      <c r="H26" s="5"/>
    </row>
    <row r="27" spans="2:8" x14ac:dyDescent="0.3">
      <c r="B27" s="4"/>
      <c r="C27" s="31" t="s">
        <v>87</v>
      </c>
      <c r="D27" s="6"/>
      <c r="E27" s="30"/>
      <c r="F27" s="6"/>
      <c r="G27" s="6"/>
      <c r="H27" s="5"/>
    </row>
    <row r="28" spans="2:8" x14ac:dyDescent="0.3">
      <c r="B28" s="22"/>
      <c r="C28" s="23"/>
      <c r="D28" s="23"/>
      <c r="E28" s="24"/>
      <c r="F28" s="23"/>
      <c r="G28" s="23"/>
      <c r="H28" s="25"/>
    </row>
    <row r="29" spans="2:8" x14ac:dyDescent="0.3">
      <c r="E29" s="70"/>
    </row>
  </sheetData>
  <mergeCells count="2">
    <mergeCell ref="C3:G3"/>
    <mergeCell ref="C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7"/>
  <sheetViews>
    <sheetView workbookViewId="0">
      <selection activeCell="L19" sqref="L19"/>
    </sheetView>
  </sheetViews>
  <sheetFormatPr defaultColWidth="9" defaultRowHeight="14" x14ac:dyDescent="0.3"/>
  <cols>
    <col min="1" max="2" width="1.58203125" style="39" customWidth="1"/>
    <col min="3" max="3" width="4.25" style="39" bestFit="1" customWidth="1"/>
    <col min="4" max="4" width="1.58203125" style="39" customWidth="1"/>
    <col min="5" max="5" width="18" style="39" bestFit="1" customWidth="1"/>
    <col min="6" max="6" width="1.58203125" style="39" customWidth="1"/>
    <col min="7" max="7" width="13.08203125" style="39" customWidth="1"/>
    <col min="8" max="8" width="1.58203125" style="39" customWidth="1"/>
    <col min="9" max="9" width="13.08203125" style="39" customWidth="1"/>
    <col min="10" max="10" width="1.58203125" style="39" customWidth="1"/>
    <col min="11" max="16384" width="9" style="39"/>
  </cols>
  <sheetData>
    <row r="2" spans="2:10" x14ac:dyDescent="0.3">
      <c r="B2" s="1"/>
      <c r="C2" s="2"/>
      <c r="D2" s="2"/>
      <c r="E2" s="2"/>
      <c r="F2" s="2"/>
      <c r="G2" s="2"/>
      <c r="H2" s="2"/>
      <c r="I2" s="2"/>
      <c r="J2" s="3"/>
    </row>
    <row r="3" spans="2:10" x14ac:dyDescent="0.3">
      <c r="B3" s="4"/>
      <c r="C3" s="143" t="s">
        <v>104</v>
      </c>
      <c r="D3" s="143"/>
      <c r="E3" s="143"/>
      <c r="F3" s="143"/>
      <c r="G3" s="143"/>
      <c r="H3" s="143"/>
      <c r="I3" s="143"/>
      <c r="J3" s="5"/>
    </row>
    <row r="4" spans="2:10" x14ac:dyDescent="0.3">
      <c r="B4" s="4"/>
      <c r="C4" s="6"/>
      <c r="D4" s="6"/>
      <c r="E4" s="6"/>
      <c r="F4" s="6"/>
      <c r="G4" s="6"/>
      <c r="H4" s="6"/>
      <c r="I4" s="6"/>
      <c r="J4" s="5"/>
    </row>
    <row r="5" spans="2:10" x14ac:dyDescent="0.3">
      <c r="B5" s="4"/>
      <c r="C5" s="143" t="s">
        <v>88</v>
      </c>
      <c r="D5" s="143"/>
      <c r="E5" s="143"/>
      <c r="F5" s="143"/>
      <c r="G5" s="143"/>
      <c r="H5" s="143"/>
      <c r="I5" s="143"/>
      <c r="J5" s="5"/>
    </row>
    <row r="6" spans="2:10" x14ac:dyDescent="0.3">
      <c r="B6" s="4"/>
      <c r="C6" s="6"/>
      <c r="D6" s="6"/>
      <c r="E6" s="6"/>
      <c r="F6" s="6"/>
      <c r="G6" s="6"/>
      <c r="H6" s="6"/>
      <c r="I6" s="6"/>
      <c r="J6" s="5"/>
    </row>
    <row r="7" spans="2:10" ht="28" x14ac:dyDescent="0.3">
      <c r="B7" s="4"/>
      <c r="C7" s="8" t="s">
        <v>2</v>
      </c>
      <c r="D7" s="6"/>
      <c r="E7" s="8" t="s">
        <v>22</v>
      </c>
      <c r="F7" s="10"/>
      <c r="G7" s="26" t="s">
        <v>89</v>
      </c>
      <c r="H7" s="71"/>
      <c r="I7" s="26" t="s">
        <v>90</v>
      </c>
      <c r="J7" s="5"/>
    </row>
    <row r="8" spans="2:10" x14ac:dyDescent="0.3">
      <c r="B8" s="4"/>
      <c r="C8" s="6"/>
      <c r="D8" s="6"/>
      <c r="E8" s="6"/>
      <c r="F8" s="6"/>
      <c r="G8" s="6"/>
      <c r="H8" s="6"/>
      <c r="I8" s="6"/>
      <c r="J8" s="5"/>
    </row>
    <row r="9" spans="2:10" x14ac:dyDescent="0.3">
      <c r="B9" s="4"/>
      <c r="C9" s="10">
        <v>1</v>
      </c>
      <c r="D9" s="6"/>
      <c r="E9" s="10">
        <v>2018</v>
      </c>
      <c r="F9" s="10"/>
      <c r="G9" s="28">
        <v>0.38623160687150909</v>
      </c>
      <c r="H9" s="29"/>
      <c r="I9" s="28">
        <v>0.61376839312849085</v>
      </c>
      <c r="J9" s="5"/>
    </row>
    <row r="10" spans="2:10" x14ac:dyDescent="0.3">
      <c r="B10" s="4"/>
      <c r="C10" s="10"/>
      <c r="D10" s="6"/>
      <c r="E10" s="10"/>
      <c r="F10" s="10"/>
      <c r="G10" s="28"/>
      <c r="H10" s="29"/>
      <c r="I10" s="28"/>
      <c r="J10" s="5"/>
    </row>
    <row r="11" spans="2:10" x14ac:dyDescent="0.3">
      <c r="B11" s="4"/>
      <c r="C11" s="10">
        <v>2</v>
      </c>
      <c r="D11" s="6"/>
      <c r="E11" s="10">
        <v>2019</v>
      </c>
      <c r="F11" s="10"/>
      <c r="G11" s="28">
        <v>0.40194955813560479</v>
      </c>
      <c r="H11" s="29"/>
      <c r="I11" s="28">
        <v>0.59805043791529156</v>
      </c>
      <c r="J11" s="5"/>
    </row>
    <row r="12" spans="2:10" x14ac:dyDescent="0.3">
      <c r="B12" s="4"/>
      <c r="C12" s="10"/>
      <c r="D12" s="6"/>
      <c r="E12" s="10"/>
      <c r="F12" s="10"/>
      <c r="G12" s="28"/>
      <c r="H12" s="29"/>
      <c r="I12" s="28"/>
      <c r="J12" s="5"/>
    </row>
    <row r="13" spans="2:10" x14ac:dyDescent="0.3">
      <c r="B13" s="4"/>
      <c r="C13" s="10">
        <v>3</v>
      </c>
      <c r="D13" s="6"/>
      <c r="E13" s="10">
        <v>2020</v>
      </c>
      <c r="F13" s="10"/>
      <c r="G13" s="28">
        <v>0.41617918360410222</v>
      </c>
      <c r="H13" s="29"/>
      <c r="I13" s="28">
        <v>0.58382081353043713</v>
      </c>
      <c r="J13" s="5"/>
    </row>
    <row r="14" spans="2:10" x14ac:dyDescent="0.3">
      <c r="B14" s="4"/>
      <c r="C14" s="10"/>
      <c r="D14" s="6"/>
      <c r="E14" s="10"/>
      <c r="F14" s="10"/>
      <c r="G14" s="28"/>
      <c r="H14" s="29"/>
      <c r="I14" s="28"/>
      <c r="J14" s="5"/>
    </row>
    <row r="15" spans="2:10" x14ac:dyDescent="0.3">
      <c r="B15" s="4"/>
      <c r="C15" s="10">
        <v>4</v>
      </c>
      <c r="D15" s="6"/>
      <c r="E15" s="10">
        <v>2021</v>
      </c>
      <c r="F15" s="10"/>
      <c r="G15" s="28">
        <v>0.44216654153635448</v>
      </c>
      <c r="H15" s="29"/>
      <c r="I15" s="28">
        <v>0.55783345578958454</v>
      </c>
      <c r="J15" s="5"/>
    </row>
    <row r="16" spans="2:10" x14ac:dyDescent="0.3">
      <c r="B16" s="4"/>
      <c r="C16" s="10"/>
      <c r="D16" s="6"/>
      <c r="E16" s="10"/>
      <c r="F16" s="10"/>
      <c r="G16" s="28"/>
      <c r="H16" s="29"/>
      <c r="I16" s="28"/>
      <c r="J16" s="5"/>
    </row>
    <row r="17" spans="2:10" x14ac:dyDescent="0.3">
      <c r="B17" s="4"/>
      <c r="C17" s="10">
        <v>5</v>
      </c>
      <c r="D17" s="6"/>
      <c r="E17" s="10">
        <v>2022</v>
      </c>
      <c r="F17" s="10"/>
      <c r="G17" s="28">
        <v>0.45250068973000018</v>
      </c>
      <c r="H17" s="29"/>
      <c r="I17" s="28">
        <v>0.54749930883748521</v>
      </c>
      <c r="J17" s="5"/>
    </row>
    <row r="18" spans="2:10" x14ac:dyDescent="0.3">
      <c r="B18" s="4"/>
      <c r="C18" s="10"/>
      <c r="D18" s="6"/>
      <c r="E18" s="10"/>
      <c r="F18" s="10"/>
      <c r="G18" s="28"/>
      <c r="H18" s="29"/>
      <c r="I18" s="28"/>
      <c r="J18" s="5"/>
    </row>
    <row r="19" spans="2:10" x14ac:dyDescent="0.3">
      <c r="B19" s="4"/>
      <c r="C19" s="10">
        <v>6</v>
      </c>
      <c r="D19" s="6"/>
      <c r="E19" s="10" t="s">
        <v>84</v>
      </c>
      <c r="F19" s="10"/>
      <c r="G19" s="28">
        <v>0.43804130833797117</v>
      </c>
      <c r="H19" s="29"/>
      <c r="I19" s="28">
        <v>0.56195869291496936</v>
      </c>
      <c r="J19" s="5"/>
    </row>
    <row r="20" spans="2:10" x14ac:dyDescent="0.3">
      <c r="B20" s="4"/>
      <c r="C20" s="10"/>
      <c r="D20" s="6"/>
      <c r="E20" s="10"/>
      <c r="F20" s="10"/>
      <c r="G20" s="28"/>
      <c r="H20" s="29"/>
      <c r="I20" s="28"/>
      <c r="J20" s="5"/>
    </row>
    <row r="21" spans="2:10" x14ac:dyDescent="0.3">
      <c r="B21" s="4"/>
      <c r="C21" s="10">
        <v>7</v>
      </c>
      <c r="D21" s="6"/>
      <c r="E21" s="10" t="s">
        <v>23</v>
      </c>
      <c r="F21" s="10"/>
      <c r="G21" s="28">
        <v>0.26432942779522078</v>
      </c>
      <c r="H21" s="29"/>
      <c r="I21" s="28">
        <v>0.73567060005571117</v>
      </c>
      <c r="J21" s="5"/>
    </row>
    <row r="22" spans="2:10" x14ac:dyDescent="0.3">
      <c r="B22" s="4"/>
      <c r="C22" s="10"/>
      <c r="D22" s="6"/>
      <c r="E22" s="6"/>
      <c r="F22" s="6"/>
      <c r="G22" s="29"/>
      <c r="H22" s="29"/>
      <c r="I22" s="29"/>
      <c r="J22" s="5"/>
    </row>
    <row r="23" spans="2:10" x14ac:dyDescent="0.3">
      <c r="B23" s="4"/>
      <c r="C23" s="6" t="s">
        <v>24</v>
      </c>
      <c r="D23" s="6"/>
      <c r="E23" s="30"/>
      <c r="F23" s="6"/>
      <c r="G23" s="6"/>
      <c r="H23" s="6"/>
      <c r="I23" s="6"/>
      <c r="J23" s="5"/>
    </row>
    <row r="24" spans="2:10" x14ac:dyDescent="0.3">
      <c r="B24" s="4"/>
      <c r="C24" s="31" t="s">
        <v>91</v>
      </c>
      <c r="D24" s="6"/>
      <c r="E24" s="30"/>
      <c r="F24" s="31"/>
      <c r="G24" s="31"/>
      <c r="H24" s="6"/>
      <c r="I24" s="6"/>
      <c r="J24" s="5"/>
    </row>
    <row r="25" spans="2:10" x14ac:dyDescent="0.3">
      <c r="B25" s="4"/>
      <c r="C25" s="31" t="s">
        <v>92</v>
      </c>
      <c r="D25" s="6"/>
      <c r="E25" s="30"/>
      <c r="F25" s="31"/>
      <c r="G25" s="31"/>
      <c r="H25" s="6"/>
      <c r="I25" s="6"/>
      <c r="J25" s="5"/>
    </row>
    <row r="26" spans="2:10" x14ac:dyDescent="0.3">
      <c r="B26" s="22"/>
      <c r="C26" s="23"/>
      <c r="D26" s="23"/>
      <c r="E26" s="24"/>
      <c r="F26" s="24"/>
      <c r="G26" s="24"/>
      <c r="H26" s="23"/>
      <c r="I26" s="23"/>
      <c r="J26" s="25"/>
    </row>
    <row r="27" spans="2:10" x14ac:dyDescent="0.3">
      <c r="E27" s="70"/>
      <c r="F27" s="70"/>
      <c r="G27" s="70"/>
    </row>
  </sheetData>
  <mergeCells count="2">
    <mergeCell ref="C3:I3"/>
    <mergeCell ref="C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>
      <selection activeCell="D27" sqref="D27"/>
    </sheetView>
  </sheetViews>
  <sheetFormatPr defaultColWidth="9" defaultRowHeight="14" x14ac:dyDescent="0.3"/>
  <cols>
    <col min="1" max="1" width="1.58203125" style="39" customWidth="1"/>
    <col min="2" max="2" width="4.75" style="39" bestFit="1" customWidth="1"/>
    <col min="3" max="3" width="1.58203125" style="39" customWidth="1"/>
    <col min="4" max="4" width="61.5" style="39" bestFit="1" customWidth="1"/>
    <col min="5" max="5" width="1.58203125" style="39" customWidth="1"/>
    <col min="6" max="6" width="13.75" style="39" bestFit="1" customWidth="1"/>
    <col min="7" max="7" width="1.58203125" style="39" customWidth="1"/>
    <col min="8" max="16384" width="9" style="39"/>
  </cols>
  <sheetData>
    <row r="1" spans="1:7" x14ac:dyDescent="0.3">
      <c r="A1" s="1"/>
      <c r="B1" s="2"/>
      <c r="C1" s="2"/>
      <c r="D1" s="2"/>
      <c r="E1" s="2"/>
      <c r="F1" s="2"/>
      <c r="G1" s="3"/>
    </row>
    <row r="2" spans="1:7" x14ac:dyDescent="0.3">
      <c r="A2" s="4"/>
      <c r="B2" s="143" t="s">
        <v>103</v>
      </c>
      <c r="C2" s="143"/>
      <c r="D2" s="143"/>
      <c r="E2" s="143"/>
      <c r="F2" s="143"/>
      <c r="G2" s="5"/>
    </row>
    <row r="3" spans="1:7" x14ac:dyDescent="0.3">
      <c r="A3" s="4"/>
      <c r="B3" s="6"/>
      <c r="C3" s="6"/>
      <c r="D3" s="6"/>
      <c r="E3" s="6"/>
      <c r="F3" s="6"/>
      <c r="G3" s="5"/>
    </row>
    <row r="4" spans="1:7" x14ac:dyDescent="0.3">
      <c r="A4" s="4"/>
      <c r="B4" s="143" t="s">
        <v>93</v>
      </c>
      <c r="C4" s="143"/>
      <c r="D4" s="143"/>
      <c r="E4" s="143"/>
      <c r="F4" s="143"/>
      <c r="G4" s="5"/>
    </row>
    <row r="5" spans="1:7" x14ac:dyDescent="0.3">
      <c r="A5" s="4"/>
      <c r="B5" s="6"/>
      <c r="C5" s="6"/>
      <c r="D5" s="6"/>
      <c r="E5" s="6"/>
      <c r="F5" s="6"/>
      <c r="G5" s="5"/>
    </row>
    <row r="6" spans="1:7" s="73" customFormat="1" x14ac:dyDescent="0.3">
      <c r="A6" s="54"/>
      <c r="B6" s="8" t="s">
        <v>2</v>
      </c>
      <c r="C6" s="9"/>
      <c r="D6" s="8" t="s">
        <v>31</v>
      </c>
      <c r="E6" s="9"/>
      <c r="F6" s="8" t="s">
        <v>32</v>
      </c>
      <c r="G6" s="72"/>
    </row>
    <row r="7" spans="1:7" x14ac:dyDescent="0.3">
      <c r="A7" s="4"/>
      <c r="B7" s="6"/>
      <c r="C7" s="6"/>
      <c r="D7" s="6"/>
      <c r="E7" s="6"/>
      <c r="F7" s="6"/>
      <c r="G7" s="5"/>
    </row>
    <row r="8" spans="1:7" x14ac:dyDescent="0.3">
      <c r="A8" s="4"/>
      <c r="B8" s="10">
        <v>1</v>
      </c>
      <c r="C8" s="6"/>
      <c r="D8" s="6" t="s">
        <v>94</v>
      </c>
      <c r="E8" s="6"/>
      <c r="F8" s="68">
        <v>10605901.973850101</v>
      </c>
      <c r="G8" s="5"/>
    </row>
    <row r="9" spans="1:7" x14ac:dyDescent="0.3">
      <c r="A9" s="4"/>
      <c r="B9" s="10"/>
      <c r="C9" s="6"/>
      <c r="D9" s="6"/>
      <c r="E9" s="6"/>
      <c r="F9" s="6"/>
      <c r="G9" s="5"/>
    </row>
    <row r="10" spans="1:7" x14ac:dyDescent="0.3">
      <c r="A10" s="4"/>
      <c r="B10" s="10">
        <v>2</v>
      </c>
      <c r="C10" s="6"/>
      <c r="D10" s="6" t="s">
        <v>95</v>
      </c>
      <c r="E10" s="6"/>
      <c r="F10" s="74">
        <v>7802450.2692343555</v>
      </c>
      <c r="G10" s="5"/>
    </row>
    <row r="11" spans="1:7" x14ac:dyDescent="0.3">
      <c r="A11" s="4"/>
      <c r="B11" s="10"/>
      <c r="C11" s="6"/>
      <c r="D11" s="6"/>
      <c r="E11" s="6"/>
      <c r="F11" s="6"/>
      <c r="G11" s="5"/>
    </row>
    <row r="12" spans="1:7" x14ac:dyDescent="0.3">
      <c r="A12" s="4"/>
      <c r="B12" s="10">
        <v>3</v>
      </c>
      <c r="C12" s="6"/>
      <c r="D12" s="6" t="s">
        <v>96</v>
      </c>
      <c r="E12" s="6"/>
      <c r="F12" s="44">
        <f>F10/F8</f>
        <v>0.73567060005571117</v>
      </c>
      <c r="G12" s="5"/>
    </row>
    <row r="13" spans="1:7" x14ac:dyDescent="0.3">
      <c r="A13" s="4"/>
      <c r="B13" s="10"/>
      <c r="C13" s="6"/>
      <c r="D13" s="6"/>
      <c r="E13" s="6"/>
      <c r="F13" s="6"/>
      <c r="G13" s="5"/>
    </row>
    <row r="14" spans="1:7" x14ac:dyDescent="0.3">
      <c r="A14" s="4"/>
      <c r="B14" s="10">
        <v>4</v>
      </c>
      <c r="C14" s="6"/>
      <c r="D14" s="6" t="s">
        <v>97</v>
      </c>
      <c r="E14" s="6"/>
      <c r="F14" s="75">
        <v>0.56305119271916892</v>
      </c>
      <c r="G14" s="5"/>
    </row>
    <row r="15" spans="1:7" x14ac:dyDescent="0.3">
      <c r="A15" s="4"/>
      <c r="B15" s="10"/>
      <c r="C15" s="6"/>
      <c r="D15" s="6"/>
      <c r="E15" s="6"/>
      <c r="F15" s="6"/>
      <c r="G15" s="5"/>
    </row>
    <row r="16" spans="1:7" x14ac:dyDescent="0.3">
      <c r="A16" s="4"/>
      <c r="B16" s="10">
        <v>5</v>
      </c>
      <c r="C16" s="6"/>
      <c r="D16" s="6" t="s">
        <v>98</v>
      </c>
      <c r="E16" s="6"/>
      <c r="F16" s="74">
        <f>F8*F14</f>
        <v>5971665.7562388871</v>
      </c>
      <c r="G16" s="5"/>
    </row>
    <row r="17" spans="1:7" x14ac:dyDescent="0.3">
      <c r="A17" s="4"/>
      <c r="B17" s="6"/>
      <c r="C17" s="6"/>
      <c r="D17" s="6"/>
      <c r="E17" s="6"/>
      <c r="F17" s="6"/>
      <c r="G17" s="5"/>
    </row>
    <row r="18" spans="1:7" x14ac:dyDescent="0.3">
      <c r="A18" s="4"/>
      <c r="B18" s="10">
        <v>6</v>
      </c>
      <c r="C18" s="6"/>
      <c r="D18" s="6" t="s">
        <v>99</v>
      </c>
      <c r="E18" s="6"/>
      <c r="F18" s="76">
        <f>F16-F10</f>
        <v>-1830784.5129954685</v>
      </c>
      <c r="G18" s="5"/>
    </row>
    <row r="19" spans="1:7" x14ac:dyDescent="0.3">
      <c r="A19" s="4"/>
      <c r="B19" s="6"/>
      <c r="C19" s="6"/>
      <c r="D19" s="6"/>
      <c r="E19" s="6"/>
      <c r="F19" s="6"/>
      <c r="G19" s="5"/>
    </row>
    <row r="20" spans="1:7" x14ac:dyDescent="0.3">
      <c r="A20" s="4"/>
      <c r="B20" s="10">
        <v>7</v>
      </c>
      <c r="C20" s="6"/>
      <c r="D20" s="6" t="s">
        <v>100</v>
      </c>
      <c r="E20" s="6"/>
      <c r="F20" s="68">
        <v>-617983</v>
      </c>
      <c r="G20" s="5"/>
    </row>
    <row r="21" spans="1:7" x14ac:dyDescent="0.3">
      <c r="A21" s="4"/>
      <c r="B21" s="6"/>
      <c r="C21" s="6"/>
      <c r="D21" s="6"/>
      <c r="E21" s="6"/>
      <c r="F21" s="6"/>
      <c r="G21" s="5"/>
    </row>
    <row r="22" spans="1:7" x14ac:dyDescent="0.3">
      <c r="A22" s="4"/>
      <c r="B22" s="10">
        <v>8</v>
      </c>
      <c r="C22" s="6"/>
      <c r="D22" s="6" t="s">
        <v>101</v>
      </c>
      <c r="E22" s="6"/>
      <c r="F22" s="76">
        <f>F20*F14</f>
        <v>-347956.06523017015</v>
      </c>
      <c r="G22" s="5"/>
    </row>
    <row r="23" spans="1:7" x14ac:dyDescent="0.3">
      <c r="A23" s="4"/>
      <c r="B23" s="10"/>
      <c r="C23" s="6"/>
      <c r="D23" s="6"/>
      <c r="E23" s="6"/>
      <c r="F23" s="6"/>
      <c r="G23" s="5"/>
    </row>
    <row r="24" spans="1:7" ht="14.5" thickBot="1" x14ac:dyDescent="0.35">
      <c r="A24" s="4"/>
      <c r="B24" s="10">
        <v>9</v>
      </c>
      <c r="C24" s="6"/>
      <c r="D24" s="6" t="s">
        <v>102</v>
      </c>
      <c r="E24" s="6"/>
      <c r="F24" s="77">
        <f>F18+F22</f>
        <v>-2178740.5782256387</v>
      </c>
      <c r="G24" s="5"/>
    </row>
    <row r="25" spans="1:7" ht="14.5" thickTop="1" x14ac:dyDescent="0.3">
      <c r="A25" s="22"/>
      <c r="B25" s="23"/>
      <c r="C25" s="23"/>
      <c r="D25" s="23"/>
      <c r="E25" s="23"/>
      <c r="F25" s="23"/>
      <c r="G25" s="25"/>
    </row>
  </sheetData>
  <mergeCells count="2">
    <mergeCell ref="B2:F2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27"/>
  <sheetViews>
    <sheetView workbookViewId="0">
      <selection activeCell="C5" sqref="C5:G5"/>
    </sheetView>
  </sheetViews>
  <sheetFormatPr defaultRowHeight="14" x14ac:dyDescent="0.3"/>
  <cols>
    <col min="1" max="2" width="1.58203125" customWidth="1"/>
    <col min="3" max="3" width="4.25" bestFit="1" customWidth="1"/>
    <col min="4" max="4" width="1.58203125" customWidth="1"/>
    <col min="5" max="5" width="16.75" customWidth="1"/>
    <col min="6" max="6" width="1.58203125" customWidth="1"/>
    <col min="7" max="7" width="16.33203125" customWidth="1"/>
    <col min="8" max="8" width="1.58203125" customWidth="1"/>
  </cols>
  <sheetData>
    <row r="2" spans="2:8" x14ac:dyDescent="0.3">
      <c r="B2" s="1"/>
      <c r="C2" s="2"/>
      <c r="D2" s="2"/>
      <c r="E2" s="2"/>
      <c r="F2" s="2"/>
      <c r="G2" s="2"/>
      <c r="H2" s="3"/>
    </row>
    <row r="3" spans="2:8" x14ac:dyDescent="0.3">
      <c r="B3" s="4"/>
      <c r="C3" s="143" t="s">
        <v>29</v>
      </c>
      <c r="D3" s="143"/>
      <c r="E3" s="143"/>
      <c r="F3" s="143"/>
      <c r="G3" s="143"/>
      <c r="H3" s="5"/>
    </row>
    <row r="4" spans="2:8" x14ac:dyDescent="0.3">
      <c r="B4" s="4"/>
      <c r="C4" s="6"/>
      <c r="D4" s="6"/>
      <c r="E4" s="6"/>
      <c r="F4" s="6"/>
      <c r="G4" s="6"/>
      <c r="H4" s="5"/>
    </row>
    <row r="5" spans="2:8" x14ac:dyDescent="0.3">
      <c r="B5" s="4"/>
      <c r="C5" s="145" t="s">
        <v>21</v>
      </c>
      <c r="D5" s="145"/>
      <c r="E5" s="145"/>
      <c r="F5" s="145"/>
      <c r="G5" s="145"/>
      <c r="H5" s="5"/>
    </row>
    <row r="6" spans="2:8" x14ac:dyDescent="0.3">
      <c r="B6" s="4"/>
      <c r="C6" s="6"/>
      <c r="D6" s="6"/>
      <c r="E6" s="6"/>
      <c r="F6" s="6"/>
      <c r="G6" s="6"/>
      <c r="H6" s="5"/>
    </row>
    <row r="7" spans="2:8" ht="28" x14ac:dyDescent="0.3">
      <c r="B7" s="4"/>
      <c r="C7" s="8" t="s">
        <v>2</v>
      </c>
      <c r="D7" s="6"/>
      <c r="E7" s="8" t="s">
        <v>22</v>
      </c>
      <c r="F7" s="10"/>
      <c r="G7" s="26" t="s">
        <v>21</v>
      </c>
      <c r="H7" s="5"/>
    </row>
    <row r="8" spans="2:8" x14ac:dyDescent="0.3">
      <c r="B8" s="4"/>
      <c r="C8" s="6"/>
      <c r="D8" s="6"/>
      <c r="E8" s="6"/>
      <c r="F8" s="6"/>
      <c r="G8" s="6"/>
      <c r="H8" s="5"/>
    </row>
    <row r="9" spans="2:8" x14ac:dyDescent="0.3">
      <c r="B9" s="4"/>
      <c r="C9" s="10">
        <v>1</v>
      </c>
      <c r="D9" s="6"/>
      <c r="E9" s="10">
        <v>2018</v>
      </c>
      <c r="F9" s="10"/>
      <c r="G9" s="27">
        <v>119360</v>
      </c>
      <c r="H9" s="5"/>
    </row>
    <row r="10" spans="2:8" x14ac:dyDescent="0.3">
      <c r="B10" s="4"/>
      <c r="C10" s="10"/>
      <c r="D10" s="6"/>
      <c r="E10" s="10"/>
      <c r="F10" s="10"/>
      <c r="G10" s="27"/>
      <c r="H10" s="5"/>
    </row>
    <row r="11" spans="2:8" x14ac:dyDescent="0.3">
      <c r="B11" s="4"/>
      <c r="C11" s="10">
        <v>2</v>
      </c>
      <c r="D11" s="6"/>
      <c r="E11" s="10">
        <v>2019</v>
      </c>
      <c r="F11" s="10"/>
      <c r="G11" s="27">
        <v>120704</v>
      </c>
      <c r="H11" s="5"/>
    </row>
    <row r="12" spans="2:8" x14ac:dyDescent="0.3">
      <c r="B12" s="4"/>
      <c r="C12" s="10"/>
      <c r="D12" s="6"/>
      <c r="E12" s="10"/>
      <c r="F12" s="10"/>
      <c r="G12" s="27"/>
      <c r="H12" s="5"/>
    </row>
    <row r="13" spans="2:8" x14ac:dyDescent="0.3">
      <c r="B13" s="4"/>
      <c r="C13" s="10">
        <v>3</v>
      </c>
      <c r="D13" s="6"/>
      <c r="E13" s="10">
        <v>2020</v>
      </c>
      <c r="F13" s="10"/>
      <c r="G13" s="27">
        <v>122008</v>
      </c>
      <c r="H13" s="5"/>
    </row>
    <row r="14" spans="2:8" x14ac:dyDescent="0.3">
      <c r="B14" s="4"/>
      <c r="C14" s="10"/>
      <c r="D14" s="6"/>
      <c r="E14" s="10"/>
      <c r="F14" s="10"/>
      <c r="G14" s="27"/>
      <c r="H14" s="5"/>
    </row>
    <row r="15" spans="2:8" x14ac:dyDescent="0.3">
      <c r="B15" s="4"/>
      <c r="C15" s="10">
        <v>4</v>
      </c>
      <c r="D15" s="6"/>
      <c r="E15" s="10">
        <v>2021</v>
      </c>
      <c r="F15" s="10"/>
      <c r="G15" s="27">
        <v>123090</v>
      </c>
      <c r="H15" s="5"/>
    </row>
    <row r="16" spans="2:8" x14ac:dyDescent="0.3">
      <c r="B16" s="4"/>
      <c r="C16" s="10"/>
      <c r="D16" s="6"/>
      <c r="E16" s="10"/>
      <c r="F16" s="10"/>
      <c r="G16" s="27"/>
      <c r="H16" s="5"/>
    </row>
    <row r="17" spans="2:8" x14ac:dyDescent="0.3">
      <c r="B17" s="4"/>
      <c r="C17" s="10">
        <v>5</v>
      </c>
      <c r="D17" s="6"/>
      <c r="E17" s="10">
        <v>2022</v>
      </c>
      <c r="F17" s="10"/>
      <c r="G17" s="27">
        <v>124036</v>
      </c>
      <c r="H17" s="5"/>
    </row>
    <row r="18" spans="2:8" x14ac:dyDescent="0.3">
      <c r="B18" s="4"/>
      <c r="C18" s="10"/>
      <c r="D18" s="6"/>
      <c r="E18" s="10"/>
      <c r="F18" s="10"/>
      <c r="G18" s="28"/>
      <c r="H18" s="5"/>
    </row>
    <row r="19" spans="2:8" x14ac:dyDescent="0.3">
      <c r="B19" s="4"/>
      <c r="C19" s="10">
        <v>6</v>
      </c>
      <c r="D19" s="6"/>
      <c r="E19" s="10" t="s">
        <v>23</v>
      </c>
      <c r="F19" s="10"/>
      <c r="G19" s="27">
        <v>126014</v>
      </c>
      <c r="H19" s="5"/>
    </row>
    <row r="20" spans="2:8" x14ac:dyDescent="0.3">
      <c r="B20" s="4"/>
      <c r="C20" s="10"/>
      <c r="D20" s="6"/>
      <c r="E20" s="6"/>
      <c r="F20" s="6"/>
      <c r="G20" s="29"/>
      <c r="H20" s="5"/>
    </row>
    <row r="21" spans="2:8" x14ac:dyDescent="0.3">
      <c r="B21" s="4"/>
      <c r="C21" s="6" t="s">
        <v>24</v>
      </c>
      <c r="D21" s="6"/>
      <c r="E21" s="30"/>
      <c r="F21" s="6"/>
      <c r="G21" s="6"/>
      <c r="H21" s="5"/>
    </row>
    <row r="22" spans="2:8" x14ac:dyDescent="0.3">
      <c r="B22" s="4"/>
      <c r="C22" s="31" t="s">
        <v>25</v>
      </c>
      <c r="D22" s="6"/>
      <c r="E22" s="30"/>
      <c r="F22" s="31"/>
      <c r="G22" s="31"/>
      <c r="H22" s="5"/>
    </row>
    <row r="23" spans="2:8" x14ac:dyDescent="0.3">
      <c r="B23" s="4"/>
      <c r="C23" s="31" t="s">
        <v>26</v>
      </c>
      <c r="D23" s="6"/>
      <c r="E23" s="30"/>
      <c r="F23" s="31"/>
      <c r="G23" s="31"/>
      <c r="H23" s="5"/>
    </row>
    <row r="24" spans="2:8" x14ac:dyDescent="0.3">
      <c r="B24" s="4"/>
      <c r="C24" s="146" t="s">
        <v>27</v>
      </c>
      <c r="D24" s="146"/>
      <c r="E24" s="146"/>
      <c r="F24" s="146"/>
      <c r="G24" s="146"/>
      <c r="H24" s="5"/>
    </row>
    <row r="25" spans="2:8" x14ac:dyDescent="0.3">
      <c r="B25" s="4"/>
      <c r="C25" s="146"/>
      <c r="D25" s="146"/>
      <c r="E25" s="146"/>
      <c r="F25" s="146"/>
      <c r="G25" s="146"/>
      <c r="H25" s="5"/>
    </row>
    <row r="26" spans="2:8" x14ac:dyDescent="0.3">
      <c r="B26" s="22"/>
      <c r="C26" s="23"/>
      <c r="D26" s="23"/>
      <c r="E26" s="24"/>
      <c r="F26" s="24"/>
      <c r="G26" s="24"/>
      <c r="H26" s="25"/>
    </row>
    <row r="27" spans="2:8" x14ac:dyDescent="0.3">
      <c r="E27" s="32"/>
      <c r="F27" s="32"/>
      <c r="G27" s="32"/>
    </row>
  </sheetData>
  <mergeCells count="3">
    <mergeCell ref="C3:G3"/>
    <mergeCell ref="C5:G5"/>
    <mergeCell ref="C24:G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>
      <selection activeCell="B2" sqref="B2:J2"/>
    </sheetView>
  </sheetViews>
  <sheetFormatPr defaultRowHeight="14" x14ac:dyDescent="0.3"/>
  <cols>
    <col min="1" max="1" width="1.58203125" customWidth="1"/>
    <col min="3" max="3" width="1.58203125" customWidth="1"/>
    <col min="4" max="4" width="18.58203125" bestFit="1" customWidth="1"/>
    <col min="5" max="5" width="1.58203125" customWidth="1"/>
    <col min="6" max="6" width="10.08203125" bestFit="1" customWidth="1"/>
    <col min="7" max="7" width="1.58203125" customWidth="1"/>
    <col min="8" max="8" width="11.83203125" customWidth="1"/>
    <col min="9" max="9" width="1.58203125" customWidth="1"/>
    <col min="10" max="10" width="9.75" customWidth="1"/>
    <col min="11" max="11" width="1.58203125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/>
      <c r="B2" s="143" t="s">
        <v>202</v>
      </c>
      <c r="C2" s="143"/>
      <c r="D2" s="143"/>
      <c r="E2" s="143"/>
      <c r="F2" s="143"/>
      <c r="G2" s="143"/>
      <c r="H2" s="143"/>
      <c r="I2" s="143"/>
      <c r="J2" s="143"/>
      <c r="K2" s="5"/>
    </row>
    <row r="3" spans="1:11" x14ac:dyDescent="0.3">
      <c r="A3" s="4"/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x14ac:dyDescent="0.3">
      <c r="A4" s="4"/>
      <c r="B4" s="145" t="s">
        <v>189</v>
      </c>
      <c r="C4" s="145"/>
      <c r="D4" s="145"/>
      <c r="E4" s="145"/>
      <c r="F4" s="145"/>
      <c r="G4" s="145"/>
      <c r="H4" s="145"/>
      <c r="I4" s="145"/>
      <c r="J4" s="145"/>
      <c r="K4" s="5"/>
    </row>
    <row r="5" spans="1:11" x14ac:dyDescent="0.3">
      <c r="A5" s="4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1" s="56" customFormat="1" ht="28" x14ac:dyDescent="0.3">
      <c r="A6" s="54"/>
      <c r="B6" s="8" t="s">
        <v>2</v>
      </c>
      <c r="C6" s="9"/>
      <c r="D6" s="8" t="s">
        <v>22</v>
      </c>
      <c r="E6" s="9"/>
      <c r="F6" s="8" t="s">
        <v>190</v>
      </c>
      <c r="G6" s="9"/>
      <c r="H6" s="26" t="s">
        <v>191</v>
      </c>
      <c r="I6" s="9"/>
      <c r="J6" s="26" t="s">
        <v>192</v>
      </c>
      <c r="K6" s="55"/>
    </row>
    <row r="7" spans="1:11" x14ac:dyDescent="0.3">
      <c r="A7" s="54"/>
      <c r="B7" s="57"/>
      <c r="C7" s="9"/>
      <c r="D7" s="9"/>
      <c r="E7" s="9"/>
      <c r="F7" s="58" t="s">
        <v>193</v>
      </c>
      <c r="G7" s="9"/>
      <c r="H7" s="9"/>
      <c r="I7" s="9"/>
      <c r="J7" s="58" t="s">
        <v>193</v>
      </c>
      <c r="K7" s="5"/>
    </row>
    <row r="8" spans="1:11" x14ac:dyDescent="0.3">
      <c r="A8" s="4"/>
      <c r="B8" s="59"/>
      <c r="C8" s="6"/>
      <c r="D8" s="6"/>
      <c r="E8" s="6"/>
      <c r="F8" s="6"/>
      <c r="G8" s="6"/>
      <c r="H8" s="6"/>
      <c r="I8" s="6"/>
      <c r="J8" s="6"/>
      <c r="K8" s="5"/>
    </row>
    <row r="9" spans="1:11" ht="16" x14ac:dyDescent="0.3">
      <c r="A9" s="4"/>
      <c r="B9" s="60">
        <v>1</v>
      </c>
      <c r="C9" s="6"/>
      <c r="D9" s="10" t="s">
        <v>194</v>
      </c>
      <c r="E9" s="6"/>
      <c r="F9" s="61">
        <v>5648780</v>
      </c>
      <c r="G9" s="6"/>
      <c r="H9" s="61">
        <v>119360</v>
      </c>
      <c r="I9" s="6"/>
      <c r="J9" s="62">
        <f>F9/H9</f>
        <v>47.325569705093834</v>
      </c>
      <c r="K9" s="5"/>
    </row>
    <row r="10" spans="1:11" ht="16" x14ac:dyDescent="0.3">
      <c r="A10" s="4"/>
      <c r="B10" s="60">
        <v>2</v>
      </c>
      <c r="C10" s="6"/>
      <c r="D10" s="10" t="s">
        <v>195</v>
      </c>
      <c r="E10" s="6"/>
      <c r="F10" s="61">
        <v>5931753</v>
      </c>
      <c r="G10" s="6"/>
      <c r="H10" s="61">
        <v>120704</v>
      </c>
      <c r="I10" s="6"/>
      <c r="J10" s="62">
        <f>F10/H10</f>
        <v>49.142969578472957</v>
      </c>
      <c r="K10" s="5"/>
    </row>
    <row r="11" spans="1:11" ht="16" x14ac:dyDescent="0.3">
      <c r="A11" s="4"/>
      <c r="B11" s="60">
        <v>3</v>
      </c>
      <c r="C11" s="6"/>
      <c r="D11" s="10" t="s">
        <v>196</v>
      </c>
      <c r="E11" s="6"/>
      <c r="F11" s="61">
        <v>6072579</v>
      </c>
      <c r="G11" s="6"/>
      <c r="H11" s="61">
        <v>122008</v>
      </c>
      <c r="I11" s="6"/>
      <c r="J11" s="62">
        <f>F11/H11</f>
        <v>49.771973968920072</v>
      </c>
      <c r="K11" s="5"/>
    </row>
    <row r="12" spans="1:11" ht="16" x14ac:dyDescent="0.3">
      <c r="A12" s="4"/>
      <c r="B12" s="60">
        <v>4</v>
      </c>
      <c r="C12" s="6"/>
      <c r="D12" s="10" t="s">
        <v>197</v>
      </c>
      <c r="E12" s="6"/>
      <c r="F12" s="61">
        <v>5874579</v>
      </c>
      <c r="G12" s="6"/>
      <c r="H12" s="61">
        <v>123090</v>
      </c>
      <c r="I12" s="6"/>
      <c r="J12" s="62">
        <f>F12/H12</f>
        <v>47.725883499878137</v>
      </c>
      <c r="K12" s="5"/>
    </row>
    <row r="13" spans="1:11" ht="16" x14ac:dyDescent="0.3">
      <c r="A13" s="4"/>
      <c r="B13" s="60">
        <v>5</v>
      </c>
      <c r="C13" s="6"/>
      <c r="D13" s="10" t="s">
        <v>198</v>
      </c>
      <c r="E13" s="6"/>
      <c r="F13" s="61">
        <v>5987176</v>
      </c>
      <c r="G13" s="6"/>
      <c r="H13" s="61">
        <v>124036</v>
      </c>
      <c r="I13" s="6"/>
      <c r="J13" s="62">
        <f>F13/H13</f>
        <v>48.269663646038246</v>
      </c>
      <c r="K13" s="5"/>
    </row>
    <row r="14" spans="1:11" x14ac:dyDescent="0.3">
      <c r="A14" s="4"/>
      <c r="B14" s="60"/>
      <c r="C14" s="6"/>
      <c r="D14" s="6"/>
      <c r="E14" s="6"/>
      <c r="F14" s="6"/>
      <c r="G14" s="6"/>
      <c r="H14" s="6"/>
      <c r="I14" s="6"/>
      <c r="J14" s="6"/>
      <c r="K14" s="5"/>
    </row>
    <row r="15" spans="1:11" ht="16" x14ac:dyDescent="0.3">
      <c r="A15" s="4"/>
      <c r="B15" s="60">
        <v>6</v>
      </c>
      <c r="C15" s="6"/>
      <c r="D15" s="10" t="s">
        <v>199</v>
      </c>
      <c r="E15" s="6"/>
      <c r="F15" s="63">
        <v>5748449</v>
      </c>
      <c r="G15" s="64"/>
      <c r="H15" s="63">
        <v>126013.58</v>
      </c>
      <c r="I15" s="64"/>
      <c r="J15" s="65">
        <f>F15/H15</f>
        <v>45.617694537366525</v>
      </c>
      <c r="K15" s="5"/>
    </row>
    <row r="16" spans="1:11" x14ac:dyDescent="0.3">
      <c r="A16" s="4"/>
      <c r="B16" s="66" t="s">
        <v>166</v>
      </c>
      <c r="C16" s="6"/>
      <c r="D16" s="6"/>
      <c r="E16" s="6"/>
      <c r="F16" s="6"/>
      <c r="G16" s="6"/>
      <c r="H16" s="6"/>
      <c r="I16" s="6"/>
      <c r="J16" s="6"/>
      <c r="K16" s="5"/>
    </row>
    <row r="17" spans="1:11" x14ac:dyDescent="0.3">
      <c r="A17" s="4"/>
      <c r="B17" s="67" t="s">
        <v>25</v>
      </c>
      <c r="C17" s="31"/>
      <c r="D17" s="31"/>
      <c r="E17" s="31"/>
      <c r="F17" s="31"/>
      <c r="G17" s="31"/>
      <c r="H17" s="31"/>
      <c r="I17" s="6"/>
      <c r="J17" s="6"/>
      <c r="K17" s="5"/>
    </row>
    <row r="18" spans="1:11" ht="15.5" x14ac:dyDescent="0.3">
      <c r="A18" s="4"/>
      <c r="B18" s="147" t="s">
        <v>200</v>
      </c>
      <c r="C18" s="147"/>
      <c r="D18" s="147"/>
      <c r="E18" s="147"/>
      <c r="F18" s="147"/>
      <c r="G18" s="147"/>
      <c r="H18" s="147"/>
      <c r="I18" s="6"/>
      <c r="J18" s="6"/>
      <c r="K18" s="5"/>
    </row>
    <row r="19" spans="1:11" ht="28.5" customHeight="1" x14ac:dyDescent="0.3">
      <c r="A19" s="4"/>
      <c r="B19" s="148" t="s">
        <v>201</v>
      </c>
      <c r="C19" s="148"/>
      <c r="D19" s="148"/>
      <c r="E19" s="148"/>
      <c r="F19" s="148"/>
      <c r="G19" s="148"/>
      <c r="H19" s="148"/>
      <c r="I19" s="148"/>
      <c r="J19" s="148"/>
      <c r="K19" s="5"/>
    </row>
    <row r="20" spans="1:11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5"/>
    </row>
  </sheetData>
  <mergeCells count="4">
    <mergeCell ref="B2:J2"/>
    <mergeCell ref="B4:J4"/>
    <mergeCell ref="B18:H18"/>
    <mergeCell ref="B19:J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>
      <selection activeCell="B2" sqref="B2:F2"/>
    </sheetView>
  </sheetViews>
  <sheetFormatPr defaultRowHeight="14" x14ac:dyDescent="0.3"/>
  <cols>
    <col min="1" max="1" width="1.58203125" customWidth="1"/>
    <col min="2" max="2" width="18.33203125" customWidth="1"/>
    <col min="3" max="3" width="1.58203125" customWidth="1"/>
    <col min="4" max="4" width="18.33203125" customWidth="1"/>
    <col min="5" max="5" width="1.58203125" customWidth="1"/>
    <col min="6" max="6" width="18.33203125" customWidth="1"/>
    <col min="7" max="7" width="1.58203125" customWidth="1"/>
  </cols>
  <sheetData>
    <row r="1" spans="1:7" x14ac:dyDescent="0.3">
      <c r="A1" s="1"/>
      <c r="B1" s="2"/>
      <c r="C1" s="2"/>
      <c r="D1" s="2"/>
      <c r="E1" s="2"/>
      <c r="F1" s="2"/>
      <c r="G1" s="3"/>
    </row>
    <row r="2" spans="1:7" x14ac:dyDescent="0.3">
      <c r="A2" s="4"/>
      <c r="B2" s="143" t="s">
        <v>188</v>
      </c>
      <c r="C2" s="143"/>
      <c r="D2" s="143"/>
      <c r="E2" s="143"/>
      <c r="F2" s="143"/>
      <c r="G2" s="5"/>
    </row>
    <row r="3" spans="1:7" x14ac:dyDescent="0.3">
      <c r="A3" s="4"/>
      <c r="B3" s="41"/>
      <c r="C3" s="6"/>
      <c r="D3" s="6"/>
      <c r="E3" s="6"/>
      <c r="F3" s="6"/>
      <c r="G3" s="5"/>
    </row>
    <row r="4" spans="1:7" x14ac:dyDescent="0.3">
      <c r="A4" s="4"/>
      <c r="B4" s="143" t="s">
        <v>182</v>
      </c>
      <c r="C4" s="143"/>
      <c r="D4" s="143"/>
      <c r="E4" s="143"/>
      <c r="F4" s="143"/>
      <c r="G4" s="5"/>
    </row>
    <row r="5" spans="1:7" x14ac:dyDescent="0.3">
      <c r="A5" s="4"/>
      <c r="B5" s="145" t="s">
        <v>183</v>
      </c>
      <c r="C5" s="145"/>
      <c r="D5" s="145"/>
      <c r="E5" s="145"/>
      <c r="F5" s="145"/>
      <c r="G5" s="5"/>
    </row>
    <row r="6" spans="1:7" x14ac:dyDescent="0.3">
      <c r="A6" s="4"/>
      <c r="B6" s="6"/>
      <c r="C6" s="6"/>
      <c r="D6" s="6"/>
      <c r="E6" s="6"/>
      <c r="F6" s="6"/>
      <c r="G6" s="5"/>
    </row>
    <row r="7" spans="1:7" x14ac:dyDescent="0.3">
      <c r="A7" s="4"/>
      <c r="B7" s="8" t="s">
        <v>22</v>
      </c>
      <c r="C7" s="10"/>
      <c r="D7" s="8" t="s">
        <v>184</v>
      </c>
      <c r="E7" s="10"/>
      <c r="F7" s="8" t="s">
        <v>185</v>
      </c>
      <c r="G7" s="5"/>
    </row>
    <row r="8" spans="1:7" x14ac:dyDescent="0.3">
      <c r="A8" s="4"/>
      <c r="B8" s="6"/>
      <c r="C8" s="6"/>
      <c r="D8" s="6"/>
      <c r="E8" s="6"/>
      <c r="F8" s="6"/>
      <c r="G8" s="5"/>
    </row>
    <row r="9" spans="1:7" x14ac:dyDescent="0.3">
      <c r="A9" s="4"/>
      <c r="B9" s="10">
        <v>2016</v>
      </c>
      <c r="C9" s="6"/>
      <c r="D9" s="53">
        <v>0.16800000000000001</v>
      </c>
      <c r="E9" s="6"/>
      <c r="F9" s="53">
        <v>0.15690000000000001</v>
      </c>
      <c r="G9" s="5"/>
    </row>
    <row r="10" spans="1:7" x14ac:dyDescent="0.3">
      <c r="A10" s="4"/>
      <c r="B10" s="10">
        <v>2017</v>
      </c>
      <c r="C10" s="6"/>
      <c r="D10" s="53">
        <v>0.19800000000000001</v>
      </c>
      <c r="E10" s="6"/>
      <c r="F10" s="53">
        <v>0.18859999999999999</v>
      </c>
      <c r="G10" s="5"/>
    </row>
    <row r="11" spans="1:7" x14ac:dyDescent="0.3">
      <c r="A11" s="4"/>
      <c r="B11" s="10">
        <v>2018</v>
      </c>
      <c r="C11" s="6"/>
      <c r="D11" s="53">
        <v>0.21149999999999999</v>
      </c>
      <c r="E11" s="6"/>
      <c r="F11" s="53">
        <v>0.19950000000000001</v>
      </c>
      <c r="G11" s="5"/>
    </row>
    <row r="12" spans="1:7" x14ac:dyDescent="0.3">
      <c r="A12" s="4"/>
      <c r="B12" s="10">
        <v>2019</v>
      </c>
      <c r="C12" s="6"/>
      <c r="D12" s="53">
        <v>0.22789999999999999</v>
      </c>
      <c r="E12" s="6"/>
      <c r="F12" s="53">
        <v>0.21099999999999999</v>
      </c>
      <c r="G12" s="5"/>
    </row>
    <row r="13" spans="1:7" x14ac:dyDescent="0.3">
      <c r="A13" s="4"/>
      <c r="B13" s="10">
        <v>2020</v>
      </c>
      <c r="C13" s="6"/>
      <c r="D13" s="53">
        <v>0.2162</v>
      </c>
      <c r="E13" s="6"/>
      <c r="F13" s="53">
        <v>0.20469999999999999</v>
      </c>
      <c r="G13" s="5"/>
    </row>
    <row r="14" spans="1:7" x14ac:dyDescent="0.3">
      <c r="A14" s="4"/>
      <c r="B14" s="10">
        <v>2021</v>
      </c>
      <c r="C14" s="6"/>
      <c r="D14" s="53">
        <v>0.2208</v>
      </c>
      <c r="E14" s="6"/>
      <c r="F14" s="53">
        <v>0.21085000000000001</v>
      </c>
      <c r="G14" s="5"/>
    </row>
    <row r="15" spans="1:7" x14ac:dyDescent="0.3">
      <c r="A15" s="4"/>
      <c r="B15" s="10">
        <v>2022</v>
      </c>
      <c r="C15" s="6"/>
      <c r="D15" s="53">
        <v>0.22670000000000001</v>
      </c>
      <c r="E15" s="6"/>
      <c r="F15" s="53">
        <v>0.21590000000000001</v>
      </c>
      <c r="G15" s="5"/>
    </row>
    <row r="16" spans="1:7" x14ac:dyDescent="0.3">
      <c r="A16" s="4"/>
      <c r="B16" s="51" t="s">
        <v>186</v>
      </c>
      <c r="C16" s="6"/>
      <c r="D16" s="6"/>
      <c r="E16" s="6"/>
      <c r="F16" s="6"/>
      <c r="G16" s="5"/>
    </row>
    <row r="17" spans="1:7" x14ac:dyDescent="0.3">
      <c r="A17" s="4"/>
      <c r="B17" s="31" t="s">
        <v>187</v>
      </c>
      <c r="C17" s="6"/>
      <c r="D17" s="6"/>
      <c r="E17" s="6"/>
      <c r="F17" s="6"/>
      <c r="G17" s="5"/>
    </row>
    <row r="18" spans="1:7" x14ac:dyDescent="0.3">
      <c r="A18" s="22"/>
      <c r="B18" s="23"/>
      <c r="C18" s="23"/>
      <c r="D18" s="23"/>
      <c r="E18" s="23"/>
      <c r="F18" s="23"/>
      <c r="G18" s="25"/>
    </row>
  </sheetData>
  <mergeCells count="3">
    <mergeCell ref="B2:F2"/>
    <mergeCell ref="B4:F4"/>
    <mergeCell ref="B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>
      <selection activeCell="K19" sqref="K19"/>
    </sheetView>
  </sheetViews>
  <sheetFormatPr defaultColWidth="9" defaultRowHeight="14" x14ac:dyDescent="0.3"/>
  <cols>
    <col min="1" max="1" width="1.58203125" style="39" customWidth="1"/>
    <col min="2" max="2" width="4.58203125" style="39" bestFit="1" customWidth="1"/>
    <col min="3" max="3" width="1.58203125" style="39" customWidth="1"/>
    <col min="4" max="4" width="52.75" style="39" bestFit="1" customWidth="1"/>
    <col min="5" max="5" width="1.58203125" style="39" customWidth="1"/>
    <col min="6" max="6" width="8.58203125" style="39" bestFit="1" customWidth="1"/>
    <col min="7" max="7" width="1.58203125" style="39" customWidth="1"/>
    <col min="8" max="16384" width="9" style="39"/>
  </cols>
  <sheetData>
    <row r="1" spans="1:7" x14ac:dyDescent="0.3">
      <c r="A1" s="1"/>
      <c r="B1" s="2"/>
      <c r="C1" s="2"/>
      <c r="D1" s="2"/>
      <c r="E1" s="2"/>
      <c r="F1" s="2"/>
      <c r="G1" s="3"/>
    </row>
    <row r="2" spans="1:7" x14ac:dyDescent="0.3">
      <c r="A2" s="4"/>
      <c r="B2" s="143" t="s">
        <v>181</v>
      </c>
      <c r="C2" s="143"/>
      <c r="D2" s="143"/>
      <c r="E2" s="143"/>
      <c r="F2" s="143"/>
      <c r="G2" s="5"/>
    </row>
    <row r="3" spans="1:7" x14ac:dyDescent="0.3">
      <c r="A3" s="4"/>
      <c r="B3" s="6"/>
      <c r="C3" s="6"/>
      <c r="D3" s="6"/>
      <c r="E3" s="6"/>
      <c r="F3" s="6"/>
      <c r="G3" s="5"/>
    </row>
    <row r="4" spans="1:7" x14ac:dyDescent="0.3">
      <c r="A4" s="4"/>
      <c r="B4" s="145" t="s">
        <v>174</v>
      </c>
      <c r="C4" s="145"/>
      <c r="D4" s="145"/>
      <c r="E4" s="145"/>
      <c r="F4" s="145"/>
      <c r="G4" s="5"/>
    </row>
    <row r="5" spans="1:7" x14ac:dyDescent="0.3">
      <c r="A5" s="4"/>
      <c r="B5" s="6"/>
      <c r="C5" s="6"/>
      <c r="D5" s="6"/>
      <c r="E5" s="6"/>
      <c r="F5" s="6"/>
      <c r="G5" s="5"/>
    </row>
    <row r="6" spans="1:7" x14ac:dyDescent="0.3">
      <c r="A6" s="4"/>
      <c r="B6" s="8" t="s">
        <v>2</v>
      </c>
      <c r="C6" s="9"/>
      <c r="D6" s="8" t="s">
        <v>175</v>
      </c>
      <c r="E6" s="9"/>
      <c r="F6" s="8" t="s">
        <v>32</v>
      </c>
      <c r="G6" s="5"/>
    </row>
    <row r="7" spans="1:7" x14ac:dyDescent="0.3">
      <c r="A7" s="4"/>
      <c r="B7" s="6"/>
      <c r="C7" s="6"/>
      <c r="D7" s="6"/>
      <c r="E7" s="6"/>
      <c r="F7" s="6"/>
      <c r="G7" s="5"/>
    </row>
    <row r="8" spans="1:7" ht="30" customHeight="1" x14ac:dyDescent="0.3">
      <c r="A8" s="4"/>
      <c r="B8" s="10">
        <v>1</v>
      </c>
      <c r="C8" s="6"/>
      <c r="D8" s="6" t="s">
        <v>176</v>
      </c>
      <c r="E8" s="6"/>
      <c r="F8" s="68">
        <v>5699</v>
      </c>
      <c r="G8" s="5"/>
    </row>
    <row r="9" spans="1:7" ht="30" customHeight="1" x14ac:dyDescent="0.3">
      <c r="A9" s="4"/>
      <c r="B9" s="10">
        <v>2</v>
      </c>
      <c r="C9" s="6"/>
      <c r="D9" s="6" t="s">
        <v>177</v>
      </c>
      <c r="E9" s="6"/>
      <c r="F9" s="68">
        <v>6799</v>
      </c>
      <c r="G9" s="5"/>
    </row>
    <row r="10" spans="1:7" ht="30" customHeight="1" x14ac:dyDescent="0.3">
      <c r="A10" s="4"/>
      <c r="B10" s="10">
        <v>3</v>
      </c>
      <c r="C10" s="6"/>
      <c r="D10" s="6" t="s">
        <v>178</v>
      </c>
      <c r="E10" s="6"/>
      <c r="F10" s="68">
        <v>2549</v>
      </c>
      <c r="G10" s="5"/>
    </row>
    <row r="11" spans="1:7" ht="30" customHeight="1" x14ac:dyDescent="0.3">
      <c r="A11" s="4"/>
      <c r="B11" s="10">
        <v>4</v>
      </c>
      <c r="C11" s="6"/>
      <c r="D11" s="6" t="s">
        <v>179</v>
      </c>
      <c r="E11" s="6"/>
      <c r="F11" s="74">
        <v>106069</v>
      </c>
      <c r="G11" s="5"/>
    </row>
    <row r="12" spans="1:7" ht="30" customHeight="1" thickBot="1" x14ac:dyDescent="0.35">
      <c r="A12" s="4"/>
      <c r="B12" s="10">
        <v>5</v>
      </c>
      <c r="C12" s="6"/>
      <c r="D12" s="6" t="s">
        <v>180</v>
      </c>
      <c r="E12" s="6"/>
      <c r="F12" s="78">
        <f>SUM(F8:F11)</f>
        <v>121116</v>
      </c>
      <c r="G12" s="5"/>
    </row>
    <row r="13" spans="1:7" ht="14.5" thickTop="1" x14ac:dyDescent="0.3">
      <c r="A13" s="22"/>
      <c r="B13" s="23"/>
      <c r="C13" s="23"/>
      <c r="D13" s="23"/>
      <c r="E13" s="23"/>
      <c r="F13" s="23"/>
      <c r="G13" s="25"/>
    </row>
  </sheetData>
  <mergeCells count="2">
    <mergeCell ref="B2:F2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GRM-1</vt:lpstr>
      <vt:lpstr>Table GRM-2</vt:lpstr>
      <vt:lpstr>Table GRM-3</vt:lpstr>
      <vt:lpstr>Table GRM-4</vt:lpstr>
      <vt:lpstr>Table GRM-5</vt:lpstr>
      <vt:lpstr>Table GRM-6</vt:lpstr>
      <vt:lpstr>Table GRM-7</vt:lpstr>
      <vt:lpstr>Table GRM-8</vt:lpstr>
      <vt:lpstr>Table GRM-9</vt:lpstr>
      <vt:lpstr>Exhibit GRM-2</vt:lpstr>
      <vt:lpstr>Payroll Analysis</vt:lpstr>
      <vt:lpstr>Revenues</vt:lpstr>
      <vt:lpstr>Water Loss Expense</vt:lpstr>
      <vt:lpstr>'Payroll Analysis'!Print_Area</vt:lpstr>
      <vt:lpstr>Revenues!Print_Area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Haarmann</dc:creator>
  <cp:lastModifiedBy>angela.goad</cp:lastModifiedBy>
  <dcterms:created xsi:type="dcterms:W3CDTF">2023-09-29T14:16:08Z</dcterms:created>
  <dcterms:modified xsi:type="dcterms:W3CDTF">2023-10-31T23:46:09Z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{E421A77D-14F5-498A-B65D-93740A2693A0}</vt:lpwstr>
  </property>
</Properties>
</file>