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mwater.sharepoint.com/sites/sers/KY/General Rate Cases/2023-00191 - PSC Discovery/PSC Rehearing (RR) Set 1/"/>
    </mc:Choice>
  </mc:AlternateContent>
  <xr:revisionPtr revIDLastSave="219" documentId="13_ncr:1_{A4BF93EA-F280-4E01-B3D2-76E8B830CEA8}" xr6:coauthVersionLast="47" xr6:coauthVersionMax="47" xr10:uidLastSave="{63424DDC-BC07-4981-8ABA-FA507C8B326C}"/>
  <bookViews>
    <workbookView xWindow="-98" yWindow="-98" windowWidth="21795" windowHeight="13875" xr2:uid="{0CE4D2F0-BBDA-4577-80E0-D95D7A7B7117}"/>
  </bookViews>
  <sheets>
    <sheet name="KAWC Rates" sheetId="7" r:id="rId1"/>
    <sheet name="Sch M1" sheetId="8" r:id="rId2"/>
    <sheet name="Sch M2-M3" sheetId="1" r:id="rId3"/>
    <sheet name="Sch N" sheetId="5" r:id="rId4"/>
  </sheets>
  <externalReferences>
    <externalReference r:id="rId5"/>
  </externalReferences>
  <definedNames>
    <definedName name="_xlnm.Print_Area" localSheetId="0">'KAWC Rates'!$A$1:$E$55,'KAWC Rates'!$G$1:$I$23</definedName>
    <definedName name="_xlnm.Print_Area" localSheetId="1">'Sch M1'!$A$1:$H$182</definedName>
    <definedName name="_xlnm.Print_Area" localSheetId="2">'Sch M2-M3'!$A$1:$Z$352</definedName>
    <definedName name="_xlnm.Print_Area" localSheetId="3">'Sch N'!$A$1:$L$280</definedName>
    <definedName name="_xlnm.Print_Area">#REF!</definedName>
    <definedName name="_xlnm.Print_Titles" localSheetId="0">'KAWC Rates'!$1:$2</definedName>
    <definedName name="SAPCrosstab1" localSheetId="0">#REF!</definedName>
    <definedName name="SAPCrosstab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8" i="1" l="1"/>
  <c r="U288" i="1"/>
  <c r="C52" i="7"/>
  <c r="D52" i="7"/>
  <c r="D53" i="7"/>
  <c r="L41" i="8"/>
  <c r="L24" i="8"/>
  <c r="G2" i="7" l="1"/>
  <c r="G1" i="7"/>
  <c r="U341" i="1"/>
  <c r="E41" i="7" l="1"/>
  <c r="L250" i="5"/>
  <c r="L210" i="5"/>
  <c r="L170" i="5"/>
  <c r="L130" i="5"/>
  <c r="L89" i="5"/>
  <c r="L47" i="5"/>
  <c r="B175" i="8" l="1"/>
  <c r="C162" i="8"/>
  <c r="C127" i="8"/>
  <c r="C140" i="8" s="1"/>
  <c r="A152" i="8"/>
  <c r="H154" i="8"/>
  <c r="H119" i="8"/>
  <c r="F180" i="8"/>
  <c r="E180" i="8"/>
  <c r="D180" i="8"/>
  <c r="H167" i="8"/>
  <c r="G167" i="8"/>
  <c r="F167" i="8"/>
  <c r="E167" i="8"/>
  <c r="G145" i="8"/>
  <c r="C175" i="8" l="1"/>
  <c r="C58" i="8" l="1"/>
  <c r="C71" i="8" s="1"/>
  <c r="C72" i="8" s="1"/>
  <c r="C73" i="8" s="1"/>
  <c r="C93" i="8" s="1"/>
  <c r="C106" i="8" s="1"/>
  <c r="H50" i="8"/>
  <c r="H85" i="8" s="1"/>
  <c r="G76" i="8"/>
  <c r="A14" i="8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C59" i="8" l="1"/>
  <c r="C60" i="8" s="1"/>
  <c r="C16" i="8" l="1"/>
  <c r="C17" i="8" s="1"/>
  <c r="C18" i="8" s="1"/>
  <c r="C19" i="8" s="1"/>
  <c r="C20" i="8" s="1"/>
  <c r="C21" i="8" s="1"/>
  <c r="C22" i="8" s="1"/>
  <c r="C29" i="8" s="1"/>
  <c r="C30" i="8" l="1"/>
  <c r="C31" i="8" s="1"/>
  <c r="C32" i="8" s="1"/>
  <c r="C33" i="8" s="1"/>
  <c r="C34" i="8" s="1"/>
  <c r="C35" i="8" s="1"/>
  <c r="C36" i="8" s="1"/>
  <c r="C216" i="5" l="1"/>
  <c r="E216" i="5" l="1"/>
  <c r="B272" i="1"/>
  <c r="B230" i="1"/>
  <c r="B57" i="1"/>
  <c r="B104" i="1"/>
  <c r="B146" i="1"/>
  <c r="B188" i="1"/>
  <c r="Z78" i="1" l="1"/>
  <c r="Z79" i="1"/>
  <c r="Z71" i="1"/>
  <c r="E52" i="7"/>
  <c r="K288" i="1"/>
  <c r="Z70" i="1"/>
  <c r="U79" i="1"/>
  <c r="V79" i="1" s="1"/>
  <c r="X79" i="1" s="1"/>
  <c r="U78" i="1"/>
  <c r="V78" i="1" s="1"/>
  <c r="X78" i="1" s="1"/>
  <c r="U71" i="1"/>
  <c r="V71" i="1" s="1"/>
  <c r="X71" i="1" s="1"/>
  <c r="U70" i="1"/>
  <c r="V70" i="1" s="1"/>
  <c r="X70" i="1" s="1"/>
  <c r="E47" i="7"/>
  <c r="U319" i="1"/>
  <c r="E37" i="7"/>
  <c r="U321" i="1"/>
  <c r="U322" i="1"/>
  <c r="U323" i="1"/>
  <c r="G264" i="5" s="1"/>
  <c r="U324" i="1"/>
  <c r="U318" i="1"/>
  <c r="G259" i="5" s="1"/>
  <c r="U317" i="1"/>
  <c r="K317" i="1" s="1"/>
  <c r="U250" i="1"/>
  <c r="K250" i="1" s="1"/>
  <c r="E27" i="7"/>
  <c r="U247" i="1"/>
  <c r="K247" i="1" s="1"/>
  <c r="U162" i="1"/>
  <c r="K162" i="1" s="1"/>
  <c r="U204" i="1"/>
  <c r="E23" i="7"/>
  <c r="E20" i="7"/>
  <c r="U75" i="1"/>
  <c r="K75" i="1" s="1"/>
  <c r="E8" i="7"/>
  <c r="E9" i="7"/>
  <c r="U151" i="1"/>
  <c r="K151" i="1" s="1"/>
  <c r="U63" i="1"/>
  <c r="K63" i="1" s="1"/>
  <c r="U64" i="1"/>
  <c r="K64" i="1" s="1"/>
  <c r="E13" i="7"/>
  <c r="U197" i="1"/>
  <c r="K197" i="1" s="1"/>
  <c r="E15" i="7"/>
  <c r="E7" i="7"/>
  <c r="Q79" i="1"/>
  <c r="Q78" i="1"/>
  <c r="T79" i="1"/>
  <c r="T78" i="1"/>
  <c r="A76" i="1"/>
  <c r="A77" i="1"/>
  <c r="A78" i="1"/>
  <c r="A79" i="1"/>
  <c r="A80" i="1"/>
  <c r="A81" i="1"/>
  <c r="A82" i="1"/>
  <c r="A83" i="1"/>
  <c r="S71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S70" i="1"/>
  <c r="V345" i="1"/>
  <c r="V335" i="1"/>
  <c r="V292" i="1"/>
  <c r="V252" i="1"/>
  <c r="V208" i="1"/>
  <c r="V166" i="1"/>
  <c r="V124" i="1"/>
  <c r="V82" i="1"/>
  <c r="D30" i="8"/>
  <c r="D31" i="8"/>
  <c r="D32" i="8"/>
  <c r="D33" i="8"/>
  <c r="D34" i="8"/>
  <c r="D35" i="8"/>
  <c r="D36" i="8"/>
  <c r="J327" i="1"/>
  <c r="J288" i="1"/>
  <c r="D68" i="7"/>
  <c r="D67" i="7"/>
  <c r="D66" i="7"/>
  <c r="D65" i="7"/>
  <c r="D62" i="7"/>
  <c r="D63" i="7"/>
  <c r="D61" i="7"/>
  <c r="D60" i="7"/>
  <c r="A42" i="5"/>
  <c r="A84" i="5" s="1"/>
  <c r="A125" i="5" s="1"/>
  <c r="A165" i="5" s="1"/>
  <c r="K345" i="1"/>
  <c r="K335" i="1"/>
  <c r="K292" i="1"/>
  <c r="K252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K208" i="1"/>
  <c r="K166" i="1"/>
  <c r="K124" i="1"/>
  <c r="K82" i="1"/>
  <c r="F328" i="1"/>
  <c r="P328" i="1" s="1"/>
  <c r="F327" i="1"/>
  <c r="P327" i="1" s="1"/>
  <c r="F326" i="1"/>
  <c r="P326" i="1" s="1"/>
  <c r="F333" i="1"/>
  <c r="P333" i="1" s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F341" i="1"/>
  <c r="P341" i="1" s="1"/>
  <c r="C268" i="5" s="1"/>
  <c r="E268" i="5" s="1"/>
  <c r="F318" i="1"/>
  <c r="P318" i="1"/>
  <c r="C259" i="5" s="1"/>
  <c r="E259" i="5" s="1"/>
  <c r="F319" i="1"/>
  <c r="P319" i="1"/>
  <c r="C260" i="5"/>
  <c r="E260" i="5" s="1"/>
  <c r="F320" i="1"/>
  <c r="P320" i="1"/>
  <c r="C261" i="5"/>
  <c r="E261" i="5" s="1"/>
  <c r="F321" i="1"/>
  <c r="F322" i="1"/>
  <c r="F323" i="1"/>
  <c r="F324" i="1"/>
  <c r="P324" i="1"/>
  <c r="C265" i="5" s="1"/>
  <c r="E265" i="5" s="1"/>
  <c r="F317" i="1"/>
  <c r="P317" i="1"/>
  <c r="C258" i="5"/>
  <c r="E258" i="5" s="1"/>
  <c r="F316" i="1"/>
  <c r="P316" i="1"/>
  <c r="C257" i="5"/>
  <c r="E257" i="5" s="1"/>
  <c r="F276" i="1"/>
  <c r="P276" i="1" s="1"/>
  <c r="F277" i="1"/>
  <c r="P277" i="1" s="1"/>
  <c r="F278" i="1"/>
  <c r="P278" i="1" s="1"/>
  <c r="F279" i="1"/>
  <c r="P279" i="1"/>
  <c r="F280" i="1"/>
  <c r="P280" i="1" s="1"/>
  <c r="F281" i="1"/>
  <c r="P281" i="1"/>
  <c r="F282" i="1"/>
  <c r="F275" i="1"/>
  <c r="P275" i="1"/>
  <c r="F274" i="1"/>
  <c r="P274" i="1" s="1"/>
  <c r="Z283" i="1"/>
  <c r="X283" i="1"/>
  <c r="F250" i="1"/>
  <c r="P250" i="1" s="1"/>
  <c r="F248" i="1"/>
  <c r="P248" i="1"/>
  <c r="F247" i="1"/>
  <c r="P247" i="1" s="1"/>
  <c r="F244" i="1"/>
  <c r="P244" i="1" s="1"/>
  <c r="F234" i="1"/>
  <c r="P234" i="1" s="1"/>
  <c r="F235" i="1"/>
  <c r="P235" i="1"/>
  <c r="F236" i="1"/>
  <c r="P236" i="1" s="1"/>
  <c r="F237" i="1"/>
  <c r="P237" i="1"/>
  <c r="F238" i="1"/>
  <c r="P238" i="1" s="1"/>
  <c r="F239" i="1"/>
  <c r="P239" i="1"/>
  <c r="C176" i="5" s="1"/>
  <c r="F240" i="1"/>
  <c r="P240" i="1" s="1"/>
  <c r="F233" i="1"/>
  <c r="P233" i="1"/>
  <c r="F232" i="1"/>
  <c r="P232" i="1" s="1"/>
  <c r="F204" i="1"/>
  <c r="P204" i="1"/>
  <c r="F198" i="1"/>
  <c r="P198" i="1" s="1"/>
  <c r="F192" i="1"/>
  <c r="P192" i="1"/>
  <c r="F193" i="1"/>
  <c r="P193" i="1" s="1"/>
  <c r="F194" i="1"/>
  <c r="P194" i="1"/>
  <c r="C136" i="5"/>
  <c r="C148" i="5" s="1"/>
  <c r="E148" i="5" s="1"/>
  <c r="F195" i="1"/>
  <c r="F196" i="1"/>
  <c r="P196" i="1"/>
  <c r="F197" i="1"/>
  <c r="P197" i="1"/>
  <c r="F191" i="1"/>
  <c r="P191" i="1"/>
  <c r="F190" i="1"/>
  <c r="P190" i="1"/>
  <c r="Z199" i="1"/>
  <c r="X199" i="1"/>
  <c r="F162" i="1"/>
  <c r="P162" i="1"/>
  <c r="F150" i="1"/>
  <c r="P150" i="1"/>
  <c r="F151" i="1"/>
  <c r="P151" i="1"/>
  <c r="F152" i="1"/>
  <c r="P152" i="1"/>
  <c r="C95" i="5" s="1"/>
  <c r="F153" i="1"/>
  <c r="P153" i="1"/>
  <c r="F154" i="1"/>
  <c r="P154" i="1"/>
  <c r="F155" i="1"/>
  <c r="P155" i="1"/>
  <c r="F156" i="1"/>
  <c r="P156" i="1"/>
  <c r="F149" i="1"/>
  <c r="P149" i="1"/>
  <c r="F148" i="1"/>
  <c r="P148" i="1"/>
  <c r="Z157" i="1"/>
  <c r="X157" i="1"/>
  <c r="F120" i="1"/>
  <c r="P120" i="1"/>
  <c r="F108" i="1"/>
  <c r="P108" i="1"/>
  <c r="F109" i="1"/>
  <c r="P109" i="1"/>
  <c r="F110" i="1"/>
  <c r="P110" i="1"/>
  <c r="F111" i="1"/>
  <c r="P111" i="1"/>
  <c r="F112" i="1"/>
  <c r="P112" i="1"/>
  <c r="F113" i="1"/>
  <c r="P113" i="1"/>
  <c r="F114" i="1"/>
  <c r="P114" i="1"/>
  <c r="F107" i="1"/>
  <c r="P107" i="1"/>
  <c r="F106" i="1"/>
  <c r="P106" i="1"/>
  <c r="C53" i="5" s="1"/>
  <c r="C53" i="7"/>
  <c r="P288" i="1" s="1"/>
  <c r="F75" i="1"/>
  <c r="P75" i="1"/>
  <c r="F61" i="1"/>
  <c r="P61" i="1" s="1"/>
  <c r="F62" i="1"/>
  <c r="P62" i="1"/>
  <c r="F63" i="1"/>
  <c r="P63" i="1" s="1"/>
  <c r="F64" i="1"/>
  <c r="P64" i="1" s="1"/>
  <c r="F65" i="1"/>
  <c r="P65" i="1" s="1"/>
  <c r="F66" i="1"/>
  <c r="P66" i="1"/>
  <c r="F67" i="1"/>
  <c r="P67" i="1" s="1"/>
  <c r="F60" i="1"/>
  <c r="P60" i="1"/>
  <c r="F59" i="1"/>
  <c r="P59" i="1" s="1"/>
  <c r="C13" i="5" s="1"/>
  <c r="C38" i="5" s="1"/>
  <c r="E38" i="5" s="1"/>
  <c r="A303" i="1"/>
  <c r="A260" i="1"/>
  <c r="A218" i="1"/>
  <c r="A176" i="1"/>
  <c r="A134" i="1"/>
  <c r="A92" i="1"/>
  <c r="A45" i="1"/>
  <c r="P195" i="1"/>
  <c r="P323" i="1"/>
  <c r="C264" i="5" s="1"/>
  <c r="E264" i="5" s="1"/>
  <c r="P321" i="1"/>
  <c r="C262" i="5"/>
  <c r="E262" i="5" s="1"/>
  <c r="P322" i="1"/>
  <c r="C263" i="5"/>
  <c r="E263" i="5" s="1"/>
  <c r="A217" i="1"/>
  <c r="A345" i="1"/>
  <c r="A346" i="1"/>
  <c r="A347" i="1"/>
  <c r="A348" i="1"/>
  <c r="A349" i="1"/>
  <c r="J56" i="1"/>
  <c r="J103" i="1"/>
  <c r="J145" i="1"/>
  <c r="J187" i="1"/>
  <c r="J229" i="1"/>
  <c r="J271" i="1"/>
  <c r="E56" i="1"/>
  <c r="E103" i="1"/>
  <c r="E145" i="1"/>
  <c r="T13" i="1"/>
  <c r="X115" i="1"/>
  <c r="Z115" i="1"/>
  <c r="X68" i="1"/>
  <c r="A84" i="1"/>
  <c r="A85" i="1"/>
  <c r="A86" i="1"/>
  <c r="O103" i="1"/>
  <c r="T103" i="1"/>
  <c r="A302" i="1"/>
  <c r="A175" i="1"/>
  <c r="A91" i="1"/>
  <c r="A44" i="1"/>
  <c r="O145" i="1"/>
  <c r="T145" i="1"/>
  <c r="E187" i="1"/>
  <c r="O56" i="1"/>
  <c r="T56" i="1"/>
  <c r="Q70" i="1"/>
  <c r="Q71" i="1"/>
  <c r="C14" i="5"/>
  <c r="E14" i="5" s="1"/>
  <c r="E229" i="1"/>
  <c r="O187" i="1"/>
  <c r="T187" i="1"/>
  <c r="O229" i="1"/>
  <c r="T229" i="1"/>
  <c r="E271" i="1"/>
  <c r="O271" i="1"/>
  <c r="T271" i="1"/>
  <c r="I63" i="1"/>
  <c r="I59" i="1"/>
  <c r="D29" i="8"/>
  <c r="C217" i="5" l="1"/>
  <c r="E217" i="5" s="1"/>
  <c r="C237" i="5"/>
  <c r="E237" i="5" s="1"/>
  <c r="C219" i="5"/>
  <c r="E219" i="5" s="1"/>
  <c r="C236" i="5"/>
  <c r="E236" i="5" s="1"/>
  <c r="C222" i="5"/>
  <c r="E222" i="5" s="1"/>
  <c r="C225" i="5"/>
  <c r="E225" i="5" s="1"/>
  <c r="C232" i="5"/>
  <c r="E232" i="5" s="1"/>
  <c r="C229" i="5"/>
  <c r="E229" i="5" s="1"/>
  <c r="C231" i="5"/>
  <c r="E231" i="5" s="1"/>
  <c r="C223" i="5"/>
  <c r="E223" i="5" s="1"/>
  <c r="C228" i="5"/>
  <c r="E228" i="5" s="1"/>
  <c r="C233" i="5"/>
  <c r="E233" i="5" s="1"/>
  <c r="C227" i="5"/>
  <c r="E227" i="5" s="1"/>
  <c r="C224" i="5"/>
  <c r="E224" i="5" s="1"/>
  <c r="C221" i="5"/>
  <c r="E221" i="5" s="1"/>
  <c r="C234" i="5"/>
  <c r="E234" i="5" s="1"/>
  <c r="C226" i="5"/>
  <c r="E226" i="5" s="1"/>
  <c r="C218" i="5"/>
  <c r="E218" i="5" s="1"/>
  <c r="C235" i="5"/>
  <c r="E235" i="5" s="1"/>
  <c r="C242" i="5"/>
  <c r="E242" i="5" s="1"/>
  <c r="C220" i="5"/>
  <c r="E220" i="5" s="1"/>
  <c r="C230" i="5"/>
  <c r="E230" i="5" s="1"/>
  <c r="C29" i="5"/>
  <c r="E29" i="5" s="1"/>
  <c r="C33" i="5"/>
  <c r="E33" i="5" s="1"/>
  <c r="C24" i="5"/>
  <c r="E24" i="5" s="1"/>
  <c r="C17" i="5"/>
  <c r="E17" i="5" s="1"/>
  <c r="A133" i="1"/>
  <c r="A259" i="1"/>
  <c r="C138" i="5"/>
  <c r="E138" i="5" s="1"/>
  <c r="C146" i="5"/>
  <c r="E146" i="5" s="1"/>
  <c r="F30" i="8"/>
  <c r="E30" i="8" s="1"/>
  <c r="E93" i="8"/>
  <c r="E98" i="8" s="1"/>
  <c r="F36" i="8"/>
  <c r="E36" i="8" s="1"/>
  <c r="F106" i="8"/>
  <c r="F111" i="8" s="1"/>
  <c r="E73" i="8"/>
  <c r="F35" i="8"/>
  <c r="E35" i="8" s="1"/>
  <c r="E106" i="8"/>
  <c r="E111" i="8" s="1"/>
  <c r="F34" i="8"/>
  <c r="E34" i="8" s="1"/>
  <c r="D106" i="8"/>
  <c r="F33" i="8"/>
  <c r="E33" i="8" s="1"/>
  <c r="H93" i="8"/>
  <c r="H98" i="8" s="1"/>
  <c r="F32" i="8"/>
  <c r="E32" i="8" s="1"/>
  <c r="G93" i="8"/>
  <c r="G98" i="8" s="1"/>
  <c r="F31" i="8"/>
  <c r="E31" i="8" s="1"/>
  <c r="F93" i="8"/>
  <c r="F98" i="8" s="1"/>
  <c r="D73" i="8"/>
  <c r="D60" i="8"/>
  <c r="D38" i="8"/>
  <c r="E60" i="8"/>
  <c r="A43" i="5"/>
  <c r="A85" i="5" s="1"/>
  <c r="A126" i="5" s="1"/>
  <c r="A166" i="5" s="1"/>
  <c r="A246" i="5" s="1"/>
  <c r="F60" i="8"/>
  <c r="A261" i="1"/>
  <c r="G60" i="8"/>
  <c r="H60" i="8"/>
  <c r="F73" i="8"/>
  <c r="A205" i="5"/>
  <c r="A245" i="5"/>
  <c r="I264" i="5"/>
  <c r="K264" i="5" s="1"/>
  <c r="I259" i="5"/>
  <c r="K259" i="5" s="1"/>
  <c r="U61" i="1"/>
  <c r="K61" i="1" s="1"/>
  <c r="U234" i="1"/>
  <c r="K234" i="1" s="1"/>
  <c r="U327" i="1"/>
  <c r="K327" i="1" s="1"/>
  <c r="L327" i="1" s="1"/>
  <c r="U62" i="1"/>
  <c r="K62" i="1" s="1"/>
  <c r="U320" i="1"/>
  <c r="K320" i="1" s="1"/>
  <c r="U276" i="1"/>
  <c r="U248" i="1"/>
  <c r="K248" i="1" s="1"/>
  <c r="U150" i="1"/>
  <c r="K150" i="1" s="1"/>
  <c r="U108" i="1"/>
  <c r="K108" i="1" s="1"/>
  <c r="U192" i="1"/>
  <c r="K192" i="1" s="1"/>
  <c r="S114" i="1"/>
  <c r="I156" i="1"/>
  <c r="T317" i="1"/>
  <c r="V317" i="1" s="1"/>
  <c r="T244" i="1"/>
  <c r="V35" i="1"/>
  <c r="H36" i="8" s="1"/>
  <c r="L34" i="1"/>
  <c r="S155" i="1"/>
  <c r="L35" i="1"/>
  <c r="S110" i="1"/>
  <c r="S195" i="1"/>
  <c r="G191" i="1"/>
  <c r="G317" i="1"/>
  <c r="G109" i="1"/>
  <c r="I66" i="1"/>
  <c r="Q236" i="1"/>
  <c r="T248" i="1"/>
  <c r="G244" i="1"/>
  <c r="T328" i="1"/>
  <c r="L33" i="1"/>
  <c r="G321" i="1"/>
  <c r="Q316" i="1"/>
  <c r="S153" i="1"/>
  <c r="I107" i="1"/>
  <c r="I236" i="1"/>
  <c r="S67" i="1"/>
  <c r="S275" i="1"/>
  <c r="Q190" i="1"/>
  <c r="S280" i="1"/>
  <c r="S152" i="1"/>
  <c r="I274" i="1"/>
  <c r="G111" i="1"/>
  <c r="S282" i="1"/>
  <c r="V33" i="1"/>
  <c r="H34" i="8" s="1"/>
  <c r="L32" i="1"/>
  <c r="Q148" i="1"/>
  <c r="G60" i="1"/>
  <c r="E128" i="1"/>
  <c r="E17" i="1" s="1"/>
  <c r="S274" i="1"/>
  <c r="Q64" i="1"/>
  <c r="Z64" i="1" s="1"/>
  <c r="S150" i="1"/>
  <c r="S193" i="1"/>
  <c r="S60" i="1"/>
  <c r="G275" i="1"/>
  <c r="J204" i="1"/>
  <c r="J212" i="1" s="1"/>
  <c r="J19" i="1" s="1"/>
  <c r="G333" i="1"/>
  <c r="V32" i="1"/>
  <c r="H33" i="8" s="1"/>
  <c r="L31" i="1"/>
  <c r="J322" i="1"/>
  <c r="Q151" i="1"/>
  <c r="J324" i="1"/>
  <c r="S149" i="1"/>
  <c r="G59" i="1"/>
  <c r="I235" i="1"/>
  <c r="V31" i="1"/>
  <c r="H32" i="8" s="1"/>
  <c r="L30" i="1"/>
  <c r="T320" i="1"/>
  <c r="S277" i="1"/>
  <c r="S278" i="1"/>
  <c r="G152" i="1"/>
  <c r="O212" i="1"/>
  <c r="O19" i="1" s="1"/>
  <c r="T120" i="1"/>
  <c r="E170" i="1"/>
  <c r="E18" i="1" s="1"/>
  <c r="L29" i="1"/>
  <c r="I282" i="1"/>
  <c r="S236" i="1"/>
  <c r="J247" i="1"/>
  <c r="J317" i="1"/>
  <c r="L317" i="1" s="1"/>
  <c r="I111" i="1"/>
  <c r="E26" i="7"/>
  <c r="I191" i="1"/>
  <c r="J162" i="1"/>
  <c r="L162" i="1" s="1"/>
  <c r="G258" i="5"/>
  <c r="I258" i="5" s="1"/>
  <c r="K258" i="5" s="1"/>
  <c r="U282" i="1"/>
  <c r="K282" i="1" s="1"/>
  <c r="G282" i="1"/>
  <c r="G322" i="1"/>
  <c r="G162" i="1"/>
  <c r="U328" i="1"/>
  <c r="K328" i="1" s="1"/>
  <c r="E29" i="7"/>
  <c r="E34" i="7"/>
  <c r="U65" i="1"/>
  <c r="K65" i="1" s="1"/>
  <c r="E10" i="7"/>
  <c r="E36" i="7"/>
  <c r="E46" i="7"/>
  <c r="U238" i="1"/>
  <c r="K238" i="1" s="1"/>
  <c r="E19" i="7"/>
  <c r="Q67" i="1"/>
  <c r="G156" i="1"/>
  <c r="U154" i="1"/>
  <c r="K154" i="1" s="1"/>
  <c r="U66" i="1"/>
  <c r="K66" i="1" s="1"/>
  <c r="U281" i="1"/>
  <c r="K281" i="1" s="1"/>
  <c r="Q204" i="1"/>
  <c r="E12" i="7"/>
  <c r="E21" i="7"/>
  <c r="E38" i="7"/>
  <c r="U316" i="1"/>
  <c r="Q114" i="1"/>
  <c r="U333" i="1"/>
  <c r="K333" i="1" s="1"/>
  <c r="U280" i="1"/>
  <c r="K280" i="1" s="1"/>
  <c r="U196" i="1"/>
  <c r="K196" i="1" s="1"/>
  <c r="U120" i="1"/>
  <c r="K120" i="1" s="1"/>
  <c r="U112" i="1"/>
  <c r="K112" i="1" s="1"/>
  <c r="G250" i="1"/>
  <c r="E11" i="7"/>
  <c r="L288" i="1"/>
  <c r="U113" i="1"/>
  <c r="K113" i="1" s="1"/>
  <c r="E35" i="7"/>
  <c r="Q193" i="1"/>
  <c r="U244" i="1"/>
  <c r="K244" i="1" s="1"/>
  <c r="Q195" i="1"/>
  <c r="U239" i="1"/>
  <c r="Q328" i="1"/>
  <c r="E14" i="7"/>
  <c r="E40" i="7"/>
  <c r="T204" i="1"/>
  <c r="T212" i="1" s="1"/>
  <c r="T19" i="1" s="1"/>
  <c r="U155" i="1"/>
  <c r="K155" i="1" s="1"/>
  <c r="G107" i="1"/>
  <c r="U195" i="1"/>
  <c r="K195" i="1" s="1"/>
  <c r="E22" i="7"/>
  <c r="E39" i="7"/>
  <c r="E53" i="7"/>
  <c r="K204" i="1"/>
  <c r="C181" i="5"/>
  <c r="E181" i="5" s="1"/>
  <c r="C183" i="5"/>
  <c r="E183" i="5" s="1"/>
  <c r="C185" i="5"/>
  <c r="E185" i="5" s="1"/>
  <c r="C184" i="5"/>
  <c r="E184" i="5" s="1"/>
  <c r="C192" i="5"/>
  <c r="E192" i="5" s="1"/>
  <c r="C186" i="5"/>
  <c r="E186" i="5" s="1"/>
  <c r="C188" i="5"/>
  <c r="E188" i="5" s="1"/>
  <c r="C182" i="5"/>
  <c r="E182" i="5" s="1"/>
  <c r="C196" i="5"/>
  <c r="E196" i="5" s="1"/>
  <c r="C197" i="5"/>
  <c r="E197" i="5" s="1"/>
  <c r="C193" i="5"/>
  <c r="E193" i="5" s="1"/>
  <c r="C179" i="5"/>
  <c r="E179" i="5" s="1"/>
  <c r="C189" i="5"/>
  <c r="E189" i="5" s="1"/>
  <c r="C178" i="5"/>
  <c r="E178" i="5" s="1"/>
  <c r="C195" i="5"/>
  <c r="E195" i="5" s="1"/>
  <c r="E176" i="5"/>
  <c r="C190" i="5"/>
  <c r="E190" i="5" s="1"/>
  <c r="C177" i="5"/>
  <c r="E177" i="5" s="1"/>
  <c r="C180" i="5"/>
  <c r="E180" i="5" s="1"/>
  <c r="C187" i="5"/>
  <c r="E187" i="5" s="1"/>
  <c r="C194" i="5"/>
  <c r="E194" i="5" s="1"/>
  <c r="C191" i="5"/>
  <c r="E191" i="5" s="1"/>
  <c r="C25" i="5"/>
  <c r="E25" i="5" s="1"/>
  <c r="C31" i="5"/>
  <c r="E31" i="5" s="1"/>
  <c r="C22" i="5"/>
  <c r="E22" i="5" s="1"/>
  <c r="C20" i="5"/>
  <c r="E20" i="5" s="1"/>
  <c r="C23" i="5"/>
  <c r="E23" i="5" s="1"/>
  <c r="C16" i="5"/>
  <c r="E16" i="5" s="1"/>
  <c r="C27" i="5"/>
  <c r="E27" i="5" s="1"/>
  <c r="C28" i="5"/>
  <c r="E28" i="5" s="1"/>
  <c r="C19" i="5"/>
  <c r="E19" i="5" s="1"/>
  <c r="C15" i="5"/>
  <c r="E15" i="5" s="1"/>
  <c r="C18" i="5"/>
  <c r="E18" i="5" s="1"/>
  <c r="C26" i="5"/>
  <c r="E26" i="5" s="1"/>
  <c r="C30" i="5"/>
  <c r="E30" i="5" s="1"/>
  <c r="C32" i="5"/>
  <c r="E32" i="5" s="1"/>
  <c r="C21" i="5"/>
  <c r="E21" i="5" s="1"/>
  <c r="E13" i="5"/>
  <c r="E95" i="5"/>
  <c r="C105" i="5"/>
  <c r="E105" i="5" s="1"/>
  <c r="C104" i="5"/>
  <c r="E104" i="5" s="1"/>
  <c r="C101" i="5"/>
  <c r="E101" i="5" s="1"/>
  <c r="C97" i="5"/>
  <c r="E97" i="5" s="1"/>
  <c r="C115" i="5"/>
  <c r="E115" i="5" s="1"/>
  <c r="C108" i="5"/>
  <c r="E108" i="5" s="1"/>
  <c r="C98" i="5"/>
  <c r="E98" i="5" s="1"/>
  <c r="C114" i="5"/>
  <c r="E114" i="5" s="1"/>
  <c r="C102" i="5"/>
  <c r="E102" i="5" s="1"/>
  <c r="C99" i="5"/>
  <c r="E99" i="5" s="1"/>
  <c r="C113" i="5"/>
  <c r="E113" i="5" s="1"/>
  <c r="C109" i="5"/>
  <c r="E109" i="5" s="1"/>
  <c r="C103" i="5"/>
  <c r="E103" i="5" s="1"/>
  <c r="C112" i="5"/>
  <c r="E112" i="5" s="1"/>
  <c r="C107" i="5"/>
  <c r="E107" i="5" s="1"/>
  <c r="C106" i="5"/>
  <c r="E106" i="5" s="1"/>
  <c r="C96" i="5"/>
  <c r="E96" i="5" s="1"/>
  <c r="C100" i="5"/>
  <c r="E100" i="5" s="1"/>
  <c r="C116" i="5"/>
  <c r="E116" i="5" s="1"/>
  <c r="C110" i="5"/>
  <c r="E110" i="5" s="1"/>
  <c r="C111" i="5"/>
  <c r="E111" i="5" s="1"/>
  <c r="Q274" i="1"/>
  <c r="C55" i="5"/>
  <c r="E55" i="5" s="1"/>
  <c r="C65" i="5"/>
  <c r="E65" i="5" s="1"/>
  <c r="C64" i="5"/>
  <c r="E64" i="5" s="1"/>
  <c r="C56" i="5"/>
  <c r="E56" i="5" s="1"/>
  <c r="C67" i="5"/>
  <c r="E67" i="5" s="1"/>
  <c r="C74" i="5"/>
  <c r="E74" i="5" s="1"/>
  <c r="C58" i="5"/>
  <c r="E58" i="5" s="1"/>
  <c r="C57" i="5"/>
  <c r="E57" i="5" s="1"/>
  <c r="C69" i="5"/>
  <c r="E69" i="5" s="1"/>
  <c r="C71" i="5"/>
  <c r="E71" i="5" s="1"/>
  <c r="E53" i="5"/>
  <c r="C62" i="5"/>
  <c r="E62" i="5" s="1"/>
  <c r="C73" i="5"/>
  <c r="E73" i="5" s="1"/>
  <c r="C54" i="5"/>
  <c r="E54" i="5" s="1"/>
  <c r="C66" i="5"/>
  <c r="E66" i="5" s="1"/>
  <c r="C70" i="5"/>
  <c r="E70" i="5" s="1"/>
  <c r="C72" i="5"/>
  <c r="E72" i="5" s="1"/>
  <c r="C59" i="5"/>
  <c r="E59" i="5" s="1"/>
  <c r="C63" i="5"/>
  <c r="E63" i="5" s="1"/>
  <c r="C60" i="5"/>
  <c r="E60" i="5" s="1"/>
  <c r="C61" i="5"/>
  <c r="E61" i="5" s="1"/>
  <c r="C68" i="5"/>
  <c r="E68" i="5" s="1"/>
  <c r="Q150" i="1"/>
  <c r="C144" i="5"/>
  <c r="E144" i="5" s="1"/>
  <c r="C156" i="5"/>
  <c r="E156" i="5" s="1"/>
  <c r="C145" i="5"/>
  <c r="E145" i="5" s="1"/>
  <c r="C141" i="5"/>
  <c r="E141" i="5" s="1"/>
  <c r="C149" i="5"/>
  <c r="E149" i="5" s="1"/>
  <c r="C121" i="5"/>
  <c r="E121" i="5" s="1"/>
  <c r="U237" i="1"/>
  <c r="K237" i="1" s="1"/>
  <c r="P282" i="1"/>
  <c r="Q282" i="1" s="1"/>
  <c r="Z282" i="1" s="1"/>
  <c r="Q323" i="1"/>
  <c r="Z323" i="1" s="1"/>
  <c r="G67" i="1"/>
  <c r="Q318" i="1"/>
  <c r="G232" i="1"/>
  <c r="G63" i="1"/>
  <c r="C140" i="5"/>
  <c r="E140" i="5" s="1"/>
  <c r="C151" i="5"/>
  <c r="E151" i="5" s="1"/>
  <c r="C139" i="5"/>
  <c r="E139" i="5" s="1"/>
  <c r="U109" i="1"/>
  <c r="K109" i="1" s="1"/>
  <c r="U111" i="1"/>
  <c r="K111" i="1" s="1"/>
  <c r="U279" i="1"/>
  <c r="K279" i="1" s="1"/>
  <c r="G326" i="1"/>
  <c r="Q153" i="1"/>
  <c r="Z153" i="1" s="1"/>
  <c r="Q63" i="1"/>
  <c r="Q232" i="1"/>
  <c r="G278" i="1"/>
  <c r="C155" i="5"/>
  <c r="E155" i="5" s="1"/>
  <c r="C152" i="5"/>
  <c r="E152" i="5" s="1"/>
  <c r="C154" i="5"/>
  <c r="E154" i="5" s="1"/>
  <c r="U278" i="1"/>
  <c r="K278" i="1" s="1"/>
  <c r="C79" i="5"/>
  <c r="E79" i="5" s="1"/>
  <c r="G236" i="1"/>
  <c r="C157" i="5"/>
  <c r="E157" i="5" s="1"/>
  <c r="C150" i="5"/>
  <c r="E150" i="5" s="1"/>
  <c r="C153" i="5"/>
  <c r="E153" i="5" s="1"/>
  <c r="G327" i="1"/>
  <c r="Q238" i="1"/>
  <c r="G247" i="1"/>
  <c r="C143" i="5"/>
  <c r="E143" i="5" s="1"/>
  <c r="C142" i="5"/>
  <c r="E142" i="5" s="1"/>
  <c r="C147" i="5"/>
  <c r="E147" i="5" s="1"/>
  <c r="U277" i="1"/>
  <c r="K277" i="1" s="1"/>
  <c r="K318" i="1"/>
  <c r="E136" i="5"/>
  <c r="G106" i="1"/>
  <c r="G240" i="1"/>
  <c r="C137" i="5"/>
  <c r="E137" i="5" s="1"/>
  <c r="C162" i="5"/>
  <c r="E162" i="5" s="1"/>
  <c r="U153" i="1"/>
  <c r="K153" i="1" s="1"/>
  <c r="G328" i="1"/>
  <c r="J248" i="1"/>
  <c r="G248" i="1"/>
  <c r="I238" i="1"/>
  <c r="G238" i="1"/>
  <c r="O296" i="1"/>
  <c r="O23" i="1" s="1"/>
  <c r="Q288" i="1"/>
  <c r="T288" i="1"/>
  <c r="Q156" i="1"/>
  <c r="Z156" i="1" s="1"/>
  <c r="S156" i="1"/>
  <c r="K322" i="1"/>
  <c r="G263" i="5"/>
  <c r="I263" i="5" s="1"/>
  <c r="K263" i="5" s="1"/>
  <c r="G262" i="5"/>
  <c r="I262" i="5" s="1"/>
  <c r="K262" i="5" s="1"/>
  <c r="K321" i="1"/>
  <c r="L63" i="1"/>
  <c r="J326" i="1"/>
  <c r="U193" i="1"/>
  <c r="K193" i="1" s="1"/>
  <c r="J296" i="1"/>
  <c r="J23" i="1" s="1"/>
  <c r="I106" i="1"/>
  <c r="Q248" i="1"/>
  <c r="U236" i="1"/>
  <c r="U194" i="1"/>
  <c r="K323" i="1"/>
  <c r="U235" i="1"/>
  <c r="K235" i="1" s="1"/>
  <c r="U152" i="1"/>
  <c r="G39" i="1"/>
  <c r="U110" i="1"/>
  <c r="K110" i="1" s="1"/>
  <c r="L247" i="1"/>
  <c r="T341" i="1"/>
  <c r="V341" i="1" s="1"/>
  <c r="Q341" i="1"/>
  <c r="O343" i="1"/>
  <c r="G316" i="1"/>
  <c r="J316" i="1"/>
  <c r="I149" i="1"/>
  <c r="G149" i="1"/>
  <c r="I237" i="1"/>
  <c r="G237" i="1"/>
  <c r="G192" i="1"/>
  <c r="I192" i="1"/>
  <c r="Q321" i="1"/>
  <c r="T321" i="1"/>
  <c r="V321" i="1" s="1"/>
  <c r="S194" i="1"/>
  <c r="Q194" i="1"/>
  <c r="S111" i="1"/>
  <c r="Q111" i="1"/>
  <c r="G151" i="1"/>
  <c r="I151" i="1"/>
  <c r="L151" i="1" s="1"/>
  <c r="J320" i="1"/>
  <c r="G320" i="1"/>
  <c r="Q237" i="1"/>
  <c r="S237" i="1"/>
  <c r="I108" i="1"/>
  <c r="G108" i="1"/>
  <c r="J319" i="1"/>
  <c r="G319" i="1"/>
  <c r="I233" i="1"/>
  <c r="G233" i="1"/>
  <c r="G234" i="1"/>
  <c r="I234" i="1"/>
  <c r="G64" i="1"/>
  <c r="I64" i="1"/>
  <c r="L64" i="1" s="1"/>
  <c r="Q196" i="1"/>
  <c r="S196" i="1"/>
  <c r="S108" i="1"/>
  <c r="Q108" i="1"/>
  <c r="V34" i="1"/>
  <c r="H35" i="8" s="1"/>
  <c r="I109" i="1"/>
  <c r="I67" i="1"/>
  <c r="E212" i="1"/>
  <c r="E19" i="1" s="1"/>
  <c r="G324" i="1"/>
  <c r="Q149" i="1"/>
  <c r="Z149" i="1" s="1"/>
  <c r="I152" i="1"/>
  <c r="I275" i="1"/>
  <c r="I60" i="1"/>
  <c r="T323" i="1"/>
  <c r="V323" i="1" s="1"/>
  <c r="Q317" i="1"/>
  <c r="Q152" i="1"/>
  <c r="Q275" i="1"/>
  <c r="Z275" i="1" s="1"/>
  <c r="S64" i="1"/>
  <c r="V64" i="1" s="1"/>
  <c r="X64" i="1" s="1"/>
  <c r="I278" i="1"/>
  <c r="J328" i="1"/>
  <c r="T318" i="1"/>
  <c r="V318" i="1" s="1"/>
  <c r="S148" i="1"/>
  <c r="Q110" i="1"/>
  <c r="Q280" i="1"/>
  <c r="Z280" i="1" s="1"/>
  <c r="I240" i="1"/>
  <c r="G204" i="1"/>
  <c r="S63" i="1"/>
  <c r="V63" i="1" s="1"/>
  <c r="S238" i="1"/>
  <c r="I232" i="1"/>
  <c r="S106" i="1"/>
  <c r="Q106" i="1"/>
  <c r="I148" i="1"/>
  <c r="G148" i="1"/>
  <c r="Q319" i="1"/>
  <c r="T319" i="1"/>
  <c r="V319" i="1" s="1"/>
  <c r="S234" i="1"/>
  <c r="Q234" i="1"/>
  <c r="Z234" i="1" s="1"/>
  <c r="S151" i="1"/>
  <c r="V151" i="1" s="1"/>
  <c r="O170" i="1"/>
  <c r="O18" i="1" s="1"/>
  <c r="T162" i="1"/>
  <c r="Q162" i="1"/>
  <c r="Q320" i="1"/>
  <c r="S232" i="1"/>
  <c r="Q155" i="1"/>
  <c r="Q278" i="1"/>
  <c r="Z278" i="1" s="1"/>
  <c r="S62" i="1"/>
  <c r="Q62" i="1"/>
  <c r="G154" i="1"/>
  <c r="I154" i="1"/>
  <c r="I196" i="1"/>
  <c r="G196" i="1"/>
  <c r="T324" i="1"/>
  <c r="V324" i="1" s="1"/>
  <c r="Q324" i="1"/>
  <c r="S281" i="1"/>
  <c r="Q281" i="1"/>
  <c r="Z281" i="1" s="1"/>
  <c r="Q239" i="1"/>
  <c r="S239" i="1"/>
  <c r="G150" i="1"/>
  <c r="I150" i="1"/>
  <c r="K324" i="1"/>
  <c r="G265" i="5"/>
  <c r="I265" i="5" s="1"/>
  <c r="K265" i="5" s="1"/>
  <c r="T322" i="1"/>
  <c r="V322" i="1" s="1"/>
  <c r="Q322" i="1"/>
  <c r="S190" i="1"/>
  <c r="S154" i="1"/>
  <c r="Q154" i="1"/>
  <c r="S233" i="1"/>
  <c r="Q233" i="1"/>
  <c r="Z233" i="1" s="1"/>
  <c r="Q61" i="1"/>
  <c r="S61" i="1"/>
  <c r="I281" i="1"/>
  <c r="G281" i="1"/>
  <c r="G341" i="1"/>
  <c r="G343" i="1" s="1"/>
  <c r="G347" i="1" s="1"/>
  <c r="G22" i="1" s="1"/>
  <c r="D21" i="8" s="1"/>
  <c r="J341" i="1"/>
  <c r="S107" i="1"/>
  <c r="Q107" i="1"/>
  <c r="Z107" i="1" s="1"/>
  <c r="Q276" i="1"/>
  <c r="S276" i="1"/>
  <c r="Q112" i="1"/>
  <c r="S112" i="1"/>
  <c r="I190" i="1"/>
  <c r="G190" i="1"/>
  <c r="J318" i="1"/>
  <c r="G318" i="1"/>
  <c r="S66" i="1"/>
  <c r="Q66" i="1"/>
  <c r="G279" i="1"/>
  <c r="I279" i="1"/>
  <c r="G113" i="1"/>
  <c r="I113" i="1"/>
  <c r="S191" i="1"/>
  <c r="Q191" i="1"/>
  <c r="Z191" i="1" s="1"/>
  <c r="S197" i="1"/>
  <c r="V197" i="1" s="1"/>
  <c r="Q197" i="1"/>
  <c r="Q240" i="1"/>
  <c r="Z240" i="1" s="1"/>
  <c r="S240" i="1"/>
  <c r="G153" i="1"/>
  <c r="I153" i="1"/>
  <c r="E343" i="1"/>
  <c r="Q277" i="1"/>
  <c r="Z277" i="1" s="1"/>
  <c r="S192" i="1"/>
  <c r="Q192" i="1"/>
  <c r="G66" i="1"/>
  <c r="I239" i="1"/>
  <c r="G239" i="1"/>
  <c r="Q59" i="1"/>
  <c r="S59" i="1"/>
  <c r="S235" i="1"/>
  <c r="Q235" i="1"/>
  <c r="E330" i="1"/>
  <c r="S279" i="1"/>
  <c r="Q279" i="1"/>
  <c r="Q109" i="1"/>
  <c r="S109" i="1"/>
  <c r="S65" i="1"/>
  <c r="Q65" i="1"/>
  <c r="I194" i="1"/>
  <c r="G194" i="1"/>
  <c r="G112" i="1"/>
  <c r="I112" i="1"/>
  <c r="K319" i="1"/>
  <c r="G260" i="5"/>
  <c r="I260" i="5" s="1"/>
  <c r="K260" i="5" s="1"/>
  <c r="U274" i="1"/>
  <c r="K274" i="1" s="1"/>
  <c r="U190" i="1"/>
  <c r="K190" i="1" s="1"/>
  <c r="U59" i="1"/>
  <c r="U326" i="1"/>
  <c r="K326" i="1" s="1"/>
  <c r="U106" i="1"/>
  <c r="U232" i="1"/>
  <c r="K232" i="1" s="1"/>
  <c r="U148" i="1"/>
  <c r="K148" i="1" s="1"/>
  <c r="U275" i="1"/>
  <c r="U233" i="1"/>
  <c r="K233" i="1" s="1"/>
  <c r="U60" i="1"/>
  <c r="U191" i="1"/>
  <c r="K191" i="1" s="1"/>
  <c r="U107" i="1"/>
  <c r="K107" i="1" s="1"/>
  <c r="L107" i="1" s="1"/>
  <c r="U149" i="1"/>
  <c r="O330" i="1"/>
  <c r="Q60" i="1"/>
  <c r="Z60" i="1" s="1"/>
  <c r="I197" i="1"/>
  <c r="L197" i="1" s="1"/>
  <c r="G197" i="1"/>
  <c r="G62" i="1"/>
  <c r="I62" i="1"/>
  <c r="G276" i="1"/>
  <c r="I276" i="1"/>
  <c r="G114" i="1"/>
  <c r="I114" i="1"/>
  <c r="S113" i="1"/>
  <c r="Q113" i="1"/>
  <c r="G274" i="1"/>
  <c r="I155" i="1"/>
  <c r="G155" i="1"/>
  <c r="G65" i="1"/>
  <c r="I65" i="1"/>
  <c r="O86" i="1"/>
  <c r="O16" i="1" s="1"/>
  <c r="T75" i="1"/>
  <c r="Q75" i="1"/>
  <c r="G198" i="1"/>
  <c r="I198" i="1"/>
  <c r="J321" i="1"/>
  <c r="J170" i="1"/>
  <c r="J18" i="1" s="1"/>
  <c r="G323" i="1"/>
  <c r="J323" i="1"/>
  <c r="G195" i="1"/>
  <c r="I195" i="1"/>
  <c r="G280" i="1"/>
  <c r="I280" i="1"/>
  <c r="I61" i="1"/>
  <c r="G61" i="1"/>
  <c r="G193" i="1"/>
  <c r="I193" i="1"/>
  <c r="T247" i="1"/>
  <c r="V247" i="1" s="1"/>
  <c r="Q247" i="1"/>
  <c r="J244" i="1"/>
  <c r="Q326" i="1"/>
  <c r="T326" i="1"/>
  <c r="T316" i="1"/>
  <c r="G110" i="1"/>
  <c r="I110" i="1"/>
  <c r="G277" i="1"/>
  <c r="I277" i="1"/>
  <c r="Q333" i="1"/>
  <c r="T333" i="1"/>
  <c r="O21" i="1"/>
  <c r="S198" i="1"/>
  <c r="Q198" i="1"/>
  <c r="U156" i="1"/>
  <c r="U67" i="1"/>
  <c r="K67" i="1" s="1"/>
  <c r="U198" i="1"/>
  <c r="K198" i="1" s="1"/>
  <c r="U114" i="1"/>
  <c r="K114" i="1" s="1"/>
  <c r="U240" i="1"/>
  <c r="K240" i="1" s="1"/>
  <c r="K341" i="1"/>
  <c r="G268" i="5"/>
  <c r="I268" i="5" s="1"/>
  <c r="K268" i="5" s="1"/>
  <c r="G235" i="1"/>
  <c r="Q120" i="1"/>
  <c r="O128" i="1"/>
  <c r="O17" i="1" s="1"/>
  <c r="C202" i="5"/>
  <c r="E202" i="5" s="1"/>
  <c r="G75" i="1"/>
  <c r="J75" i="1"/>
  <c r="E86" i="1"/>
  <c r="E16" i="1" s="1"/>
  <c r="A44" i="5"/>
  <c r="A86" i="5" s="1"/>
  <c r="A127" i="5" s="1"/>
  <c r="A167" i="5" s="1"/>
  <c r="G120" i="1"/>
  <c r="J120" i="1"/>
  <c r="G288" i="1"/>
  <c r="E296" i="1"/>
  <c r="E23" i="1" s="1"/>
  <c r="Q327" i="1"/>
  <c r="T327" i="1"/>
  <c r="V30" i="1"/>
  <c r="H31" i="8" s="1"/>
  <c r="Q244" i="1"/>
  <c r="E21" i="1"/>
  <c r="J333" i="1"/>
  <c r="V29" i="1"/>
  <c r="H30" i="8" s="1"/>
  <c r="G35" i="8" l="1"/>
  <c r="G33" i="8"/>
  <c r="V108" i="1"/>
  <c r="V62" i="1"/>
  <c r="X62" i="1" s="1"/>
  <c r="Z62" i="1" s="1"/>
  <c r="T128" i="1"/>
  <c r="T17" i="1" s="1"/>
  <c r="V120" i="1"/>
  <c r="G30" i="8"/>
  <c r="G34" i="8"/>
  <c r="G36" i="8"/>
  <c r="G31" i="8"/>
  <c r="L62" i="1"/>
  <c r="V61" i="1"/>
  <c r="X61" i="1" s="1"/>
  <c r="Z61" i="1" s="1"/>
  <c r="A219" i="1"/>
  <c r="A46" i="1"/>
  <c r="V327" i="1"/>
  <c r="X327" i="1" s="1"/>
  <c r="Z327" i="1" s="1"/>
  <c r="F72" i="8"/>
  <c r="G32" i="8"/>
  <c r="D111" i="8"/>
  <c r="G59" i="8"/>
  <c r="A135" i="1"/>
  <c r="A206" i="5"/>
  <c r="A177" i="1"/>
  <c r="A304" i="1"/>
  <c r="A93" i="1"/>
  <c r="F58" i="8"/>
  <c r="G58" i="8"/>
  <c r="Q343" i="1"/>
  <c r="Q347" i="1" s="1"/>
  <c r="Q22" i="1" s="1"/>
  <c r="F21" i="8" s="1"/>
  <c r="E21" i="8" s="1"/>
  <c r="E71" i="8"/>
  <c r="E76" i="8" s="1"/>
  <c r="E58" i="8"/>
  <c r="D72" i="8"/>
  <c r="D59" i="8"/>
  <c r="H73" i="8"/>
  <c r="D71" i="8"/>
  <c r="D58" i="8"/>
  <c r="F71" i="8"/>
  <c r="E59" i="8"/>
  <c r="F59" i="8"/>
  <c r="H58" i="8"/>
  <c r="V60" i="1"/>
  <c r="X60" i="1" s="1"/>
  <c r="V59" i="1"/>
  <c r="V320" i="1"/>
  <c r="X320" i="1" s="1"/>
  <c r="Z320" i="1" s="1"/>
  <c r="L61" i="1"/>
  <c r="L108" i="1"/>
  <c r="V234" i="1"/>
  <c r="X234" i="1" s="1"/>
  <c r="V192" i="1"/>
  <c r="X192" i="1" s="1"/>
  <c r="Z192" i="1" s="1"/>
  <c r="L234" i="1"/>
  <c r="L321" i="1"/>
  <c r="K276" i="1"/>
  <c r="L276" i="1" s="1"/>
  <c r="G216" i="5"/>
  <c r="L248" i="1"/>
  <c r="L282" i="1"/>
  <c r="V248" i="1"/>
  <c r="X248" i="1" s="1"/>
  <c r="Z248" i="1" s="1"/>
  <c r="A247" i="5"/>
  <c r="A207" i="5"/>
  <c r="V152" i="1"/>
  <c r="X152" i="1" s="1"/>
  <c r="Z152" i="1" s="1"/>
  <c r="L235" i="1"/>
  <c r="V204" i="1"/>
  <c r="X204" i="1" s="1"/>
  <c r="Z204" i="1" s="1"/>
  <c r="L191" i="1"/>
  <c r="L67" i="1"/>
  <c r="V150" i="1"/>
  <c r="X150" i="1" s="1"/>
  <c r="Z150" i="1" s="1"/>
  <c r="L192" i="1"/>
  <c r="L324" i="1"/>
  <c r="L277" i="1"/>
  <c r="L150" i="1"/>
  <c r="V244" i="1"/>
  <c r="X244" i="1" s="1"/>
  <c r="Z244" i="1" s="1"/>
  <c r="E254" i="1"/>
  <c r="E20" i="1" s="1"/>
  <c r="E25" i="1" s="1"/>
  <c r="L326" i="1"/>
  <c r="V276" i="1"/>
  <c r="X276" i="1" s="1"/>
  <c r="Z276" i="1" s="1"/>
  <c r="G261" i="5"/>
  <c r="I261" i="5" s="1"/>
  <c r="K261" i="5" s="1"/>
  <c r="X323" i="1"/>
  <c r="L109" i="1"/>
  <c r="L319" i="1"/>
  <c r="V239" i="1"/>
  <c r="X239" i="1" s="1"/>
  <c r="Z239" i="1" s="1"/>
  <c r="L240" i="1"/>
  <c r="V195" i="1"/>
  <c r="X195" i="1" s="1"/>
  <c r="Z195" i="1" s="1"/>
  <c r="L111" i="1"/>
  <c r="L66" i="1"/>
  <c r="X151" i="1"/>
  <c r="Z151" i="1" s="1"/>
  <c r="L274" i="1"/>
  <c r="V65" i="1"/>
  <c r="X65" i="1" s="1"/>
  <c r="Z65" i="1" s="1"/>
  <c r="X318" i="1"/>
  <c r="Z318" i="1" s="1"/>
  <c r="X34" i="1"/>
  <c r="Z34" i="1" s="1"/>
  <c r="T250" i="1"/>
  <c r="V250" i="1" s="1"/>
  <c r="X32" i="1"/>
  <c r="Z32" i="1" s="1"/>
  <c r="X33" i="1"/>
  <c r="Z33" i="1" s="1"/>
  <c r="X30" i="1"/>
  <c r="Z30" i="1" s="1"/>
  <c r="L322" i="1"/>
  <c r="X31" i="1"/>
  <c r="Z31" i="1" s="1"/>
  <c r="L204" i="1"/>
  <c r="X29" i="1"/>
  <c r="Z29" i="1" s="1"/>
  <c r="X35" i="1"/>
  <c r="Z35" i="1" s="1"/>
  <c r="J250" i="1"/>
  <c r="L250" i="1" s="1"/>
  <c r="L112" i="1"/>
  <c r="L196" i="1"/>
  <c r="L195" i="1"/>
  <c r="X317" i="1"/>
  <c r="Z317" i="1" s="1"/>
  <c r="X120" i="1"/>
  <c r="Z120" i="1" s="1"/>
  <c r="Q250" i="1"/>
  <c r="Q254" i="1" s="1"/>
  <c r="O254" i="1"/>
  <c r="O20" i="1" s="1"/>
  <c r="O25" i="1" s="1"/>
  <c r="V328" i="1"/>
  <c r="X328" i="1" s="1"/>
  <c r="Z328" i="1" s="1"/>
  <c r="L232" i="1"/>
  <c r="V238" i="1"/>
  <c r="X238" i="1" s="1"/>
  <c r="Z238" i="1" s="1"/>
  <c r="L328" i="1"/>
  <c r="L193" i="1"/>
  <c r="L318" i="1"/>
  <c r="T343" i="1"/>
  <c r="L278" i="1"/>
  <c r="V278" i="1"/>
  <c r="X278" i="1" s="1"/>
  <c r="L238" i="1"/>
  <c r="V109" i="1"/>
  <c r="X109" i="1" s="1"/>
  <c r="Z109" i="1" s="1"/>
  <c r="V196" i="1"/>
  <c r="X196" i="1" s="1"/>
  <c r="Z196" i="1" s="1"/>
  <c r="V282" i="1"/>
  <c r="X282" i="1" s="1"/>
  <c r="L65" i="1"/>
  <c r="V154" i="1"/>
  <c r="X154" i="1" s="1"/>
  <c r="Z154" i="1" s="1"/>
  <c r="X63" i="1"/>
  <c r="Z63" i="1" s="1"/>
  <c r="L110" i="1"/>
  <c r="L154" i="1"/>
  <c r="V113" i="1"/>
  <c r="X113" i="1" s="1"/>
  <c r="Z113" i="1" s="1"/>
  <c r="V111" i="1"/>
  <c r="X111" i="1" s="1"/>
  <c r="Z111" i="1" s="1"/>
  <c r="L113" i="1"/>
  <c r="L281" i="1"/>
  <c r="L280" i="1"/>
  <c r="V280" i="1"/>
  <c r="X280" i="1" s="1"/>
  <c r="V66" i="1"/>
  <c r="X66" i="1" s="1"/>
  <c r="Z66" i="1" s="1"/>
  <c r="V281" i="1"/>
  <c r="X281" i="1" s="1"/>
  <c r="V279" i="1"/>
  <c r="X279" i="1" s="1"/>
  <c r="Z279" i="1" s="1"/>
  <c r="V112" i="1"/>
  <c r="X112" i="1" s="1"/>
  <c r="Z112" i="1" s="1"/>
  <c r="V155" i="1"/>
  <c r="X155" i="1" s="1"/>
  <c r="Z155" i="1" s="1"/>
  <c r="L155" i="1"/>
  <c r="X319" i="1"/>
  <c r="Z319" i="1" s="1"/>
  <c r="L233" i="1"/>
  <c r="V277" i="1"/>
  <c r="X277" i="1" s="1"/>
  <c r="V153" i="1"/>
  <c r="X153" i="1" s="1"/>
  <c r="G176" i="5"/>
  <c r="K239" i="1"/>
  <c r="L239" i="1" s="1"/>
  <c r="G257" i="5"/>
  <c r="I257" i="5" s="1"/>
  <c r="K257" i="5" s="1"/>
  <c r="K316" i="1"/>
  <c r="L316" i="1" s="1"/>
  <c r="L279" i="1"/>
  <c r="V237" i="1"/>
  <c r="X237" i="1" s="1"/>
  <c r="Z237" i="1" s="1"/>
  <c r="V193" i="1"/>
  <c r="X193" i="1" s="1"/>
  <c r="Z193" i="1" s="1"/>
  <c r="L237" i="1"/>
  <c r="G95" i="5"/>
  <c r="G98" i="5" s="1"/>
  <c r="I98" i="5" s="1"/>
  <c r="K98" i="5" s="1"/>
  <c r="V235" i="1"/>
  <c r="X235" i="1" s="1"/>
  <c r="Z235" i="1" s="1"/>
  <c r="L153" i="1"/>
  <c r="V288" i="1"/>
  <c r="X288" i="1" s="1"/>
  <c r="Z288" i="1" s="1"/>
  <c r="T296" i="1"/>
  <c r="T23" i="1" s="1"/>
  <c r="K152" i="1"/>
  <c r="L152" i="1" s="1"/>
  <c r="L148" i="1"/>
  <c r="V110" i="1"/>
  <c r="X110" i="1" s="1"/>
  <c r="Z110" i="1" s="1"/>
  <c r="K194" i="1"/>
  <c r="L194" i="1" s="1"/>
  <c r="G136" i="5"/>
  <c r="V236" i="1"/>
  <c r="X236" i="1" s="1"/>
  <c r="Z236" i="1" s="1"/>
  <c r="K236" i="1"/>
  <c r="L236" i="1" s="1"/>
  <c r="V326" i="1"/>
  <c r="X326" i="1" s="1"/>
  <c r="Z326" i="1" s="1"/>
  <c r="L323" i="1"/>
  <c r="V233" i="1"/>
  <c r="X233" i="1" s="1"/>
  <c r="V194" i="1"/>
  <c r="X194" i="1" s="1"/>
  <c r="Z194" i="1" s="1"/>
  <c r="X197" i="1"/>
  <c r="Z197" i="1" s="1"/>
  <c r="G86" i="1"/>
  <c r="G16" i="1" s="1"/>
  <c r="D15" i="8" s="1"/>
  <c r="G254" i="1"/>
  <c r="G20" i="1" s="1"/>
  <c r="D19" i="8" s="1"/>
  <c r="X108" i="1"/>
  <c r="Z108" i="1" s="1"/>
  <c r="G330" i="1"/>
  <c r="G337" i="1" s="1"/>
  <c r="G21" i="1" s="1"/>
  <c r="D20" i="8" s="1"/>
  <c r="L320" i="1"/>
  <c r="X322" i="1"/>
  <c r="Z322" i="1" s="1"/>
  <c r="X321" i="1"/>
  <c r="Z321" i="1" s="1"/>
  <c r="L244" i="1"/>
  <c r="L114" i="1"/>
  <c r="V190" i="1"/>
  <c r="Q212" i="1"/>
  <c r="Q128" i="1"/>
  <c r="A220" i="1"/>
  <c r="A136" i="1"/>
  <c r="A305" i="1"/>
  <c r="A262" i="1"/>
  <c r="A94" i="1"/>
  <c r="A178" i="1"/>
  <c r="A47" i="1"/>
  <c r="V198" i="1"/>
  <c r="X198" i="1" s="1"/>
  <c r="Z198" i="1" s="1"/>
  <c r="K275" i="1"/>
  <c r="L275" i="1" s="1"/>
  <c r="V275" i="1"/>
  <c r="X275" i="1" s="1"/>
  <c r="V107" i="1"/>
  <c r="X107" i="1" s="1"/>
  <c r="V162" i="1"/>
  <c r="X162" i="1" s="1"/>
  <c r="Z162" i="1" s="1"/>
  <c r="T170" i="1"/>
  <c r="T18" i="1" s="1"/>
  <c r="V106" i="1"/>
  <c r="L120" i="1"/>
  <c r="J128" i="1"/>
  <c r="J17" i="1" s="1"/>
  <c r="V75" i="1"/>
  <c r="X75" i="1" s="1"/>
  <c r="Z75" i="1" s="1"/>
  <c r="T86" i="1"/>
  <c r="T16" i="1" s="1"/>
  <c r="G128" i="1"/>
  <c r="G17" i="1" s="1"/>
  <c r="D16" i="8" s="1"/>
  <c r="X247" i="1"/>
  <c r="Z247" i="1" s="1"/>
  <c r="G212" i="1"/>
  <c r="G19" i="1" s="1"/>
  <c r="D18" i="8" s="1"/>
  <c r="V274" i="1"/>
  <c r="J330" i="1"/>
  <c r="V148" i="1"/>
  <c r="Q330" i="1"/>
  <c r="J21" i="1"/>
  <c r="L333" i="1"/>
  <c r="J86" i="1"/>
  <c r="J16" i="1" s="1"/>
  <c r="L75" i="1"/>
  <c r="T21" i="1"/>
  <c r="V333" i="1"/>
  <c r="X333" i="1" s="1"/>
  <c r="Z333" i="1" s="1"/>
  <c r="V240" i="1"/>
  <c r="X240" i="1" s="1"/>
  <c r="L190" i="1"/>
  <c r="J343" i="1"/>
  <c r="L341" i="1"/>
  <c r="L343" i="1" s="1"/>
  <c r="X324" i="1"/>
  <c r="Z324" i="1" s="1"/>
  <c r="V232" i="1"/>
  <c r="G170" i="1"/>
  <c r="G18" i="1" s="1"/>
  <c r="D17" i="8" s="1"/>
  <c r="V67" i="1"/>
  <c r="X67" i="1" s="1"/>
  <c r="Z67" i="1" s="1"/>
  <c r="V316" i="1"/>
  <c r="T330" i="1"/>
  <c r="L198" i="1"/>
  <c r="K149" i="1"/>
  <c r="L149" i="1" s="1"/>
  <c r="V149" i="1"/>
  <c r="X149" i="1" s="1"/>
  <c r="K106" i="1"/>
  <c r="L106" i="1" s="1"/>
  <c r="G53" i="5"/>
  <c r="Q86" i="1"/>
  <c r="Q170" i="1"/>
  <c r="G13" i="5"/>
  <c r="G38" i="5" s="1"/>
  <c r="I38" i="5" s="1"/>
  <c r="K59" i="1"/>
  <c r="L59" i="1" s="1"/>
  <c r="K156" i="1"/>
  <c r="L156" i="1" s="1"/>
  <c r="V156" i="1"/>
  <c r="X156" i="1" s="1"/>
  <c r="K60" i="1"/>
  <c r="L60" i="1" s="1"/>
  <c r="Q296" i="1"/>
  <c r="V114" i="1"/>
  <c r="X114" i="1" s="1"/>
  <c r="Z114" i="1" s="1"/>
  <c r="G296" i="1"/>
  <c r="G23" i="1" s="1"/>
  <c r="D22" i="8" s="1"/>
  <c r="V191" i="1"/>
  <c r="X191" i="1" s="1"/>
  <c r="X341" i="1"/>
  <c r="Z341" i="1" s="1"/>
  <c r="V343" i="1"/>
  <c r="F76" i="8" l="1"/>
  <c r="G63" i="8"/>
  <c r="F63" i="8"/>
  <c r="D24" i="8"/>
  <c r="D41" i="8" s="1"/>
  <c r="E63" i="8"/>
  <c r="H71" i="8"/>
  <c r="D63" i="8"/>
  <c r="D76" i="8"/>
  <c r="H59" i="8"/>
  <c r="H72" i="8" s="1"/>
  <c r="G223" i="5"/>
  <c r="I223" i="5" s="1"/>
  <c r="K223" i="5" s="1"/>
  <c r="G231" i="5"/>
  <c r="I231" i="5" s="1"/>
  <c r="K231" i="5" s="1"/>
  <c r="G226" i="5"/>
  <c r="I226" i="5" s="1"/>
  <c r="K226" i="5" s="1"/>
  <c r="G234" i="5"/>
  <c r="I234" i="5" s="1"/>
  <c r="K234" i="5" s="1"/>
  <c r="G235" i="5"/>
  <c r="I235" i="5" s="1"/>
  <c r="K235" i="5" s="1"/>
  <c r="G224" i="5"/>
  <c r="I224" i="5" s="1"/>
  <c r="K224" i="5" s="1"/>
  <c r="G232" i="5"/>
  <c r="I232" i="5" s="1"/>
  <c r="K232" i="5" s="1"/>
  <c r="G219" i="5"/>
  <c r="I219" i="5" s="1"/>
  <c r="K219" i="5" s="1"/>
  <c r="G217" i="5"/>
  <c r="I217" i="5" s="1"/>
  <c r="K217" i="5" s="1"/>
  <c r="G242" i="5"/>
  <c r="I242" i="5" s="1"/>
  <c r="K242" i="5" s="1"/>
  <c r="G225" i="5"/>
  <c r="I225" i="5" s="1"/>
  <c r="K225" i="5" s="1"/>
  <c r="G233" i="5"/>
  <c r="I233" i="5" s="1"/>
  <c r="K233" i="5" s="1"/>
  <c r="G218" i="5"/>
  <c r="I218" i="5" s="1"/>
  <c r="K218" i="5" s="1"/>
  <c r="G227" i="5"/>
  <c r="I227" i="5" s="1"/>
  <c r="K227" i="5" s="1"/>
  <c r="G220" i="5"/>
  <c r="I220" i="5" s="1"/>
  <c r="K220" i="5" s="1"/>
  <c r="G228" i="5"/>
  <c r="I228" i="5" s="1"/>
  <c r="K228" i="5" s="1"/>
  <c r="G236" i="5"/>
  <c r="I236" i="5" s="1"/>
  <c r="K236" i="5" s="1"/>
  <c r="G221" i="5"/>
  <c r="I221" i="5" s="1"/>
  <c r="K221" i="5" s="1"/>
  <c r="G229" i="5"/>
  <c r="I229" i="5" s="1"/>
  <c r="K229" i="5" s="1"/>
  <c r="G237" i="5"/>
  <c r="I237" i="5" s="1"/>
  <c r="K237" i="5" s="1"/>
  <c r="G222" i="5"/>
  <c r="I222" i="5" s="1"/>
  <c r="K222" i="5" s="1"/>
  <c r="G230" i="5"/>
  <c r="I230" i="5" s="1"/>
  <c r="K230" i="5" s="1"/>
  <c r="I216" i="5"/>
  <c r="K216" i="5" s="1"/>
  <c r="G108" i="5"/>
  <c r="I108" i="5" s="1"/>
  <c r="K108" i="5" s="1"/>
  <c r="T254" i="1"/>
  <c r="T20" i="1" s="1"/>
  <c r="T25" i="1" s="1"/>
  <c r="X250" i="1"/>
  <c r="Z250" i="1" s="1"/>
  <c r="J254" i="1"/>
  <c r="J20" i="1" s="1"/>
  <c r="J25" i="1" s="1"/>
  <c r="G113" i="5"/>
  <c r="I113" i="5" s="1"/>
  <c r="K113" i="5" s="1"/>
  <c r="G121" i="5"/>
  <c r="I121" i="5" s="1"/>
  <c r="K121" i="5" s="1"/>
  <c r="G103" i="5"/>
  <c r="I103" i="5" s="1"/>
  <c r="K103" i="5" s="1"/>
  <c r="G112" i="5"/>
  <c r="I112" i="5" s="1"/>
  <c r="K112" i="5" s="1"/>
  <c r="G110" i="5"/>
  <c r="I110" i="5" s="1"/>
  <c r="K110" i="5" s="1"/>
  <c r="G105" i="5"/>
  <c r="I105" i="5" s="1"/>
  <c r="K105" i="5" s="1"/>
  <c r="G100" i="5"/>
  <c r="I100" i="5" s="1"/>
  <c r="K100" i="5" s="1"/>
  <c r="G115" i="5"/>
  <c r="I115" i="5" s="1"/>
  <c r="K115" i="5" s="1"/>
  <c r="L330" i="1"/>
  <c r="L335" i="1" s="1"/>
  <c r="L337" i="1" s="1"/>
  <c r="L292" i="1"/>
  <c r="L296" i="1" s="1"/>
  <c r="L23" i="1" s="1"/>
  <c r="G184" i="5"/>
  <c r="I184" i="5" s="1"/>
  <c r="K184" i="5" s="1"/>
  <c r="G177" i="5"/>
  <c r="I177" i="5" s="1"/>
  <c r="K177" i="5" s="1"/>
  <c r="G193" i="5"/>
  <c r="I193" i="5" s="1"/>
  <c r="K193" i="5" s="1"/>
  <c r="G183" i="5"/>
  <c r="I183" i="5" s="1"/>
  <c r="K183" i="5" s="1"/>
  <c r="G186" i="5"/>
  <c r="I186" i="5" s="1"/>
  <c r="K186" i="5" s="1"/>
  <c r="G188" i="5"/>
  <c r="I188" i="5" s="1"/>
  <c r="K188" i="5" s="1"/>
  <c r="G178" i="5"/>
  <c r="I178" i="5" s="1"/>
  <c r="K178" i="5" s="1"/>
  <c r="G195" i="5"/>
  <c r="I195" i="5" s="1"/>
  <c r="K195" i="5" s="1"/>
  <c r="G187" i="5"/>
  <c r="I187" i="5" s="1"/>
  <c r="K187" i="5" s="1"/>
  <c r="G182" i="5"/>
  <c r="I182" i="5" s="1"/>
  <c r="K182" i="5" s="1"/>
  <c r="G194" i="5"/>
  <c r="I194" i="5" s="1"/>
  <c r="K194" i="5" s="1"/>
  <c r="G180" i="5"/>
  <c r="I180" i="5" s="1"/>
  <c r="K180" i="5" s="1"/>
  <c r="G191" i="5"/>
  <c r="I191" i="5" s="1"/>
  <c r="K191" i="5" s="1"/>
  <c r="I176" i="5"/>
  <c r="K176" i="5" s="1"/>
  <c r="G202" i="5"/>
  <c r="I202" i="5" s="1"/>
  <c r="K202" i="5" s="1"/>
  <c r="G181" i="5"/>
  <c r="I181" i="5" s="1"/>
  <c r="K181" i="5" s="1"/>
  <c r="G192" i="5"/>
  <c r="I192" i="5" s="1"/>
  <c r="K192" i="5" s="1"/>
  <c r="G185" i="5"/>
  <c r="I185" i="5" s="1"/>
  <c r="K185" i="5" s="1"/>
  <c r="G190" i="5"/>
  <c r="I190" i="5" s="1"/>
  <c r="K190" i="5" s="1"/>
  <c r="G197" i="5"/>
  <c r="I197" i="5" s="1"/>
  <c r="K197" i="5" s="1"/>
  <c r="G189" i="5"/>
  <c r="I189" i="5" s="1"/>
  <c r="K189" i="5" s="1"/>
  <c r="G179" i="5"/>
  <c r="I179" i="5" s="1"/>
  <c r="K179" i="5" s="1"/>
  <c r="G196" i="5"/>
  <c r="I196" i="5" s="1"/>
  <c r="K196" i="5" s="1"/>
  <c r="G104" i="5"/>
  <c r="I104" i="5" s="1"/>
  <c r="K104" i="5" s="1"/>
  <c r="G101" i="5"/>
  <c r="I101" i="5" s="1"/>
  <c r="K101" i="5" s="1"/>
  <c r="G102" i="5"/>
  <c r="I102" i="5" s="1"/>
  <c r="K102" i="5" s="1"/>
  <c r="G107" i="5"/>
  <c r="I107" i="5" s="1"/>
  <c r="K107" i="5" s="1"/>
  <c r="G114" i="5"/>
  <c r="I114" i="5" s="1"/>
  <c r="K114" i="5" s="1"/>
  <c r="G111" i="5"/>
  <c r="I111" i="5" s="1"/>
  <c r="K111" i="5" s="1"/>
  <c r="G99" i="5"/>
  <c r="I99" i="5" s="1"/>
  <c r="K99" i="5" s="1"/>
  <c r="G97" i="5"/>
  <c r="I97" i="5" s="1"/>
  <c r="K97" i="5" s="1"/>
  <c r="G106" i="5"/>
  <c r="I106" i="5" s="1"/>
  <c r="K106" i="5" s="1"/>
  <c r="G96" i="5"/>
  <c r="I96" i="5" s="1"/>
  <c r="K96" i="5" s="1"/>
  <c r="I95" i="5"/>
  <c r="K95" i="5" s="1"/>
  <c r="G349" i="1"/>
  <c r="G116" i="5"/>
  <c r="I116" i="5" s="1"/>
  <c r="K116" i="5" s="1"/>
  <c r="G109" i="5"/>
  <c r="I109" i="5" s="1"/>
  <c r="K109" i="5" s="1"/>
  <c r="G25" i="1"/>
  <c r="G41" i="1" s="1"/>
  <c r="G157" i="5"/>
  <c r="I157" i="5" s="1"/>
  <c r="K157" i="5" s="1"/>
  <c r="G152" i="5"/>
  <c r="I152" i="5" s="1"/>
  <c r="K152" i="5" s="1"/>
  <c r="G144" i="5"/>
  <c r="I144" i="5" s="1"/>
  <c r="K144" i="5" s="1"/>
  <c r="G155" i="5"/>
  <c r="I155" i="5" s="1"/>
  <c r="K155" i="5" s="1"/>
  <c r="G154" i="5"/>
  <c r="I154" i="5" s="1"/>
  <c r="K154" i="5" s="1"/>
  <c r="G140" i="5"/>
  <c r="I140" i="5" s="1"/>
  <c r="K140" i="5" s="1"/>
  <c r="I136" i="5"/>
  <c r="K136" i="5" s="1"/>
  <c r="G138" i="5"/>
  <c r="I138" i="5" s="1"/>
  <c r="K138" i="5" s="1"/>
  <c r="G142" i="5"/>
  <c r="I142" i="5" s="1"/>
  <c r="K142" i="5" s="1"/>
  <c r="G146" i="5"/>
  <c r="I146" i="5" s="1"/>
  <c r="K146" i="5" s="1"/>
  <c r="G162" i="5"/>
  <c r="I162" i="5" s="1"/>
  <c r="K162" i="5" s="1"/>
  <c r="G145" i="5"/>
  <c r="I145" i="5" s="1"/>
  <c r="K145" i="5" s="1"/>
  <c r="G149" i="5"/>
  <c r="I149" i="5" s="1"/>
  <c r="K149" i="5" s="1"/>
  <c r="G148" i="5"/>
  <c r="I148" i="5" s="1"/>
  <c r="K148" i="5" s="1"/>
  <c r="G151" i="5"/>
  <c r="I151" i="5" s="1"/>
  <c r="K151" i="5" s="1"/>
  <c r="G137" i="5"/>
  <c r="I137" i="5" s="1"/>
  <c r="K137" i="5" s="1"/>
  <c r="G147" i="5"/>
  <c r="I147" i="5" s="1"/>
  <c r="K147" i="5" s="1"/>
  <c r="G139" i="5"/>
  <c r="I139" i="5" s="1"/>
  <c r="K139" i="5" s="1"/>
  <c r="G156" i="5"/>
  <c r="I156" i="5" s="1"/>
  <c r="K156" i="5" s="1"/>
  <c r="G141" i="5"/>
  <c r="I141" i="5" s="1"/>
  <c r="K141" i="5" s="1"/>
  <c r="G143" i="5"/>
  <c r="I143" i="5" s="1"/>
  <c r="K143" i="5" s="1"/>
  <c r="G150" i="5"/>
  <c r="I150" i="5" s="1"/>
  <c r="K150" i="5" s="1"/>
  <c r="G153" i="5"/>
  <c r="I153" i="5" s="1"/>
  <c r="K153" i="5" s="1"/>
  <c r="L166" i="1"/>
  <c r="L170" i="1" s="1"/>
  <c r="L18" i="1" s="1"/>
  <c r="L252" i="1"/>
  <c r="L254" i="1" s="1"/>
  <c r="L20" i="1" s="1"/>
  <c r="X190" i="1"/>
  <c r="G62" i="5"/>
  <c r="I62" i="5" s="1"/>
  <c r="K62" i="5" s="1"/>
  <c r="G58" i="5"/>
  <c r="I58" i="5" s="1"/>
  <c r="K58" i="5" s="1"/>
  <c r="G64" i="5"/>
  <c r="I64" i="5" s="1"/>
  <c r="K64" i="5" s="1"/>
  <c r="G56" i="5"/>
  <c r="I56" i="5" s="1"/>
  <c r="K56" i="5" s="1"/>
  <c r="G61" i="5"/>
  <c r="I61" i="5" s="1"/>
  <c r="K61" i="5" s="1"/>
  <c r="G71" i="5"/>
  <c r="I71" i="5" s="1"/>
  <c r="K71" i="5" s="1"/>
  <c r="G73" i="5"/>
  <c r="I73" i="5" s="1"/>
  <c r="K73" i="5" s="1"/>
  <c r="G72" i="5"/>
  <c r="I72" i="5" s="1"/>
  <c r="K72" i="5" s="1"/>
  <c r="G65" i="5"/>
  <c r="I65" i="5" s="1"/>
  <c r="K65" i="5" s="1"/>
  <c r="G59" i="5"/>
  <c r="I59" i="5" s="1"/>
  <c r="K59" i="5" s="1"/>
  <c r="G67" i="5"/>
  <c r="I67" i="5" s="1"/>
  <c r="K67" i="5" s="1"/>
  <c r="G70" i="5"/>
  <c r="I70" i="5" s="1"/>
  <c r="K70" i="5" s="1"/>
  <c r="G63" i="5"/>
  <c r="I63" i="5" s="1"/>
  <c r="K63" i="5" s="1"/>
  <c r="G69" i="5"/>
  <c r="I69" i="5" s="1"/>
  <c r="K69" i="5" s="1"/>
  <c r="G57" i="5"/>
  <c r="I57" i="5" s="1"/>
  <c r="K57" i="5" s="1"/>
  <c r="G66" i="5"/>
  <c r="I66" i="5" s="1"/>
  <c r="K66" i="5" s="1"/>
  <c r="G68" i="5"/>
  <c r="I68" i="5" s="1"/>
  <c r="K68" i="5" s="1"/>
  <c r="G79" i="5"/>
  <c r="I79" i="5" s="1"/>
  <c r="K79" i="5" s="1"/>
  <c r="G54" i="5"/>
  <c r="I54" i="5" s="1"/>
  <c r="K54" i="5" s="1"/>
  <c r="G55" i="5"/>
  <c r="I55" i="5" s="1"/>
  <c r="K55" i="5" s="1"/>
  <c r="G74" i="5"/>
  <c r="I74" i="5" s="1"/>
  <c r="K74" i="5" s="1"/>
  <c r="I53" i="5"/>
  <c r="K53" i="5" s="1"/>
  <c r="G60" i="5"/>
  <c r="I60" i="5" s="1"/>
  <c r="K60" i="5" s="1"/>
  <c r="X274" i="1"/>
  <c r="L208" i="1"/>
  <c r="L212" i="1" s="1"/>
  <c r="L19" i="1" s="1"/>
  <c r="X232" i="1"/>
  <c r="X59" i="1"/>
  <c r="X148" i="1"/>
  <c r="L124" i="1"/>
  <c r="L128" i="1" s="1"/>
  <c r="L17" i="1" s="1"/>
  <c r="L82" i="1"/>
  <c r="L86" i="1" s="1"/>
  <c r="L16" i="1" s="1"/>
  <c r="Q18" i="1"/>
  <c r="F17" i="8" s="1"/>
  <c r="E17" i="8" s="1"/>
  <c r="X106" i="1"/>
  <c r="Q19" i="1"/>
  <c r="F18" i="8" s="1"/>
  <c r="X343" i="1"/>
  <c r="Q20" i="1"/>
  <c r="F19" i="8" s="1"/>
  <c r="E19" i="8" s="1"/>
  <c r="I13" i="5"/>
  <c r="K13" i="5" s="1"/>
  <c r="G19" i="5"/>
  <c r="I19" i="5" s="1"/>
  <c r="K19" i="5" s="1"/>
  <c r="G24" i="5"/>
  <c r="I24" i="5" s="1"/>
  <c r="K24" i="5" s="1"/>
  <c r="G29" i="5"/>
  <c r="I29" i="5" s="1"/>
  <c r="K29" i="5" s="1"/>
  <c r="G28" i="5"/>
  <c r="I28" i="5" s="1"/>
  <c r="K28" i="5" s="1"/>
  <c r="G20" i="5"/>
  <c r="I20" i="5" s="1"/>
  <c r="K20" i="5" s="1"/>
  <c r="G32" i="5"/>
  <c r="I32" i="5" s="1"/>
  <c r="K32" i="5" s="1"/>
  <c r="G30" i="5"/>
  <c r="I30" i="5" s="1"/>
  <c r="K30" i="5" s="1"/>
  <c r="G14" i="5"/>
  <c r="I14" i="5" s="1"/>
  <c r="K14" i="5" s="1"/>
  <c r="G22" i="5"/>
  <c r="I22" i="5" s="1"/>
  <c r="K22" i="5" s="1"/>
  <c r="G16" i="5"/>
  <c r="I16" i="5" s="1"/>
  <c r="K16" i="5" s="1"/>
  <c r="G26" i="5"/>
  <c r="I26" i="5" s="1"/>
  <c r="K26" i="5" s="1"/>
  <c r="G27" i="5"/>
  <c r="I27" i="5" s="1"/>
  <c r="K27" i="5" s="1"/>
  <c r="G31" i="5"/>
  <c r="I31" i="5" s="1"/>
  <c r="K31" i="5" s="1"/>
  <c r="G18" i="5"/>
  <c r="I18" i="5" s="1"/>
  <c r="K18" i="5" s="1"/>
  <c r="G17" i="5"/>
  <c r="I17" i="5" s="1"/>
  <c r="K17" i="5" s="1"/>
  <c r="G33" i="5"/>
  <c r="I33" i="5" s="1"/>
  <c r="K33" i="5" s="1"/>
  <c r="G23" i="5"/>
  <c r="I23" i="5" s="1"/>
  <c r="K23" i="5" s="1"/>
  <c r="G15" i="5"/>
  <c r="I15" i="5" s="1"/>
  <c r="K15" i="5" s="1"/>
  <c r="G21" i="5"/>
  <c r="I21" i="5" s="1"/>
  <c r="K21" i="5" s="1"/>
  <c r="G25" i="5"/>
  <c r="I25" i="5" s="1"/>
  <c r="K25" i="5" s="1"/>
  <c r="K38" i="5"/>
  <c r="X316" i="1"/>
  <c r="V330" i="1"/>
  <c r="Q337" i="1"/>
  <c r="Q17" i="1"/>
  <c r="F16" i="8" s="1"/>
  <c r="E16" i="8" s="1"/>
  <c r="Q23" i="1"/>
  <c r="F22" i="8" s="1"/>
  <c r="E22" i="8" s="1"/>
  <c r="Q16" i="1"/>
  <c r="F15" i="8" s="1"/>
  <c r="L345" i="1"/>
  <c r="L347" i="1" s="1"/>
  <c r="L22" i="1" s="1"/>
  <c r="H63" i="8" l="1"/>
  <c r="E18" i="8"/>
  <c r="E15" i="8"/>
  <c r="H76" i="8"/>
  <c r="V347" i="1"/>
  <c r="X345" i="1"/>
  <c r="Z345" i="1" s="1"/>
  <c r="V212" i="1"/>
  <c r="X208" i="1"/>
  <c r="Z208" i="1" s="1"/>
  <c r="V170" i="1"/>
  <c r="X166" i="1"/>
  <c r="Z166" i="1" s="1"/>
  <c r="V86" i="1"/>
  <c r="X82" i="1"/>
  <c r="Z82" i="1" s="1"/>
  <c r="V128" i="1"/>
  <c r="X124" i="1"/>
  <c r="Z124" i="1" s="1"/>
  <c r="V254" i="1"/>
  <c r="X252" i="1"/>
  <c r="Z252" i="1" s="1"/>
  <c r="V296" i="1"/>
  <c r="X292" i="1"/>
  <c r="Z292" i="1" s="1"/>
  <c r="Q349" i="1"/>
  <c r="Q21" i="1"/>
  <c r="F20" i="8" s="1"/>
  <c r="E20" i="8" s="1"/>
  <c r="Z274" i="1"/>
  <c r="Z190" i="1"/>
  <c r="Z148" i="1"/>
  <c r="L349" i="1"/>
  <c r="L21" i="1"/>
  <c r="L25" i="1" s="1"/>
  <c r="L28" i="1" s="1"/>
  <c r="Z59" i="1"/>
  <c r="Z106" i="1"/>
  <c r="Z343" i="1"/>
  <c r="X330" i="1"/>
  <c r="Z316" i="1"/>
  <c r="Z232" i="1"/>
  <c r="L39" i="1" l="1"/>
  <c r="L41" i="1" s="1"/>
  <c r="V18" i="1"/>
  <c r="H17" i="8" s="1"/>
  <c r="G17" i="8" s="1"/>
  <c r="F127" i="8"/>
  <c r="F132" i="8" s="1"/>
  <c r="V20" i="1"/>
  <c r="X20" i="1" s="1"/>
  <c r="Z20" i="1" s="1"/>
  <c r="H127" i="8"/>
  <c r="H132" i="8" s="1"/>
  <c r="V19" i="1"/>
  <c r="H18" i="8" s="1"/>
  <c r="G18" i="8" s="1"/>
  <c r="G127" i="8"/>
  <c r="G132" i="8" s="1"/>
  <c r="V23" i="1"/>
  <c r="H22" i="8" s="1"/>
  <c r="G22" i="8" s="1"/>
  <c r="F140" i="8"/>
  <c r="F145" i="8" s="1"/>
  <c r="V17" i="1"/>
  <c r="X17" i="1" s="1"/>
  <c r="Z17" i="1" s="1"/>
  <c r="E127" i="8"/>
  <c r="E132" i="8" s="1"/>
  <c r="V22" i="1"/>
  <c r="H21" i="8" s="1"/>
  <c r="G21" i="8" s="1"/>
  <c r="E140" i="8"/>
  <c r="E145" i="8" s="1"/>
  <c r="V16" i="1"/>
  <c r="X16" i="1" s="1"/>
  <c r="Z16" i="1" s="1"/>
  <c r="D127" i="8"/>
  <c r="E24" i="8"/>
  <c r="F24" i="8"/>
  <c r="X128" i="1"/>
  <c r="Z128" i="1" s="1"/>
  <c r="X170" i="1"/>
  <c r="Z170" i="1" s="1"/>
  <c r="X296" i="1"/>
  <c r="Z296" i="1" s="1"/>
  <c r="X86" i="1"/>
  <c r="Z86" i="1" s="1"/>
  <c r="X254" i="1"/>
  <c r="Z254" i="1" s="1"/>
  <c r="V337" i="1"/>
  <c r="X335" i="1"/>
  <c r="Z335" i="1" s="1"/>
  <c r="X212" i="1"/>
  <c r="Z212" i="1" s="1"/>
  <c r="X347" i="1"/>
  <c r="Z347" i="1" s="1"/>
  <c r="Z330" i="1"/>
  <c r="Q25" i="1"/>
  <c r="X23" i="1" l="1"/>
  <c r="Z23" i="1" s="1"/>
  <c r="X19" i="1"/>
  <c r="Z19" i="1" s="1"/>
  <c r="X18" i="1"/>
  <c r="Z18" i="1" s="1"/>
  <c r="H16" i="8"/>
  <c r="G16" i="8" s="1"/>
  <c r="H19" i="8"/>
  <c r="G19" i="8" s="1"/>
  <c r="X22" i="1"/>
  <c r="Z22" i="1" s="1"/>
  <c r="H15" i="8"/>
  <c r="G15" i="8" s="1"/>
  <c r="D132" i="8"/>
  <c r="V21" i="1"/>
  <c r="H20" i="8" s="1"/>
  <c r="G20" i="8" s="1"/>
  <c r="D140" i="8"/>
  <c r="D145" i="8" s="1"/>
  <c r="X337" i="1"/>
  <c r="Z337" i="1" s="1"/>
  <c r="V349" i="1"/>
  <c r="V28" i="1"/>
  <c r="H24" i="8" l="1"/>
  <c r="M24" i="8" s="1"/>
  <c r="V25" i="1"/>
  <c r="H29" i="8" s="1"/>
  <c r="X21" i="1"/>
  <c r="Z21" i="1" s="1"/>
  <c r="G24" i="8"/>
  <c r="H140" i="8"/>
  <c r="H145" i="8" s="1"/>
  <c r="F29" i="8"/>
  <c r="F38" i="8" s="1"/>
  <c r="F41" i="8" s="1"/>
  <c r="D93" i="8"/>
  <c r="X349" i="1"/>
  <c r="Z349" i="1" s="1"/>
  <c r="Q39" i="1"/>
  <c r="G29" i="8" l="1"/>
  <c r="G38" i="8" s="1"/>
  <c r="D162" i="8"/>
  <c r="H175" i="8" s="1"/>
  <c r="H180" i="8" s="1"/>
  <c r="X25" i="1"/>
  <c r="Z25" i="1" s="1"/>
  <c r="H38" i="8"/>
  <c r="H41" i="8" s="1"/>
  <c r="M41" i="8" s="1"/>
  <c r="E29" i="8"/>
  <c r="E38" i="8" s="1"/>
  <c r="E41" i="8" s="1"/>
  <c r="D98" i="8"/>
  <c r="H106" i="8"/>
  <c r="H111" i="8" s="1"/>
  <c r="Q41" i="1"/>
  <c r="G41" i="8" l="1"/>
  <c r="D167" i="8"/>
  <c r="V39" i="1"/>
  <c r="X39" i="1" s="1"/>
  <c r="Z39" i="1" s="1"/>
  <c r="X28" i="1"/>
  <c r="Z28" i="1" s="1"/>
  <c r="V41" i="1" l="1"/>
  <c r="X41" i="1" l="1"/>
  <c r="Z41" i="1" s="1"/>
</calcChain>
</file>

<file path=xl/sharedStrings.xml><?xml version="1.0" encoding="utf-8"?>
<sst xmlns="http://schemas.openxmlformats.org/spreadsheetml/2006/main" count="874" uniqueCount="241">
  <si>
    <t>Line #</t>
  </si>
  <si>
    <t>Total</t>
  </si>
  <si>
    <t>Description</t>
  </si>
  <si>
    <t>Residential</t>
  </si>
  <si>
    <t>Industrial</t>
  </si>
  <si>
    <t>Private Fire</t>
  </si>
  <si>
    <t>2"</t>
  </si>
  <si>
    <t>4"</t>
  </si>
  <si>
    <t>Consumption</t>
  </si>
  <si>
    <t>Class/</t>
  </si>
  <si>
    <t>Minimum Charge:</t>
  </si>
  <si>
    <t>Customer</t>
  </si>
  <si>
    <t>Meter</t>
  </si>
  <si>
    <t>Billings</t>
  </si>
  <si>
    <t>5/8" Monthly</t>
  </si>
  <si>
    <t>3/4" Monthly</t>
  </si>
  <si>
    <t>1" Monthly</t>
  </si>
  <si>
    <t>1-1/2" Monthly</t>
  </si>
  <si>
    <t>2" Monthly</t>
  </si>
  <si>
    <t>3" Monthly</t>
  </si>
  <si>
    <t>4" Monthly</t>
  </si>
  <si>
    <t>6" Monthly</t>
  </si>
  <si>
    <t>8" Monthly</t>
  </si>
  <si>
    <t>Sales</t>
  </si>
  <si>
    <t>Volumetric Charges:</t>
  </si>
  <si>
    <t>Current</t>
  </si>
  <si>
    <t>Rate</t>
  </si>
  <si>
    <t>Revenue</t>
  </si>
  <si>
    <t>Commercial</t>
  </si>
  <si>
    <t>Dollar</t>
  </si>
  <si>
    <t>Change</t>
  </si>
  <si>
    <t>Percentage</t>
  </si>
  <si>
    <t>Private Fire Service:</t>
  </si>
  <si>
    <t>Connection</t>
  </si>
  <si>
    <t>Size</t>
  </si>
  <si>
    <t>6"</t>
  </si>
  <si>
    <t>8"</t>
  </si>
  <si>
    <t>10"</t>
  </si>
  <si>
    <t>12"</t>
  </si>
  <si>
    <t>Number</t>
  </si>
  <si>
    <t>of</t>
  </si>
  <si>
    <t>Connections</t>
  </si>
  <si>
    <t>Monthly Billing:</t>
  </si>
  <si>
    <t>Miscellaneous Revenues:</t>
  </si>
  <si>
    <t>Proposed</t>
  </si>
  <si>
    <t>Present</t>
  </si>
  <si>
    <t>Public Fire Protection:</t>
  </si>
  <si>
    <t>Public Fire Hydrants</t>
  </si>
  <si>
    <t>Normalized</t>
  </si>
  <si>
    <t>Attrition Year at Present Rates</t>
  </si>
  <si>
    <t>Attrition Year at Proposed Rates</t>
  </si>
  <si>
    <t>Test Year at Present Rates</t>
  </si>
  <si>
    <t>Test Year at Proposed Rates</t>
  </si>
  <si>
    <t>Residential - 5/8" Meter</t>
  </si>
  <si>
    <t>Difference</t>
  </si>
  <si>
    <t>Average User</t>
  </si>
  <si>
    <t>Thousand Gallons</t>
  </si>
  <si>
    <t>Commercial - 5/8" Meter</t>
  </si>
  <si>
    <t>Industrial - 2" Meter</t>
  </si>
  <si>
    <t>Other Public Authority - 2" Meter</t>
  </si>
  <si>
    <t>Sales for Resale - 6" Meter</t>
  </si>
  <si>
    <t>14"</t>
  </si>
  <si>
    <t>16"</t>
  </si>
  <si>
    <t>Hydrant</t>
  </si>
  <si>
    <t>Public Fire</t>
  </si>
  <si>
    <t>Private Fire Hydrant</t>
  </si>
  <si>
    <t>Public Fire Hydrant</t>
  </si>
  <si>
    <t>Total Other Revenue</t>
  </si>
  <si>
    <t>Total Revenue</t>
  </si>
  <si>
    <t>Rent</t>
  </si>
  <si>
    <t>Rent I/C</t>
  </si>
  <si>
    <t>Usage Data</t>
  </si>
  <si>
    <t>Miscellaneous</t>
  </si>
  <si>
    <t>Late Payment Fee</t>
  </si>
  <si>
    <t>NSF Check Charge</t>
  </si>
  <si>
    <t>Reconnect Fee</t>
  </si>
  <si>
    <t>Miscellaneous Service</t>
  </si>
  <si>
    <t>Application/Initiation Fee</t>
  </si>
  <si>
    <t>Public Fire Service</t>
  </si>
  <si>
    <t>Base Period at Proposed Rates</t>
  </si>
  <si>
    <t>Base Period at Present Rates</t>
  </si>
  <si>
    <t xml:space="preserve">Proposed </t>
  </si>
  <si>
    <t>Exhibit 37, Schedule N</t>
  </si>
  <si>
    <t>Exhibit 37, Schedule M-2</t>
  </si>
  <si>
    <t>Exhibit 37, Schedule M-3</t>
  </si>
  <si>
    <t xml:space="preserve"> </t>
  </si>
  <si>
    <t>Typical Bill Comparisons under Present and Proposed Rates
ALL CUSTOMERS</t>
  </si>
  <si>
    <t>ALL CUSTOMERS</t>
  </si>
  <si>
    <t>Forecast Year Operating Revenues at Present Rates &amp; Proposed Rates</t>
  </si>
  <si>
    <t>RESIDENTIAL CLASS</t>
  </si>
  <si>
    <t>COMMERCIAL CLASS</t>
  </si>
  <si>
    <t>INDUSTRIAL CLASS</t>
  </si>
  <si>
    <t>FIRE SERVICES</t>
  </si>
  <si>
    <t>Forecast Year</t>
  </si>
  <si>
    <t>5/8-METER</t>
  </si>
  <si>
    <t>3/4-METER</t>
  </si>
  <si>
    <t>1-METER</t>
  </si>
  <si>
    <t>1.5-METER</t>
  </si>
  <si>
    <t>2-METER</t>
  </si>
  <si>
    <t>3-METER</t>
  </si>
  <si>
    <t>4-METER</t>
  </si>
  <si>
    <t>6-METER</t>
  </si>
  <si>
    <t>8-METER</t>
  </si>
  <si>
    <t>Public Authority</t>
  </si>
  <si>
    <t>All Usage</t>
  </si>
  <si>
    <t xml:space="preserve">Water Rate Schedule </t>
  </si>
  <si>
    <t>Service Classification No. 1</t>
  </si>
  <si>
    <t>Monthly</t>
  </si>
  <si>
    <t>Present Rate</t>
  </si>
  <si>
    <t>Sales for Resale</t>
  </si>
  <si>
    <t>Water Sold to Judy WA</t>
  </si>
  <si>
    <t>First 70,000 Gal/day</t>
  </si>
  <si>
    <t>Over 70,000 Gal/day</t>
  </si>
  <si>
    <t>Special OWU Contract</t>
  </si>
  <si>
    <t>Service Classification No. 3</t>
  </si>
  <si>
    <t>Size of Service</t>
  </si>
  <si>
    <t>Rate Per Month</t>
  </si>
  <si>
    <t>2" Diameter</t>
  </si>
  <si>
    <t>4" Diameter</t>
  </si>
  <si>
    <t>6" Diameter</t>
  </si>
  <si>
    <t>8" Diameter</t>
  </si>
  <si>
    <t>10" Diameter</t>
  </si>
  <si>
    <t>12" Diameter</t>
  </si>
  <si>
    <t>14" Diameter</t>
  </si>
  <si>
    <t>16" Diameter</t>
  </si>
  <si>
    <t>Service Classification No. 4</t>
  </si>
  <si>
    <t>Public Hydrants</t>
  </si>
  <si>
    <t>Private Hydrants</t>
  </si>
  <si>
    <t>Bulk Sales through Loading Stations</t>
  </si>
  <si>
    <t>Rate per 50 Gal</t>
  </si>
  <si>
    <t>Rate per 100 Gal</t>
  </si>
  <si>
    <t>Proposed Rate</t>
  </si>
  <si>
    <t>All SA1 Usage</t>
  </si>
  <si>
    <t>%</t>
  </si>
  <si>
    <t>(000 Gal)</t>
  </si>
  <si>
    <t>MISCELLANEOUS CLASS (BULK SALES THROUGH LOADING STATIONS)</t>
  </si>
  <si>
    <t>QIP Surcharge</t>
  </si>
  <si>
    <t xml:space="preserve">Total Private Fire </t>
  </si>
  <si>
    <t>Total Public Fire</t>
  </si>
  <si>
    <t>Total Fire Services</t>
  </si>
  <si>
    <t>Tapping (Connection Fees)</t>
  </si>
  <si>
    <t>Size of Meter Connected</t>
  </si>
  <si>
    <t>Service &gt; 2"</t>
  </si>
  <si>
    <t>2-Inch</t>
  </si>
  <si>
    <t>1-Inch</t>
  </si>
  <si>
    <t>5/8-Inch</t>
  </si>
  <si>
    <t>Actual Cost</t>
  </si>
  <si>
    <t>Other Fees &amp; Charges</t>
  </si>
  <si>
    <t>Reconnection Charge</t>
  </si>
  <si>
    <t>Insufficient Funds Charge</t>
  </si>
  <si>
    <t>Inspection of Service Line</t>
  </si>
  <si>
    <t>Activation Fee</t>
  </si>
  <si>
    <t>% charge on all charges after due date</t>
  </si>
  <si>
    <t>Universal Affordability:</t>
  </si>
  <si>
    <t>Universal Affordability</t>
  </si>
  <si>
    <t>0-50% FPL</t>
  </si>
  <si>
    <t>5/8-METER Monthly</t>
  </si>
  <si>
    <t>50%-100% FPL</t>
  </si>
  <si>
    <t>5/8" Monthly (0%-50% FPL)</t>
  </si>
  <si>
    <t>5/8" Monthly (50%-100% FPL)</t>
  </si>
  <si>
    <t>Usage (0-50% FPL)</t>
  </si>
  <si>
    <t>Usage (50-100% FPL)</t>
  </si>
  <si>
    <t>Proposed Discount</t>
  </si>
  <si>
    <t>QIP Rate</t>
  </si>
  <si>
    <t>% Increase</t>
  </si>
  <si>
    <t>Municipal &amp; OPA</t>
  </si>
  <si>
    <t>Sales For Resale</t>
  </si>
  <si>
    <t>MUNICIPAL &amp; OTHER PUBLIC AUTHORITY CLASS</t>
  </si>
  <si>
    <t>SALES FOR RESALE</t>
  </si>
  <si>
    <t>Special SFR Contract</t>
  </si>
  <si>
    <t>Miscellaneous (Bulk Sales Through Loading Stations) - 1" Meter</t>
  </si>
  <si>
    <t>Fire Services</t>
  </si>
  <si>
    <t>Revenue Summary</t>
  </si>
  <si>
    <t>Exhibit 37, Schedule M-1</t>
  </si>
  <si>
    <t>Supporting</t>
  </si>
  <si>
    <t>Base Period</t>
  </si>
  <si>
    <t>Adjustments</t>
  </si>
  <si>
    <t>Line</t>
  </si>
  <si>
    <t>Schedule</t>
  </si>
  <si>
    <t>12 Months Ended</t>
  </si>
  <si>
    <t>for Present</t>
  </si>
  <si>
    <t>at Present</t>
  </si>
  <si>
    <t>for Proposed</t>
  </si>
  <si>
    <t>at Proposed</t>
  </si>
  <si>
    <t>No.</t>
  </si>
  <si>
    <t>Reference</t>
  </si>
  <si>
    <t>Rates</t>
  </si>
  <si>
    <t>Sales of Water</t>
  </si>
  <si>
    <t xml:space="preserve">  Residential</t>
  </si>
  <si>
    <t xml:space="preserve">  Commercial</t>
  </si>
  <si>
    <t xml:space="preserve">  Industrial</t>
  </si>
  <si>
    <t xml:space="preserve">  Other Public Authorities</t>
  </si>
  <si>
    <t xml:space="preserve">  Sale for Resale</t>
  </si>
  <si>
    <t xml:space="preserve">  Private Fire</t>
  </si>
  <si>
    <t xml:space="preserve">  Public Fire</t>
  </si>
  <si>
    <t xml:space="preserve">  Miscellaneous</t>
  </si>
  <si>
    <t>Total Sales of Water</t>
  </si>
  <si>
    <t>.</t>
  </si>
  <si>
    <t>Other Operating Revenues</t>
  </si>
  <si>
    <t>Total Other Operating Revenues</t>
  </si>
  <si>
    <t>Total Operating Revenues</t>
  </si>
  <si>
    <t>Schedule M2-M3</t>
  </si>
  <si>
    <t>Summary of Adjustments for Operating Revenues at Present Rates</t>
  </si>
  <si>
    <t xml:space="preserve">Line </t>
  </si>
  <si>
    <t>Other</t>
  </si>
  <si>
    <t>Sale</t>
  </si>
  <si>
    <t>Public Authorities</t>
  </si>
  <si>
    <t>for Resale</t>
  </si>
  <si>
    <t xml:space="preserve">Private </t>
  </si>
  <si>
    <t>Public</t>
  </si>
  <si>
    <t xml:space="preserve">Other </t>
  </si>
  <si>
    <t>Fire</t>
  </si>
  <si>
    <t>Water Revenue</t>
  </si>
  <si>
    <t>Customer Growth/(Loss)</t>
  </si>
  <si>
    <t>Change in Consumption</t>
  </si>
  <si>
    <t>Change in QIP</t>
  </si>
  <si>
    <t>Late</t>
  </si>
  <si>
    <t xml:space="preserve">NSF </t>
  </si>
  <si>
    <t>Payment Fee</t>
  </si>
  <si>
    <t>Check Charge</t>
  </si>
  <si>
    <t>To Adjust for the Forecast Period</t>
  </si>
  <si>
    <t>Application/</t>
  </si>
  <si>
    <t>Usage</t>
  </si>
  <si>
    <t xml:space="preserve">Reconnect </t>
  </si>
  <si>
    <t xml:space="preserve">Miscellaneous </t>
  </si>
  <si>
    <t>Initiation Fee</t>
  </si>
  <si>
    <t>Data</t>
  </si>
  <si>
    <t>Fee</t>
  </si>
  <si>
    <t>Service</t>
  </si>
  <si>
    <t>Summary of Adjustments for Operating Revenues for Forecast Year at Proposed Rates</t>
  </si>
  <si>
    <t>Proposed Rates</t>
  </si>
  <si>
    <t>To Adjust Revenues at Proposed Rates</t>
  </si>
  <si>
    <t/>
  </si>
  <si>
    <t>Kentucky-American Water Company</t>
  </si>
  <si>
    <t>check</t>
  </si>
  <si>
    <t>Case No. 2023-00191</t>
  </si>
  <si>
    <t>Rate (Excl QIP*)</t>
  </si>
  <si>
    <t>Base Year (12 Months Ending September 30, 2023) &amp; Forecast Year (12 Months Ending January 31, 2025)</t>
  </si>
  <si>
    <t>Base Year (12 Months Ending September 30, 2023)</t>
  </si>
  <si>
    <t>Forecast Year (12 Months Ending January 31, 2025)</t>
  </si>
  <si>
    <t>Proposed Rate
(000 Gallons)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</si>
</sst>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_);\(#,##0.0000\)"/>
    <numFmt numFmtId="166" formatCode="&quot;$&quot;#,##0.0000_);\(&quot;$&quot;#,##0.0000\)"/>
    <numFmt numFmtId="167" formatCode="#,##0.000"/>
    <numFmt numFmtId="168" formatCode="#,##0.0000"/>
    <numFmt numFmtId="169" formatCode="0.000%"/>
    <numFmt numFmtId="170" formatCode="&quot;$&quot;#,##0.00000_);\(&quot;$&quot;#,##0.00000\)"/>
    <numFmt numFmtId="171" formatCode="#,##0.00000_);\(#,##0.00000\)"/>
    <numFmt numFmtId="172" formatCode="m/d/yy;@"/>
    <numFmt numFmtId="173" formatCode="&quot;$&quot;#,##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  <font>
      <sz val="11"/>
      <color rgb="FF00B0F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color indexed="8"/>
      <name val="Arial"/>
      <family val="2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</borders>
  <cellStyleXfs count="29">
    <xf numFmtId="0" fontId="0" fillId="0" borderId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>
      <alignment vertical="top"/>
    </xf>
    <xf numFmtId="0" fontId="7" fillId="0" borderId="0"/>
    <xf numFmtId="0" fontId="8" fillId="0" borderId="0"/>
    <xf numFmtId="0" fontId="8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6" fillId="0" borderId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2" borderId="4" applyNumberFormat="0" applyFont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10" fillId="0" borderId="0"/>
    <xf numFmtId="9" fontId="16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3" fontId="20" fillId="0" borderId="0"/>
    <xf numFmtId="44" fontId="27" fillId="0" borderId="0" applyFont="0" applyFill="0" applyBorder="0" applyAlignment="0" applyProtection="0"/>
  </cellStyleXfs>
  <cellXfs count="167">
    <xf numFmtId="0" fontId="0" fillId="0" borderId="0" xfId="0"/>
    <xf numFmtId="3" fontId="9" fillId="0" borderId="0" xfId="21" applyNumberFormat="1" applyFont="1" applyAlignment="1">
      <alignment horizontal="center"/>
    </xf>
    <xf numFmtId="3" fontId="9" fillId="0" borderId="1" xfId="21" applyNumberFormat="1" applyFont="1" applyBorder="1" applyAlignment="1">
      <alignment horizontal="center"/>
    </xf>
    <xf numFmtId="37" fontId="11" fillId="0" borderId="0" xfId="0" applyNumberFormat="1" applyFont="1"/>
    <xf numFmtId="3" fontId="9" fillId="0" borderId="0" xfId="21" applyNumberFormat="1" applyFont="1" applyAlignment="1">
      <alignment horizontal="right"/>
    </xf>
    <xf numFmtId="3" fontId="9" fillId="0" borderId="0" xfId="21" applyNumberFormat="1" applyFont="1"/>
    <xf numFmtId="37" fontId="11" fillId="0" borderId="0" xfId="0" applyNumberFormat="1" applyFont="1" applyAlignment="1">
      <alignment horizontal="right" vertical="top"/>
    </xf>
    <xf numFmtId="37" fontId="11" fillId="0" borderId="0" xfId="0" applyNumberFormat="1" applyFont="1" applyAlignment="1">
      <alignment horizontal="left" vertical="top"/>
    </xf>
    <xf numFmtId="5" fontId="11" fillId="0" borderId="0" xfId="0" applyNumberFormat="1" applyFont="1" applyAlignment="1">
      <alignment horizontal="right" vertical="top"/>
    </xf>
    <xf numFmtId="37" fontId="13" fillId="0" borderId="0" xfId="0" applyNumberFormat="1" applyFont="1"/>
    <xf numFmtId="37" fontId="13" fillId="0" borderId="0" xfId="0" applyNumberFormat="1" applyFont="1" applyAlignment="1">
      <alignment horizontal="right"/>
    </xf>
    <xf numFmtId="37" fontId="11" fillId="0" borderId="1" xfId="0" applyNumberFormat="1" applyFont="1" applyBorder="1"/>
    <xf numFmtId="37" fontId="11" fillId="0" borderId="0" xfId="0" applyNumberFormat="1" applyFont="1" applyAlignment="1">
      <alignment horizontal="centerContinuous"/>
    </xf>
    <xf numFmtId="37" fontId="11" fillId="0" borderId="0" xfId="0" applyNumberFormat="1" applyFont="1" applyAlignment="1">
      <alignment horizontal="center"/>
    </xf>
    <xf numFmtId="37" fontId="15" fillId="0" borderId="0" xfId="0" applyNumberFormat="1" applyFont="1"/>
    <xf numFmtId="10" fontId="11" fillId="0" borderId="0" xfId="0" applyNumberFormat="1" applyFont="1"/>
    <xf numFmtId="39" fontId="11" fillId="0" borderId="0" xfId="0" applyNumberFormat="1" applyFont="1" applyAlignment="1">
      <alignment horizontal="right" vertical="top"/>
    </xf>
    <xf numFmtId="37" fontId="11" fillId="0" borderId="3" xfId="0" applyNumberFormat="1" applyFont="1" applyBorder="1" applyAlignment="1">
      <alignment horizontal="right" vertical="top"/>
    </xf>
    <xf numFmtId="5" fontId="11" fillId="0" borderId="5" xfId="0" applyNumberFormat="1" applyFont="1" applyBorder="1" applyAlignment="1">
      <alignment horizontal="right" vertical="top"/>
    </xf>
    <xf numFmtId="10" fontId="11" fillId="0" borderId="5" xfId="0" applyNumberFormat="1" applyFont="1" applyBorder="1"/>
    <xf numFmtId="42" fontId="1" fillId="0" borderId="0" xfId="10" applyNumberFormat="1" applyFont="1" applyAlignment="1">
      <alignment horizontal="left" indent="1"/>
    </xf>
    <xf numFmtId="165" fontId="11" fillId="0" borderId="0" xfId="0" applyNumberFormat="1" applyFont="1" applyAlignment="1">
      <alignment horizontal="right" vertical="top"/>
    </xf>
    <xf numFmtId="37" fontId="11" fillId="0" borderId="0" xfId="0" applyNumberFormat="1" applyFont="1" applyAlignment="1">
      <alignment horizontal="right"/>
    </xf>
    <xf numFmtId="37" fontId="15" fillId="0" borderId="0" xfId="0" applyNumberFormat="1" applyFont="1" applyAlignment="1">
      <alignment horizontal="center"/>
    </xf>
    <xf numFmtId="43" fontId="11" fillId="0" borderId="0" xfId="0" applyNumberFormat="1" applyFont="1"/>
    <xf numFmtId="6" fontId="11" fillId="0" borderId="0" xfId="0" applyNumberFormat="1" applyFont="1"/>
    <xf numFmtId="42" fontId="11" fillId="0" borderId="0" xfId="0" applyNumberFormat="1" applyFont="1"/>
    <xf numFmtId="165" fontId="11" fillId="0" borderId="0" xfId="0" applyNumberFormat="1" applyFont="1"/>
    <xf numFmtId="5" fontId="11" fillId="0" borderId="0" xfId="0" applyNumberFormat="1" applyFont="1"/>
    <xf numFmtId="42" fontId="11" fillId="0" borderId="0" xfId="0" applyNumberFormat="1" applyFont="1" applyAlignment="1">
      <alignment horizontal="center"/>
    </xf>
    <xf numFmtId="10" fontId="11" fillId="0" borderId="3" xfId="0" applyNumberFormat="1" applyFont="1" applyBorder="1"/>
    <xf numFmtId="40" fontId="11" fillId="0" borderId="0" xfId="0" applyNumberFormat="1" applyFont="1"/>
    <xf numFmtId="7" fontId="11" fillId="0" borderId="0" xfId="0" applyNumberFormat="1" applyFont="1" applyAlignment="1">
      <alignment horizontal="right" vertical="top"/>
    </xf>
    <xf numFmtId="166" fontId="11" fillId="0" borderId="0" xfId="0" applyNumberFormat="1" applyFont="1" applyAlignment="1">
      <alignment horizontal="right" vertical="top"/>
    </xf>
    <xf numFmtId="37" fontId="11" fillId="0" borderId="0" xfId="0" applyNumberFormat="1" applyFont="1" applyAlignment="1">
      <alignment horizontal="left"/>
    </xf>
    <xf numFmtId="37" fontId="11" fillId="0" borderId="3" xfId="0" applyNumberFormat="1" applyFont="1" applyBorder="1"/>
    <xf numFmtId="6" fontId="11" fillId="0" borderId="3" xfId="0" applyNumberFormat="1" applyFont="1" applyBorder="1"/>
    <xf numFmtId="39" fontId="11" fillId="0" borderId="0" xfId="0" applyNumberFormat="1" applyFont="1"/>
    <xf numFmtId="5" fontId="11" fillId="0" borderId="0" xfId="0" applyNumberFormat="1" applyFont="1" applyAlignment="1">
      <alignment horizontal="right"/>
    </xf>
    <xf numFmtId="5" fontId="11" fillId="0" borderId="2" xfId="0" applyNumberFormat="1" applyFont="1" applyBorder="1" applyAlignment="1">
      <alignment horizontal="right"/>
    </xf>
    <xf numFmtId="0" fontId="11" fillId="0" borderId="0" xfId="23" applyFont="1"/>
    <xf numFmtId="164" fontId="11" fillId="0" borderId="0" xfId="1" applyNumberFormat="1" applyFont="1" applyBorder="1"/>
    <xf numFmtId="5" fontId="11" fillId="0" borderId="3" xfId="0" applyNumberFormat="1" applyFont="1" applyBorder="1" applyAlignment="1">
      <alignment horizontal="right" vertical="top"/>
    </xf>
    <xf numFmtId="37" fontId="11" fillId="0" borderId="5" xfId="0" applyNumberFormat="1" applyFont="1" applyBorder="1" applyAlignment="1">
      <alignment horizontal="right" vertical="top"/>
    </xf>
    <xf numFmtId="43" fontId="11" fillId="0" borderId="0" xfId="1" applyFont="1" applyBorder="1"/>
    <xf numFmtId="42" fontId="11" fillId="0" borderId="5" xfId="0" applyNumberFormat="1" applyFont="1" applyBorder="1" applyAlignment="1">
      <alignment horizontal="right" vertical="top"/>
    </xf>
    <xf numFmtId="42" fontId="11" fillId="0" borderId="3" xfId="0" applyNumberFormat="1" applyFont="1" applyBorder="1" applyAlignment="1">
      <alignment horizontal="right" vertical="top"/>
    </xf>
    <xf numFmtId="37" fontId="11" fillId="0" borderId="1" xfId="0" applyNumberFormat="1" applyFont="1" applyBorder="1" applyAlignment="1">
      <alignment horizontal="center"/>
    </xf>
    <xf numFmtId="37" fontId="13" fillId="0" borderId="0" xfId="0" applyNumberFormat="1" applyFont="1" applyAlignment="1">
      <alignment horizontal="center"/>
    </xf>
    <xf numFmtId="37" fontId="14" fillId="0" borderId="0" xfId="0" applyNumberFormat="1" applyFont="1"/>
    <xf numFmtId="6" fontId="11" fillId="0" borderId="1" xfId="0" applyNumberFormat="1" applyFont="1" applyBorder="1"/>
    <xf numFmtId="42" fontId="11" fillId="0" borderId="1" xfId="0" applyNumberFormat="1" applyFont="1" applyBorder="1"/>
    <xf numFmtId="40" fontId="11" fillId="0" borderId="1" xfId="0" applyNumberFormat="1" applyFont="1" applyBorder="1"/>
    <xf numFmtId="37" fontId="11" fillId="0" borderId="1" xfId="0" applyNumberFormat="1" applyFont="1" applyBorder="1" applyAlignment="1">
      <alignment horizontal="right" vertical="top"/>
    </xf>
    <xf numFmtId="10" fontId="11" fillId="0" borderId="1" xfId="0" applyNumberFormat="1" applyFont="1" applyBorder="1"/>
    <xf numFmtId="0" fontId="9" fillId="0" borderId="0" xfId="25" applyFont="1"/>
    <xf numFmtId="0" fontId="1" fillId="0" borderId="0" xfId="25"/>
    <xf numFmtId="3" fontId="9" fillId="0" borderId="0" xfId="25" applyNumberFormat="1" applyFont="1"/>
    <xf numFmtId="0" fontId="9" fillId="0" borderId="0" xfId="25" applyFont="1" applyAlignment="1">
      <alignment horizontal="right"/>
    </xf>
    <xf numFmtId="0" fontId="9" fillId="0" borderId="0" xfId="25" applyFont="1" applyAlignment="1">
      <alignment horizontal="center"/>
    </xf>
    <xf numFmtId="0" fontId="1" fillId="0" borderId="0" xfId="25" applyAlignment="1">
      <alignment horizontal="right"/>
    </xf>
    <xf numFmtId="7" fontId="0" fillId="0" borderId="0" xfId="26" applyNumberFormat="1" applyFont="1" applyAlignment="1">
      <alignment horizontal="right" indent="1"/>
    </xf>
    <xf numFmtId="39" fontId="0" fillId="0" borderId="0" xfId="26" applyNumberFormat="1" applyFont="1" applyAlignment="1">
      <alignment horizontal="right" indent="1"/>
    </xf>
    <xf numFmtId="170" fontId="0" fillId="0" borderId="0" xfId="26" applyNumberFormat="1" applyFont="1" applyAlignment="1">
      <alignment horizontal="right" indent="1"/>
    </xf>
    <xf numFmtId="171" fontId="1" fillId="0" borderId="0" xfId="25" applyNumberFormat="1" applyAlignment="1">
      <alignment horizontal="right" indent="1"/>
    </xf>
    <xf numFmtId="0" fontId="1" fillId="0" borderId="0" xfId="25" applyAlignment="1">
      <alignment horizontal="center"/>
    </xf>
    <xf numFmtId="7" fontId="17" fillId="0" borderId="0" xfId="25" applyNumberFormat="1" applyFont="1" applyAlignment="1">
      <alignment horizontal="right"/>
    </xf>
    <xf numFmtId="39" fontId="17" fillId="0" borderId="0" xfId="25" applyNumberFormat="1" applyFont="1" applyAlignment="1">
      <alignment horizontal="right"/>
    </xf>
    <xf numFmtId="170" fontId="17" fillId="0" borderId="0" xfId="25" applyNumberFormat="1" applyFont="1" applyAlignment="1">
      <alignment horizontal="right"/>
    </xf>
    <xf numFmtId="171" fontId="17" fillId="0" borderId="0" xfId="25" applyNumberFormat="1" applyFont="1" applyAlignment="1">
      <alignment horizontal="right"/>
    </xf>
    <xf numFmtId="0" fontId="17" fillId="0" borderId="0" xfId="25" applyFont="1" applyAlignment="1">
      <alignment horizontal="center"/>
    </xf>
    <xf numFmtId="5" fontId="11" fillId="0" borderId="0" xfId="0" quotePrefix="1" applyNumberFormat="1" applyFont="1" applyAlignment="1">
      <alignment horizontal="right" vertical="top"/>
    </xf>
    <xf numFmtId="10" fontId="11" fillId="0" borderId="0" xfId="24" applyNumberFormat="1" applyFont="1" applyFill="1" applyBorder="1" applyAlignment="1">
      <alignment horizontal="right" vertical="top"/>
    </xf>
    <xf numFmtId="10" fontId="11" fillId="0" borderId="0" xfId="24" applyNumberFormat="1" applyFont="1" applyBorder="1" applyAlignment="1">
      <alignment horizontal="right" vertical="top"/>
    </xf>
    <xf numFmtId="37" fontId="13" fillId="0" borderId="2" xfId="0" applyNumberFormat="1" applyFont="1" applyBorder="1" applyAlignment="1">
      <alignment horizontal="right" vertical="top"/>
    </xf>
    <xf numFmtId="37" fontId="13" fillId="0" borderId="0" xfId="0" applyNumberFormat="1" applyFont="1" applyAlignment="1">
      <alignment horizontal="right" vertical="top"/>
    </xf>
    <xf numFmtId="165" fontId="13" fillId="0" borderId="0" xfId="0" applyNumberFormat="1" applyFont="1" applyAlignment="1">
      <alignment horizontal="right" vertical="top"/>
    </xf>
    <xf numFmtId="39" fontId="13" fillId="0" borderId="0" xfId="0" applyNumberFormat="1" applyFont="1" applyAlignment="1">
      <alignment horizontal="right" vertical="top"/>
    </xf>
    <xf numFmtId="10" fontId="13" fillId="0" borderId="3" xfId="0" applyNumberFormat="1" applyFont="1" applyBorder="1"/>
    <xf numFmtId="10" fontId="13" fillId="0" borderId="0" xfId="24" applyNumberFormat="1" applyFont="1" applyFill="1" applyBorder="1" applyAlignment="1">
      <alignment horizontal="right" vertical="top"/>
    </xf>
    <xf numFmtId="10" fontId="13" fillId="0" borderId="0" xfId="24" applyNumberFormat="1" applyFont="1" applyBorder="1" applyAlignment="1">
      <alignment horizontal="right" vertical="top"/>
    </xf>
    <xf numFmtId="6" fontId="13" fillId="0" borderId="3" xfId="0" applyNumberFormat="1" applyFont="1" applyBorder="1"/>
    <xf numFmtId="6" fontId="13" fillId="0" borderId="0" xfId="0" applyNumberFormat="1" applyFont="1"/>
    <xf numFmtId="0" fontId="12" fillId="0" borderId="0" xfId="23" applyFont="1" applyAlignment="1">
      <alignment horizontal="center"/>
    </xf>
    <xf numFmtId="0" fontId="9" fillId="0" borderId="0" xfId="21" applyFont="1" applyAlignment="1">
      <alignment horizontal="center"/>
    </xf>
    <xf numFmtId="3" fontId="1" fillId="0" borderId="0" xfId="21" applyNumberFormat="1" applyFont="1" applyAlignment="1">
      <alignment horizontal="centerContinuous"/>
    </xf>
    <xf numFmtId="3" fontId="1" fillId="0" borderId="0" xfId="21" applyNumberFormat="1" applyFont="1"/>
    <xf numFmtId="0" fontId="1" fillId="0" borderId="0" xfId="21" applyFont="1"/>
    <xf numFmtId="4" fontId="1" fillId="0" borderId="0" xfId="21" applyNumberFormat="1" applyFont="1"/>
    <xf numFmtId="167" fontId="1" fillId="0" borderId="0" xfId="21" applyNumberFormat="1" applyFont="1"/>
    <xf numFmtId="168" fontId="1" fillId="0" borderId="0" xfId="21" applyNumberFormat="1" applyFont="1"/>
    <xf numFmtId="0" fontId="1" fillId="0" borderId="0" xfId="21" applyFont="1" applyAlignment="1">
      <alignment horizontal="center"/>
    </xf>
    <xf numFmtId="3" fontId="1" fillId="0" borderId="0" xfId="21" applyNumberFormat="1" applyFont="1" applyAlignment="1">
      <alignment horizontal="center"/>
    </xf>
    <xf numFmtId="4" fontId="1" fillId="0" borderId="0" xfId="21" applyNumberFormat="1" applyFont="1" applyAlignment="1">
      <alignment horizontal="centerContinuous"/>
    </xf>
    <xf numFmtId="7" fontId="1" fillId="0" borderId="0" xfId="21" applyNumberFormat="1" applyFont="1"/>
    <xf numFmtId="44" fontId="1" fillId="0" borderId="0" xfId="21" applyNumberFormat="1" applyFont="1" applyAlignment="1">
      <alignment horizontal="center"/>
    </xf>
    <xf numFmtId="39" fontId="1" fillId="0" borderId="0" xfId="21" applyNumberFormat="1" applyFont="1"/>
    <xf numFmtId="39" fontId="1" fillId="0" borderId="0" xfId="21" applyNumberFormat="1" applyFont="1" applyAlignment="1">
      <alignment horizontal="right"/>
    </xf>
    <xf numFmtId="4" fontId="1" fillId="0" borderId="0" xfId="21" applyNumberFormat="1" applyFont="1" applyAlignment="1">
      <alignment horizontal="center"/>
    </xf>
    <xf numFmtId="43" fontId="1" fillId="0" borderId="0" xfId="1" applyFont="1"/>
    <xf numFmtId="43" fontId="1" fillId="0" borderId="0" xfId="21" applyNumberFormat="1" applyFont="1"/>
    <xf numFmtId="43" fontId="1" fillId="0" borderId="0" xfId="21" applyNumberFormat="1" applyFont="1" applyAlignment="1">
      <alignment horizontal="right"/>
    </xf>
    <xf numFmtId="44" fontId="1" fillId="0" borderId="0" xfId="21" applyNumberFormat="1" applyFont="1"/>
    <xf numFmtId="44" fontId="1" fillId="0" borderId="0" xfId="21" applyNumberFormat="1" applyFont="1" applyAlignment="1">
      <alignment horizontal="right"/>
    </xf>
    <xf numFmtId="10" fontId="11" fillId="0" borderId="0" xfId="22" applyNumberFormat="1" applyFont="1" applyBorder="1" applyAlignment="1">
      <alignment horizontal="center"/>
    </xf>
    <xf numFmtId="10" fontId="11" fillId="0" borderId="0" xfId="22" applyNumberFormat="1" applyFont="1" applyBorder="1" applyAlignment="1">
      <alignment horizontal="right"/>
    </xf>
    <xf numFmtId="169" fontId="11" fillId="0" borderId="0" xfId="22" applyNumberFormat="1" applyFont="1"/>
    <xf numFmtId="10" fontId="11" fillId="0" borderId="0" xfId="22" applyNumberFormat="1" applyFont="1" applyFill="1" applyBorder="1" applyAlignment="1">
      <alignment horizontal="center"/>
    </xf>
    <xf numFmtId="0" fontId="11" fillId="0" borderId="0" xfId="23" applyFont="1" applyAlignment="1">
      <alignment horizontal="center"/>
    </xf>
    <xf numFmtId="10" fontId="11" fillId="0" borderId="0" xfId="24" applyNumberFormat="1" applyFont="1"/>
    <xf numFmtId="39" fontId="1" fillId="0" borderId="0" xfId="25" applyNumberFormat="1"/>
    <xf numFmtId="7" fontId="1" fillId="0" borderId="0" xfId="25" applyNumberFormat="1"/>
    <xf numFmtId="0" fontId="9" fillId="0" borderId="0" xfId="25" applyFont="1" applyAlignment="1">
      <alignment horizontal="left"/>
    </xf>
    <xf numFmtId="0" fontId="9" fillId="0" borderId="6" xfId="25" applyFont="1" applyBorder="1" applyAlignment="1">
      <alignment horizontal="left"/>
    </xf>
    <xf numFmtId="10" fontId="1" fillId="0" borderId="0" xfId="24" applyNumberFormat="1" applyFont="1" applyAlignment="1">
      <alignment horizontal="right" indent="1"/>
    </xf>
    <xf numFmtId="10" fontId="17" fillId="0" borderId="0" xfId="24" applyNumberFormat="1" applyFont="1" applyAlignment="1">
      <alignment horizontal="right" indent="1"/>
    </xf>
    <xf numFmtId="0" fontId="1" fillId="0" borderId="0" xfId="25" applyAlignment="1">
      <alignment horizontal="left"/>
    </xf>
    <xf numFmtId="44" fontId="17" fillId="0" borderId="0" xfId="25" applyNumberFormat="1" applyFont="1" applyAlignment="1">
      <alignment horizontal="right"/>
    </xf>
    <xf numFmtId="10" fontId="1" fillId="0" borderId="0" xfId="24" applyNumberFormat="1" applyFont="1"/>
    <xf numFmtId="10" fontId="11" fillId="0" borderId="0" xfId="24" applyNumberFormat="1" applyFont="1" applyAlignment="1">
      <alignment horizontal="right"/>
    </xf>
    <xf numFmtId="0" fontId="19" fillId="0" borderId="0" xfId="7" applyFont="1"/>
    <xf numFmtId="3" fontId="21" fillId="0" borderId="0" xfId="27" applyFont="1" applyAlignment="1">
      <alignment horizontal="center"/>
    </xf>
    <xf numFmtId="3" fontId="21" fillId="0" borderId="0" xfId="27" applyFont="1"/>
    <xf numFmtId="3" fontId="22" fillId="0" borderId="0" xfId="27" applyFont="1" applyAlignment="1">
      <alignment horizontal="center"/>
    </xf>
    <xf numFmtId="0" fontId="11" fillId="0" borderId="0" xfId="0" applyFont="1"/>
    <xf numFmtId="3" fontId="23" fillId="0" borderId="0" xfId="27" applyFont="1"/>
    <xf numFmtId="3" fontId="22" fillId="0" borderId="0" xfId="27" applyFont="1"/>
    <xf numFmtId="0" fontId="13" fillId="0" borderId="0" xfId="7" applyFont="1" applyAlignment="1">
      <alignment horizontal="right"/>
    </xf>
    <xf numFmtId="3" fontId="23" fillId="0" borderId="0" xfId="27" applyFont="1" applyAlignment="1">
      <alignment horizontal="center"/>
    </xf>
    <xf numFmtId="3" fontId="22" fillId="0" borderId="1" xfId="27" applyFont="1" applyBorder="1" applyAlignment="1">
      <alignment horizontal="center"/>
    </xf>
    <xf numFmtId="172" fontId="22" fillId="0" borderId="1" xfId="27" applyNumberFormat="1" applyFont="1" applyBorder="1" applyAlignment="1">
      <alignment horizontal="center"/>
    </xf>
    <xf numFmtId="37" fontId="23" fillId="0" borderId="0" xfId="27" applyNumberFormat="1" applyFont="1"/>
    <xf numFmtId="37" fontId="24" fillId="0" borderId="0" xfId="27" applyNumberFormat="1" applyFont="1"/>
    <xf numFmtId="5" fontId="23" fillId="0" borderId="0" xfId="27" applyNumberFormat="1" applyFont="1"/>
    <xf numFmtId="37" fontId="23" fillId="0" borderId="7" xfId="27" applyNumberFormat="1" applyFont="1" applyBorder="1"/>
    <xf numFmtId="5" fontId="23" fillId="0" borderId="7" xfId="27" applyNumberFormat="1" applyFont="1" applyBorder="1"/>
    <xf numFmtId="3" fontId="25" fillId="0" borderId="0" xfId="27" applyFont="1"/>
    <xf numFmtId="37" fontId="25" fillId="0" borderId="8" xfId="27" applyNumberFormat="1" applyFont="1" applyBorder="1"/>
    <xf numFmtId="37" fontId="25" fillId="0" borderId="0" xfId="27" applyNumberFormat="1" applyFont="1"/>
    <xf numFmtId="0" fontId="18" fillId="0" borderId="0" xfId="7" applyFont="1"/>
    <xf numFmtId="3" fontId="21" fillId="0" borderId="0" xfId="27" applyFont="1" applyAlignment="1">
      <alignment horizontal="right"/>
    </xf>
    <xf numFmtId="0" fontId="18" fillId="0" borderId="0" xfId="7" applyFont="1" applyAlignment="1">
      <alignment horizontal="center"/>
    </xf>
    <xf numFmtId="0" fontId="26" fillId="0" borderId="0" xfId="7" applyFont="1" applyAlignment="1">
      <alignment horizontal="center"/>
    </xf>
    <xf numFmtId="0" fontId="18" fillId="0" borderId="1" xfId="7" applyFont="1" applyBorder="1" applyAlignment="1">
      <alignment horizontal="center"/>
    </xf>
    <xf numFmtId="0" fontId="19" fillId="0" borderId="0" xfId="7" applyFont="1" applyAlignment="1">
      <alignment horizontal="center"/>
    </xf>
    <xf numFmtId="0" fontId="19" fillId="0" borderId="0" xfId="7" applyFont="1" applyAlignment="1">
      <alignment wrapText="1"/>
    </xf>
    <xf numFmtId="3" fontId="19" fillId="0" borderId="0" xfId="7" applyNumberFormat="1" applyFont="1" applyAlignment="1">
      <alignment wrapText="1"/>
    </xf>
    <xf numFmtId="5" fontId="19" fillId="0" borderId="0" xfId="7" applyNumberFormat="1" applyFont="1"/>
    <xf numFmtId="3" fontId="19" fillId="0" borderId="0" xfId="7" applyNumberFormat="1" applyFont="1"/>
    <xf numFmtId="37" fontId="19" fillId="0" borderId="0" xfId="7" applyNumberFormat="1" applyFont="1"/>
    <xf numFmtId="5" fontId="19" fillId="0" borderId="3" xfId="7" applyNumberFormat="1" applyFont="1" applyBorder="1"/>
    <xf numFmtId="3" fontId="21" fillId="0" borderId="0" xfId="27" applyFont="1" applyAlignment="1">
      <alignment horizontal="center" wrapText="1"/>
    </xf>
    <xf numFmtId="41" fontId="19" fillId="0" borderId="0" xfId="7" applyNumberFormat="1" applyFont="1"/>
    <xf numFmtId="42" fontId="19" fillId="0" borderId="0" xfId="7" applyNumberFormat="1" applyFont="1"/>
    <xf numFmtId="173" fontId="11" fillId="0" borderId="0" xfId="0" applyNumberFormat="1" applyFont="1"/>
    <xf numFmtId="44" fontId="1" fillId="0" borderId="0" xfId="28" applyFont="1"/>
    <xf numFmtId="3" fontId="1" fillId="0" borderId="0" xfId="21" applyNumberFormat="1" applyFont="1" applyAlignment="1">
      <alignment horizontal="left"/>
    </xf>
    <xf numFmtId="37" fontId="1" fillId="0" borderId="0" xfId="25" applyNumberFormat="1"/>
    <xf numFmtId="0" fontId="9" fillId="0" borderId="6" xfId="25" applyFont="1" applyBorder="1" applyAlignment="1">
      <alignment horizontal="center"/>
    </xf>
    <xf numFmtId="3" fontId="22" fillId="0" borderId="0" xfId="27" applyFont="1" applyAlignment="1">
      <alignment horizontal="center"/>
    </xf>
    <xf numFmtId="3" fontId="21" fillId="0" borderId="0" xfId="27" applyFont="1" applyAlignment="1">
      <alignment horizontal="center"/>
    </xf>
    <xf numFmtId="37" fontId="13" fillId="0" borderId="0" xfId="0" applyNumberFormat="1" applyFont="1" applyAlignment="1">
      <alignment horizontal="center"/>
    </xf>
    <xf numFmtId="37" fontId="11" fillId="0" borderId="1" xfId="0" applyNumberFormat="1" applyFont="1" applyBorder="1" applyAlignment="1">
      <alignment horizontal="center"/>
    </xf>
    <xf numFmtId="37" fontId="13" fillId="0" borderId="0" xfId="0" applyNumberFormat="1" applyFont="1" applyAlignment="1">
      <alignment horizontal="center" wrapText="1"/>
    </xf>
    <xf numFmtId="3" fontId="9" fillId="0" borderId="0" xfId="21" applyNumberFormat="1" applyFont="1" applyAlignment="1">
      <alignment horizontal="center"/>
    </xf>
    <xf numFmtId="3" fontId="9" fillId="0" borderId="0" xfId="21" applyNumberFormat="1" applyFont="1" applyAlignment="1">
      <alignment horizontal="center" wrapText="1"/>
    </xf>
    <xf numFmtId="0" fontId="9" fillId="0" borderId="0" xfId="25" applyFont="1" applyAlignment="1">
      <alignment horizontal="center" wrapText="1"/>
    </xf>
  </cellXfs>
  <cellStyles count="29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4" xfId="5" xr:uid="{00000000-0005-0000-0000-000004000000}"/>
    <cellStyle name="Currency" xfId="28" builtinId="4"/>
    <cellStyle name="Currency 2" xfId="6" xr:uid="{00000000-0005-0000-0000-000006000000}"/>
    <cellStyle name="Currency 3" xfId="26" xr:uid="{C33CCD22-5180-4EA4-B421-79458F391D3D}"/>
    <cellStyle name="Normal" xfId="0" builtinId="0"/>
    <cellStyle name="Normal 10" xfId="21" xr:uid="{00000000-0005-0000-0000-000008000000}"/>
    <cellStyle name="Normal 11" xfId="25" xr:uid="{D6401024-16B1-4273-98C7-646090637607}"/>
    <cellStyle name="Normal 2" xfId="7" xr:uid="{00000000-0005-0000-0000-000009000000}"/>
    <cellStyle name="Normal 2 2" xfId="8" xr:uid="{00000000-0005-0000-0000-00000A000000}"/>
    <cellStyle name="Normal 2_Aqua Revenue" xfId="9" xr:uid="{00000000-0005-0000-0000-00000B000000}"/>
    <cellStyle name="Normal 3" xfId="10" xr:uid="{00000000-0005-0000-0000-00000C000000}"/>
    <cellStyle name="Normal 4" xfId="11" xr:uid="{00000000-0005-0000-0000-00000D000000}"/>
    <cellStyle name="Normal 5" xfId="12" xr:uid="{00000000-0005-0000-0000-00000E000000}"/>
    <cellStyle name="Normal 6" xfId="13" xr:uid="{00000000-0005-0000-0000-00000F000000}"/>
    <cellStyle name="Normal 7" xfId="14" xr:uid="{00000000-0005-0000-0000-000010000000}"/>
    <cellStyle name="Normal 8" xfId="17" xr:uid="{00000000-0005-0000-0000-000011000000}"/>
    <cellStyle name="Normal 9" xfId="20" xr:uid="{00000000-0005-0000-0000-000012000000}"/>
    <cellStyle name="Normal_Exhibits" xfId="27" xr:uid="{9538350D-0AF3-4A5A-9C2B-2B4839E281D2}"/>
    <cellStyle name="Normal_revenue detail model v2.0" xfId="23" xr:uid="{00000000-0005-0000-0000-000013000000}"/>
    <cellStyle name="Note 2" xfId="19" xr:uid="{00000000-0005-0000-0000-000014000000}"/>
    <cellStyle name="Percent" xfId="24" builtinId="5"/>
    <cellStyle name="Percent 2" xfId="15" xr:uid="{00000000-0005-0000-0000-000016000000}"/>
    <cellStyle name="Percent 3" xfId="16" xr:uid="{00000000-0005-0000-0000-000017000000}"/>
    <cellStyle name="Percent 4" xfId="18" xr:uid="{00000000-0005-0000-0000-000018000000}"/>
    <cellStyle name="Percent 5" xfId="22" xr:uid="{00000000-0005-0000-0000-000019000000}"/>
  </cellStyles>
  <dxfs count="0"/>
  <tableStyles count="0" defaultTableStyle="TableStyleMedium9" defaultPivotStyle="PivotStyleLight16"/>
  <colors>
    <mruColors>
      <color rgb="FF00FF00"/>
      <color rgb="FFFF66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mwater.sharepoint.com/sites/sers/KY/General%20Rate%20Cases/2023-00191%20-%20PSC%20Discovery/PSC%20Rehearing%20(RR)%20Set%201/KAW_R_PSCRR_NUM003_061924_Attachment%202.xlsx" TargetMode="External"/><Relationship Id="rId1" Type="http://schemas.openxmlformats.org/officeDocument/2006/relationships/externalLinkPath" Target="KAW_R_PSCRR_NUM003_061924_Attachment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ge 1"/>
      <sheetName val="Page 2"/>
      <sheetName val="Page 3"/>
      <sheetName val="Page 4"/>
      <sheetName val="Page 5"/>
    </sheetNames>
    <sheetDataSet>
      <sheetData sheetId="0"/>
      <sheetData sheetId="1"/>
      <sheetData sheetId="2">
        <row r="17">
          <cell r="J17">
            <v>18142475.807438675</v>
          </cell>
          <cell r="K17">
            <v>120635313.9827612</v>
          </cell>
        </row>
        <row r="20">
          <cell r="K20">
            <v>123140706.61076534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B85B2-3017-42B1-A204-A913EF2766AC}">
  <dimension ref="A1:I69"/>
  <sheetViews>
    <sheetView tabSelected="1" workbookViewId="0"/>
  </sheetViews>
  <sheetFormatPr defaultColWidth="9.1328125" defaultRowHeight="14.25" x14ac:dyDescent="0.45"/>
  <cols>
    <col min="1" max="1" width="9.1328125" style="56"/>
    <col min="2" max="2" width="26.59765625" style="56" bestFit="1" customWidth="1"/>
    <col min="3" max="3" width="15.265625" style="56" customWidth="1"/>
    <col min="4" max="4" width="15.1328125" style="65" customWidth="1"/>
    <col min="5" max="5" width="11.3984375" style="65" customWidth="1"/>
    <col min="6" max="6" width="9.1328125" style="56"/>
    <col min="7" max="7" width="15" style="56" customWidth="1"/>
    <col min="8" max="8" width="17.265625" style="56" customWidth="1"/>
    <col min="9" max="9" width="20" style="56" customWidth="1"/>
    <col min="10" max="16384" width="9.1328125" style="56"/>
  </cols>
  <sheetData>
    <row r="1" spans="1:9" x14ac:dyDescent="0.45">
      <c r="A1" s="55" t="s">
        <v>233</v>
      </c>
      <c r="G1" s="55" t="str">
        <f>A1</f>
        <v>Kentucky-American Water Company</v>
      </c>
    </row>
    <row r="2" spans="1:9" x14ac:dyDescent="0.45">
      <c r="A2" s="55" t="s">
        <v>105</v>
      </c>
      <c r="G2" s="55" t="str">
        <f>A2</f>
        <v xml:space="preserve">Water Rate Schedule </v>
      </c>
    </row>
    <row r="3" spans="1:9" x14ac:dyDescent="0.45">
      <c r="A3" s="57"/>
    </row>
    <row r="5" spans="1:9" ht="14.65" thickBot="1" x14ac:dyDescent="0.5">
      <c r="B5" s="158" t="s">
        <v>106</v>
      </c>
      <c r="C5" s="158"/>
      <c r="D5" s="158"/>
      <c r="E5" s="119"/>
      <c r="G5" s="158" t="s">
        <v>154</v>
      </c>
      <c r="H5" s="158"/>
      <c r="I5" s="158"/>
    </row>
    <row r="6" spans="1:9" x14ac:dyDescent="0.45">
      <c r="B6" s="58" t="s">
        <v>107</v>
      </c>
      <c r="C6" s="59" t="s">
        <v>108</v>
      </c>
      <c r="D6" s="59" t="s">
        <v>131</v>
      </c>
      <c r="E6" s="59" t="s">
        <v>164</v>
      </c>
      <c r="G6" s="116" t="s">
        <v>156</v>
      </c>
      <c r="I6" s="59" t="s">
        <v>162</v>
      </c>
    </row>
    <row r="7" spans="1:9" x14ac:dyDescent="0.45">
      <c r="B7" s="60" t="s">
        <v>94</v>
      </c>
      <c r="C7" s="61">
        <v>15</v>
      </c>
      <c r="D7" s="117">
        <v>17.647499999999997</v>
      </c>
      <c r="E7" s="119">
        <f>+D7/C7-1</f>
        <v>0.17649999999999988</v>
      </c>
      <c r="G7" s="60"/>
      <c r="H7" s="65" t="s">
        <v>155</v>
      </c>
      <c r="I7" s="117">
        <v>0</v>
      </c>
    </row>
    <row r="8" spans="1:9" x14ac:dyDescent="0.45">
      <c r="B8" s="60" t="s">
        <v>95</v>
      </c>
      <c r="C8" s="62">
        <v>22.4</v>
      </c>
      <c r="D8" s="67">
        <v>26.353599999999997</v>
      </c>
      <c r="E8" s="119">
        <f t="shared" ref="E8:E15" si="0">+D8/C8-1</f>
        <v>0.17649999999999988</v>
      </c>
      <c r="H8" s="56" t="s">
        <v>157</v>
      </c>
      <c r="I8" s="67">
        <v>0</v>
      </c>
    </row>
    <row r="9" spans="1:9" x14ac:dyDescent="0.45">
      <c r="B9" s="60" t="s">
        <v>96</v>
      </c>
      <c r="C9" s="62">
        <v>37.299999999999997</v>
      </c>
      <c r="D9" s="67">
        <v>43.883449999999989</v>
      </c>
      <c r="E9" s="119">
        <f t="shared" si="0"/>
        <v>0.17649999999999988</v>
      </c>
    </row>
    <row r="10" spans="1:9" x14ac:dyDescent="0.45">
      <c r="B10" s="60" t="s">
        <v>97</v>
      </c>
      <c r="C10" s="62">
        <v>74.7</v>
      </c>
      <c r="D10" s="67">
        <v>87.88454999999999</v>
      </c>
      <c r="E10" s="119">
        <f t="shared" si="0"/>
        <v>0.17649999999999988</v>
      </c>
    </row>
    <row r="11" spans="1:9" x14ac:dyDescent="0.45">
      <c r="B11" s="60" t="s">
        <v>98</v>
      </c>
      <c r="C11" s="62">
        <v>119.5</v>
      </c>
      <c r="D11" s="67">
        <v>140.59174999999999</v>
      </c>
      <c r="E11" s="119">
        <f t="shared" si="0"/>
        <v>0.17649999999999988</v>
      </c>
    </row>
    <row r="12" spans="1:9" x14ac:dyDescent="0.45">
      <c r="B12" s="60" t="s">
        <v>99</v>
      </c>
      <c r="C12" s="62">
        <v>224</v>
      </c>
      <c r="D12" s="67">
        <v>263.53599999999994</v>
      </c>
      <c r="E12" s="119">
        <f t="shared" si="0"/>
        <v>0.17649999999999966</v>
      </c>
    </row>
    <row r="13" spans="1:9" x14ac:dyDescent="0.45">
      <c r="B13" s="60" t="s">
        <v>100</v>
      </c>
      <c r="C13" s="62">
        <v>373.4</v>
      </c>
      <c r="D13" s="67">
        <v>439.30509999999992</v>
      </c>
      <c r="E13" s="119">
        <f t="shared" si="0"/>
        <v>0.17649999999999988</v>
      </c>
    </row>
    <row r="14" spans="1:9" x14ac:dyDescent="0.45">
      <c r="B14" s="60" t="s">
        <v>101</v>
      </c>
      <c r="C14" s="62">
        <v>746.7</v>
      </c>
      <c r="D14" s="67">
        <v>878.49254999999994</v>
      </c>
      <c r="E14" s="119">
        <f t="shared" si="0"/>
        <v>0.17649999999999988</v>
      </c>
    </row>
    <row r="15" spans="1:9" x14ac:dyDescent="0.45">
      <c r="B15" s="60" t="s">
        <v>102</v>
      </c>
      <c r="C15" s="62">
        <v>1194.7</v>
      </c>
      <c r="D15" s="67">
        <v>1405.5645499999998</v>
      </c>
      <c r="E15" s="119">
        <f t="shared" si="0"/>
        <v>0.17649999999999988</v>
      </c>
    </row>
    <row r="16" spans="1:9" x14ac:dyDescent="0.45">
      <c r="B16" s="60"/>
      <c r="C16" s="62"/>
    </row>
    <row r="17" spans="2:9" x14ac:dyDescent="0.45">
      <c r="C17" s="60"/>
      <c r="E17" s="119"/>
      <c r="F17" s="157"/>
      <c r="H17" s="60"/>
      <c r="I17" s="65"/>
    </row>
    <row r="18" spans="2:9" ht="28.5" x14ac:dyDescent="0.45">
      <c r="B18" s="58" t="s">
        <v>104</v>
      </c>
      <c r="C18" s="59" t="s">
        <v>108</v>
      </c>
      <c r="D18" s="166" t="s">
        <v>240</v>
      </c>
      <c r="E18" s="59" t="s">
        <v>164</v>
      </c>
      <c r="G18" s="58" t="s">
        <v>104</v>
      </c>
      <c r="H18" s="59" t="s">
        <v>3</v>
      </c>
      <c r="I18" s="59" t="s">
        <v>131</v>
      </c>
    </row>
    <row r="19" spans="2:9" x14ac:dyDescent="0.45">
      <c r="B19" s="60" t="s">
        <v>3</v>
      </c>
      <c r="C19" s="63">
        <v>5.7569999999999997</v>
      </c>
      <c r="D19" s="68">
        <v>6.7750255245525128</v>
      </c>
      <c r="E19" s="119">
        <f>+D19/C19-1</f>
        <v>0.17683264279182098</v>
      </c>
      <c r="G19" s="60"/>
      <c r="H19" s="65" t="s">
        <v>155</v>
      </c>
      <c r="I19" s="68">
        <v>0</v>
      </c>
    </row>
    <row r="20" spans="2:9" x14ac:dyDescent="0.45">
      <c r="B20" s="60" t="s">
        <v>28</v>
      </c>
      <c r="C20" s="64">
        <v>5.2065999999999999</v>
      </c>
      <c r="D20" s="69">
        <v>6.1272968379598947</v>
      </c>
      <c r="E20" s="119">
        <f t="shared" ref="E20:E23" si="1">+D20/C20-1</f>
        <v>0.17683264279182098</v>
      </c>
      <c r="H20" s="56" t="s">
        <v>157</v>
      </c>
      <c r="I20" s="69">
        <v>0</v>
      </c>
    </row>
    <row r="21" spans="2:9" x14ac:dyDescent="0.45">
      <c r="B21" s="60" t="s">
        <v>4</v>
      </c>
      <c r="C21" s="64">
        <v>4.3049999999999997</v>
      </c>
      <c r="D21" s="69">
        <v>5.0662645272187889</v>
      </c>
      <c r="E21" s="119">
        <f t="shared" si="1"/>
        <v>0.17683264279182098</v>
      </c>
    </row>
    <row r="22" spans="2:9" x14ac:dyDescent="0.45">
      <c r="B22" s="60" t="s">
        <v>103</v>
      </c>
      <c r="C22" s="64">
        <v>4.7960000000000003</v>
      </c>
      <c r="D22" s="69">
        <v>5.6440893548295739</v>
      </c>
      <c r="E22" s="119">
        <f t="shared" si="1"/>
        <v>0.17683264279182098</v>
      </c>
    </row>
    <row r="23" spans="2:9" x14ac:dyDescent="0.45">
      <c r="B23" s="60" t="s">
        <v>109</v>
      </c>
      <c r="C23" s="64">
        <v>4.2359999999999998</v>
      </c>
      <c r="D23" s="69">
        <v>4.9850630748661535</v>
      </c>
      <c r="E23" s="119">
        <f t="shared" si="1"/>
        <v>0.17683264279182098</v>
      </c>
    </row>
    <row r="25" spans="2:9" x14ac:dyDescent="0.45">
      <c r="B25" s="60" t="s">
        <v>110</v>
      </c>
    </row>
    <row r="26" spans="2:9" x14ac:dyDescent="0.45">
      <c r="B26" s="60" t="s">
        <v>111</v>
      </c>
      <c r="C26" s="63">
        <v>4.5199999999999996</v>
      </c>
      <c r="D26" s="68">
        <v>4.9850630748661535</v>
      </c>
      <c r="E26" s="119">
        <f>+D26/C26-1</f>
        <v>0.10289006081109608</v>
      </c>
    </row>
    <row r="27" spans="2:9" x14ac:dyDescent="0.45">
      <c r="B27" s="60" t="s">
        <v>112</v>
      </c>
      <c r="C27" s="64">
        <v>4.62</v>
      </c>
      <c r="D27" s="68">
        <v>4.9850630748661535</v>
      </c>
      <c r="E27" s="119">
        <f>+D27/C27-1</f>
        <v>7.9017981572760521E-2</v>
      </c>
    </row>
    <row r="28" spans="2:9" x14ac:dyDescent="0.45">
      <c r="D28" s="70"/>
      <c r="E28" s="70"/>
    </row>
    <row r="29" spans="2:9" x14ac:dyDescent="0.45">
      <c r="B29" s="60" t="s">
        <v>113</v>
      </c>
      <c r="C29" s="63">
        <v>2.25</v>
      </c>
      <c r="D29" s="68">
        <v>2.25</v>
      </c>
      <c r="E29" s="119">
        <f>+D29/C29-1</f>
        <v>0</v>
      </c>
    </row>
    <row r="30" spans="2:9" x14ac:dyDescent="0.45">
      <c r="B30" s="60"/>
      <c r="C30" s="64"/>
    </row>
    <row r="32" spans="2:9" ht="14.65" thickBot="1" x14ac:dyDescent="0.5">
      <c r="B32" s="158" t="s">
        <v>114</v>
      </c>
      <c r="C32" s="158"/>
      <c r="D32" s="158"/>
      <c r="E32" s="119"/>
    </row>
    <row r="33" spans="2:5" x14ac:dyDescent="0.45">
      <c r="B33" s="58" t="s">
        <v>115</v>
      </c>
      <c r="C33" s="59" t="s">
        <v>116</v>
      </c>
      <c r="D33" s="59" t="s">
        <v>131</v>
      </c>
      <c r="E33" s="59" t="s">
        <v>164</v>
      </c>
    </row>
    <row r="34" spans="2:5" x14ac:dyDescent="0.45">
      <c r="B34" s="60" t="s">
        <v>117</v>
      </c>
      <c r="C34" s="61">
        <v>8.76</v>
      </c>
      <c r="D34" s="117">
        <v>10.306139999999999</v>
      </c>
      <c r="E34" s="119">
        <f>+D34/C34-1</f>
        <v>0.17649999999999988</v>
      </c>
    </row>
    <row r="35" spans="2:5" x14ac:dyDescent="0.45">
      <c r="B35" s="60" t="s">
        <v>118</v>
      </c>
      <c r="C35" s="62">
        <v>35.28</v>
      </c>
      <c r="D35" s="67">
        <v>41.506919999999994</v>
      </c>
      <c r="E35" s="119">
        <f t="shared" ref="E35:E41" si="2">+D35/C35-1</f>
        <v>0.17649999999999988</v>
      </c>
    </row>
    <row r="36" spans="2:5" x14ac:dyDescent="0.45">
      <c r="B36" s="60" t="s">
        <v>119</v>
      </c>
      <c r="C36" s="62">
        <v>79.37</v>
      </c>
      <c r="D36" s="67">
        <v>93.378805</v>
      </c>
      <c r="E36" s="119">
        <f t="shared" si="2"/>
        <v>0.17649999999999988</v>
      </c>
    </row>
    <row r="37" spans="2:5" x14ac:dyDescent="0.45">
      <c r="B37" s="60" t="s">
        <v>120</v>
      </c>
      <c r="C37" s="62">
        <v>141.09</v>
      </c>
      <c r="D37" s="67">
        <v>165.99238499999998</v>
      </c>
      <c r="E37" s="119">
        <f t="shared" si="2"/>
        <v>0.17649999999999988</v>
      </c>
    </row>
    <row r="38" spans="2:5" x14ac:dyDescent="0.45">
      <c r="B38" s="60" t="s">
        <v>121</v>
      </c>
      <c r="C38" s="62">
        <v>220.51</v>
      </c>
      <c r="D38" s="67">
        <v>259.43001499999997</v>
      </c>
      <c r="E38" s="119">
        <f t="shared" si="2"/>
        <v>0.17649999999999988</v>
      </c>
    </row>
    <row r="39" spans="2:5" x14ac:dyDescent="0.45">
      <c r="B39" s="60" t="s">
        <v>122</v>
      </c>
      <c r="C39" s="62">
        <v>330.03</v>
      </c>
      <c r="D39" s="67">
        <v>388.28029499999991</v>
      </c>
      <c r="E39" s="119">
        <f t="shared" si="2"/>
        <v>0.17649999999999988</v>
      </c>
    </row>
    <row r="40" spans="2:5" x14ac:dyDescent="0.45">
      <c r="B40" s="60" t="s">
        <v>123</v>
      </c>
      <c r="C40" s="62">
        <v>317.98</v>
      </c>
      <c r="D40" s="67">
        <v>374.10346999999996</v>
      </c>
      <c r="E40" s="119">
        <f t="shared" si="2"/>
        <v>0.17649999999999988</v>
      </c>
    </row>
    <row r="41" spans="2:5" x14ac:dyDescent="0.45">
      <c r="B41" s="60" t="s">
        <v>124</v>
      </c>
      <c r="C41" s="62">
        <v>564.63</v>
      </c>
      <c r="D41" s="67">
        <v>664.28719499999988</v>
      </c>
      <c r="E41" s="119">
        <f t="shared" si="2"/>
        <v>0.17649999999999988</v>
      </c>
    </row>
    <row r="42" spans="2:5" x14ac:dyDescent="0.45">
      <c r="C42" s="62"/>
    </row>
    <row r="44" spans="2:5" ht="14.65" thickBot="1" x14ac:dyDescent="0.5">
      <c r="B44" s="158" t="s">
        <v>125</v>
      </c>
      <c r="C44" s="158"/>
      <c r="D44" s="158"/>
      <c r="E44" s="59"/>
    </row>
    <row r="45" spans="2:5" x14ac:dyDescent="0.45">
      <c r="B45" s="58"/>
      <c r="C45" s="59" t="s">
        <v>116</v>
      </c>
      <c r="D45" s="59" t="s">
        <v>131</v>
      </c>
      <c r="E45" s="59" t="s">
        <v>164</v>
      </c>
    </row>
    <row r="46" spans="2:5" x14ac:dyDescent="0.45">
      <c r="B46" s="60" t="s">
        <v>126</v>
      </c>
      <c r="C46" s="61">
        <v>48.7</v>
      </c>
      <c r="D46" s="117">
        <v>57.295549999999999</v>
      </c>
      <c r="E46" s="119">
        <f t="shared" ref="E46:E47" si="3">+D46/C46-1</f>
        <v>0.17649999999999988</v>
      </c>
    </row>
    <row r="47" spans="2:5" x14ac:dyDescent="0.45">
      <c r="B47" s="60" t="s">
        <v>127</v>
      </c>
      <c r="C47" s="62">
        <v>76.569999999999993</v>
      </c>
      <c r="D47" s="67">
        <v>90.084604999999982</v>
      </c>
      <c r="E47" s="119">
        <f t="shared" si="3"/>
        <v>0.17649999999999988</v>
      </c>
    </row>
    <row r="48" spans="2:5" x14ac:dyDescent="0.45">
      <c r="B48" s="60"/>
      <c r="C48" s="62"/>
    </row>
    <row r="49" spans="2:5" x14ac:dyDescent="0.45">
      <c r="B49" s="60"/>
      <c r="C49" s="62"/>
    </row>
    <row r="50" spans="2:5" ht="14.65" thickBot="1" x14ac:dyDescent="0.5">
      <c r="B50" s="158" t="s">
        <v>128</v>
      </c>
      <c r="C50" s="158"/>
      <c r="D50" s="158"/>
      <c r="E50" s="59"/>
    </row>
    <row r="51" spans="2:5" x14ac:dyDescent="0.45">
      <c r="B51" s="59"/>
      <c r="C51" s="59" t="s">
        <v>108</v>
      </c>
      <c r="D51" s="59" t="s">
        <v>131</v>
      </c>
      <c r="E51" s="59" t="s">
        <v>164</v>
      </c>
    </row>
    <row r="52" spans="2:5" x14ac:dyDescent="0.45">
      <c r="B52" s="60" t="s">
        <v>129</v>
      </c>
      <c r="C52" s="63">
        <f>1.674/10</f>
        <v>0.16739999999999999</v>
      </c>
      <c r="D52" s="68">
        <f>1.97001784403351/10</f>
        <v>0.197001784403351</v>
      </c>
      <c r="E52" s="119">
        <f t="shared" ref="E52:E53" si="4">+D52/C52-1</f>
        <v>0.17683264279182209</v>
      </c>
    </row>
    <row r="53" spans="2:5" x14ac:dyDescent="0.45">
      <c r="B53" s="60" t="s">
        <v>130</v>
      </c>
      <c r="C53" s="64">
        <f>+C52*2</f>
        <v>0.33479999999999999</v>
      </c>
      <c r="D53" s="69">
        <f>+D52*2</f>
        <v>0.39400356880670201</v>
      </c>
      <c r="E53" s="119">
        <f t="shared" si="4"/>
        <v>0.17683264279182209</v>
      </c>
    </row>
    <row r="54" spans="2:5" x14ac:dyDescent="0.45">
      <c r="B54" s="60"/>
      <c r="C54" s="62"/>
    </row>
    <row r="55" spans="2:5" x14ac:dyDescent="0.45">
      <c r="B55" s="60"/>
      <c r="C55" s="62"/>
    </row>
    <row r="56" spans="2:5" x14ac:dyDescent="0.45">
      <c r="B56" s="112" t="s">
        <v>147</v>
      </c>
      <c r="C56" s="62"/>
    </row>
    <row r="57" spans="2:5" x14ac:dyDescent="0.45">
      <c r="B57" s="112"/>
      <c r="C57" s="62"/>
    </row>
    <row r="58" spans="2:5" ht="14.65" thickBot="1" x14ac:dyDescent="0.5">
      <c r="B58" s="113" t="s">
        <v>140</v>
      </c>
      <c r="C58" s="62"/>
      <c r="D58" s="62"/>
      <c r="E58" s="62"/>
    </row>
    <row r="59" spans="2:5" x14ac:dyDescent="0.45">
      <c r="B59" s="56" t="s">
        <v>141</v>
      </c>
      <c r="C59" s="65" t="s">
        <v>108</v>
      </c>
      <c r="D59" s="65" t="s">
        <v>131</v>
      </c>
    </row>
    <row r="60" spans="2:5" x14ac:dyDescent="0.45">
      <c r="B60" s="65" t="s">
        <v>145</v>
      </c>
      <c r="C60" s="111">
        <v>1223</v>
      </c>
      <c r="D60" s="66">
        <f>+C60</f>
        <v>1223</v>
      </c>
      <c r="E60" s="66"/>
    </row>
    <row r="61" spans="2:5" x14ac:dyDescent="0.45">
      <c r="B61" s="65" t="s">
        <v>144</v>
      </c>
      <c r="C61" s="110">
        <v>2174</v>
      </c>
      <c r="D61" s="67">
        <f>+C61</f>
        <v>2174</v>
      </c>
      <c r="E61" s="67"/>
    </row>
    <row r="62" spans="2:5" x14ac:dyDescent="0.45">
      <c r="B62" s="65" t="s">
        <v>143</v>
      </c>
      <c r="C62" s="110">
        <v>4002</v>
      </c>
      <c r="D62" s="67">
        <f t="shared" ref="D62:D63" si="5">+C62</f>
        <v>4002</v>
      </c>
      <c r="E62" s="67"/>
    </row>
    <row r="63" spans="2:5" x14ac:dyDescent="0.45">
      <c r="B63" s="65" t="s">
        <v>142</v>
      </c>
      <c r="C63" s="60" t="s">
        <v>146</v>
      </c>
      <c r="D63" s="67" t="str">
        <f t="shared" si="5"/>
        <v>Actual Cost</v>
      </c>
      <c r="E63" s="67"/>
    </row>
    <row r="65" spans="2:6" x14ac:dyDescent="0.45">
      <c r="B65" s="56" t="s">
        <v>148</v>
      </c>
      <c r="C65" s="111">
        <v>56</v>
      </c>
      <c r="D65" s="66">
        <f>+C65</f>
        <v>56</v>
      </c>
      <c r="E65" s="66"/>
    </row>
    <row r="66" spans="2:6" x14ac:dyDescent="0.45">
      <c r="B66" s="56" t="s">
        <v>149</v>
      </c>
      <c r="C66" s="111">
        <v>12</v>
      </c>
      <c r="D66" s="66">
        <f>+C66</f>
        <v>12</v>
      </c>
      <c r="E66" s="66"/>
    </row>
    <row r="67" spans="2:6" x14ac:dyDescent="0.45">
      <c r="B67" s="56" t="s">
        <v>150</v>
      </c>
      <c r="C67" s="111">
        <v>25</v>
      </c>
      <c r="D67" s="66">
        <f>+C67</f>
        <v>25</v>
      </c>
      <c r="E67" s="66"/>
    </row>
    <row r="68" spans="2:6" x14ac:dyDescent="0.45">
      <c r="B68" s="56" t="s">
        <v>151</v>
      </c>
      <c r="C68" s="111">
        <v>28</v>
      </c>
      <c r="D68" s="66">
        <f>+C68</f>
        <v>28</v>
      </c>
      <c r="E68" s="66"/>
    </row>
    <row r="69" spans="2:6" x14ac:dyDescent="0.45">
      <c r="B69" s="56" t="s">
        <v>73</v>
      </c>
      <c r="C69" s="114">
        <v>0.05</v>
      </c>
      <c r="D69" s="115">
        <v>0.05</v>
      </c>
      <c r="E69" s="115"/>
      <c r="F69" s="56" t="s">
        <v>152</v>
      </c>
    </row>
  </sheetData>
  <mergeCells count="5">
    <mergeCell ref="B5:D5"/>
    <mergeCell ref="B32:D32"/>
    <mergeCell ref="B44:D44"/>
    <mergeCell ref="B50:D50"/>
    <mergeCell ref="G5:I5"/>
  </mergeCells>
  <pageMargins left="1" right="1" top="0.75" bottom="0.75" header="0.3" footer="0.3"/>
  <pageSetup scale="84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D31C8-3157-43E1-BD5E-27A7C910DDAB}">
  <dimension ref="A1:P181"/>
  <sheetViews>
    <sheetView zoomScale="80" zoomScaleNormal="80" workbookViewId="0">
      <selection sqref="A1:H1"/>
    </sheetView>
  </sheetViews>
  <sheetFormatPr defaultColWidth="9.1328125" defaultRowHeight="14.25" x14ac:dyDescent="0.45"/>
  <cols>
    <col min="1" max="1" width="9.86328125" style="124" bestFit="1" customWidth="1"/>
    <col min="2" max="2" width="33.73046875" style="124" customWidth="1"/>
    <col min="3" max="3" width="18" style="124" customWidth="1"/>
    <col min="4" max="4" width="15.73046875" style="124" customWidth="1"/>
    <col min="5" max="5" width="13.73046875" style="124" customWidth="1"/>
    <col min="6" max="6" width="14.73046875" style="124" customWidth="1"/>
    <col min="7" max="7" width="14.86328125" style="124" customWidth="1"/>
    <col min="8" max="8" width="13.86328125" style="124" customWidth="1"/>
    <col min="9" max="9" width="2.73046875" style="124" customWidth="1"/>
    <col min="10" max="11" width="9.1328125" style="124"/>
    <col min="12" max="12" width="15.86328125" style="124" bestFit="1" customWidth="1"/>
    <col min="13" max="13" width="10.59765625" style="124" bestFit="1" customWidth="1"/>
    <col min="14" max="15" width="9.1328125" style="124"/>
    <col min="16" max="16" width="15.86328125" style="124" bestFit="1" customWidth="1"/>
    <col min="17" max="16384" width="9.1328125" style="124"/>
  </cols>
  <sheetData>
    <row r="1" spans="1:8" x14ac:dyDescent="0.45">
      <c r="A1" s="159" t="s">
        <v>233</v>
      </c>
      <c r="B1" s="159"/>
      <c r="C1" s="159"/>
      <c r="D1" s="159"/>
      <c r="E1" s="159"/>
      <c r="F1" s="159"/>
      <c r="G1" s="159"/>
      <c r="H1" s="159"/>
    </row>
    <row r="2" spans="1:8" x14ac:dyDescent="0.45">
      <c r="A2" s="159" t="s">
        <v>235</v>
      </c>
      <c r="B2" s="159"/>
      <c r="C2" s="159"/>
      <c r="D2" s="159"/>
      <c r="E2" s="159"/>
      <c r="F2" s="159"/>
      <c r="G2" s="159"/>
      <c r="H2" s="159"/>
    </row>
    <row r="3" spans="1:8" x14ac:dyDescent="0.45">
      <c r="A3" s="159" t="s">
        <v>172</v>
      </c>
      <c r="B3" s="159"/>
      <c r="C3" s="159"/>
      <c r="D3" s="159"/>
      <c r="E3" s="159"/>
      <c r="F3" s="159"/>
      <c r="G3" s="159"/>
      <c r="H3" s="159"/>
    </row>
    <row r="4" spans="1:8" x14ac:dyDescent="0.45">
      <c r="A4" s="159" t="s">
        <v>237</v>
      </c>
      <c r="B4" s="159"/>
      <c r="C4" s="159"/>
      <c r="D4" s="159"/>
      <c r="E4" s="159"/>
      <c r="F4" s="159"/>
      <c r="G4" s="159"/>
      <c r="H4" s="159"/>
    </row>
    <row r="5" spans="1:8" x14ac:dyDescent="0.45">
      <c r="A5" s="125"/>
      <c r="B5" s="125"/>
      <c r="C5" s="125"/>
      <c r="D5" s="125"/>
      <c r="E5" s="125"/>
      <c r="F5" s="125"/>
      <c r="G5" s="125"/>
    </row>
    <row r="6" spans="1:8" x14ac:dyDescent="0.45">
      <c r="A6" s="126"/>
      <c r="B6" s="126"/>
      <c r="C6" s="126"/>
      <c r="D6" s="126"/>
      <c r="E6" s="126"/>
      <c r="F6" s="126"/>
      <c r="G6" s="126"/>
      <c r="H6" s="127" t="s">
        <v>173</v>
      </c>
    </row>
    <row r="7" spans="1:8" x14ac:dyDescent="0.45">
      <c r="A7" s="126"/>
      <c r="B7" s="126"/>
      <c r="C7" s="126"/>
      <c r="D7" s="126"/>
      <c r="E7" s="126"/>
      <c r="F7" s="126"/>
      <c r="G7" s="126"/>
      <c r="H7" s="10"/>
    </row>
    <row r="8" spans="1:8" x14ac:dyDescent="0.45">
      <c r="A8" s="126" t="s">
        <v>232</v>
      </c>
      <c r="H8" s="10"/>
    </row>
    <row r="9" spans="1:8" x14ac:dyDescent="0.45">
      <c r="A9" s="125"/>
      <c r="B9" s="125"/>
      <c r="C9" s="128"/>
      <c r="D9" s="123"/>
      <c r="E9" s="128"/>
      <c r="F9" s="128"/>
      <c r="G9" s="128"/>
    </row>
    <row r="10" spans="1:8" x14ac:dyDescent="0.45">
      <c r="A10" s="125"/>
      <c r="B10" s="125"/>
      <c r="C10" s="123" t="s">
        <v>174</v>
      </c>
      <c r="D10" s="123" t="s">
        <v>175</v>
      </c>
      <c r="E10" s="123" t="s">
        <v>176</v>
      </c>
      <c r="F10" s="123" t="s">
        <v>93</v>
      </c>
      <c r="G10" s="123" t="s">
        <v>176</v>
      </c>
      <c r="H10" s="123" t="s">
        <v>93</v>
      </c>
    </row>
    <row r="11" spans="1:8" x14ac:dyDescent="0.45">
      <c r="A11" s="123" t="s">
        <v>177</v>
      </c>
      <c r="B11" s="125"/>
      <c r="C11" s="123" t="s">
        <v>178</v>
      </c>
      <c r="D11" s="123" t="s">
        <v>179</v>
      </c>
      <c r="E11" s="123" t="s">
        <v>180</v>
      </c>
      <c r="F11" s="123" t="s">
        <v>181</v>
      </c>
      <c r="G11" s="123" t="s">
        <v>182</v>
      </c>
      <c r="H11" s="123" t="s">
        <v>183</v>
      </c>
    </row>
    <row r="12" spans="1:8" x14ac:dyDescent="0.45">
      <c r="A12" s="129" t="s">
        <v>184</v>
      </c>
      <c r="B12" s="129" t="s">
        <v>2</v>
      </c>
      <c r="C12" s="129" t="s">
        <v>185</v>
      </c>
      <c r="D12" s="130">
        <v>45199</v>
      </c>
      <c r="E12" s="129" t="s">
        <v>186</v>
      </c>
      <c r="F12" s="129" t="s">
        <v>186</v>
      </c>
      <c r="G12" s="129" t="s">
        <v>186</v>
      </c>
      <c r="H12" s="129" t="s">
        <v>186</v>
      </c>
    </row>
    <row r="13" spans="1:8" x14ac:dyDescent="0.45">
      <c r="A13" s="128">
        <v>1</v>
      </c>
      <c r="B13" s="125"/>
      <c r="C13" s="125"/>
      <c r="D13" s="131"/>
      <c r="E13" s="131"/>
      <c r="F13" s="131"/>
      <c r="G13" s="131"/>
      <c r="H13" s="131"/>
    </row>
    <row r="14" spans="1:8" x14ac:dyDescent="0.45">
      <c r="A14" s="128">
        <f>+A13+1</f>
        <v>2</v>
      </c>
      <c r="B14" s="126" t="s">
        <v>187</v>
      </c>
      <c r="C14" s="125"/>
      <c r="D14" s="131"/>
      <c r="E14" s="131"/>
      <c r="F14" s="132" t="s">
        <v>85</v>
      </c>
      <c r="G14" s="131" t="s">
        <v>85</v>
      </c>
      <c r="H14" s="131"/>
    </row>
    <row r="15" spans="1:8" x14ac:dyDescent="0.45">
      <c r="A15" s="128">
        <f t="shared" ref="A15:A42" si="0">+A14+1</f>
        <v>3</v>
      </c>
      <c r="B15" s="125" t="s">
        <v>188</v>
      </c>
      <c r="C15" s="125" t="s">
        <v>201</v>
      </c>
      <c r="D15" s="133">
        <f>+'Sch M2-M3'!G16</f>
        <v>58192952</v>
      </c>
      <c r="E15" s="133">
        <f t="shared" ref="E15:G22" si="1">ROUND(F15-D15,0)</f>
        <v>-1309117</v>
      </c>
      <c r="F15" s="133">
        <f>+'Sch M2-M3'!Q16</f>
        <v>56883835</v>
      </c>
      <c r="G15" s="133">
        <f t="shared" si="1"/>
        <v>10051123</v>
      </c>
      <c r="H15" s="133">
        <f>+'Sch M2-M3'!V16</f>
        <v>66934958</v>
      </c>
    </row>
    <row r="16" spans="1:8" x14ac:dyDescent="0.45">
      <c r="A16" s="128">
        <f t="shared" si="0"/>
        <v>4</v>
      </c>
      <c r="B16" s="125" t="s">
        <v>189</v>
      </c>
      <c r="C16" s="125" t="str">
        <f>C15</f>
        <v>Schedule M2-M3</v>
      </c>
      <c r="D16" s="131">
        <f>+'Sch M2-M3'!G17</f>
        <v>27527092</v>
      </c>
      <c r="E16" s="131">
        <f t="shared" si="1"/>
        <v>-279213</v>
      </c>
      <c r="F16" s="131">
        <f>+'Sch M2-M3'!Q17</f>
        <v>27247879</v>
      </c>
      <c r="G16" s="131">
        <f t="shared" si="1"/>
        <v>4816371</v>
      </c>
      <c r="H16" s="131">
        <f>+'Sch M2-M3'!V17</f>
        <v>32064250</v>
      </c>
    </row>
    <row r="17" spans="1:13" x14ac:dyDescent="0.45">
      <c r="A17" s="128">
        <f t="shared" si="0"/>
        <v>5</v>
      </c>
      <c r="B17" s="125" t="s">
        <v>190</v>
      </c>
      <c r="C17" s="125" t="str">
        <f t="shared" ref="C17:C22" si="2">C16</f>
        <v>Schedule M2-M3</v>
      </c>
      <c r="D17" s="131">
        <f>+'Sch M2-M3'!G18</f>
        <v>2620953</v>
      </c>
      <c r="E17" s="131">
        <f t="shared" si="1"/>
        <v>2337</v>
      </c>
      <c r="F17" s="131">
        <f>+'Sch M2-M3'!Q18</f>
        <v>2623290</v>
      </c>
      <c r="G17" s="131">
        <f t="shared" si="1"/>
        <v>463829</v>
      </c>
      <c r="H17" s="131">
        <f>+'Sch M2-M3'!V18</f>
        <v>3087119</v>
      </c>
    </row>
    <row r="18" spans="1:13" x14ac:dyDescent="0.45">
      <c r="A18" s="128">
        <f t="shared" si="0"/>
        <v>6</v>
      </c>
      <c r="B18" s="125" t="s">
        <v>191</v>
      </c>
      <c r="C18" s="125" t="str">
        <f t="shared" si="2"/>
        <v>Schedule M2-M3</v>
      </c>
      <c r="D18" s="131">
        <f>+'Sch M2-M3'!G19</f>
        <v>6824835</v>
      </c>
      <c r="E18" s="131">
        <f t="shared" si="1"/>
        <v>-6895</v>
      </c>
      <c r="F18" s="131">
        <f>+'Sch M2-M3'!Q19</f>
        <v>6817940</v>
      </c>
      <c r="G18" s="131">
        <f t="shared" si="1"/>
        <v>1205297</v>
      </c>
      <c r="H18" s="131">
        <f>+'Sch M2-M3'!V19</f>
        <v>8023237</v>
      </c>
    </row>
    <row r="19" spans="1:13" x14ac:dyDescent="0.45">
      <c r="A19" s="128">
        <f t="shared" si="0"/>
        <v>7</v>
      </c>
      <c r="B19" s="125" t="s">
        <v>192</v>
      </c>
      <c r="C19" s="125" t="str">
        <f t="shared" si="2"/>
        <v>Schedule M2-M3</v>
      </c>
      <c r="D19" s="131">
        <f>+'Sch M2-M3'!G20</f>
        <v>1302863</v>
      </c>
      <c r="E19" s="131">
        <f t="shared" si="1"/>
        <v>-133457</v>
      </c>
      <c r="F19" s="131">
        <f>+'Sch M2-M3'!Q20</f>
        <v>1169406</v>
      </c>
      <c r="G19" s="131">
        <f t="shared" si="1"/>
        <v>183696</v>
      </c>
      <c r="H19" s="131">
        <f>+'Sch M2-M3'!V20</f>
        <v>1353102</v>
      </c>
    </row>
    <row r="20" spans="1:13" x14ac:dyDescent="0.45">
      <c r="A20" s="128">
        <f t="shared" si="0"/>
        <v>8</v>
      </c>
      <c r="B20" s="125" t="s">
        <v>193</v>
      </c>
      <c r="C20" s="125" t="str">
        <f t="shared" si="2"/>
        <v>Schedule M2-M3</v>
      </c>
      <c r="D20" s="131">
        <f>+'Sch M2-M3'!G21</f>
        <v>3198791</v>
      </c>
      <c r="E20" s="131">
        <f t="shared" si="1"/>
        <v>24061</v>
      </c>
      <c r="F20" s="131">
        <f>+'Sch M2-M3'!Q21</f>
        <v>3222852</v>
      </c>
      <c r="G20" s="131">
        <f t="shared" si="1"/>
        <v>568845</v>
      </c>
      <c r="H20" s="131">
        <f>+'Sch M2-M3'!V21</f>
        <v>3791697</v>
      </c>
    </row>
    <row r="21" spans="1:13" x14ac:dyDescent="0.45">
      <c r="A21" s="128">
        <f t="shared" si="0"/>
        <v>9</v>
      </c>
      <c r="B21" s="125" t="s">
        <v>194</v>
      </c>
      <c r="C21" s="125" t="str">
        <f t="shared" si="2"/>
        <v>Schedule M2-M3</v>
      </c>
      <c r="D21" s="131">
        <f>+'Sch M2-M3'!G22</f>
        <v>4450623</v>
      </c>
      <c r="E21" s="131">
        <f>ROUND(F21-D21,0)</f>
        <v>26211</v>
      </c>
      <c r="F21" s="131">
        <f>+'Sch M2-M3'!Q22</f>
        <v>4476834</v>
      </c>
      <c r="G21" s="131">
        <f>ROUND(H21-F21,0)</f>
        <v>790161</v>
      </c>
      <c r="H21" s="131">
        <f>+'Sch M2-M3'!V22</f>
        <v>5266995</v>
      </c>
    </row>
    <row r="22" spans="1:13" x14ac:dyDescent="0.45">
      <c r="A22" s="128">
        <f t="shared" si="0"/>
        <v>10</v>
      </c>
      <c r="B22" s="125" t="s">
        <v>195</v>
      </c>
      <c r="C22" s="125" t="str">
        <f t="shared" si="2"/>
        <v>Schedule M2-M3</v>
      </c>
      <c r="D22" s="131">
        <f>+'Sch M2-M3'!G23</f>
        <v>119692</v>
      </c>
      <c r="E22" s="131">
        <f t="shared" si="1"/>
        <v>-22840</v>
      </c>
      <c r="F22" s="131">
        <f>+'Sch M2-M3'!Q23</f>
        <v>96852</v>
      </c>
      <c r="G22" s="131">
        <f t="shared" si="1"/>
        <v>17104</v>
      </c>
      <c r="H22" s="131">
        <f>+'Sch M2-M3'!V23</f>
        <v>113956</v>
      </c>
    </row>
    <row r="23" spans="1:13" x14ac:dyDescent="0.45">
      <c r="A23" s="128">
        <f t="shared" si="0"/>
        <v>11</v>
      </c>
      <c r="B23" s="125"/>
      <c r="C23" s="125"/>
      <c r="D23" s="131"/>
      <c r="E23" s="131"/>
      <c r="F23" s="131"/>
      <c r="G23" s="131"/>
      <c r="H23" s="131"/>
      <c r="M23" s="124" t="s">
        <v>234</v>
      </c>
    </row>
    <row r="24" spans="1:13" x14ac:dyDescent="0.45">
      <c r="A24" s="128">
        <f t="shared" si="0"/>
        <v>12</v>
      </c>
      <c r="B24" s="126" t="s">
        <v>196</v>
      </c>
      <c r="C24" s="125"/>
      <c r="D24" s="134">
        <f t="shared" ref="D24:H24" si="3">SUM(D15:D23)</f>
        <v>104237801</v>
      </c>
      <c r="E24" s="134">
        <f>SUM(E15:E23)</f>
        <v>-1698913</v>
      </c>
      <c r="F24" s="134">
        <f t="shared" si="3"/>
        <v>102538888</v>
      </c>
      <c r="G24" s="134">
        <f t="shared" si="3"/>
        <v>18096426</v>
      </c>
      <c r="H24" s="134">
        <f t="shared" si="3"/>
        <v>120635314</v>
      </c>
      <c r="L24" s="154">
        <f>'[1]Page 3'!$K$17</f>
        <v>120635313.9827612</v>
      </c>
      <c r="M24" s="3">
        <f>H24-L24</f>
        <v>1.7238795757293701E-2</v>
      </c>
    </row>
    <row r="25" spans="1:13" x14ac:dyDescent="0.45">
      <c r="A25" s="128">
        <f t="shared" si="0"/>
        <v>13</v>
      </c>
      <c r="B25" s="125"/>
      <c r="C25" s="125" t="s">
        <v>197</v>
      </c>
      <c r="D25" s="134"/>
      <c r="E25" s="134"/>
      <c r="F25" s="134"/>
      <c r="G25" s="134"/>
      <c r="H25" s="134"/>
      <c r="L25" s="3"/>
      <c r="M25" s="3"/>
    </row>
    <row r="26" spans="1:13" x14ac:dyDescent="0.45">
      <c r="A26" s="128">
        <f t="shared" si="0"/>
        <v>14</v>
      </c>
      <c r="B26" s="125"/>
      <c r="C26" s="125"/>
      <c r="D26" s="131"/>
      <c r="E26" s="131"/>
      <c r="F26" s="131"/>
      <c r="G26" s="131"/>
      <c r="H26" s="131"/>
    </row>
    <row r="27" spans="1:13" x14ac:dyDescent="0.45">
      <c r="A27" s="128">
        <f t="shared" si="0"/>
        <v>15</v>
      </c>
      <c r="B27" s="126" t="s">
        <v>198</v>
      </c>
      <c r="C27" s="125"/>
      <c r="D27" s="131"/>
      <c r="E27" s="131"/>
      <c r="F27" s="131"/>
      <c r="G27" s="131"/>
      <c r="H27" s="131"/>
    </row>
    <row r="28" spans="1:13" x14ac:dyDescent="0.45">
      <c r="A28" s="128">
        <f t="shared" si="0"/>
        <v>16</v>
      </c>
      <c r="B28" s="125"/>
      <c r="C28" s="125"/>
      <c r="D28" s="131"/>
      <c r="E28" s="131"/>
      <c r="F28" s="131"/>
      <c r="G28" s="131"/>
      <c r="H28" s="131"/>
    </row>
    <row r="29" spans="1:13" x14ac:dyDescent="0.45">
      <c r="A29" s="128">
        <f t="shared" si="0"/>
        <v>17</v>
      </c>
      <c r="B29" s="125" t="s">
        <v>73</v>
      </c>
      <c r="C29" s="125" t="str">
        <f>+C22</f>
        <v>Schedule M2-M3</v>
      </c>
      <c r="D29" s="133">
        <f>+'Sch M2-M3'!G28</f>
        <v>809820.49133746536</v>
      </c>
      <c r="E29" s="133">
        <f t="shared" ref="E29:E36" si="4">ROUND(F29-D29,0)</f>
        <v>8124</v>
      </c>
      <c r="F29" s="133">
        <f>+'Sch M2-M3'!Q28</f>
        <v>817944.75281864335</v>
      </c>
      <c r="G29" s="133">
        <f t="shared" ref="G29:G36" si="5">ROUND(H29-F29,0)</f>
        <v>0</v>
      </c>
      <c r="H29" s="133">
        <f>+'Sch M2-M3'!V28</f>
        <v>817944.75281864335</v>
      </c>
    </row>
    <row r="30" spans="1:13" x14ac:dyDescent="0.45">
      <c r="A30" s="128">
        <f t="shared" si="0"/>
        <v>18</v>
      </c>
      <c r="B30" s="125" t="s">
        <v>69</v>
      </c>
      <c r="C30" s="125" t="str">
        <f t="shared" ref="C30:C36" si="6">C29</f>
        <v>Schedule M2-M3</v>
      </c>
      <c r="D30" s="131">
        <f>+'Sch M2-M3'!G29</f>
        <v>164957.26</v>
      </c>
      <c r="E30" s="131">
        <f t="shared" si="4"/>
        <v>32606</v>
      </c>
      <c r="F30" s="131">
        <f>+'Sch M2-M3'!Q29</f>
        <v>197563.56000000003</v>
      </c>
      <c r="G30" s="131">
        <f t="shared" si="5"/>
        <v>0</v>
      </c>
      <c r="H30" s="131">
        <f>+'Sch M2-M3'!V29</f>
        <v>197563.56000000003</v>
      </c>
    </row>
    <row r="31" spans="1:13" x14ac:dyDescent="0.45">
      <c r="A31" s="128">
        <f t="shared" si="0"/>
        <v>19</v>
      </c>
      <c r="B31" s="125" t="s">
        <v>70</v>
      </c>
      <c r="C31" s="125" t="str">
        <f t="shared" si="6"/>
        <v>Schedule M2-M3</v>
      </c>
      <c r="D31" s="131">
        <f>+'Sch M2-M3'!G30</f>
        <v>207454.7699999999</v>
      </c>
      <c r="E31" s="131">
        <f t="shared" si="4"/>
        <v>17508</v>
      </c>
      <c r="F31" s="131">
        <f>+'Sch M2-M3'!Q30</f>
        <v>224963.03999999992</v>
      </c>
      <c r="G31" s="131">
        <f t="shared" si="5"/>
        <v>0</v>
      </c>
      <c r="H31" s="131">
        <f>+'Sch M2-M3'!V30</f>
        <v>224963.03999999992</v>
      </c>
    </row>
    <row r="32" spans="1:13" x14ac:dyDescent="0.45">
      <c r="A32" s="128">
        <f t="shared" si="0"/>
        <v>20</v>
      </c>
      <c r="B32" s="125" t="s">
        <v>74</v>
      </c>
      <c r="C32" s="125" t="str">
        <f t="shared" si="6"/>
        <v>Schedule M2-M3</v>
      </c>
      <c r="D32" s="131">
        <f>+'Sch M2-M3'!G31</f>
        <v>32388</v>
      </c>
      <c r="E32" s="131">
        <f t="shared" si="4"/>
        <v>-904</v>
      </c>
      <c r="F32" s="131">
        <f>+'Sch M2-M3'!Q31</f>
        <v>31484</v>
      </c>
      <c r="G32" s="131">
        <f t="shared" si="5"/>
        <v>0</v>
      </c>
      <c r="H32" s="131">
        <f>+'Sch M2-M3'!V31</f>
        <v>31484</v>
      </c>
    </row>
    <row r="33" spans="1:16" x14ac:dyDescent="0.45">
      <c r="A33" s="128">
        <f t="shared" si="0"/>
        <v>21</v>
      </c>
      <c r="B33" s="125" t="s">
        <v>77</v>
      </c>
      <c r="C33" s="125" t="str">
        <f t="shared" si="6"/>
        <v>Schedule M2-M3</v>
      </c>
      <c r="D33" s="131">
        <f>+'Sch M2-M3'!G32</f>
        <v>650498.23333333328</v>
      </c>
      <c r="E33" s="131">
        <f t="shared" si="4"/>
        <v>20914</v>
      </c>
      <c r="F33" s="131">
        <f>+'Sch M2-M3'!Q32</f>
        <v>671412.02333333332</v>
      </c>
      <c r="G33" s="131">
        <f t="shared" si="5"/>
        <v>0</v>
      </c>
      <c r="H33" s="131">
        <f>+'Sch M2-M3'!V32</f>
        <v>671412.02333333332</v>
      </c>
    </row>
    <row r="34" spans="1:16" x14ac:dyDescent="0.45">
      <c r="A34" s="128">
        <f t="shared" si="0"/>
        <v>22</v>
      </c>
      <c r="B34" s="125" t="s">
        <v>71</v>
      </c>
      <c r="C34" s="125" t="str">
        <f t="shared" si="6"/>
        <v>Schedule M2-M3</v>
      </c>
      <c r="D34" s="131">
        <f>+'Sch M2-M3'!G33</f>
        <v>59632.350000000006</v>
      </c>
      <c r="E34" s="131">
        <f t="shared" si="4"/>
        <v>381</v>
      </c>
      <c r="F34" s="131">
        <f>+'Sch M2-M3'!Q33</f>
        <v>60013.80000000001</v>
      </c>
      <c r="G34" s="131">
        <f t="shared" si="5"/>
        <v>0</v>
      </c>
      <c r="H34" s="131">
        <f>+'Sch M2-M3'!V33</f>
        <v>60013.80000000001</v>
      </c>
    </row>
    <row r="35" spans="1:16" x14ac:dyDescent="0.45">
      <c r="A35" s="128">
        <f t="shared" si="0"/>
        <v>23</v>
      </c>
      <c r="B35" s="125" t="s">
        <v>75</v>
      </c>
      <c r="C35" s="125" t="str">
        <f t="shared" si="6"/>
        <v>Schedule M2-M3</v>
      </c>
      <c r="D35" s="131">
        <f>+'Sch M2-M3'!G34</f>
        <v>475447.80333333334</v>
      </c>
      <c r="E35" s="131">
        <f t="shared" si="4"/>
        <v>3593</v>
      </c>
      <c r="F35" s="131">
        <f>+'Sch M2-M3'!Q34</f>
        <v>479040.70000000007</v>
      </c>
      <c r="G35" s="131">
        <f t="shared" si="5"/>
        <v>0</v>
      </c>
      <c r="H35" s="131">
        <f>+'Sch M2-M3'!V34</f>
        <v>479040.70000000007</v>
      </c>
    </row>
    <row r="36" spans="1:16" x14ac:dyDescent="0.45">
      <c r="A36" s="128">
        <f t="shared" si="0"/>
        <v>24</v>
      </c>
      <c r="B36" s="125" t="s">
        <v>76</v>
      </c>
      <c r="C36" s="125" t="str">
        <f t="shared" si="6"/>
        <v>Schedule M2-M3</v>
      </c>
      <c r="D36" s="131">
        <f>+'Sch M2-M3'!G35</f>
        <v>55128.719999999994</v>
      </c>
      <c r="E36" s="131">
        <f t="shared" si="4"/>
        <v>-32158</v>
      </c>
      <c r="F36" s="131">
        <f>+'Sch M2-M3'!Q35</f>
        <v>22970.300000000003</v>
      </c>
      <c r="G36" s="131">
        <f t="shared" si="5"/>
        <v>0</v>
      </c>
      <c r="H36" s="131">
        <f>+'Sch M2-M3'!V35</f>
        <v>22970.300000000003</v>
      </c>
    </row>
    <row r="37" spans="1:16" x14ac:dyDescent="0.45">
      <c r="A37" s="128">
        <f t="shared" si="0"/>
        <v>25</v>
      </c>
      <c r="B37" s="125"/>
      <c r="C37" s="125"/>
      <c r="D37" s="131"/>
      <c r="E37" s="131"/>
      <c r="F37" s="131"/>
      <c r="G37" s="131"/>
      <c r="H37" s="131"/>
    </row>
    <row r="38" spans="1:16" x14ac:dyDescent="0.45">
      <c r="A38" s="128">
        <f t="shared" si="0"/>
        <v>26</v>
      </c>
      <c r="B38" s="126" t="s">
        <v>199</v>
      </c>
      <c r="C38" s="125"/>
      <c r="D38" s="134">
        <f>SUM(D28:D37)</f>
        <v>2455327.6280041323</v>
      </c>
      <c r="E38" s="134">
        <f>SUM(E28:E37)</f>
        <v>50064</v>
      </c>
      <c r="F38" s="134">
        <f>SUM(F28:F37)</f>
        <v>2505392.1761519765</v>
      </c>
      <c r="G38" s="134">
        <f>SUM(G28:G37)</f>
        <v>0</v>
      </c>
      <c r="H38" s="134">
        <f>SUM(H28:H37)</f>
        <v>2505392.1761519765</v>
      </c>
    </row>
    <row r="39" spans="1:16" x14ac:dyDescent="0.45">
      <c r="A39" s="128">
        <f t="shared" si="0"/>
        <v>27</v>
      </c>
      <c r="B39" s="125"/>
      <c r="C39" s="125"/>
      <c r="D39" s="134"/>
      <c r="E39" s="134"/>
      <c r="F39" s="134"/>
      <c r="G39" s="134"/>
      <c r="H39" s="134"/>
    </row>
    <row r="40" spans="1:16" x14ac:dyDescent="0.45">
      <c r="A40" s="128">
        <f t="shared" si="0"/>
        <v>28</v>
      </c>
      <c r="B40" s="125"/>
      <c r="C40" s="125"/>
      <c r="D40" s="131"/>
      <c r="E40" s="131"/>
      <c r="F40" s="131"/>
      <c r="G40" s="131"/>
      <c r="H40" s="131"/>
      <c r="M40" s="124" t="s">
        <v>234</v>
      </c>
    </row>
    <row r="41" spans="1:16" ht="14.65" thickBot="1" x14ac:dyDescent="0.5">
      <c r="A41" s="128">
        <f t="shared" si="0"/>
        <v>29</v>
      </c>
      <c r="B41" s="126" t="s">
        <v>200</v>
      </c>
      <c r="C41" s="125"/>
      <c r="D41" s="135">
        <f>D24+D38</f>
        <v>106693128.62800413</v>
      </c>
      <c r="E41" s="135">
        <f>E24+E38</f>
        <v>-1648849</v>
      </c>
      <c r="F41" s="135">
        <f>F24+F38</f>
        <v>105044280.17615198</v>
      </c>
      <c r="G41" s="135">
        <f>G24+G38</f>
        <v>18096426</v>
      </c>
      <c r="H41" s="135">
        <f>H24+H38</f>
        <v>123140706.17615198</v>
      </c>
      <c r="L41" s="154">
        <f>'[1]Page 3'!$K$20</f>
        <v>123140706.61076534</v>
      </c>
      <c r="M41" s="3">
        <f>H41-L41</f>
        <v>-0.43461336195468903</v>
      </c>
      <c r="P41" s="154"/>
    </row>
    <row r="42" spans="1:16" ht="14.65" thickTop="1" x14ac:dyDescent="0.45">
      <c r="A42" s="128">
        <f t="shared" si="0"/>
        <v>30</v>
      </c>
      <c r="B42" s="125"/>
      <c r="C42" s="136"/>
      <c r="D42" s="137"/>
      <c r="E42" s="137"/>
      <c r="F42" s="137"/>
      <c r="G42" s="137"/>
      <c r="H42" s="137"/>
      <c r="L42" s="3"/>
      <c r="M42" s="3"/>
      <c r="P42" s="154"/>
    </row>
    <row r="43" spans="1:16" x14ac:dyDescent="0.45">
      <c r="A43" s="128"/>
      <c r="B43" s="125"/>
      <c r="C43" s="136"/>
      <c r="D43" s="138"/>
      <c r="E43" s="138"/>
      <c r="F43" s="138"/>
      <c r="G43" s="138"/>
      <c r="H43" s="138"/>
    </row>
    <row r="44" spans="1:16" x14ac:dyDescent="0.45">
      <c r="A44" s="128"/>
      <c r="B44" s="125"/>
      <c r="C44" s="136"/>
      <c r="D44" s="138"/>
      <c r="E44" s="138"/>
      <c r="F44" s="138"/>
      <c r="G44" s="138"/>
      <c r="H44" s="138"/>
    </row>
    <row r="45" spans="1:16" x14ac:dyDescent="0.45">
      <c r="A45" s="160" t="s">
        <v>233</v>
      </c>
      <c r="B45" s="160"/>
      <c r="C45" s="160"/>
      <c r="D45" s="160"/>
      <c r="E45" s="160"/>
      <c r="F45" s="160"/>
      <c r="G45" s="160"/>
      <c r="H45" s="160"/>
      <c r="I45" s="120"/>
    </row>
    <row r="46" spans="1:16" x14ac:dyDescent="0.45">
      <c r="A46" s="160" t="s">
        <v>235</v>
      </c>
      <c r="B46" s="160"/>
      <c r="C46" s="160"/>
      <c r="D46" s="160"/>
      <c r="E46" s="160"/>
      <c r="F46" s="160"/>
      <c r="G46" s="160"/>
      <c r="H46" s="160"/>
      <c r="I46" s="122"/>
    </row>
    <row r="47" spans="1:16" x14ac:dyDescent="0.45">
      <c r="A47" s="160" t="s">
        <v>172</v>
      </c>
      <c r="B47" s="160"/>
      <c r="C47" s="160"/>
      <c r="D47" s="160"/>
      <c r="E47" s="160"/>
      <c r="F47" s="160"/>
      <c r="G47" s="160"/>
      <c r="H47" s="160"/>
      <c r="I47" s="121"/>
    </row>
    <row r="48" spans="1:16" x14ac:dyDescent="0.45">
      <c r="A48" s="160" t="s">
        <v>202</v>
      </c>
      <c r="B48" s="160"/>
      <c r="C48" s="160"/>
      <c r="D48" s="160"/>
      <c r="E48" s="160"/>
      <c r="F48" s="160"/>
      <c r="G48" s="160"/>
      <c r="H48" s="160"/>
      <c r="I48" s="121"/>
    </row>
    <row r="49" spans="1:9" x14ac:dyDescent="0.45">
      <c r="A49" s="120"/>
      <c r="B49" s="120"/>
      <c r="C49" s="120"/>
      <c r="D49" s="120"/>
      <c r="E49" s="120"/>
      <c r="F49" s="120"/>
      <c r="G49" s="120"/>
      <c r="H49" s="120"/>
      <c r="I49" s="122"/>
    </row>
    <row r="50" spans="1:9" x14ac:dyDescent="0.45">
      <c r="A50" s="139"/>
      <c r="B50" s="120"/>
      <c r="C50" s="120"/>
      <c r="D50" s="120"/>
      <c r="E50" s="120"/>
      <c r="F50" s="120"/>
      <c r="G50" s="120"/>
      <c r="H50" s="140" t="str">
        <f>+H6</f>
        <v>Exhibit 37, Schedule M-1</v>
      </c>
      <c r="I50" s="120"/>
    </row>
    <row r="51" spans="1:9" x14ac:dyDescent="0.45">
      <c r="A51" s="139"/>
      <c r="B51" s="120"/>
      <c r="C51" s="120"/>
      <c r="D51" s="120"/>
      <c r="E51" s="120"/>
      <c r="F51" s="120"/>
      <c r="G51" s="120"/>
      <c r="H51" s="140"/>
      <c r="I51" s="120"/>
    </row>
    <row r="52" spans="1:9" x14ac:dyDescent="0.45">
      <c r="A52" s="139"/>
      <c r="B52" s="120"/>
      <c r="C52" s="120"/>
      <c r="D52" s="120"/>
      <c r="E52" s="120"/>
      <c r="F52" s="120"/>
      <c r="G52" s="120"/>
      <c r="H52" s="140"/>
      <c r="I52" s="120"/>
    </row>
    <row r="53" spans="1:9" x14ac:dyDescent="0.45">
      <c r="A53" s="120"/>
      <c r="B53" s="120"/>
      <c r="C53" s="120"/>
      <c r="D53" s="120"/>
      <c r="E53" s="120"/>
      <c r="F53" s="120"/>
      <c r="G53" s="120"/>
      <c r="H53" s="120"/>
      <c r="I53" s="120"/>
    </row>
    <row r="54" spans="1:9" x14ac:dyDescent="0.45">
      <c r="A54" s="141" t="s">
        <v>203</v>
      </c>
      <c r="B54" s="142"/>
      <c r="C54" s="141" t="s">
        <v>178</v>
      </c>
      <c r="D54" s="142"/>
      <c r="E54" s="142"/>
      <c r="F54" s="142"/>
      <c r="G54" s="141" t="s">
        <v>204</v>
      </c>
      <c r="H54" s="141" t="s">
        <v>205</v>
      </c>
      <c r="I54" s="120"/>
    </row>
    <row r="55" spans="1:9" x14ac:dyDescent="0.45">
      <c r="A55" s="143" t="s">
        <v>39</v>
      </c>
      <c r="B55" s="143" t="s">
        <v>176</v>
      </c>
      <c r="C55" s="143" t="s">
        <v>185</v>
      </c>
      <c r="D55" s="143" t="s">
        <v>3</v>
      </c>
      <c r="E55" s="143" t="s">
        <v>28</v>
      </c>
      <c r="F55" s="143" t="s">
        <v>4</v>
      </c>
      <c r="G55" s="143" t="s">
        <v>206</v>
      </c>
      <c r="H55" s="143" t="s">
        <v>207</v>
      </c>
      <c r="I55" s="120"/>
    </row>
    <row r="56" spans="1:9" x14ac:dyDescent="0.45">
      <c r="A56" s="120"/>
      <c r="B56" s="120"/>
      <c r="C56" s="120"/>
      <c r="D56" s="120"/>
      <c r="E56" s="120"/>
      <c r="F56" s="120"/>
      <c r="G56" s="120"/>
      <c r="H56" s="120"/>
      <c r="I56" s="120"/>
    </row>
    <row r="57" spans="1:9" x14ac:dyDescent="0.45">
      <c r="A57" s="144">
        <v>1</v>
      </c>
      <c r="B57" s="120"/>
      <c r="C57" s="120"/>
      <c r="D57" s="120"/>
      <c r="E57" s="120"/>
      <c r="F57" s="120"/>
      <c r="G57" s="120"/>
      <c r="H57" s="120"/>
      <c r="I57" s="120"/>
    </row>
    <row r="58" spans="1:9" x14ac:dyDescent="0.45">
      <c r="A58" s="144">
        <v>2</v>
      </c>
      <c r="B58" s="145" t="s">
        <v>213</v>
      </c>
      <c r="C58" s="146" t="str">
        <f>+C15</f>
        <v>Schedule M2-M3</v>
      </c>
      <c r="D58" s="147">
        <f>SUM('Sch M2-M3'!Q59:Q67)-SUM('Sch M2-M3'!G59:G67)</f>
        <v>-23118.119999997318</v>
      </c>
      <c r="E58" s="147">
        <f>SUM('Sch M2-M3'!Q106:Q114)-SUM('Sch M2-M3'!G106:G114)</f>
        <v>56666.090000000782</v>
      </c>
      <c r="F58" s="147">
        <f>SUM('Sch M2-M3'!Q148:Q156)-SUM('Sch M2-M3'!G148:G156)</f>
        <v>-5380.3999999999651</v>
      </c>
      <c r="G58" s="147">
        <f>SUM('Sch M2-M3'!Q190:Q198)-SUM('Sch M2-M3'!G190:G198)</f>
        <v>-28710.059999999939</v>
      </c>
      <c r="H58" s="147">
        <f>SUM('Sch M2-M3'!Q232:Q240)-SUM('Sch M2-M3'!G232:G240)</f>
        <v>1335.2400000000052</v>
      </c>
      <c r="I58" s="120"/>
    </row>
    <row r="59" spans="1:9" x14ac:dyDescent="0.45">
      <c r="A59" s="144">
        <v>3</v>
      </c>
      <c r="B59" s="120" t="s">
        <v>214</v>
      </c>
      <c r="C59" s="148" t="str">
        <f>+C58</f>
        <v>Schedule M2-M3</v>
      </c>
      <c r="D59" s="149">
        <f>+'Sch M2-M3'!Q75-'Sch M2-M3'!G75</f>
        <v>-1285998.2100000009</v>
      </c>
      <c r="E59" s="149">
        <f>+'Sch M2-M3'!Q120-'Sch M2-M3'!G120</f>
        <v>-335878.86999999732</v>
      </c>
      <c r="F59" s="149">
        <f>+'Sch M2-M3'!Q162-'Sch M2-M3'!G162</f>
        <v>7717.5</v>
      </c>
      <c r="G59" s="149">
        <f>+'Sch M2-M3'!Q204-'Sch M2-M3'!G204</f>
        <v>21815.419999999925</v>
      </c>
      <c r="H59" s="149">
        <f>SUM('Sch M2-M3'!Q244:Q250)-SUM('Sch M2-M3'!G244:G250)</f>
        <v>-134792.12999999989</v>
      </c>
      <c r="I59" s="120"/>
    </row>
    <row r="60" spans="1:9" x14ac:dyDescent="0.45">
      <c r="A60" s="144">
        <v>4</v>
      </c>
      <c r="B60" s="120" t="s">
        <v>215</v>
      </c>
      <c r="C60" s="148" t="str">
        <f>+C59</f>
        <v>Schedule M2-M3</v>
      </c>
      <c r="D60" s="149">
        <f>+'Sch M2-M3'!Q82-'Sch M2-M3'!G82</f>
        <v>0</v>
      </c>
      <c r="E60" s="149">
        <f>+'Sch M2-M3'!Q124-'Sch M2-M3'!G124</f>
        <v>0</v>
      </c>
      <c r="F60" s="149">
        <f>+'Sch M2-M3'!Q166-'Sch M2-M3'!G166</f>
        <v>0</v>
      </c>
      <c r="G60" s="149">
        <f>+'Sch M2-M3'!Q208-'Sch M2-M3'!G208</f>
        <v>0</v>
      </c>
      <c r="H60" s="149">
        <f>+'Sch M2-M3'!Q252-'Sch M2-M3'!G252</f>
        <v>0</v>
      </c>
      <c r="I60" s="120"/>
    </row>
    <row r="61" spans="1:9" x14ac:dyDescent="0.45">
      <c r="A61" s="144">
        <v>5</v>
      </c>
      <c r="B61" s="120"/>
      <c r="C61" s="120"/>
      <c r="D61" s="149"/>
      <c r="E61" s="149"/>
      <c r="F61" s="149"/>
      <c r="G61" s="149"/>
      <c r="H61" s="149"/>
      <c r="I61" s="120"/>
    </row>
    <row r="62" spans="1:9" x14ac:dyDescent="0.45">
      <c r="A62" s="144">
        <v>6</v>
      </c>
      <c r="B62" s="120"/>
      <c r="C62" s="120"/>
      <c r="D62" s="149"/>
      <c r="E62" s="149"/>
      <c r="F62" s="149"/>
      <c r="G62" s="149"/>
      <c r="H62" s="149"/>
      <c r="I62" s="120"/>
    </row>
    <row r="63" spans="1:9" ht="14.65" thickBot="1" x14ac:dyDescent="0.5">
      <c r="A63" s="144">
        <v>7</v>
      </c>
      <c r="B63" s="120" t="s">
        <v>1</v>
      </c>
      <c r="C63" s="120"/>
      <c r="D63" s="150">
        <f>SUM(D58:D62)</f>
        <v>-1309116.3299999982</v>
      </c>
      <c r="E63" s="150">
        <f>SUM(E58:E62)</f>
        <v>-279212.77999999654</v>
      </c>
      <c r="F63" s="150">
        <f>SUM(F58:F62)</f>
        <v>2337.1000000000349</v>
      </c>
      <c r="G63" s="150">
        <f>SUM(G58:G62)</f>
        <v>-6894.640000000014</v>
      </c>
      <c r="H63" s="150">
        <f>SUM(H58:H62)</f>
        <v>-133456.8899999999</v>
      </c>
      <c r="I63" s="120"/>
    </row>
    <row r="64" spans="1:9" ht="14.65" thickTop="1" x14ac:dyDescent="0.45">
      <c r="A64" s="144">
        <v>8</v>
      </c>
      <c r="B64" s="160"/>
      <c r="C64" s="160"/>
      <c r="D64" s="160"/>
      <c r="E64" s="160"/>
      <c r="F64" s="160"/>
      <c r="G64" s="160"/>
      <c r="H64" s="160"/>
      <c r="I64" s="160"/>
    </row>
    <row r="65" spans="1:9" x14ac:dyDescent="0.45">
      <c r="A65" s="144">
        <v>9</v>
      </c>
      <c r="B65" s="121"/>
      <c r="C65" s="121"/>
      <c r="D65" s="121"/>
      <c r="E65" s="121"/>
      <c r="F65" s="121"/>
      <c r="G65" s="121"/>
      <c r="H65" s="121"/>
      <c r="I65" s="121"/>
    </row>
    <row r="66" spans="1:9" x14ac:dyDescent="0.45">
      <c r="A66" s="144">
        <v>10</v>
      </c>
      <c r="B66" s="121"/>
      <c r="C66" s="121"/>
      <c r="D66" s="121"/>
      <c r="E66" s="121"/>
      <c r="F66" s="121"/>
      <c r="G66" s="121"/>
      <c r="H66" s="121"/>
      <c r="I66" s="121"/>
    </row>
    <row r="67" spans="1:9" x14ac:dyDescent="0.45">
      <c r="A67" s="144">
        <v>11</v>
      </c>
      <c r="B67" s="121"/>
      <c r="C67" s="121"/>
      <c r="D67" s="141" t="s">
        <v>208</v>
      </c>
      <c r="E67" s="141" t="s">
        <v>209</v>
      </c>
      <c r="F67" s="141"/>
      <c r="G67" s="141" t="s">
        <v>210</v>
      </c>
      <c r="H67" s="120"/>
      <c r="I67" s="121"/>
    </row>
    <row r="68" spans="1:9" x14ac:dyDescent="0.45">
      <c r="A68" s="144">
        <v>12</v>
      </c>
      <c r="B68" s="121"/>
      <c r="C68" s="121"/>
      <c r="D68" s="143" t="s">
        <v>211</v>
      </c>
      <c r="E68" s="143" t="s">
        <v>211</v>
      </c>
      <c r="F68" s="143" t="s">
        <v>72</v>
      </c>
      <c r="G68" s="143" t="s">
        <v>212</v>
      </c>
      <c r="H68" s="143" t="s">
        <v>1</v>
      </c>
      <c r="I68" s="121"/>
    </row>
    <row r="69" spans="1:9" x14ac:dyDescent="0.45">
      <c r="A69" s="144">
        <v>13</v>
      </c>
      <c r="B69" s="151"/>
      <c r="C69" s="151"/>
      <c r="D69" s="120"/>
      <c r="E69" s="120"/>
      <c r="F69" s="120"/>
      <c r="G69" s="120"/>
      <c r="H69" s="120"/>
      <c r="I69" s="121"/>
    </row>
    <row r="70" spans="1:9" x14ac:dyDescent="0.45">
      <c r="A70" s="144">
        <v>14</v>
      </c>
      <c r="B70" s="151"/>
      <c r="C70" s="151"/>
      <c r="D70" s="120"/>
      <c r="E70" s="120"/>
      <c r="F70" s="120"/>
      <c r="G70" s="120"/>
      <c r="H70" s="120"/>
      <c r="I70" s="121"/>
    </row>
    <row r="71" spans="1:9" x14ac:dyDescent="0.45">
      <c r="A71" s="144">
        <v>15</v>
      </c>
      <c r="B71" s="145" t="s">
        <v>213</v>
      </c>
      <c r="C71" s="146" t="str">
        <f>C58</f>
        <v>Schedule M2-M3</v>
      </c>
      <c r="D71" s="147">
        <f>ROUND(SUM('Sch M2-M3'!Q316:Q328)-SUM('Sch M2-M3'!G316:G328),0)</f>
        <v>41269</v>
      </c>
      <c r="E71" s="147">
        <f>+'Sch M2-M3'!Q341-'Sch M2-M3'!G341</f>
        <v>26210.719999999739</v>
      </c>
      <c r="F71" s="147">
        <f>SUM('Sch M2-M3'!Q274:Q282)-SUM('Sch M2-M3'!G274:G282)</f>
        <v>-1890.8999999999942</v>
      </c>
      <c r="G71" s="147">
        <v>0</v>
      </c>
      <c r="H71" s="147">
        <f>SUM(D58:H58,D71:G71)</f>
        <v>66381.57000000331</v>
      </c>
      <c r="I71" s="121"/>
    </row>
    <row r="72" spans="1:9" x14ac:dyDescent="0.45">
      <c r="A72" s="144">
        <v>16</v>
      </c>
      <c r="B72" s="120" t="s">
        <v>214</v>
      </c>
      <c r="C72" s="148" t="str">
        <f>+C71</f>
        <v>Schedule M2-M3</v>
      </c>
      <c r="D72" s="149">
        <f>+'Sch M2-M3'!Q333-'Sch M2-M3'!G333</f>
        <v>-17207.29</v>
      </c>
      <c r="E72" s="149"/>
      <c r="F72" s="149">
        <f>+'Sch M2-M3'!Q288-'Sch M2-M3'!G288</f>
        <v>-20949.32</v>
      </c>
      <c r="G72" s="149"/>
      <c r="H72" s="147">
        <f>SUM(D59:H59,D72:G72)</f>
        <v>-1765292.8999999983</v>
      </c>
      <c r="I72" s="121"/>
    </row>
    <row r="73" spans="1:9" x14ac:dyDescent="0.45">
      <c r="A73" s="144">
        <v>17</v>
      </c>
      <c r="B73" s="120" t="s">
        <v>215</v>
      </c>
      <c r="C73" s="148" t="str">
        <f>+C72</f>
        <v>Schedule M2-M3</v>
      </c>
      <c r="D73" s="149">
        <f>+'Sch M2-M3'!Q335-'Sch M2-M3'!G335</f>
        <v>0</v>
      </c>
      <c r="E73" s="149">
        <f>+'Sch M2-M3'!Q345-'Sch M2-M3'!G345</f>
        <v>0</v>
      </c>
      <c r="F73" s="149">
        <f>+'Sch M2-M3'!Q292-'Sch M2-M3'!G292</f>
        <v>0</v>
      </c>
      <c r="G73" s="149"/>
      <c r="H73" s="147">
        <f>SUM(D60:H60,D73:G73)</f>
        <v>0</v>
      </c>
      <c r="I73" s="121"/>
    </row>
    <row r="74" spans="1:9" x14ac:dyDescent="0.45">
      <c r="A74" s="144">
        <v>18</v>
      </c>
      <c r="B74" s="120"/>
      <c r="C74" s="121"/>
      <c r="D74" s="149"/>
      <c r="E74" s="149"/>
      <c r="F74" s="149"/>
      <c r="G74" s="149"/>
      <c r="H74" s="149"/>
      <c r="I74" s="121"/>
    </row>
    <row r="75" spans="1:9" x14ac:dyDescent="0.45">
      <c r="A75" s="144">
        <v>19</v>
      </c>
      <c r="B75" s="120"/>
      <c r="C75" s="121"/>
      <c r="D75" s="149"/>
      <c r="E75" s="149"/>
      <c r="F75" s="149"/>
      <c r="G75" s="149"/>
      <c r="H75" s="149"/>
      <c r="I75" s="121"/>
    </row>
    <row r="76" spans="1:9" ht="14.65" thickBot="1" x14ac:dyDescent="0.5">
      <c r="A76" s="144">
        <v>20</v>
      </c>
      <c r="B76" s="120" t="s">
        <v>1</v>
      </c>
      <c r="C76" s="121"/>
      <c r="D76" s="150">
        <f>SUM(D71:D75)</f>
        <v>24061.71</v>
      </c>
      <c r="E76" s="150">
        <f>SUM(E71:E75)</f>
        <v>26210.719999999739</v>
      </c>
      <c r="F76" s="150">
        <f>SUM(F71:F75)</f>
        <v>-22840.219999999994</v>
      </c>
      <c r="G76" s="150">
        <f>SUM(G71:G75)</f>
        <v>0</v>
      </c>
      <c r="H76" s="150">
        <f>SUM(H71:H75)</f>
        <v>-1698911.329999995</v>
      </c>
      <c r="I76" s="121"/>
    </row>
    <row r="77" spans="1:9" ht="14.65" thickTop="1" x14ac:dyDescent="0.45">
      <c r="A77" s="144"/>
      <c r="B77" s="121"/>
      <c r="C77" s="121"/>
      <c r="D77" s="152"/>
      <c r="E77" s="152"/>
      <c r="F77" s="152"/>
      <c r="G77" s="152"/>
      <c r="H77" s="121"/>
      <c r="I77" s="121"/>
    </row>
    <row r="78" spans="1:9" x14ac:dyDescent="0.45">
      <c r="A78" s="144"/>
      <c r="B78" s="121"/>
      <c r="C78" s="121"/>
      <c r="D78" s="152"/>
      <c r="E78" s="152"/>
      <c r="F78" s="120"/>
      <c r="G78" s="152"/>
      <c r="H78" s="121"/>
      <c r="I78" s="121"/>
    </row>
    <row r="80" spans="1:9" x14ac:dyDescent="0.45">
      <c r="A80" s="160" t="s">
        <v>233</v>
      </c>
      <c r="B80" s="160"/>
      <c r="C80" s="160"/>
      <c r="D80" s="160"/>
      <c r="E80" s="160"/>
      <c r="F80" s="160"/>
      <c r="G80" s="160"/>
      <c r="H80" s="160"/>
      <c r="I80" s="122"/>
    </row>
    <row r="81" spans="1:9" x14ac:dyDescent="0.45">
      <c r="A81" s="160" t="s">
        <v>235</v>
      </c>
      <c r="B81" s="160"/>
      <c r="C81" s="160"/>
      <c r="D81" s="160"/>
      <c r="E81" s="160"/>
      <c r="F81" s="160"/>
      <c r="G81" s="160"/>
      <c r="H81" s="160"/>
      <c r="I81" s="122"/>
    </row>
    <row r="82" spans="1:9" x14ac:dyDescent="0.45">
      <c r="A82" s="160" t="s">
        <v>172</v>
      </c>
      <c r="B82" s="160"/>
      <c r="C82" s="160"/>
      <c r="D82" s="160"/>
      <c r="E82" s="160"/>
      <c r="F82" s="160"/>
      <c r="G82" s="160"/>
      <c r="H82" s="160"/>
      <c r="I82" s="122"/>
    </row>
    <row r="83" spans="1:9" x14ac:dyDescent="0.45">
      <c r="A83" s="160" t="s">
        <v>202</v>
      </c>
      <c r="B83" s="160"/>
      <c r="C83" s="160"/>
      <c r="D83" s="160"/>
      <c r="E83" s="160"/>
      <c r="F83" s="160"/>
      <c r="G83" s="160"/>
      <c r="H83" s="160"/>
      <c r="I83" s="122"/>
    </row>
    <row r="84" spans="1:9" x14ac:dyDescent="0.45">
      <c r="A84" s="120"/>
      <c r="B84" s="120"/>
      <c r="C84" s="120"/>
      <c r="D84" s="120"/>
      <c r="E84" s="120"/>
      <c r="F84" s="120"/>
      <c r="G84" s="120"/>
      <c r="H84" s="120"/>
      <c r="I84" s="120"/>
    </row>
    <row r="85" spans="1:9" x14ac:dyDescent="0.45">
      <c r="A85" s="139"/>
      <c r="B85" s="120"/>
      <c r="C85" s="120"/>
      <c r="D85" s="120"/>
      <c r="E85" s="120"/>
      <c r="F85" s="120"/>
      <c r="G85" s="120"/>
      <c r="H85" s="140" t="str">
        <f>+H50</f>
        <v>Exhibit 37, Schedule M-1</v>
      </c>
    </row>
    <row r="86" spans="1:9" x14ac:dyDescent="0.45">
      <c r="A86" s="139"/>
      <c r="B86" s="120"/>
      <c r="C86" s="120"/>
      <c r="D86" s="120"/>
      <c r="E86" s="120"/>
      <c r="F86" s="120"/>
      <c r="G86" s="120"/>
      <c r="H86" s="140"/>
    </row>
    <row r="87" spans="1:9" x14ac:dyDescent="0.45">
      <c r="A87" s="139"/>
      <c r="B87" s="120"/>
      <c r="C87" s="120"/>
      <c r="D87" s="120"/>
      <c r="E87" s="120"/>
      <c r="F87" s="120"/>
      <c r="G87" s="120"/>
      <c r="H87" s="140"/>
    </row>
    <row r="88" spans="1:9" x14ac:dyDescent="0.45">
      <c r="A88" s="120"/>
      <c r="B88" s="120"/>
      <c r="C88" s="120"/>
      <c r="D88" s="120"/>
      <c r="E88" s="120"/>
      <c r="F88" s="120"/>
      <c r="G88" s="120"/>
      <c r="H88" s="120"/>
      <c r="I88" s="120"/>
    </row>
    <row r="89" spans="1:9" x14ac:dyDescent="0.45">
      <c r="A89" s="141" t="s">
        <v>203</v>
      </c>
      <c r="B89" s="142"/>
      <c r="C89" s="141" t="s">
        <v>178</v>
      </c>
      <c r="D89" s="141" t="s">
        <v>216</v>
      </c>
      <c r="E89" s="142"/>
      <c r="F89" s="141"/>
      <c r="G89" s="141" t="s">
        <v>217</v>
      </c>
      <c r="H89" s="141" t="s">
        <v>221</v>
      </c>
    </row>
    <row r="90" spans="1:9" x14ac:dyDescent="0.45">
      <c r="A90" s="143" t="s">
        <v>39</v>
      </c>
      <c r="B90" s="143" t="s">
        <v>176</v>
      </c>
      <c r="C90" s="143" t="s">
        <v>185</v>
      </c>
      <c r="D90" s="143" t="s">
        <v>218</v>
      </c>
      <c r="E90" s="143" t="s">
        <v>69</v>
      </c>
      <c r="F90" s="143" t="s">
        <v>70</v>
      </c>
      <c r="G90" s="143" t="s">
        <v>219</v>
      </c>
      <c r="H90" s="143" t="s">
        <v>225</v>
      </c>
    </row>
    <row r="91" spans="1:9" x14ac:dyDescent="0.45">
      <c r="A91" s="120"/>
      <c r="B91" s="120"/>
      <c r="C91" s="120"/>
      <c r="D91" s="120"/>
      <c r="E91" s="120"/>
      <c r="F91" s="120"/>
      <c r="G91" s="120"/>
      <c r="H91" s="120"/>
    </row>
    <row r="92" spans="1:9" x14ac:dyDescent="0.45">
      <c r="A92" s="144">
        <v>1</v>
      </c>
      <c r="B92" s="120"/>
      <c r="C92" s="120"/>
      <c r="D92" s="120"/>
      <c r="E92" s="120"/>
      <c r="F92" s="120"/>
      <c r="G92" s="120"/>
      <c r="H92" s="120"/>
    </row>
    <row r="93" spans="1:9" x14ac:dyDescent="0.45">
      <c r="A93" s="144">
        <v>2</v>
      </c>
      <c r="B93" s="120" t="s">
        <v>220</v>
      </c>
      <c r="C93" s="148" t="str">
        <f>+C73</f>
        <v>Schedule M2-M3</v>
      </c>
      <c r="D93" s="147">
        <f>ROUND(+'Sch M2-M3'!Q28-'Sch M2-M3'!G28,0)</f>
        <v>8124</v>
      </c>
      <c r="E93" s="147">
        <f>ROUND(+'Sch M2-M3'!Q29-'Sch M2-M3'!G29,0)</f>
        <v>32606</v>
      </c>
      <c r="F93" s="147">
        <f>ROUND(+'Sch M2-M3'!Q30-'Sch M2-M3'!G30,0)</f>
        <v>17508</v>
      </c>
      <c r="G93" s="147">
        <f>ROUND(+'Sch M2-M3'!Q31-'Sch M2-M3'!G31,0)</f>
        <v>-904</v>
      </c>
      <c r="H93" s="147">
        <f>ROUND(+'Sch M2-M3'!Q32-'Sch M2-M3'!G32,0)</f>
        <v>20914</v>
      </c>
    </row>
    <row r="94" spans="1:9" x14ac:dyDescent="0.45">
      <c r="A94" s="144">
        <v>3</v>
      </c>
      <c r="B94" s="120"/>
      <c r="C94" s="120"/>
      <c r="D94" s="153"/>
      <c r="E94" s="153"/>
      <c r="F94" s="153"/>
      <c r="G94" s="153"/>
      <c r="H94" s="153"/>
    </row>
    <row r="95" spans="1:9" x14ac:dyDescent="0.45">
      <c r="A95" s="144">
        <v>4</v>
      </c>
      <c r="B95" s="120"/>
      <c r="C95" s="120"/>
      <c r="D95" s="120"/>
      <c r="E95" s="120"/>
      <c r="F95" s="120"/>
      <c r="G95" s="152"/>
      <c r="H95" s="120"/>
    </row>
    <row r="96" spans="1:9" x14ac:dyDescent="0.45">
      <c r="A96" s="144">
        <v>5</v>
      </c>
      <c r="B96" s="120"/>
      <c r="C96" s="120"/>
      <c r="D96" s="152"/>
      <c r="E96" s="152"/>
      <c r="F96" s="152"/>
      <c r="G96" s="152"/>
      <c r="H96" s="152"/>
    </row>
    <row r="97" spans="1:9" x14ac:dyDescent="0.45">
      <c r="A97" s="144">
        <v>6</v>
      </c>
      <c r="B97" s="120"/>
      <c r="C97" s="120"/>
      <c r="D97" s="152"/>
      <c r="E97" s="152"/>
      <c r="F97" s="152"/>
      <c r="G97" s="152"/>
      <c r="H97" s="152"/>
    </row>
    <row r="98" spans="1:9" ht="14.65" thickBot="1" x14ac:dyDescent="0.5">
      <c r="A98" s="144">
        <v>7</v>
      </c>
      <c r="B98" s="120" t="s">
        <v>1</v>
      </c>
      <c r="C98" s="120"/>
      <c r="D98" s="150">
        <f>SUM(D93:D97)</f>
        <v>8124</v>
      </c>
      <c r="E98" s="150">
        <f>SUM(E93:E97)</f>
        <v>32606</v>
      </c>
      <c r="F98" s="150">
        <f>SUM(F93:F97)</f>
        <v>17508</v>
      </c>
      <c r="G98" s="150">
        <f>SUM(G93:G97)</f>
        <v>-904</v>
      </c>
      <c r="H98" s="150">
        <f>SUM(H93:H97)</f>
        <v>20914</v>
      </c>
    </row>
    <row r="99" spans="1:9" ht="14.65" thickTop="1" x14ac:dyDescent="0.45">
      <c r="A99" s="144">
        <v>8</v>
      </c>
      <c r="B99" s="120"/>
      <c r="C99" s="120"/>
      <c r="D99" s="152"/>
      <c r="E99" s="152"/>
      <c r="F99" s="152"/>
      <c r="G99" s="152"/>
      <c r="H99" s="152"/>
      <c r="I99" s="152"/>
    </row>
    <row r="100" spans="1:9" x14ac:dyDescent="0.45">
      <c r="A100" s="144">
        <v>9</v>
      </c>
      <c r="B100" s="120"/>
      <c r="C100" s="120"/>
      <c r="D100" s="120"/>
      <c r="E100" s="120"/>
      <c r="F100" s="120"/>
      <c r="G100" s="120"/>
      <c r="H100" s="120"/>
      <c r="I100" s="120"/>
    </row>
    <row r="101" spans="1:9" x14ac:dyDescent="0.45">
      <c r="A101" s="144">
        <v>10</v>
      </c>
      <c r="B101" s="120"/>
      <c r="C101" s="120"/>
      <c r="D101" s="120"/>
      <c r="E101" s="120"/>
      <c r="F101" s="120"/>
      <c r="G101" s="120"/>
      <c r="H101" s="120"/>
      <c r="I101" s="120"/>
    </row>
    <row r="102" spans="1:9" x14ac:dyDescent="0.45">
      <c r="A102" s="144">
        <v>11</v>
      </c>
      <c r="B102" s="120"/>
      <c r="C102" s="120"/>
      <c r="D102" s="141" t="s">
        <v>222</v>
      </c>
      <c r="E102" s="141" t="s">
        <v>223</v>
      </c>
      <c r="F102" s="141" t="s">
        <v>224</v>
      </c>
      <c r="G102" s="141"/>
      <c r="H102" s="120"/>
    </row>
    <row r="103" spans="1:9" x14ac:dyDescent="0.45">
      <c r="A103" s="144">
        <v>12</v>
      </c>
      <c r="B103" s="120"/>
      <c r="C103" s="120"/>
      <c r="D103" s="143" t="s">
        <v>226</v>
      </c>
      <c r="E103" s="143" t="s">
        <v>227</v>
      </c>
      <c r="F103" s="143" t="s">
        <v>228</v>
      </c>
      <c r="G103" s="143"/>
      <c r="H103" s="143" t="s">
        <v>1</v>
      </c>
    </row>
    <row r="104" spans="1:9" x14ac:dyDescent="0.45">
      <c r="A104" s="144">
        <v>13</v>
      </c>
      <c r="B104" s="120"/>
      <c r="C104" s="120"/>
      <c r="D104" s="120"/>
      <c r="E104" s="120"/>
      <c r="F104" s="120"/>
      <c r="G104" s="120"/>
      <c r="H104" s="120"/>
    </row>
    <row r="105" spans="1:9" x14ac:dyDescent="0.45">
      <c r="A105" s="144">
        <v>14</v>
      </c>
      <c r="B105" s="120"/>
      <c r="C105" s="120"/>
      <c r="D105" s="120"/>
      <c r="E105" s="120"/>
      <c r="F105" s="120"/>
      <c r="G105" s="120"/>
      <c r="H105" s="120"/>
    </row>
    <row r="106" spans="1:9" x14ac:dyDescent="0.45">
      <c r="A106" s="144">
        <v>15</v>
      </c>
      <c r="B106" s="120" t="s">
        <v>220</v>
      </c>
      <c r="C106" s="148" t="str">
        <f>C93</f>
        <v>Schedule M2-M3</v>
      </c>
      <c r="D106" s="147">
        <f>+'Sch M2-M3'!Q33-'Sch M2-M3'!G33</f>
        <v>381.45000000000437</v>
      </c>
      <c r="E106" s="147">
        <f>+'Sch M2-M3'!Q34-'Sch M2-M3'!G34</f>
        <v>3592.8966666667257</v>
      </c>
      <c r="F106" s="147">
        <f>+'Sch M2-M3'!Q35-'Sch M2-M3'!G35</f>
        <v>-32158.419999999991</v>
      </c>
      <c r="G106" s="147"/>
      <c r="H106" s="147">
        <f>SUM(D106:G106,D93:H93)</f>
        <v>50063.926666666739</v>
      </c>
    </row>
    <row r="107" spans="1:9" x14ac:dyDescent="0.45">
      <c r="A107" s="144">
        <v>16</v>
      </c>
      <c r="B107" s="120"/>
      <c r="C107" s="120"/>
      <c r="D107" s="147"/>
      <c r="E107" s="147"/>
      <c r="F107" s="147"/>
      <c r="G107" s="147"/>
      <c r="H107" s="147"/>
    </row>
    <row r="108" spans="1:9" x14ac:dyDescent="0.45">
      <c r="A108" s="144">
        <v>17</v>
      </c>
      <c r="B108" s="120"/>
      <c r="C108" s="120"/>
      <c r="D108" s="120"/>
      <c r="E108" s="120"/>
      <c r="F108" s="120"/>
      <c r="G108" s="120"/>
      <c r="H108" s="153"/>
    </row>
    <row r="109" spans="1:9" x14ac:dyDescent="0.45">
      <c r="A109" s="144">
        <v>18</v>
      </c>
      <c r="B109" s="120"/>
      <c r="C109" s="120"/>
      <c r="D109" s="153"/>
      <c r="E109" s="153"/>
      <c r="F109" s="153"/>
      <c r="G109" s="153"/>
      <c r="H109" s="153"/>
    </row>
    <row r="110" spans="1:9" x14ac:dyDescent="0.45">
      <c r="A110" s="144">
        <v>19</v>
      </c>
      <c r="B110" s="120"/>
      <c r="C110" s="120"/>
      <c r="D110" s="120"/>
      <c r="E110" s="120"/>
      <c r="F110" s="120"/>
      <c r="G110" s="120"/>
      <c r="H110" s="120"/>
    </row>
    <row r="111" spans="1:9" ht="14.65" thickBot="1" x14ac:dyDescent="0.5">
      <c r="A111" s="144">
        <v>20</v>
      </c>
      <c r="B111" s="120" t="s">
        <v>1</v>
      </c>
      <c r="C111" s="120"/>
      <c r="D111" s="150">
        <f t="shared" ref="D111:H111" si="7">SUM(D106:D109)</f>
        <v>381.45000000000437</v>
      </c>
      <c r="E111" s="150">
        <f t="shared" si="7"/>
        <v>3592.8966666667257</v>
      </c>
      <c r="F111" s="150">
        <f t="shared" si="7"/>
        <v>-32158.419999999991</v>
      </c>
      <c r="G111" s="150"/>
      <c r="H111" s="150">
        <f t="shared" si="7"/>
        <v>50063.926666666739</v>
      </c>
    </row>
    <row r="112" spans="1:9" ht="14.65" thickTop="1" x14ac:dyDescent="0.45">
      <c r="A112" s="144"/>
      <c r="B112" s="120"/>
      <c r="C112" s="120"/>
      <c r="D112" s="153"/>
      <c r="E112" s="153"/>
      <c r="F112" s="153"/>
      <c r="G112" s="153"/>
      <c r="H112" s="153"/>
    </row>
    <row r="114" spans="1:9" x14ac:dyDescent="0.45">
      <c r="A114" s="160" t="s">
        <v>233</v>
      </c>
      <c r="B114" s="160"/>
      <c r="C114" s="160"/>
      <c r="D114" s="160"/>
      <c r="E114" s="160"/>
      <c r="F114" s="160"/>
      <c r="G114" s="160"/>
      <c r="H114" s="160"/>
      <c r="I114" s="120"/>
    </row>
    <row r="115" spans="1:9" x14ac:dyDescent="0.45">
      <c r="A115" s="160" t="s">
        <v>235</v>
      </c>
      <c r="B115" s="160"/>
      <c r="C115" s="160"/>
      <c r="D115" s="160"/>
      <c r="E115" s="160"/>
      <c r="F115" s="160"/>
      <c r="G115" s="160"/>
      <c r="H115" s="160"/>
      <c r="I115" s="122"/>
    </row>
    <row r="116" spans="1:9" x14ac:dyDescent="0.45">
      <c r="A116" s="160" t="s">
        <v>172</v>
      </c>
      <c r="B116" s="160"/>
      <c r="C116" s="160"/>
      <c r="D116" s="160"/>
      <c r="E116" s="160"/>
      <c r="F116" s="160"/>
      <c r="G116" s="160"/>
      <c r="H116" s="160"/>
      <c r="I116" s="121"/>
    </row>
    <row r="117" spans="1:9" x14ac:dyDescent="0.45">
      <c r="A117" s="160" t="s">
        <v>229</v>
      </c>
      <c r="B117" s="160"/>
      <c r="C117" s="160"/>
      <c r="D117" s="160"/>
      <c r="E117" s="160"/>
      <c r="F117" s="160"/>
      <c r="G117" s="160"/>
      <c r="H117" s="160"/>
      <c r="I117" s="121"/>
    </row>
    <row r="118" spans="1:9" x14ac:dyDescent="0.45">
      <c r="A118" s="120"/>
      <c r="B118" s="120"/>
      <c r="C118" s="120"/>
      <c r="D118" s="120"/>
      <c r="E118" s="120"/>
      <c r="F118" s="120"/>
      <c r="G118" s="120"/>
      <c r="H118" s="120"/>
      <c r="I118" s="122"/>
    </row>
    <row r="119" spans="1:9" x14ac:dyDescent="0.45">
      <c r="A119" s="139"/>
      <c r="B119" s="120"/>
      <c r="C119" s="120"/>
      <c r="D119" s="120"/>
      <c r="E119" s="120"/>
      <c r="F119" s="120"/>
      <c r="G119" s="120"/>
      <c r="H119" s="140" t="str">
        <f>+H$6</f>
        <v>Exhibit 37, Schedule M-1</v>
      </c>
      <c r="I119" s="120"/>
    </row>
    <row r="120" spans="1:9" x14ac:dyDescent="0.45">
      <c r="A120" s="139"/>
      <c r="B120" s="120"/>
      <c r="C120" s="120"/>
      <c r="D120" s="120"/>
      <c r="E120" s="120"/>
      <c r="F120" s="120"/>
      <c r="G120" s="120"/>
      <c r="H120" s="140"/>
      <c r="I120" s="120"/>
    </row>
    <row r="121" spans="1:9" x14ac:dyDescent="0.45">
      <c r="A121" s="139"/>
      <c r="B121" s="120"/>
      <c r="C121" s="120"/>
      <c r="D121" s="120"/>
      <c r="E121" s="120"/>
      <c r="F121" s="120"/>
      <c r="G121" s="120"/>
      <c r="H121" s="140"/>
      <c r="I121" s="120"/>
    </row>
    <row r="122" spans="1:9" x14ac:dyDescent="0.45">
      <c r="A122" s="120"/>
      <c r="B122" s="120"/>
      <c r="C122" s="120"/>
      <c r="D122" s="120"/>
      <c r="E122" s="120"/>
      <c r="F122" s="120"/>
      <c r="G122" s="120"/>
      <c r="H122" s="120"/>
      <c r="I122" s="120"/>
    </row>
    <row r="123" spans="1:9" x14ac:dyDescent="0.45">
      <c r="A123" s="141" t="s">
        <v>203</v>
      </c>
      <c r="B123" s="142"/>
      <c r="C123" s="141" t="s">
        <v>178</v>
      </c>
      <c r="D123" s="142"/>
      <c r="E123" s="142"/>
      <c r="F123" s="142"/>
      <c r="G123" s="141" t="s">
        <v>204</v>
      </c>
      <c r="H123" s="141" t="s">
        <v>205</v>
      </c>
      <c r="I123" s="120"/>
    </row>
    <row r="124" spans="1:9" x14ac:dyDescent="0.45">
      <c r="A124" s="143" t="s">
        <v>39</v>
      </c>
      <c r="B124" s="143" t="s">
        <v>176</v>
      </c>
      <c r="C124" s="143" t="s">
        <v>185</v>
      </c>
      <c r="D124" s="143" t="s">
        <v>3</v>
      </c>
      <c r="E124" s="143" t="s">
        <v>28</v>
      </c>
      <c r="F124" s="143" t="s">
        <v>4</v>
      </c>
      <c r="G124" s="143" t="s">
        <v>206</v>
      </c>
      <c r="H124" s="143" t="s">
        <v>207</v>
      </c>
      <c r="I124" s="120"/>
    </row>
    <row r="125" spans="1:9" x14ac:dyDescent="0.45">
      <c r="A125" s="120"/>
      <c r="B125" s="120"/>
      <c r="C125" s="120"/>
      <c r="D125" s="120"/>
      <c r="E125" s="120"/>
      <c r="F125" s="120"/>
      <c r="G125" s="120"/>
      <c r="H125" s="120"/>
      <c r="I125" s="120"/>
    </row>
    <row r="126" spans="1:9" x14ac:dyDescent="0.45">
      <c r="A126" s="144">
        <v>1</v>
      </c>
      <c r="B126" s="120"/>
      <c r="C126" s="120"/>
      <c r="D126" s="120"/>
      <c r="E126" s="120"/>
      <c r="F126" s="120"/>
      <c r="G126" s="120"/>
      <c r="H126" s="120"/>
      <c r="I126" s="120"/>
    </row>
    <row r="127" spans="1:9" x14ac:dyDescent="0.45">
      <c r="A127" s="144">
        <v>2</v>
      </c>
      <c r="B127" s="145" t="s">
        <v>230</v>
      </c>
      <c r="C127" s="146" t="str">
        <f>+C106</f>
        <v>Schedule M2-M3</v>
      </c>
      <c r="D127" s="147">
        <f>+'Sch M2-M3'!V86-'Sch M2-M3'!Q86</f>
        <v>10051122.739999995</v>
      </c>
      <c r="E127" s="147">
        <f>+'Sch M2-M3'!V128-'Sch M2-M3'!Q128</f>
        <v>4816371.1900000013</v>
      </c>
      <c r="F127" s="147">
        <f>+'Sch M2-M3'!V170-'Sch M2-M3'!Q170</f>
        <v>463829.5</v>
      </c>
      <c r="G127" s="147">
        <f>+'Sch M2-M3'!V212-'Sch M2-M3'!Q212</f>
        <v>1205296.1300000008</v>
      </c>
      <c r="H127" s="147">
        <f>+'Sch M2-M3'!V254-'Sch M2-M3'!Q254</f>
        <v>183695.81000000006</v>
      </c>
      <c r="I127" s="120"/>
    </row>
    <row r="128" spans="1:9" x14ac:dyDescent="0.45">
      <c r="A128" s="144">
        <v>3</v>
      </c>
      <c r="B128" s="120"/>
      <c r="C128" s="148"/>
      <c r="D128" s="149"/>
      <c r="E128" s="149"/>
      <c r="F128" s="149"/>
      <c r="G128" s="149"/>
      <c r="H128" s="149"/>
      <c r="I128" s="120"/>
    </row>
    <row r="129" spans="1:9" x14ac:dyDescent="0.45">
      <c r="A129" s="144">
        <v>4</v>
      </c>
      <c r="B129" s="120"/>
      <c r="C129" s="148"/>
      <c r="D129" s="149"/>
      <c r="E129" s="149"/>
      <c r="F129" s="149"/>
      <c r="G129" s="149"/>
      <c r="H129" s="149"/>
      <c r="I129" s="120"/>
    </row>
    <row r="130" spans="1:9" x14ac:dyDescent="0.45">
      <c r="A130" s="144">
        <v>5</v>
      </c>
      <c r="B130" s="120"/>
      <c r="C130" s="120"/>
      <c r="D130" s="149"/>
      <c r="E130" s="149"/>
      <c r="F130" s="149"/>
      <c r="G130" s="149"/>
      <c r="H130" s="149"/>
      <c r="I130" s="120"/>
    </row>
    <row r="131" spans="1:9" x14ac:dyDescent="0.45">
      <c r="A131" s="144">
        <v>6</v>
      </c>
      <c r="B131" s="120"/>
      <c r="C131" s="120"/>
      <c r="D131" s="149"/>
      <c r="E131" s="149"/>
      <c r="F131" s="149"/>
      <c r="G131" s="149"/>
      <c r="H131" s="149"/>
      <c r="I131" s="120"/>
    </row>
    <row r="132" spans="1:9" ht="14.65" thickBot="1" x14ac:dyDescent="0.5">
      <c r="A132" s="144">
        <v>7</v>
      </c>
      <c r="B132" s="120" t="s">
        <v>1</v>
      </c>
      <c r="C132" s="120"/>
      <c r="D132" s="150">
        <f>SUM(D127:D131)</f>
        <v>10051122.739999995</v>
      </c>
      <c r="E132" s="150">
        <f>SUM(E127:E131)</f>
        <v>4816371.1900000013</v>
      </c>
      <c r="F132" s="150">
        <f>SUM(F127:F131)</f>
        <v>463829.5</v>
      </c>
      <c r="G132" s="150">
        <f>SUM(G127:G131)</f>
        <v>1205296.1300000008</v>
      </c>
      <c r="H132" s="150">
        <f>SUM(H127:H131)</f>
        <v>183695.81000000006</v>
      </c>
      <c r="I132" s="120"/>
    </row>
    <row r="133" spans="1:9" ht="14.65" thickTop="1" x14ac:dyDescent="0.45">
      <c r="A133" s="144">
        <v>8</v>
      </c>
      <c r="B133" s="160"/>
      <c r="C133" s="160"/>
      <c r="D133" s="160"/>
      <c r="E133" s="160"/>
      <c r="F133" s="160"/>
      <c r="G133" s="160"/>
      <c r="H133" s="160"/>
      <c r="I133" s="160"/>
    </row>
    <row r="134" spans="1:9" x14ac:dyDescent="0.45">
      <c r="A134" s="144">
        <v>9</v>
      </c>
      <c r="B134" s="121"/>
      <c r="C134" s="121"/>
      <c r="D134" s="121"/>
      <c r="E134" s="121"/>
      <c r="F134" s="121"/>
      <c r="G134" s="121"/>
      <c r="H134" s="121"/>
      <c r="I134" s="121"/>
    </row>
    <row r="135" spans="1:9" x14ac:dyDescent="0.45">
      <c r="A135" s="144">
        <v>10</v>
      </c>
      <c r="B135" s="121"/>
      <c r="C135" s="121"/>
      <c r="D135" s="121"/>
      <c r="E135" s="121"/>
      <c r="F135" s="121"/>
      <c r="G135" s="121"/>
      <c r="H135" s="121"/>
      <c r="I135" s="121"/>
    </row>
    <row r="136" spans="1:9" x14ac:dyDescent="0.45">
      <c r="A136" s="144">
        <v>11</v>
      </c>
      <c r="B136" s="121"/>
      <c r="C136" s="121"/>
      <c r="D136" s="141" t="s">
        <v>208</v>
      </c>
      <c r="E136" s="141" t="s">
        <v>209</v>
      </c>
      <c r="F136" s="141"/>
      <c r="G136" s="141" t="s">
        <v>210</v>
      </c>
      <c r="H136" s="120"/>
      <c r="I136" s="121"/>
    </row>
    <row r="137" spans="1:9" x14ac:dyDescent="0.45">
      <c r="A137" s="144">
        <v>12</v>
      </c>
      <c r="B137" s="121"/>
      <c r="C137" s="121"/>
      <c r="D137" s="143" t="s">
        <v>211</v>
      </c>
      <c r="E137" s="143" t="s">
        <v>211</v>
      </c>
      <c r="F137" s="143" t="s">
        <v>72</v>
      </c>
      <c r="G137" s="143" t="s">
        <v>212</v>
      </c>
      <c r="H137" s="143" t="s">
        <v>1</v>
      </c>
      <c r="I137" s="121"/>
    </row>
    <row r="138" spans="1:9" x14ac:dyDescent="0.45">
      <c r="A138" s="144">
        <v>13</v>
      </c>
      <c r="B138" s="151"/>
      <c r="C138" s="151"/>
      <c r="D138" s="120"/>
      <c r="E138" s="120"/>
      <c r="F138" s="120"/>
      <c r="G138" s="120"/>
      <c r="H138" s="120"/>
      <c r="I138" s="121"/>
    </row>
    <row r="139" spans="1:9" x14ac:dyDescent="0.45">
      <c r="A139" s="144">
        <v>14</v>
      </c>
      <c r="B139" s="151"/>
      <c r="C139" s="151"/>
      <c r="D139" s="120"/>
      <c r="E139" s="120"/>
      <c r="F139" s="120"/>
      <c r="G139" s="120"/>
      <c r="H139" s="120"/>
      <c r="I139" s="121"/>
    </row>
    <row r="140" spans="1:9" x14ac:dyDescent="0.45">
      <c r="A140" s="144">
        <v>15</v>
      </c>
      <c r="B140" s="145" t="s">
        <v>230</v>
      </c>
      <c r="C140" s="146" t="str">
        <f>C127</f>
        <v>Schedule M2-M3</v>
      </c>
      <c r="D140" s="147">
        <f>+'Sch M2-M3'!V337-'Sch M2-M3'!Q337</f>
        <v>568844.44999999972</v>
      </c>
      <c r="E140" s="147">
        <f>+'Sch M2-M3'!V347-'Sch M2-M3'!Q347</f>
        <v>790161.21</v>
      </c>
      <c r="F140" s="147">
        <f>+'Sch M2-M3'!V296-'Sch M2-M3'!Q296</f>
        <v>17104.37999999999</v>
      </c>
      <c r="G140" s="147">
        <v>0</v>
      </c>
      <c r="H140" s="147">
        <f>SUM(D127:H127,D140:G140)</f>
        <v>18096425.409999996</v>
      </c>
      <c r="I140" s="121"/>
    </row>
    <row r="141" spans="1:9" x14ac:dyDescent="0.45">
      <c r="A141" s="144">
        <v>16</v>
      </c>
      <c r="B141" s="120"/>
      <c r="C141" s="148"/>
      <c r="D141" s="149"/>
      <c r="E141" s="149"/>
      <c r="F141" s="149"/>
      <c r="G141" s="149"/>
      <c r="H141" s="147"/>
      <c r="I141" s="121"/>
    </row>
    <row r="142" spans="1:9" x14ac:dyDescent="0.45">
      <c r="A142" s="144">
        <v>17</v>
      </c>
      <c r="B142" s="120"/>
      <c r="C142" s="148"/>
      <c r="D142" s="149"/>
      <c r="E142" s="149"/>
      <c r="F142" s="149"/>
      <c r="G142" s="149"/>
      <c r="H142" s="147"/>
      <c r="I142" s="121"/>
    </row>
    <row r="143" spans="1:9" x14ac:dyDescent="0.45">
      <c r="A143" s="144">
        <v>18</v>
      </c>
      <c r="B143" s="120"/>
      <c r="C143" s="121"/>
      <c r="D143" s="149"/>
      <c r="E143" s="149"/>
      <c r="F143" s="149"/>
      <c r="G143" s="149"/>
      <c r="H143" s="149"/>
      <c r="I143" s="121"/>
    </row>
    <row r="144" spans="1:9" x14ac:dyDescent="0.45">
      <c r="A144" s="144">
        <v>19</v>
      </c>
      <c r="B144" s="120"/>
      <c r="C144" s="121"/>
      <c r="D144" s="149"/>
      <c r="E144" s="149"/>
      <c r="F144" s="149"/>
      <c r="G144" s="149"/>
      <c r="H144" s="149"/>
      <c r="I144" s="121"/>
    </row>
    <row r="145" spans="1:9" ht="14.65" thickBot="1" x14ac:dyDescent="0.5">
      <c r="A145" s="144">
        <v>20</v>
      </c>
      <c r="B145" s="120" t="s">
        <v>1</v>
      </c>
      <c r="C145" s="121"/>
      <c r="D145" s="150">
        <f>SUM(D140:D144)</f>
        <v>568844.44999999972</v>
      </c>
      <c r="E145" s="150">
        <f>SUM(E140:E144)</f>
        <v>790161.21</v>
      </c>
      <c r="F145" s="150">
        <f>SUM(F140:F144)</f>
        <v>17104.37999999999</v>
      </c>
      <c r="G145" s="150">
        <f>SUM(G140:G144)</f>
        <v>0</v>
      </c>
      <c r="H145" s="150">
        <f>SUM(H140:H144)</f>
        <v>18096425.409999996</v>
      </c>
      <c r="I145" s="121"/>
    </row>
    <row r="146" spans="1:9" ht="14.65" thickTop="1" x14ac:dyDescent="0.45">
      <c r="A146" s="144"/>
      <c r="B146" s="121"/>
      <c r="C146" s="121"/>
      <c r="D146" s="152"/>
      <c r="E146" s="152"/>
      <c r="F146" s="152"/>
      <c r="G146" s="152"/>
      <c r="H146" s="121"/>
      <c r="I146" s="121"/>
    </row>
    <row r="147" spans="1:9" x14ac:dyDescent="0.45">
      <c r="A147" s="144"/>
      <c r="B147" s="121"/>
      <c r="C147" s="121"/>
      <c r="D147" s="152"/>
      <c r="E147" s="152"/>
      <c r="F147" s="120"/>
      <c r="G147" s="152"/>
      <c r="H147" s="121"/>
      <c r="I147" s="121"/>
    </row>
    <row r="149" spans="1:9" x14ac:dyDescent="0.45">
      <c r="A149" s="160" t="s">
        <v>233</v>
      </c>
      <c r="B149" s="160"/>
      <c r="C149" s="160"/>
      <c r="D149" s="160"/>
      <c r="E149" s="160"/>
      <c r="F149" s="160"/>
      <c r="G149" s="160"/>
      <c r="H149" s="160"/>
      <c r="I149" s="122"/>
    </row>
    <row r="150" spans="1:9" x14ac:dyDescent="0.45">
      <c r="A150" s="160" t="s">
        <v>235</v>
      </c>
      <c r="B150" s="160"/>
      <c r="C150" s="160"/>
      <c r="D150" s="160"/>
      <c r="E150" s="160"/>
      <c r="F150" s="160"/>
      <c r="G150" s="160"/>
      <c r="H150" s="160"/>
      <c r="I150" s="122"/>
    </row>
    <row r="151" spans="1:9" x14ac:dyDescent="0.45">
      <c r="A151" s="160" t="s">
        <v>172</v>
      </c>
      <c r="B151" s="160"/>
      <c r="C151" s="160"/>
      <c r="D151" s="160"/>
      <c r="E151" s="160"/>
      <c r="F151" s="160"/>
      <c r="G151" s="160"/>
      <c r="H151" s="160"/>
      <c r="I151" s="122"/>
    </row>
    <row r="152" spans="1:9" x14ac:dyDescent="0.45">
      <c r="A152" s="160" t="str">
        <f>+A117</f>
        <v>Summary of Adjustments for Operating Revenues for Forecast Year at Proposed Rates</v>
      </c>
      <c r="B152" s="160"/>
      <c r="C152" s="160"/>
      <c r="D152" s="160"/>
      <c r="E152" s="160"/>
      <c r="F152" s="160"/>
      <c r="G152" s="160"/>
      <c r="H152" s="160"/>
      <c r="I152" s="122"/>
    </row>
    <row r="153" spans="1:9" x14ac:dyDescent="0.45">
      <c r="A153" s="120"/>
      <c r="B153" s="120"/>
      <c r="C153" s="120"/>
      <c r="D153" s="120"/>
      <c r="E153" s="120"/>
      <c r="F153" s="120"/>
      <c r="G153" s="120"/>
      <c r="H153" s="120"/>
      <c r="I153" s="120"/>
    </row>
    <row r="154" spans="1:9" x14ac:dyDescent="0.45">
      <c r="A154" s="139"/>
      <c r="B154" s="120"/>
      <c r="C154" s="120"/>
      <c r="D154" s="120"/>
      <c r="E154" s="120"/>
      <c r="F154" s="120"/>
      <c r="G154" s="120"/>
      <c r="H154" s="140" t="str">
        <f>+H$6</f>
        <v>Exhibit 37, Schedule M-1</v>
      </c>
    </row>
    <row r="155" spans="1:9" x14ac:dyDescent="0.45">
      <c r="A155" s="139"/>
      <c r="B155" s="120"/>
      <c r="C155" s="120"/>
      <c r="D155" s="120"/>
      <c r="E155" s="120"/>
      <c r="F155" s="120"/>
      <c r="G155" s="120"/>
      <c r="H155" s="140"/>
    </row>
    <row r="156" spans="1:9" x14ac:dyDescent="0.45">
      <c r="A156" s="139"/>
      <c r="B156" s="120"/>
      <c r="C156" s="120"/>
      <c r="D156" s="120"/>
      <c r="E156" s="120"/>
      <c r="F156" s="120"/>
      <c r="G156" s="120"/>
      <c r="H156" s="140"/>
    </row>
    <row r="157" spans="1:9" x14ac:dyDescent="0.45">
      <c r="A157" s="120"/>
      <c r="B157" s="120"/>
      <c r="C157" s="120"/>
      <c r="D157" s="120"/>
      <c r="E157" s="120"/>
      <c r="F157" s="120"/>
      <c r="G157" s="120"/>
      <c r="H157" s="120"/>
      <c r="I157" s="120"/>
    </row>
    <row r="158" spans="1:9" x14ac:dyDescent="0.45">
      <c r="A158" s="141" t="s">
        <v>203</v>
      </c>
      <c r="B158" s="142"/>
      <c r="C158" s="141" t="s">
        <v>178</v>
      </c>
      <c r="D158" s="141" t="s">
        <v>216</v>
      </c>
      <c r="E158" s="142"/>
      <c r="F158" s="141"/>
      <c r="G158" s="141" t="s">
        <v>217</v>
      </c>
      <c r="H158" s="141" t="s">
        <v>221</v>
      </c>
    </row>
    <row r="159" spans="1:9" x14ac:dyDescent="0.45">
      <c r="A159" s="143" t="s">
        <v>39</v>
      </c>
      <c r="B159" s="143" t="s">
        <v>176</v>
      </c>
      <c r="C159" s="143" t="s">
        <v>185</v>
      </c>
      <c r="D159" s="143" t="s">
        <v>218</v>
      </c>
      <c r="E159" s="143" t="s">
        <v>69</v>
      </c>
      <c r="F159" s="143" t="s">
        <v>70</v>
      </c>
      <c r="G159" s="143" t="s">
        <v>219</v>
      </c>
      <c r="H159" s="143" t="s">
        <v>225</v>
      </c>
    </row>
    <row r="160" spans="1:9" x14ac:dyDescent="0.45">
      <c r="A160" s="120"/>
      <c r="B160" s="120"/>
      <c r="C160" s="120"/>
      <c r="D160" s="120"/>
      <c r="E160" s="120"/>
      <c r="F160" s="120"/>
      <c r="G160" s="120"/>
      <c r="H160" s="120"/>
    </row>
    <row r="161" spans="1:9" x14ac:dyDescent="0.45">
      <c r="A161" s="144">
        <v>1</v>
      </c>
      <c r="B161" s="120"/>
      <c r="C161" s="120"/>
      <c r="D161" s="120"/>
      <c r="E161" s="120"/>
      <c r="F161" s="120"/>
      <c r="G161" s="120"/>
      <c r="H161" s="120"/>
    </row>
    <row r="162" spans="1:9" x14ac:dyDescent="0.45">
      <c r="A162" s="144">
        <v>2</v>
      </c>
      <c r="B162" s="120" t="s">
        <v>231</v>
      </c>
      <c r="C162" s="148" t="str">
        <f>+C140</f>
        <v>Schedule M2-M3</v>
      </c>
      <c r="D162" s="147">
        <f>+'Sch M2-M3'!V28-'Sch M2-M3'!Q28</f>
        <v>0</v>
      </c>
      <c r="E162" s="147"/>
      <c r="F162" s="147"/>
      <c r="G162" s="147"/>
      <c r="H162" s="147"/>
    </row>
    <row r="163" spans="1:9" x14ac:dyDescent="0.45">
      <c r="A163" s="144">
        <v>3</v>
      </c>
      <c r="B163" s="120"/>
      <c r="C163" s="120"/>
      <c r="D163" s="153"/>
      <c r="E163" s="153"/>
      <c r="F163" s="153"/>
      <c r="G163" s="153"/>
      <c r="H163" s="153"/>
    </row>
    <row r="164" spans="1:9" x14ac:dyDescent="0.45">
      <c r="A164" s="144">
        <v>4</v>
      </c>
      <c r="B164" s="120"/>
      <c r="C164" s="120"/>
      <c r="D164" s="120"/>
      <c r="E164" s="120"/>
      <c r="F164" s="120"/>
      <c r="G164" s="152"/>
      <c r="H164" s="120"/>
    </row>
    <row r="165" spans="1:9" x14ac:dyDescent="0.45">
      <c r="A165" s="144">
        <v>5</v>
      </c>
      <c r="B165" s="120"/>
      <c r="C165" s="120"/>
      <c r="D165" s="152"/>
      <c r="E165" s="152"/>
      <c r="F165" s="152"/>
      <c r="G165" s="152"/>
      <c r="H165" s="152"/>
    </row>
    <row r="166" spans="1:9" x14ac:dyDescent="0.45">
      <c r="A166" s="144">
        <v>6</v>
      </c>
      <c r="B166" s="120"/>
      <c r="C166" s="120"/>
      <c r="D166" s="152"/>
      <c r="E166" s="152"/>
      <c r="F166" s="152"/>
      <c r="G166" s="152"/>
      <c r="H166" s="152"/>
    </row>
    <row r="167" spans="1:9" ht="14.65" thickBot="1" x14ac:dyDescent="0.5">
      <c r="A167" s="144">
        <v>7</v>
      </c>
      <c r="B167" s="120" t="s">
        <v>1</v>
      </c>
      <c r="C167" s="120"/>
      <c r="D167" s="150">
        <f>SUM(D162:D166)</f>
        <v>0</v>
      </c>
      <c r="E167" s="150">
        <f>SUM(E162:E166)</f>
        <v>0</v>
      </c>
      <c r="F167" s="150">
        <f>SUM(F162:F166)</f>
        <v>0</v>
      </c>
      <c r="G167" s="150">
        <f>SUM(G162:G166)</f>
        <v>0</v>
      </c>
      <c r="H167" s="150">
        <f>SUM(H162:H166)</f>
        <v>0</v>
      </c>
    </row>
    <row r="168" spans="1:9" ht="14.65" thickTop="1" x14ac:dyDescent="0.45">
      <c r="A168" s="144">
        <v>8</v>
      </c>
      <c r="B168" s="120"/>
      <c r="C168" s="120"/>
      <c r="D168" s="152"/>
      <c r="E168" s="152"/>
      <c r="F168" s="152"/>
      <c r="G168" s="152"/>
      <c r="H168" s="152"/>
      <c r="I168" s="152"/>
    </row>
    <row r="169" spans="1:9" x14ac:dyDescent="0.45">
      <c r="A169" s="144">
        <v>9</v>
      </c>
      <c r="B169" s="120"/>
      <c r="C169" s="120"/>
      <c r="D169" s="120"/>
      <c r="E169" s="120"/>
      <c r="F169" s="120"/>
      <c r="G169" s="120"/>
      <c r="H169" s="120"/>
      <c r="I169" s="120"/>
    </row>
    <row r="170" spans="1:9" x14ac:dyDescent="0.45">
      <c r="A170" s="144">
        <v>10</v>
      </c>
      <c r="B170" s="120"/>
      <c r="C170" s="120"/>
      <c r="D170" s="120"/>
      <c r="E170" s="120"/>
      <c r="F170" s="120"/>
      <c r="G170" s="120"/>
      <c r="H170" s="120"/>
      <c r="I170" s="120"/>
    </row>
    <row r="171" spans="1:9" x14ac:dyDescent="0.45">
      <c r="A171" s="144">
        <v>11</v>
      </c>
      <c r="B171" s="120"/>
      <c r="C171" s="120"/>
      <c r="D171" s="141" t="s">
        <v>222</v>
      </c>
      <c r="E171" s="141" t="s">
        <v>223</v>
      </c>
      <c r="F171" s="141" t="s">
        <v>224</v>
      </c>
      <c r="G171" s="141"/>
      <c r="H171" s="120"/>
    </row>
    <row r="172" spans="1:9" x14ac:dyDescent="0.45">
      <c r="A172" s="144">
        <v>12</v>
      </c>
      <c r="B172" s="120"/>
      <c r="C172" s="120"/>
      <c r="D172" s="143" t="s">
        <v>226</v>
      </c>
      <c r="E172" s="143" t="s">
        <v>227</v>
      </c>
      <c r="F172" s="143" t="s">
        <v>228</v>
      </c>
      <c r="G172" s="143"/>
      <c r="H172" s="143" t="s">
        <v>1</v>
      </c>
    </row>
    <row r="173" spans="1:9" x14ac:dyDescent="0.45">
      <c r="A173" s="144">
        <v>13</v>
      </c>
      <c r="B173" s="120"/>
      <c r="C173" s="120"/>
      <c r="D173" s="120"/>
      <c r="E173" s="120"/>
      <c r="F173" s="120"/>
      <c r="G173" s="120"/>
      <c r="H173" s="120"/>
    </row>
    <row r="174" spans="1:9" x14ac:dyDescent="0.45">
      <c r="A174" s="144">
        <v>14</v>
      </c>
      <c r="B174" s="120"/>
      <c r="C174" s="120"/>
      <c r="D174" s="120"/>
      <c r="E174" s="120"/>
      <c r="F174" s="120"/>
      <c r="G174" s="120"/>
      <c r="H174" s="120"/>
    </row>
    <row r="175" spans="1:9" x14ac:dyDescent="0.45">
      <c r="A175" s="144">
        <v>15</v>
      </c>
      <c r="B175" s="120" t="str">
        <f>+B162</f>
        <v>To Adjust Revenues at Proposed Rates</v>
      </c>
      <c r="C175" s="148" t="str">
        <f>C162</f>
        <v>Schedule M2-M3</v>
      </c>
      <c r="D175" s="147"/>
      <c r="E175" s="147"/>
      <c r="F175" s="147"/>
      <c r="G175" s="147"/>
      <c r="H175" s="147">
        <f>SUM(D175:G175,D162:H162)</f>
        <v>0</v>
      </c>
    </row>
    <row r="176" spans="1:9" x14ac:dyDescent="0.45">
      <c r="A176" s="144">
        <v>16</v>
      </c>
      <c r="B176" s="120"/>
      <c r="C176" s="120"/>
      <c r="D176" s="147"/>
      <c r="E176" s="147"/>
      <c r="F176" s="147"/>
      <c r="G176" s="147"/>
      <c r="H176" s="147"/>
    </row>
    <row r="177" spans="1:8" x14ac:dyDescent="0.45">
      <c r="A177" s="144">
        <v>17</v>
      </c>
      <c r="B177" s="120"/>
      <c r="C177" s="120"/>
      <c r="D177" s="120"/>
      <c r="E177" s="120"/>
      <c r="F177" s="120"/>
      <c r="G177" s="120"/>
      <c r="H177" s="153"/>
    </row>
    <row r="178" spans="1:8" x14ac:dyDescent="0.45">
      <c r="A178" s="144">
        <v>18</v>
      </c>
      <c r="B178" s="120"/>
      <c r="C178" s="120"/>
      <c r="D178" s="153"/>
      <c r="E178" s="153"/>
      <c r="F178" s="153"/>
      <c r="G178" s="153"/>
      <c r="H178" s="153"/>
    </row>
    <row r="179" spans="1:8" x14ac:dyDescent="0.45">
      <c r="A179" s="144">
        <v>19</v>
      </c>
      <c r="B179" s="120"/>
      <c r="C179" s="120"/>
      <c r="D179" s="120"/>
      <c r="E179" s="120"/>
      <c r="F179" s="120"/>
      <c r="G179" s="120"/>
      <c r="H179" s="120"/>
    </row>
    <row r="180" spans="1:8" ht="14.65" thickBot="1" x14ac:dyDescent="0.5">
      <c r="A180" s="144">
        <v>20</v>
      </c>
      <c r="B180" s="120" t="s">
        <v>1</v>
      </c>
      <c r="C180" s="120"/>
      <c r="D180" s="150">
        <f t="shared" ref="D180:F180" si="8">SUM(D175:D178)</f>
        <v>0</v>
      </c>
      <c r="E180" s="150">
        <f t="shared" si="8"/>
        <v>0</v>
      </c>
      <c r="F180" s="150">
        <f t="shared" si="8"/>
        <v>0</v>
      </c>
      <c r="G180" s="150"/>
      <c r="H180" s="150">
        <f t="shared" ref="H180" si="9">SUM(H175:H178)</f>
        <v>0</v>
      </c>
    </row>
    <row r="181" spans="1:8" ht="14.65" thickTop="1" x14ac:dyDescent="0.45"/>
  </sheetData>
  <mergeCells count="22">
    <mergeCell ref="A149:H149"/>
    <mergeCell ref="A150:H150"/>
    <mergeCell ref="A151:H151"/>
    <mergeCell ref="A152:H152"/>
    <mergeCell ref="A114:H114"/>
    <mergeCell ref="A115:H115"/>
    <mergeCell ref="A116:H116"/>
    <mergeCell ref="A117:H117"/>
    <mergeCell ref="B133:I133"/>
    <mergeCell ref="A80:H80"/>
    <mergeCell ref="A81:H81"/>
    <mergeCell ref="A82:H82"/>
    <mergeCell ref="A83:H83"/>
    <mergeCell ref="A46:H46"/>
    <mergeCell ref="A47:H47"/>
    <mergeCell ref="A48:H48"/>
    <mergeCell ref="B64:I64"/>
    <mergeCell ref="A1:H1"/>
    <mergeCell ref="A2:H2"/>
    <mergeCell ref="A3:H3"/>
    <mergeCell ref="A4:H4"/>
    <mergeCell ref="A45:H45"/>
  </mergeCells>
  <pageMargins left="0.7" right="0.7" top="0.75" bottom="0.75" header="0.3" footer="0.3"/>
  <pageSetup scale="63" orientation="portrait" horizontalDpi="1200" verticalDpi="1200" r:id="rId1"/>
  <rowBreaks count="4" manualBreakCount="4">
    <brk id="44" max="7" man="1"/>
    <brk id="79" max="7" man="1"/>
    <brk id="113" max="7" man="1"/>
    <brk id="148" max="7" man="1"/>
  </row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B356"/>
  <sheetViews>
    <sheetView zoomScale="80" zoomScaleNormal="80" workbookViewId="0">
      <selection sqref="A1:Z1"/>
    </sheetView>
  </sheetViews>
  <sheetFormatPr defaultColWidth="14.73046875" defaultRowHeight="14.25" x14ac:dyDescent="0.45"/>
  <cols>
    <col min="1" max="1" width="5.73046875" style="3" customWidth="1"/>
    <col min="2" max="2" width="15.1328125" style="3" customWidth="1"/>
    <col min="3" max="3" width="1.73046875" style="3" customWidth="1"/>
    <col min="4" max="4" width="10.59765625" style="3" bestFit="1" customWidth="1"/>
    <col min="5" max="5" width="13" style="3" customWidth="1"/>
    <col min="6" max="6" width="11.73046875" style="3" customWidth="1"/>
    <col min="7" max="7" width="14.3984375" style="3" bestFit="1" customWidth="1"/>
    <col min="8" max="8" width="1.73046875" style="3" customWidth="1"/>
    <col min="9" max="9" width="10.59765625" style="3" bestFit="1" customWidth="1"/>
    <col min="10" max="10" width="13.1328125" style="3" bestFit="1" customWidth="1"/>
    <col min="11" max="11" width="11.73046875" style="3" customWidth="1"/>
    <col min="12" max="12" width="13.59765625" style="3" customWidth="1"/>
    <col min="13" max="13" width="1.73046875" style="3" customWidth="1"/>
    <col min="14" max="14" width="10.59765625" style="3" bestFit="1" customWidth="1"/>
    <col min="15" max="15" width="13.1328125" style="3" bestFit="1" customWidth="1"/>
    <col min="16" max="16" width="11.73046875" style="3" customWidth="1"/>
    <col min="17" max="17" width="13.73046875" style="3" bestFit="1" customWidth="1"/>
    <col min="18" max="18" width="1.73046875" style="3" customWidth="1"/>
    <col min="19" max="19" width="12.73046875" style="3" bestFit="1" customWidth="1"/>
    <col min="20" max="20" width="13.1328125" style="3" bestFit="1" customWidth="1"/>
    <col min="21" max="21" width="11.73046875" style="3" customWidth="1"/>
    <col min="22" max="22" width="13.73046875" style="3" bestFit="1" customWidth="1"/>
    <col min="23" max="23" width="1.73046875" style="3" customWidth="1"/>
    <col min="24" max="24" width="12.265625" style="3" bestFit="1" customWidth="1"/>
    <col min="25" max="25" width="1.73046875" style="3" customWidth="1"/>
    <col min="26" max="26" width="10.86328125" style="3" customWidth="1"/>
    <col min="27" max="16384" width="14.73046875" style="3"/>
  </cols>
  <sheetData>
    <row r="1" spans="1:26" x14ac:dyDescent="0.45">
      <c r="A1" s="161" t="s">
        <v>233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 x14ac:dyDescent="0.45">
      <c r="A2" s="163" t="s">
        <v>88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spans="1:26" x14ac:dyDescent="0.45">
      <c r="A3" s="161" t="s">
        <v>238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</row>
    <row r="4" spans="1:26" x14ac:dyDescent="0.45">
      <c r="A4" s="161" t="s">
        <v>239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</row>
    <row r="5" spans="1:26" x14ac:dyDescent="0.45">
      <c r="A5" s="9"/>
      <c r="I5" s="161" t="s">
        <v>87</v>
      </c>
      <c r="J5" s="161"/>
      <c r="K5" s="161"/>
      <c r="L5" s="161"/>
      <c r="M5" s="161"/>
      <c r="N5" s="161"/>
      <c r="O5" s="161"/>
      <c r="P5" s="161"/>
      <c r="Q5" s="161"/>
    </row>
    <row r="6" spans="1:26" x14ac:dyDescent="0.45">
      <c r="A6" s="9"/>
      <c r="I6" s="48"/>
      <c r="J6" s="48"/>
      <c r="K6" s="48"/>
      <c r="L6" s="48"/>
      <c r="M6" s="48"/>
      <c r="N6" s="48"/>
      <c r="O6" s="48"/>
      <c r="P6" s="48"/>
      <c r="Q6" s="48"/>
      <c r="Z6" s="10" t="s">
        <v>83</v>
      </c>
    </row>
    <row r="7" spans="1:26" x14ac:dyDescent="0.45">
      <c r="A7" s="9"/>
      <c r="I7" s="48"/>
      <c r="J7" s="48"/>
      <c r="K7" s="48"/>
      <c r="L7" s="48"/>
      <c r="M7" s="48"/>
      <c r="N7" s="48"/>
      <c r="O7" s="48"/>
      <c r="P7" s="48"/>
      <c r="Q7" s="48"/>
      <c r="Z7" s="140"/>
    </row>
    <row r="8" spans="1:26" x14ac:dyDescent="0.45">
      <c r="A8" s="9"/>
      <c r="I8" s="48"/>
      <c r="J8" s="48"/>
      <c r="K8" s="48"/>
      <c r="L8" s="48"/>
      <c r="M8" s="48"/>
      <c r="N8" s="48"/>
      <c r="O8" s="48"/>
      <c r="P8" s="48"/>
      <c r="Q8" s="48"/>
      <c r="X8" s="49"/>
      <c r="Y8" s="49"/>
      <c r="Z8" s="140"/>
    </row>
    <row r="9" spans="1:26" x14ac:dyDescent="0.45">
      <c r="A9" s="47"/>
      <c r="B9" s="11"/>
      <c r="C9" s="50"/>
      <c r="D9" s="51"/>
      <c r="E9" s="11"/>
      <c r="F9" s="52"/>
      <c r="G9" s="50"/>
      <c r="H9" s="50"/>
      <c r="I9" s="50"/>
      <c r="J9" s="50"/>
      <c r="K9" s="50"/>
      <c r="L9" s="50"/>
      <c r="M9" s="50"/>
      <c r="N9" s="50"/>
      <c r="O9" s="11"/>
      <c r="P9" s="52"/>
      <c r="Q9" s="50"/>
      <c r="R9" s="50"/>
      <c r="S9" s="50"/>
      <c r="T9" s="51"/>
      <c r="U9" s="52"/>
      <c r="V9" s="51"/>
      <c r="W9" s="51"/>
      <c r="X9" s="53"/>
      <c r="Y9" s="51"/>
      <c r="Z9" s="54"/>
    </row>
    <row r="10" spans="1:26" x14ac:dyDescent="0.45">
      <c r="C10" s="13"/>
      <c r="E10" s="162" t="s">
        <v>80</v>
      </c>
      <c r="F10" s="162"/>
      <c r="G10" s="162"/>
      <c r="H10" s="13"/>
      <c r="I10" s="13"/>
      <c r="J10" s="162" t="s">
        <v>79</v>
      </c>
      <c r="K10" s="162"/>
      <c r="L10" s="162"/>
      <c r="M10" s="13"/>
      <c r="O10" s="162" t="s">
        <v>51</v>
      </c>
      <c r="P10" s="162"/>
      <c r="Q10" s="162"/>
      <c r="R10" s="13"/>
      <c r="T10" s="162" t="s">
        <v>52</v>
      </c>
      <c r="U10" s="162"/>
      <c r="V10" s="162"/>
      <c r="X10" s="12"/>
    </row>
    <row r="11" spans="1:26" x14ac:dyDescent="0.45">
      <c r="C11" s="13"/>
      <c r="E11" s="13"/>
      <c r="F11" s="13"/>
      <c r="G11" s="13"/>
      <c r="H11" s="13"/>
      <c r="I11" s="13"/>
      <c r="J11" s="13"/>
      <c r="K11" s="13"/>
      <c r="L11" s="13"/>
      <c r="M11" s="13"/>
      <c r="O11" s="13"/>
      <c r="P11" s="13"/>
      <c r="Q11" s="13"/>
      <c r="R11" s="13"/>
      <c r="T11" s="13"/>
      <c r="U11" s="13"/>
      <c r="V11" s="13"/>
      <c r="X11" s="13"/>
    </row>
    <row r="12" spans="1:26" x14ac:dyDescent="0.45">
      <c r="B12" s="13" t="s">
        <v>9</v>
      </c>
      <c r="C12" s="13"/>
      <c r="E12" s="13" t="s">
        <v>23</v>
      </c>
      <c r="F12" s="13"/>
      <c r="G12" s="13" t="s">
        <v>1</v>
      </c>
      <c r="H12" s="13"/>
      <c r="I12" s="13"/>
      <c r="J12" s="13" t="s">
        <v>23</v>
      </c>
      <c r="K12" s="13"/>
      <c r="L12" s="13" t="s">
        <v>1</v>
      </c>
      <c r="M12" s="13"/>
      <c r="N12" s="13"/>
      <c r="O12" s="13" t="s">
        <v>23</v>
      </c>
      <c r="P12" s="13"/>
      <c r="Q12" s="13" t="s">
        <v>1</v>
      </c>
      <c r="R12" s="13"/>
      <c r="S12" s="13"/>
      <c r="T12" s="13" t="s">
        <v>23</v>
      </c>
      <c r="U12" s="13"/>
      <c r="V12" s="13" t="s">
        <v>1</v>
      </c>
      <c r="W12" s="13"/>
      <c r="X12" s="13" t="s">
        <v>29</v>
      </c>
      <c r="Z12" s="13" t="s">
        <v>133</v>
      </c>
    </row>
    <row r="13" spans="1:26" x14ac:dyDescent="0.45">
      <c r="A13" s="13" t="s">
        <v>0</v>
      </c>
      <c r="B13" s="47" t="s">
        <v>2</v>
      </c>
      <c r="C13" s="13"/>
      <c r="E13" s="47" t="s">
        <v>134</v>
      </c>
      <c r="F13" s="47"/>
      <c r="G13" s="47" t="s">
        <v>27</v>
      </c>
      <c r="H13" s="13"/>
      <c r="I13" s="13"/>
      <c r="J13" s="47" t="s">
        <v>134</v>
      </c>
      <c r="K13" s="47"/>
      <c r="L13" s="47" t="s">
        <v>27</v>
      </c>
      <c r="M13" s="13"/>
      <c r="N13" s="13"/>
      <c r="O13" s="47" t="s">
        <v>134</v>
      </c>
      <c r="P13" s="47"/>
      <c r="Q13" s="47" t="s">
        <v>27</v>
      </c>
      <c r="R13" s="13"/>
      <c r="S13" s="13"/>
      <c r="T13" s="47" t="str">
        <f>O13</f>
        <v>(000 Gal)</v>
      </c>
      <c r="U13" s="47"/>
      <c r="V13" s="47" t="s">
        <v>27</v>
      </c>
      <c r="W13" s="13"/>
      <c r="X13" s="47" t="s">
        <v>30</v>
      </c>
      <c r="Y13" s="11"/>
      <c r="Z13" s="47" t="s">
        <v>30</v>
      </c>
    </row>
    <row r="14" spans="1:26" x14ac:dyDescent="0.45">
      <c r="A14" s="13">
        <v>1</v>
      </c>
      <c r="B14" s="9" t="s">
        <v>42</v>
      </c>
      <c r="C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Z14" s="13"/>
    </row>
    <row r="15" spans="1:26" x14ac:dyDescent="0.45">
      <c r="A15" s="13">
        <v>2</v>
      </c>
      <c r="B15" s="14"/>
    </row>
    <row r="16" spans="1:26" x14ac:dyDescent="0.45">
      <c r="A16" s="13">
        <v>3</v>
      </c>
      <c r="B16" s="3" t="s">
        <v>3</v>
      </c>
      <c r="C16" s="8"/>
      <c r="D16" s="6"/>
      <c r="E16" s="6">
        <f>+E86</f>
        <v>6033379.921896995</v>
      </c>
      <c r="F16" s="6"/>
      <c r="G16" s="8">
        <f>ROUND(+G86,0)</f>
        <v>58192952</v>
      </c>
      <c r="H16" s="8"/>
      <c r="I16" s="8"/>
      <c r="J16" s="6">
        <f>+J86</f>
        <v>6033379.921896995</v>
      </c>
      <c r="K16" s="6"/>
      <c r="L16" s="8">
        <f>ROUND(+L86,0)</f>
        <v>68475562</v>
      </c>
      <c r="M16" s="8"/>
      <c r="N16" s="8"/>
      <c r="O16" s="6">
        <f>+O86</f>
        <v>5810000</v>
      </c>
      <c r="P16" s="6"/>
      <c r="Q16" s="8">
        <f>ROUND(+Q86,0)</f>
        <v>56883835</v>
      </c>
      <c r="R16" s="8"/>
      <c r="S16" s="6"/>
      <c r="T16" s="6">
        <f>+T86</f>
        <v>5810000</v>
      </c>
      <c r="U16" s="6"/>
      <c r="V16" s="8">
        <f>ROUND(+V86,0)</f>
        <v>66934958</v>
      </c>
      <c r="W16" s="8"/>
      <c r="X16" s="8">
        <f>+V16-Q16</f>
        <v>10051123</v>
      </c>
      <c r="Y16" s="7"/>
      <c r="Z16" s="15">
        <f t="shared" ref="Z16:Z22" si="0">IF(Q16=0,0,ROUND((X16/Q16),4))</f>
        <v>0.1767</v>
      </c>
    </row>
    <row r="17" spans="1:28" x14ac:dyDescent="0.45">
      <c r="A17" s="13">
        <v>4</v>
      </c>
      <c r="B17" s="3" t="s">
        <v>28</v>
      </c>
      <c r="C17" s="6"/>
      <c r="D17" s="6"/>
      <c r="E17" s="6">
        <f>+E128</f>
        <v>4175826.0917406371</v>
      </c>
      <c r="F17" s="6"/>
      <c r="G17" s="6">
        <f>ROUND(+G128,0)</f>
        <v>27527092</v>
      </c>
      <c r="H17" s="6"/>
      <c r="I17" s="6"/>
      <c r="J17" s="6">
        <f>+J128</f>
        <v>4175826.0917406371</v>
      </c>
      <c r="K17" s="6"/>
      <c r="L17" s="6">
        <f>ROUND(+L128,0)</f>
        <v>32392856</v>
      </c>
      <c r="M17" s="6"/>
      <c r="N17" s="6"/>
      <c r="O17" s="6">
        <f>+O128</f>
        <v>4111315.8800000004</v>
      </c>
      <c r="P17" s="6"/>
      <c r="Q17" s="6">
        <f>ROUND(+Q128,0)</f>
        <v>27247879</v>
      </c>
      <c r="R17" s="6"/>
      <c r="S17" s="6"/>
      <c r="T17" s="6">
        <f>+T128</f>
        <v>4111315.8800000004</v>
      </c>
      <c r="U17" s="6"/>
      <c r="V17" s="6">
        <f>ROUND(+V128,0)</f>
        <v>32064250</v>
      </c>
      <c r="W17" s="6"/>
      <c r="X17" s="6">
        <f t="shared" ref="X17:X22" si="1">+V17-Q17</f>
        <v>4816371</v>
      </c>
      <c r="Y17" s="7"/>
      <c r="Z17" s="15">
        <f t="shared" si="0"/>
        <v>0.17680000000000001</v>
      </c>
    </row>
    <row r="18" spans="1:28" x14ac:dyDescent="0.45">
      <c r="A18" s="13">
        <v>5</v>
      </c>
      <c r="B18" s="3" t="s">
        <v>4</v>
      </c>
      <c r="C18" s="6"/>
      <c r="D18" s="6"/>
      <c r="E18" s="6">
        <f>+E170</f>
        <v>570014.38900000008</v>
      </c>
      <c r="F18" s="6"/>
      <c r="G18" s="6">
        <f>ROUND(+G170,0)</f>
        <v>2620953</v>
      </c>
      <c r="H18" s="6"/>
      <c r="I18" s="6"/>
      <c r="J18" s="6">
        <f>+J170</f>
        <v>570014.38900000008</v>
      </c>
      <c r="K18" s="6"/>
      <c r="L18" s="6">
        <f>ROUND(+L170,0)</f>
        <v>3084367</v>
      </c>
      <c r="M18" s="6"/>
      <c r="N18" s="6"/>
      <c r="O18" s="6">
        <f>+O170</f>
        <v>571807.07000000007</v>
      </c>
      <c r="P18" s="6"/>
      <c r="Q18" s="6">
        <f>ROUND(+Q170,0)</f>
        <v>2623290</v>
      </c>
      <c r="R18" s="6"/>
      <c r="S18" s="6"/>
      <c r="T18" s="6">
        <f>+T170</f>
        <v>571807.07000000007</v>
      </c>
      <c r="U18" s="6"/>
      <c r="V18" s="6">
        <f>ROUND(+V170,0)</f>
        <v>3087119</v>
      </c>
      <c r="W18" s="6"/>
      <c r="X18" s="6">
        <f t="shared" si="1"/>
        <v>463829</v>
      </c>
      <c r="Y18" s="7"/>
      <c r="Z18" s="15">
        <f t="shared" si="0"/>
        <v>0.17680000000000001</v>
      </c>
    </row>
    <row r="19" spans="1:28" x14ac:dyDescent="0.45">
      <c r="A19" s="13">
        <v>6</v>
      </c>
      <c r="B19" s="3" t="s">
        <v>165</v>
      </c>
      <c r="C19" s="6"/>
      <c r="D19" s="6"/>
      <c r="E19" s="6">
        <f>+E212</f>
        <v>1204998.791</v>
      </c>
      <c r="F19" s="6"/>
      <c r="G19" s="6">
        <f>ROUND(+G212,0)</f>
        <v>6824835</v>
      </c>
      <c r="H19" s="6"/>
      <c r="I19" s="6"/>
      <c r="J19" s="6">
        <f>+J212</f>
        <v>1204998.791</v>
      </c>
      <c r="K19" s="6"/>
      <c r="L19" s="6">
        <f>ROUND(+L212,0)</f>
        <v>8031341</v>
      </c>
      <c r="M19" s="6"/>
      <c r="N19" s="6"/>
      <c r="O19" s="6">
        <f>+O212</f>
        <v>1209547.46</v>
      </c>
      <c r="P19" s="6"/>
      <c r="Q19" s="6">
        <f>ROUND(+Q212,0)</f>
        <v>6817940</v>
      </c>
      <c r="R19" s="6"/>
      <c r="S19" s="6"/>
      <c r="T19" s="6">
        <f>+T212</f>
        <v>1209547.46</v>
      </c>
      <c r="U19" s="6"/>
      <c r="V19" s="6">
        <f>ROUND(+V212,0)</f>
        <v>8023237</v>
      </c>
      <c r="W19" s="6"/>
      <c r="X19" s="6">
        <f t="shared" si="1"/>
        <v>1205297</v>
      </c>
      <c r="Y19" s="7"/>
      <c r="Z19" s="15">
        <f t="shared" si="0"/>
        <v>0.17680000000000001</v>
      </c>
    </row>
    <row r="20" spans="1:28" x14ac:dyDescent="0.45">
      <c r="A20" s="13">
        <v>7</v>
      </c>
      <c r="B20" s="3" t="s">
        <v>166</v>
      </c>
      <c r="C20" s="6"/>
      <c r="D20" s="6"/>
      <c r="E20" s="6">
        <f>+E254</f>
        <v>299791.57590637601</v>
      </c>
      <c r="F20" s="6"/>
      <c r="G20" s="6">
        <f>ROUND(+G254,0)</f>
        <v>1302863</v>
      </c>
      <c r="H20" s="6"/>
      <c r="I20" s="6"/>
      <c r="J20" s="6">
        <f>+J254</f>
        <v>299791.57590637601</v>
      </c>
      <c r="K20" s="6"/>
      <c r="L20" s="6">
        <f>ROUND(+L254,0)</f>
        <v>1510693</v>
      </c>
      <c r="M20" s="6"/>
      <c r="N20" s="6"/>
      <c r="O20" s="6">
        <f>+O254</f>
        <v>269884.87599999993</v>
      </c>
      <c r="P20" s="6"/>
      <c r="Q20" s="6">
        <f>ROUND(+Q254,0)</f>
        <v>1169406</v>
      </c>
      <c r="R20" s="6"/>
      <c r="S20" s="6"/>
      <c r="T20" s="6">
        <f>+T254</f>
        <v>269884.87599999993</v>
      </c>
      <c r="U20" s="6"/>
      <c r="V20" s="6">
        <f>ROUND(+V254,0)</f>
        <v>1353102</v>
      </c>
      <c r="W20" s="6"/>
      <c r="X20" s="6">
        <f t="shared" si="1"/>
        <v>183696</v>
      </c>
      <c r="Y20" s="7"/>
      <c r="Z20" s="15">
        <f t="shared" si="0"/>
        <v>0.15709999999999999</v>
      </c>
    </row>
    <row r="21" spans="1:28" x14ac:dyDescent="0.45">
      <c r="A21" s="13">
        <v>8</v>
      </c>
      <c r="B21" s="3" t="s">
        <v>32</v>
      </c>
      <c r="C21" s="6"/>
      <c r="D21" s="7"/>
      <c r="E21" s="6">
        <f>+E333</f>
        <v>9684.3372247403913</v>
      </c>
      <c r="F21" s="16"/>
      <c r="G21" s="6">
        <f>ROUND(+G337,0)</f>
        <v>3198791</v>
      </c>
      <c r="H21" s="6"/>
      <c r="I21" s="6"/>
      <c r="J21" s="6">
        <f>+J333</f>
        <v>9684.3372247403913</v>
      </c>
      <c r="K21" s="16"/>
      <c r="L21" s="6">
        <f>ROUND(+L337,0)</f>
        <v>3763394</v>
      </c>
      <c r="M21" s="6"/>
      <c r="N21" s="6"/>
      <c r="O21" s="6">
        <f>+O333</f>
        <v>6379.4384494807882</v>
      </c>
      <c r="P21" s="16"/>
      <c r="Q21" s="6">
        <f>ROUND(+Q337,0)</f>
        <v>3222852</v>
      </c>
      <c r="R21" s="6"/>
      <c r="S21" s="6"/>
      <c r="T21" s="6">
        <f>+T333</f>
        <v>6379.4384494807882</v>
      </c>
      <c r="U21" s="16"/>
      <c r="V21" s="6">
        <f>ROUND(+V337,0)</f>
        <v>3791697</v>
      </c>
      <c r="W21" s="6"/>
      <c r="X21" s="6">
        <f t="shared" si="1"/>
        <v>568845</v>
      </c>
      <c r="Y21" s="7"/>
      <c r="Z21" s="15">
        <f t="shared" si="0"/>
        <v>0.17649999999999999</v>
      </c>
    </row>
    <row r="22" spans="1:28" x14ac:dyDescent="0.45">
      <c r="A22" s="13">
        <v>9</v>
      </c>
      <c r="B22" s="3" t="s">
        <v>78</v>
      </c>
      <c r="E22" s="3">
        <v>0</v>
      </c>
      <c r="G22" s="6">
        <f>ROUND(+G347,0)</f>
        <v>4450623</v>
      </c>
      <c r="J22" s="3">
        <v>0</v>
      </c>
      <c r="L22" s="6">
        <f>ROUND(+L347,0)</f>
        <v>5236158</v>
      </c>
      <c r="O22" s="3">
        <v>0</v>
      </c>
      <c r="Q22" s="6">
        <f>ROUND(+Q347,0)</f>
        <v>4476834</v>
      </c>
      <c r="T22" s="3">
        <v>0</v>
      </c>
      <c r="V22" s="6">
        <f>ROUND(+V347,0)</f>
        <v>5266995</v>
      </c>
      <c r="X22" s="6">
        <f t="shared" si="1"/>
        <v>790161</v>
      </c>
      <c r="Z22" s="15">
        <f t="shared" si="0"/>
        <v>0.17649999999999999</v>
      </c>
    </row>
    <row r="23" spans="1:28" x14ac:dyDescent="0.45">
      <c r="A23" s="13">
        <v>10</v>
      </c>
      <c r="B23" s="3" t="s">
        <v>72</v>
      </c>
      <c r="C23" s="6"/>
      <c r="D23" s="7"/>
      <c r="E23" s="6">
        <f>+E296</f>
        <v>15246.863999999998</v>
      </c>
      <c r="F23" s="16"/>
      <c r="G23" s="6">
        <f>ROUND(+G296,0)</f>
        <v>119692</v>
      </c>
      <c r="H23" s="6"/>
      <c r="I23" s="6"/>
      <c r="J23" s="6">
        <f>+J296</f>
        <v>15246.863999999998</v>
      </c>
      <c r="K23" s="16"/>
      <c r="L23" s="6">
        <f>ROUND(+L296,0)</f>
        <v>140835</v>
      </c>
      <c r="M23" s="6"/>
      <c r="N23" s="6"/>
      <c r="O23" s="6">
        <f>+O296</f>
        <v>8989.6000000000022</v>
      </c>
      <c r="P23" s="16"/>
      <c r="Q23" s="6">
        <f>ROUND(+Q296,0)</f>
        <v>96852</v>
      </c>
      <c r="R23" s="6"/>
      <c r="S23" s="6"/>
      <c r="T23" s="6">
        <f>+T296</f>
        <v>8989.6000000000022</v>
      </c>
      <c r="U23" s="16"/>
      <c r="V23" s="6">
        <f>ROUND(+V296,0)</f>
        <v>113956</v>
      </c>
      <c r="W23" s="6"/>
      <c r="X23" s="6">
        <f>+V23-Q23</f>
        <v>17104</v>
      </c>
      <c r="Y23" s="7"/>
      <c r="Z23" s="15">
        <f>IF(Q23=0,0,ROUND((X23/Q23),4))</f>
        <v>0.17660000000000001</v>
      </c>
    </row>
    <row r="24" spans="1:28" x14ac:dyDescent="0.45">
      <c r="A24" s="13">
        <v>11</v>
      </c>
      <c r="X24" s="6"/>
      <c r="Z24" s="15"/>
    </row>
    <row r="25" spans="1:28" x14ac:dyDescent="0.45">
      <c r="A25" s="13">
        <v>12</v>
      </c>
      <c r="B25" s="3" t="s">
        <v>1</v>
      </c>
      <c r="C25" s="8"/>
      <c r="D25" s="6"/>
      <c r="E25" s="43">
        <f>SUM(E16:E24)</f>
        <v>12308941.970768748</v>
      </c>
      <c r="F25" s="6"/>
      <c r="G25" s="18">
        <f>SUM(G16:G24)</f>
        <v>104237801</v>
      </c>
      <c r="H25" s="8"/>
      <c r="I25" s="8"/>
      <c r="J25" s="43">
        <f>SUM(J16:J24)</f>
        <v>12308941.970768748</v>
      </c>
      <c r="K25" s="6"/>
      <c r="L25" s="18">
        <f>SUM(L16:L24)</f>
        <v>122635206</v>
      </c>
      <c r="M25" s="8"/>
      <c r="N25" s="8"/>
      <c r="O25" s="43">
        <f>SUM(O16:O24)</f>
        <v>11987924.324449481</v>
      </c>
      <c r="P25" s="6"/>
      <c r="Q25" s="18">
        <f>SUM(Q16:Q24)</f>
        <v>102538888</v>
      </c>
      <c r="R25" s="8"/>
      <c r="S25" s="6"/>
      <c r="T25" s="43">
        <f>SUM(T16:T24)</f>
        <v>11987924.324449481</v>
      </c>
      <c r="U25" s="16"/>
      <c r="V25" s="18">
        <f>SUM(V16:V24)</f>
        <v>120635314</v>
      </c>
      <c r="W25" s="6"/>
      <c r="X25" s="18">
        <f>+V25-Q25</f>
        <v>18096426</v>
      </c>
      <c r="Y25" s="7"/>
      <c r="Z25" s="19">
        <f>IF(Q25=0,0,ROUND((X25/Q25),4))</f>
        <v>0.17649999999999999</v>
      </c>
    </row>
    <row r="26" spans="1:28" x14ac:dyDescent="0.45">
      <c r="A26" s="13">
        <v>13</v>
      </c>
    </row>
    <row r="27" spans="1:28" x14ac:dyDescent="0.45">
      <c r="A27" s="13">
        <v>14</v>
      </c>
      <c r="B27" s="9" t="s">
        <v>43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6"/>
      <c r="U27" s="16"/>
      <c r="V27" s="7"/>
      <c r="W27" s="7"/>
      <c r="X27" s="6"/>
      <c r="Y27" s="7"/>
      <c r="Z27" s="15"/>
    </row>
    <row r="28" spans="1:28" x14ac:dyDescent="0.45">
      <c r="A28" s="13">
        <v>15</v>
      </c>
      <c r="B28" s="20" t="s">
        <v>73</v>
      </c>
      <c r="C28" s="6"/>
      <c r="D28" s="7"/>
      <c r="E28" s="6"/>
      <c r="F28" s="21"/>
      <c r="G28" s="71">
        <v>809820.49133746536</v>
      </c>
      <c r="H28" s="8"/>
      <c r="I28" s="6"/>
      <c r="J28" s="6"/>
      <c r="K28" s="21"/>
      <c r="L28" s="8">
        <f>+L25*AB28</f>
        <v>895329.47483426484</v>
      </c>
      <c r="M28" s="6"/>
      <c r="N28" s="6"/>
      <c r="O28" s="6"/>
      <c r="P28" s="21"/>
      <c r="Q28" s="8">
        <v>817944.75281864335</v>
      </c>
      <c r="R28" s="6"/>
      <c r="S28" s="6"/>
      <c r="T28" s="6"/>
      <c r="U28" s="21"/>
      <c r="V28" s="8">
        <f>+Q28</f>
        <v>817944.75281864335</v>
      </c>
      <c r="W28" s="6"/>
      <c r="X28" s="6">
        <f>+V28-Q28</f>
        <v>0</v>
      </c>
      <c r="Z28" s="15">
        <f t="shared" ref="Z28" si="2">IF(Q28=0,0,ROUND((X28/Q28),4))</f>
        <v>0</v>
      </c>
      <c r="AB28" s="109">
        <v>7.3007540333423085E-3</v>
      </c>
    </row>
    <row r="29" spans="1:28" x14ac:dyDescent="0.45">
      <c r="A29" s="13">
        <v>16</v>
      </c>
      <c r="B29" s="20" t="s">
        <v>69</v>
      </c>
      <c r="C29" s="8"/>
      <c r="E29" s="6"/>
      <c r="F29" s="21"/>
      <c r="G29" s="6">
        <v>164957.26</v>
      </c>
      <c r="H29" s="6"/>
      <c r="I29" s="8"/>
      <c r="J29" s="6"/>
      <c r="K29" s="21"/>
      <c r="L29" s="6">
        <f>+G29</f>
        <v>164957.26</v>
      </c>
      <c r="M29" s="8"/>
      <c r="N29" s="8"/>
      <c r="O29" s="6"/>
      <c r="P29" s="21"/>
      <c r="Q29" s="6">
        <v>197563.56000000003</v>
      </c>
      <c r="R29" s="8"/>
      <c r="S29" s="6"/>
      <c r="T29" s="6"/>
      <c r="U29" s="21"/>
      <c r="V29" s="6">
        <f>+Q29</f>
        <v>197563.56000000003</v>
      </c>
      <c r="W29" s="6"/>
      <c r="X29" s="6">
        <f>+V29-Q29</f>
        <v>0</v>
      </c>
      <c r="Z29" s="15">
        <f t="shared" ref="Z29:Z35" si="3">IF(Q29=0,0,ROUND((X29/Q29),4))</f>
        <v>0</v>
      </c>
    </row>
    <row r="30" spans="1:28" x14ac:dyDescent="0.45">
      <c r="A30" s="13">
        <v>17</v>
      </c>
      <c r="B30" s="20" t="s">
        <v>70</v>
      </c>
      <c r="C30" s="6"/>
      <c r="E30" s="6"/>
      <c r="F30" s="21"/>
      <c r="G30" s="6">
        <v>207454.7699999999</v>
      </c>
      <c r="H30" s="6"/>
      <c r="I30" s="6"/>
      <c r="J30" s="6"/>
      <c r="K30" s="21"/>
      <c r="L30" s="6">
        <f t="shared" ref="L30:L35" si="4">+G30</f>
        <v>207454.7699999999</v>
      </c>
      <c r="M30" s="6"/>
      <c r="N30" s="6"/>
      <c r="O30" s="6"/>
      <c r="P30" s="21"/>
      <c r="Q30" s="6">
        <v>224963.03999999992</v>
      </c>
      <c r="R30" s="6"/>
      <c r="S30" s="6"/>
      <c r="T30" s="6"/>
      <c r="U30" s="21"/>
      <c r="V30" s="6">
        <f t="shared" ref="V30:V35" si="5">+Q30</f>
        <v>224963.03999999992</v>
      </c>
      <c r="W30" s="6"/>
      <c r="X30" s="6">
        <f t="shared" ref="X30:X35" si="6">+V30-Q30</f>
        <v>0</v>
      </c>
      <c r="Z30" s="15">
        <f t="shared" si="3"/>
        <v>0</v>
      </c>
    </row>
    <row r="31" spans="1:28" x14ac:dyDescent="0.45">
      <c r="A31" s="13">
        <v>18</v>
      </c>
      <c r="B31" s="20" t="s">
        <v>74</v>
      </c>
      <c r="C31" s="6"/>
      <c r="E31" s="6"/>
      <c r="F31" s="21"/>
      <c r="G31" s="6">
        <v>32388</v>
      </c>
      <c r="H31" s="6"/>
      <c r="I31" s="6"/>
      <c r="J31" s="6"/>
      <c r="K31" s="21"/>
      <c r="L31" s="6">
        <f t="shared" si="4"/>
        <v>32388</v>
      </c>
      <c r="M31" s="6"/>
      <c r="N31" s="6"/>
      <c r="O31" s="6"/>
      <c r="P31" s="21"/>
      <c r="Q31" s="6">
        <v>31484</v>
      </c>
      <c r="R31" s="6"/>
      <c r="S31" s="6"/>
      <c r="T31" s="6"/>
      <c r="U31" s="21"/>
      <c r="V31" s="6">
        <f t="shared" si="5"/>
        <v>31484</v>
      </c>
      <c r="W31" s="6"/>
      <c r="X31" s="6">
        <f t="shared" si="6"/>
        <v>0</v>
      </c>
      <c r="Z31" s="15">
        <f t="shared" si="3"/>
        <v>0</v>
      </c>
    </row>
    <row r="32" spans="1:28" x14ac:dyDescent="0.45">
      <c r="A32" s="13">
        <v>19</v>
      </c>
      <c r="B32" s="20" t="s">
        <v>77</v>
      </c>
      <c r="C32" s="6"/>
      <c r="D32" s="13"/>
      <c r="E32" s="6"/>
      <c r="F32" s="13"/>
      <c r="G32" s="6">
        <v>650498.23333333328</v>
      </c>
      <c r="H32" s="6"/>
      <c r="I32" s="6"/>
      <c r="J32" s="6"/>
      <c r="K32" s="13"/>
      <c r="L32" s="6">
        <f t="shared" si="4"/>
        <v>650498.23333333328</v>
      </c>
      <c r="M32" s="6"/>
      <c r="N32" s="6"/>
      <c r="O32" s="6"/>
      <c r="P32" s="13"/>
      <c r="Q32" s="6">
        <v>671412.02333333332</v>
      </c>
      <c r="R32" s="6"/>
      <c r="S32" s="13"/>
      <c r="T32" s="22"/>
      <c r="U32" s="22"/>
      <c r="V32" s="6">
        <f t="shared" si="5"/>
        <v>671412.02333333332</v>
      </c>
      <c r="W32" s="22"/>
      <c r="X32" s="6">
        <f t="shared" si="6"/>
        <v>0</v>
      </c>
      <c r="Z32" s="15">
        <f t="shared" si="3"/>
        <v>0</v>
      </c>
    </row>
    <row r="33" spans="1:26" x14ac:dyDescent="0.45">
      <c r="A33" s="13">
        <v>20</v>
      </c>
      <c r="B33" s="20" t="s">
        <v>71</v>
      </c>
      <c r="C33" s="6"/>
      <c r="D33" s="23"/>
      <c r="F33" s="23"/>
      <c r="G33" s="6">
        <v>59632.350000000006</v>
      </c>
      <c r="H33" s="6"/>
      <c r="I33" s="6"/>
      <c r="K33" s="23"/>
      <c r="L33" s="6">
        <f t="shared" si="4"/>
        <v>59632.350000000006</v>
      </c>
      <c r="M33" s="6"/>
      <c r="N33" s="6"/>
      <c r="P33" s="23"/>
      <c r="Q33" s="6">
        <v>60013.80000000001</v>
      </c>
      <c r="R33" s="6"/>
      <c r="S33" s="23"/>
      <c r="T33" s="23"/>
      <c r="U33" s="23"/>
      <c r="V33" s="6">
        <f t="shared" si="5"/>
        <v>60013.80000000001</v>
      </c>
      <c r="W33" s="23"/>
      <c r="X33" s="6">
        <f t="shared" si="6"/>
        <v>0</v>
      </c>
      <c r="Z33" s="15">
        <f t="shared" si="3"/>
        <v>0</v>
      </c>
    </row>
    <row r="34" spans="1:26" x14ac:dyDescent="0.45">
      <c r="A34" s="13">
        <v>21</v>
      </c>
      <c r="B34" s="20" t="s">
        <v>75</v>
      </c>
      <c r="C34" s="24"/>
      <c r="D34" s="25"/>
      <c r="F34" s="25"/>
      <c r="G34" s="6">
        <v>475447.80333333334</v>
      </c>
      <c r="H34" s="6"/>
      <c r="I34" s="24"/>
      <c r="K34" s="25"/>
      <c r="L34" s="6">
        <f t="shared" si="4"/>
        <v>475447.80333333334</v>
      </c>
      <c r="M34" s="24"/>
      <c r="N34" s="24"/>
      <c r="P34" s="25"/>
      <c r="Q34" s="6">
        <v>479040.70000000007</v>
      </c>
      <c r="R34" s="24"/>
      <c r="S34" s="25"/>
      <c r="U34" s="25"/>
      <c r="V34" s="6">
        <f t="shared" si="5"/>
        <v>479040.70000000007</v>
      </c>
      <c r="W34" s="25"/>
      <c r="X34" s="6">
        <f t="shared" si="6"/>
        <v>0</v>
      </c>
      <c r="Z34" s="15">
        <f t="shared" si="3"/>
        <v>0</v>
      </c>
    </row>
    <row r="35" spans="1:26" x14ac:dyDescent="0.45">
      <c r="A35" s="13">
        <v>22</v>
      </c>
      <c r="B35" s="20" t="s">
        <v>76</v>
      </c>
      <c r="C35" s="6"/>
      <c r="D35" s="26"/>
      <c r="G35" s="6">
        <v>55128.719999999994</v>
      </c>
      <c r="H35" s="6"/>
      <c r="I35" s="6"/>
      <c r="L35" s="6">
        <f t="shared" si="4"/>
        <v>55128.719999999994</v>
      </c>
      <c r="M35" s="6"/>
      <c r="N35" s="6"/>
      <c r="Q35" s="6">
        <v>22970.300000000003</v>
      </c>
      <c r="R35" s="6"/>
      <c r="S35" s="26"/>
      <c r="U35" s="27"/>
      <c r="V35" s="6">
        <f t="shared" si="5"/>
        <v>22970.300000000003</v>
      </c>
      <c r="W35" s="26"/>
      <c r="X35" s="6">
        <f t="shared" si="6"/>
        <v>0</v>
      </c>
      <c r="Z35" s="15">
        <f t="shared" si="3"/>
        <v>0</v>
      </c>
    </row>
    <row r="36" spans="1:26" x14ac:dyDescent="0.45">
      <c r="A36" s="13">
        <v>23</v>
      </c>
      <c r="B36" s="20"/>
      <c r="C36" s="28"/>
      <c r="G36" s="6"/>
      <c r="H36" s="6"/>
      <c r="I36" s="28"/>
      <c r="L36" s="6"/>
      <c r="M36" s="28"/>
      <c r="N36" s="28"/>
      <c r="Q36" s="6"/>
      <c r="R36" s="28"/>
      <c r="V36" s="6"/>
      <c r="X36" s="6"/>
      <c r="Z36" s="15"/>
    </row>
    <row r="37" spans="1:26" x14ac:dyDescent="0.45">
      <c r="A37" s="13">
        <v>24</v>
      </c>
      <c r="B37" s="20"/>
      <c r="C37" s="6"/>
      <c r="F37" s="27"/>
      <c r="G37" s="6"/>
      <c r="H37" s="6"/>
      <c r="I37" s="6"/>
      <c r="K37" s="27"/>
      <c r="L37" s="6"/>
      <c r="M37" s="6"/>
      <c r="N37" s="6"/>
      <c r="P37" s="27"/>
      <c r="Q37" s="6"/>
      <c r="R37" s="6"/>
      <c r="U37" s="27"/>
      <c r="V37" s="6"/>
      <c r="X37" s="6"/>
      <c r="Z37" s="15"/>
    </row>
    <row r="38" spans="1:26" x14ac:dyDescent="0.45">
      <c r="A38" s="13">
        <v>25</v>
      </c>
      <c r="B38" s="20"/>
      <c r="C38" s="6"/>
      <c r="D38" s="26"/>
      <c r="F38" s="27"/>
      <c r="G38" s="6"/>
      <c r="H38" s="6"/>
      <c r="I38" s="6"/>
      <c r="K38" s="27"/>
      <c r="L38" s="6"/>
      <c r="M38" s="6"/>
      <c r="N38" s="6"/>
      <c r="P38" s="27"/>
      <c r="Q38" s="6"/>
      <c r="R38" s="6"/>
      <c r="S38" s="26"/>
      <c r="U38" s="27"/>
      <c r="V38" s="6"/>
      <c r="W38" s="26"/>
      <c r="X38" s="6"/>
      <c r="Z38" s="15"/>
    </row>
    <row r="39" spans="1:26" x14ac:dyDescent="0.45">
      <c r="A39" s="13">
        <v>26</v>
      </c>
      <c r="B39" s="3" t="s">
        <v>67</v>
      </c>
      <c r="C39" s="6"/>
      <c r="F39" s="27"/>
      <c r="G39" s="45">
        <f>SUM(G28:G38)</f>
        <v>2455327.6280041323</v>
      </c>
      <c r="H39" s="8"/>
      <c r="I39" s="6"/>
      <c r="K39" s="27"/>
      <c r="L39" s="18">
        <f>SUM(L28:L38)</f>
        <v>2540836.6115009319</v>
      </c>
      <c r="M39" s="6"/>
      <c r="N39" s="6"/>
      <c r="P39" s="27"/>
      <c r="Q39" s="18">
        <f>SUM(Q28:Q38)</f>
        <v>2505392.1761519765</v>
      </c>
      <c r="R39" s="6"/>
      <c r="U39" s="27"/>
      <c r="V39" s="18">
        <f>SUM(V28:V38)</f>
        <v>2505392.1761519765</v>
      </c>
      <c r="X39" s="18">
        <f>V39-Q39</f>
        <v>0</v>
      </c>
      <c r="Z39" s="19">
        <f>IF(Q39=0,0,ROUND((X39/Q39),4))</f>
        <v>0</v>
      </c>
    </row>
    <row r="40" spans="1:26" x14ac:dyDescent="0.45">
      <c r="A40" s="13">
        <v>27</v>
      </c>
      <c r="C40" s="6"/>
      <c r="D40" s="13"/>
      <c r="F40" s="27"/>
      <c r="G40" s="6"/>
      <c r="H40" s="6"/>
      <c r="I40" s="6"/>
      <c r="K40" s="27"/>
      <c r="L40" s="6"/>
      <c r="M40" s="6"/>
      <c r="N40" s="6"/>
      <c r="P40" s="27"/>
      <c r="Q40" s="6"/>
      <c r="R40" s="6"/>
      <c r="S40" s="13"/>
      <c r="U40" s="27"/>
      <c r="V40" s="6"/>
      <c r="X40" s="6"/>
      <c r="Z40" s="15"/>
    </row>
    <row r="41" spans="1:26" ht="14.65" thickBot="1" x14ac:dyDescent="0.5">
      <c r="A41" s="13">
        <v>28</v>
      </c>
      <c r="B41" s="3" t="s">
        <v>68</v>
      </c>
      <c r="C41" s="23"/>
      <c r="D41" s="23"/>
      <c r="F41" s="23"/>
      <c r="G41" s="46">
        <f>G39+G25</f>
        <v>106693128.62800413</v>
      </c>
      <c r="H41" s="29"/>
      <c r="I41" s="23"/>
      <c r="K41" s="23"/>
      <c r="L41" s="42">
        <f>L39+L25</f>
        <v>125176042.61150093</v>
      </c>
      <c r="M41" s="23"/>
      <c r="N41" s="23"/>
      <c r="P41" s="23"/>
      <c r="Q41" s="42">
        <f>Q39+Q25</f>
        <v>105044280.17615198</v>
      </c>
      <c r="R41" s="23"/>
      <c r="S41" s="23"/>
      <c r="T41" s="14"/>
      <c r="U41" s="14"/>
      <c r="V41" s="42">
        <f>V39+V25</f>
        <v>123140706.17615198</v>
      </c>
      <c r="W41" s="14"/>
      <c r="X41" s="42">
        <f>V41-Q41</f>
        <v>18096426</v>
      </c>
      <c r="Y41" s="13"/>
      <c r="Z41" s="30">
        <f>IF(Q41=0,0,ROUND((X41/Q41),4))</f>
        <v>0.17230000000000001</v>
      </c>
    </row>
    <row r="42" spans="1:26" ht="14.65" thickTop="1" x14ac:dyDescent="0.45">
      <c r="A42" s="13"/>
      <c r="C42" s="25"/>
      <c r="D42" s="26"/>
      <c r="F42" s="31"/>
      <c r="G42" s="25"/>
      <c r="H42" s="25"/>
      <c r="I42" s="25"/>
      <c r="J42" s="25"/>
      <c r="K42" s="25"/>
      <c r="L42" s="25"/>
      <c r="M42" s="25"/>
      <c r="N42" s="25"/>
      <c r="P42" s="31"/>
      <c r="Q42" s="25"/>
      <c r="R42" s="25"/>
      <c r="S42" s="25"/>
      <c r="T42" s="26"/>
      <c r="U42" s="31"/>
      <c r="V42" s="26"/>
      <c r="W42" s="26"/>
      <c r="X42" s="6"/>
      <c r="Y42" s="26"/>
      <c r="Z42" s="15"/>
    </row>
    <row r="43" spans="1:26" x14ac:dyDescent="0.45">
      <c r="A43" s="13"/>
      <c r="C43" s="25"/>
      <c r="D43" s="26"/>
      <c r="F43" s="31"/>
      <c r="G43" s="25"/>
      <c r="H43" s="25"/>
      <c r="I43" s="25"/>
      <c r="J43" s="25"/>
      <c r="K43" s="25"/>
      <c r="L43" s="25"/>
      <c r="M43" s="25"/>
      <c r="N43" s="25"/>
      <c r="P43" s="31"/>
      <c r="Q43" s="25"/>
      <c r="R43" s="25"/>
      <c r="S43" s="25"/>
      <c r="T43" s="26"/>
      <c r="U43" s="31"/>
      <c r="V43" s="26"/>
      <c r="W43" s="26"/>
      <c r="X43" s="6"/>
      <c r="Y43" s="26"/>
      <c r="Z43" s="15"/>
    </row>
    <row r="44" spans="1:26" x14ac:dyDescent="0.45">
      <c r="A44" s="161" t="str">
        <f>A$1</f>
        <v>Kentucky-American Water Company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</row>
    <row r="45" spans="1:26" x14ac:dyDescent="0.45">
      <c r="A45" s="161" t="str">
        <f>+$A$2</f>
        <v>Forecast Year Operating Revenues at Present Rates &amp; Proposed Rates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</row>
    <row r="46" spans="1:26" x14ac:dyDescent="0.45">
      <c r="A46" s="161" t="str">
        <f>+$A$3</f>
        <v>Base Year (12 Months Ending September 30, 2023)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</row>
    <row r="47" spans="1:26" x14ac:dyDescent="0.45">
      <c r="A47" s="161" t="str">
        <f>+$A$4</f>
        <v>Forecast Year (12 Months Ending January 31, 2025)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</row>
    <row r="48" spans="1:26" x14ac:dyDescent="0.45">
      <c r="A48" s="9"/>
      <c r="I48" s="161" t="s">
        <v>89</v>
      </c>
      <c r="J48" s="161"/>
      <c r="K48" s="161"/>
      <c r="L48" s="161"/>
      <c r="M48" s="161"/>
      <c r="N48" s="161"/>
      <c r="O48" s="161"/>
      <c r="P48" s="161"/>
      <c r="Q48" s="161"/>
    </row>
    <row r="49" spans="1:26" x14ac:dyDescent="0.45">
      <c r="A49" s="9"/>
      <c r="I49" s="48"/>
      <c r="J49" s="48"/>
      <c r="K49" s="48"/>
      <c r="L49" s="48"/>
      <c r="M49" s="48"/>
      <c r="N49" s="48"/>
      <c r="O49" s="48"/>
      <c r="P49" s="48"/>
      <c r="Q49" s="48"/>
      <c r="Z49" s="10" t="s">
        <v>84</v>
      </c>
    </row>
    <row r="50" spans="1:26" x14ac:dyDescent="0.45">
      <c r="A50" s="9"/>
      <c r="I50" s="48"/>
      <c r="J50" s="48"/>
      <c r="K50" s="48"/>
      <c r="L50" s="48"/>
      <c r="M50" s="48"/>
      <c r="N50" s="48"/>
      <c r="O50" s="48"/>
      <c r="P50" s="48"/>
      <c r="Q50" s="48"/>
      <c r="Z50" s="140"/>
    </row>
    <row r="51" spans="1:26" x14ac:dyDescent="0.45">
      <c r="A51" s="9"/>
      <c r="Z51" s="140"/>
    </row>
    <row r="52" spans="1:26" x14ac:dyDescent="0.45">
      <c r="A52" s="47"/>
      <c r="B52" s="11"/>
      <c r="C52" s="50"/>
      <c r="D52" s="51"/>
      <c r="E52" s="11"/>
      <c r="F52" s="52"/>
      <c r="G52" s="50"/>
      <c r="H52" s="50"/>
      <c r="I52" s="50"/>
      <c r="J52" s="50"/>
      <c r="K52" s="50"/>
      <c r="L52" s="50"/>
      <c r="M52" s="50"/>
      <c r="N52" s="50"/>
      <c r="O52" s="11"/>
      <c r="P52" s="52"/>
      <c r="Q52" s="50"/>
      <c r="R52" s="50"/>
      <c r="S52" s="50"/>
      <c r="T52" s="51"/>
      <c r="U52" s="52"/>
      <c r="V52" s="51"/>
      <c r="W52" s="51"/>
      <c r="X52" s="53"/>
      <c r="Y52" s="51"/>
      <c r="Z52" s="54"/>
    </row>
    <row r="53" spans="1:26" x14ac:dyDescent="0.45">
      <c r="C53" s="13"/>
      <c r="D53" s="162" t="s">
        <v>80</v>
      </c>
      <c r="E53" s="162" t="s">
        <v>48</v>
      </c>
      <c r="F53" s="162"/>
      <c r="G53" s="162"/>
      <c r="H53" s="13"/>
      <c r="I53" s="162" t="s">
        <v>79</v>
      </c>
      <c r="J53" s="162" t="s">
        <v>48</v>
      </c>
      <c r="K53" s="162"/>
      <c r="L53" s="162"/>
      <c r="M53" s="13"/>
      <c r="N53" s="162" t="s">
        <v>51</v>
      </c>
      <c r="O53" s="162" t="s">
        <v>49</v>
      </c>
      <c r="P53" s="162"/>
      <c r="Q53" s="162"/>
      <c r="R53" s="13"/>
      <c r="S53" s="162" t="s">
        <v>52</v>
      </c>
      <c r="T53" s="162" t="s">
        <v>50</v>
      </c>
      <c r="U53" s="162"/>
      <c r="V53" s="162"/>
      <c r="W53" s="12"/>
      <c r="X53" s="12"/>
    </row>
    <row r="54" spans="1:26" x14ac:dyDescent="0.45">
      <c r="C54" s="13"/>
      <c r="D54" s="13" t="s">
        <v>11</v>
      </c>
      <c r="E54" s="13"/>
      <c r="F54" s="13"/>
      <c r="G54" s="13"/>
      <c r="H54" s="13"/>
      <c r="I54" s="13" t="s">
        <v>11</v>
      </c>
      <c r="J54" s="13"/>
      <c r="K54" s="13"/>
      <c r="L54" s="13"/>
      <c r="M54" s="13"/>
      <c r="N54" s="13" t="s">
        <v>11</v>
      </c>
      <c r="O54" s="13"/>
      <c r="P54" s="13"/>
      <c r="Q54" s="13"/>
      <c r="R54" s="13"/>
      <c r="S54" s="13" t="s">
        <v>11</v>
      </c>
      <c r="T54" s="13"/>
      <c r="U54" s="13"/>
      <c r="V54" s="13"/>
      <c r="W54" s="13"/>
      <c r="X54" s="13"/>
    </row>
    <row r="55" spans="1:26" x14ac:dyDescent="0.45">
      <c r="B55" s="13" t="s">
        <v>9</v>
      </c>
      <c r="C55" s="13"/>
      <c r="D55" s="13" t="s">
        <v>12</v>
      </c>
      <c r="E55" s="13" t="s">
        <v>23</v>
      </c>
      <c r="F55" s="13" t="s">
        <v>25</v>
      </c>
      <c r="G55" s="13" t="s">
        <v>1</v>
      </c>
      <c r="H55" s="13"/>
      <c r="I55" s="13" t="s">
        <v>12</v>
      </c>
      <c r="J55" s="13" t="s">
        <v>23</v>
      </c>
      <c r="K55" s="13" t="s">
        <v>81</v>
      </c>
      <c r="L55" s="13" t="s">
        <v>1</v>
      </c>
      <c r="M55" s="13"/>
      <c r="N55" s="13" t="s">
        <v>12</v>
      </c>
      <c r="O55" s="13" t="s">
        <v>23</v>
      </c>
      <c r="P55" s="13" t="s">
        <v>25</v>
      </c>
      <c r="Q55" s="13" t="s">
        <v>1</v>
      </c>
      <c r="R55" s="13"/>
      <c r="S55" s="13" t="s">
        <v>12</v>
      </c>
      <c r="T55" s="13" t="s">
        <v>23</v>
      </c>
      <c r="U55" s="13" t="s">
        <v>44</v>
      </c>
      <c r="V55" s="13" t="s">
        <v>1</v>
      </c>
      <c r="W55" s="13"/>
      <c r="X55" s="13" t="s">
        <v>29</v>
      </c>
      <c r="Z55" s="13" t="s">
        <v>133</v>
      </c>
    </row>
    <row r="56" spans="1:26" x14ac:dyDescent="0.45">
      <c r="A56" s="47" t="s">
        <v>0</v>
      </c>
      <c r="B56" s="47" t="s">
        <v>2</v>
      </c>
      <c r="C56" s="13"/>
      <c r="D56" s="47" t="s">
        <v>13</v>
      </c>
      <c r="E56" s="47" t="str">
        <f>E13</f>
        <v>(000 Gal)</v>
      </c>
      <c r="F56" s="47" t="s">
        <v>26</v>
      </c>
      <c r="G56" s="47" t="s">
        <v>27</v>
      </c>
      <c r="H56" s="13"/>
      <c r="I56" s="47" t="s">
        <v>13</v>
      </c>
      <c r="J56" s="47" t="str">
        <f>J13</f>
        <v>(000 Gal)</v>
      </c>
      <c r="K56" s="47" t="s">
        <v>26</v>
      </c>
      <c r="L56" s="47" t="s">
        <v>27</v>
      </c>
      <c r="M56" s="13"/>
      <c r="N56" s="47" t="s">
        <v>13</v>
      </c>
      <c r="O56" s="47" t="str">
        <f>E56</f>
        <v>(000 Gal)</v>
      </c>
      <c r="P56" s="47" t="s">
        <v>26</v>
      </c>
      <c r="Q56" s="47" t="s">
        <v>27</v>
      </c>
      <c r="R56" s="13"/>
      <c r="S56" s="47" t="s">
        <v>13</v>
      </c>
      <c r="T56" s="47" t="str">
        <f>O56</f>
        <v>(000 Gal)</v>
      </c>
      <c r="U56" s="47" t="s">
        <v>26</v>
      </c>
      <c r="V56" s="47" t="s">
        <v>27</v>
      </c>
      <c r="W56" s="13"/>
      <c r="X56" s="47" t="s">
        <v>30</v>
      </c>
      <c r="Z56" s="47" t="s">
        <v>30</v>
      </c>
    </row>
    <row r="57" spans="1:26" x14ac:dyDescent="0.45">
      <c r="A57" s="13">
        <v>1</v>
      </c>
      <c r="B57" s="9" t="str">
        <f>+I48</f>
        <v>RESIDENTIAL CLASS</v>
      </c>
      <c r="C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Z57" s="13"/>
    </row>
    <row r="58" spans="1:26" x14ac:dyDescent="0.45">
      <c r="A58" s="13">
        <f>+A57+1</f>
        <v>2</v>
      </c>
      <c r="B58" s="14" t="s">
        <v>10</v>
      </c>
    </row>
    <row r="59" spans="1:26" x14ac:dyDescent="0.45">
      <c r="A59" s="13">
        <f t="shared" ref="A59:A86" si="7">+A58+1</f>
        <v>3</v>
      </c>
      <c r="B59" s="3" t="s">
        <v>14</v>
      </c>
      <c r="C59" s="8"/>
      <c r="D59" s="6">
        <v>1487602.15</v>
      </c>
      <c r="E59" s="7"/>
      <c r="F59" s="32">
        <f>+'KAWC Rates'!C7</f>
        <v>15</v>
      </c>
      <c r="G59" s="8">
        <f>ROUND(D59*F59,2)</f>
        <v>22314032.25</v>
      </c>
      <c r="H59" s="8"/>
      <c r="I59" s="6">
        <f>D59</f>
        <v>1487602.15</v>
      </c>
      <c r="J59" s="7"/>
      <c r="K59" s="32">
        <f>U59</f>
        <v>17.647499999999997</v>
      </c>
      <c r="L59" s="8">
        <f>ROUND(I59*K59,2)</f>
        <v>26252458.940000001</v>
      </c>
      <c r="M59" s="8"/>
      <c r="N59" s="6">
        <v>1486362.8888888892</v>
      </c>
      <c r="O59" s="7"/>
      <c r="P59" s="32">
        <f>+F59</f>
        <v>15</v>
      </c>
      <c r="Q59" s="8">
        <f>ROUND(N59*P59,2)</f>
        <v>22295443.329999998</v>
      </c>
      <c r="R59" s="8"/>
      <c r="S59" s="6">
        <f>N59</f>
        <v>1486362.8888888892</v>
      </c>
      <c r="T59" s="7"/>
      <c r="U59" s="32">
        <f>+'KAWC Rates'!D7</f>
        <v>17.647499999999997</v>
      </c>
      <c r="V59" s="8">
        <f>ROUND(S59*U59,0)</f>
        <v>26230589</v>
      </c>
      <c r="W59" s="8"/>
      <c r="X59" s="8">
        <f>+V59-Q59</f>
        <v>3935145.6700000018</v>
      </c>
      <c r="Y59" s="7"/>
      <c r="Z59" s="15">
        <f t="shared" ref="Z59:Z67" si="8">IF(Q59=0,0,ROUND((X59/Q59),4))</f>
        <v>0.17649999999999999</v>
      </c>
    </row>
    <row r="60" spans="1:26" x14ac:dyDescent="0.45">
      <c r="A60" s="13">
        <f t="shared" si="7"/>
        <v>4</v>
      </c>
      <c r="B60" s="3" t="s">
        <v>15</v>
      </c>
      <c r="C60" s="6"/>
      <c r="D60" s="6">
        <v>0</v>
      </c>
      <c r="E60" s="7"/>
      <c r="F60" s="16">
        <f>+'KAWC Rates'!C8</f>
        <v>22.4</v>
      </c>
      <c r="G60" s="6">
        <f t="shared" ref="G60:G67" si="9">ROUND(D60*F60,2)</f>
        <v>0</v>
      </c>
      <c r="H60" s="6"/>
      <c r="I60" s="6">
        <f t="shared" ref="I60:I67" si="10">D60</f>
        <v>0</v>
      </c>
      <c r="J60" s="7"/>
      <c r="K60" s="16">
        <f t="shared" ref="K60:K67" si="11">U60</f>
        <v>26.353599999999997</v>
      </c>
      <c r="L60" s="6">
        <f t="shared" ref="L60:L67" si="12">ROUND(I60*K60,2)</f>
        <v>0</v>
      </c>
      <c r="M60" s="6"/>
      <c r="N60" s="6">
        <v>0</v>
      </c>
      <c r="O60" s="7"/>
      <c r="P60" s="16">
        <f>+F60</f>
        <v>22.4</v>
      </c>
      <c r="Q60" s="6">
        <f t="shared" ref="Q60:Q67" si="13">ROUND(N60*P60,2)</f>
        <v>0</v>
      </c>
      <c r="R60" s="6"/>
      <c r="S60" s="6">
        <f t="shared" ref="S60:S67" si="14">N60</f>
        <v>0</v>
      </c>
      <c r="T60" s="7"/>
      <c r="U60" s="16">
        <f>+'KAWC Rates'!D8</f>
        <v>26.353599999999997</v>
      </c>
      <c r="V60" s="6">
        <f>ROUND(S60*U60,0)</f>
        <v>0</v>
      </c>
      <c r="W60" s="6"/>
      <c r="X60" s="6">
        <f t="shared" ref="X60:X68" si="15">+V60-Q60</f>
        <v>0</v>
      </c>
      <c r="Y60" s="7"/>
      <c r="Z60" s="15">
        <f t="shared" si="8"/>
        <v>0</v>
      </c>
    </row>
    <row r="61" spans="1:26" x14ac:dyDescent="0.45">
      <c r="A61" s="13">
        <f t="shared" si="7"/>
        <v>5</v>
      </c>
      <c r="B61" s="3" t="s">
        <v>16</v>
      </c>
      <c r="C61" s="6"/>
      <c r="D61" s="6">
        <v>24478.41</v>
      </c>
      <c r="E61" s="7"/>
      <c r="F61" s="16">
        <f>+'KAWC Rates'!C9</f>
        <v>37.299999999999997</v>
      </c>
      <c r="G61" s="6">
        <f t="shared" si="9"/>
        <v>913044.69</v>
      </c>
      <c r="H61" s="6"/>
      <c r="I61" s="6">
        <f t="shared" si="10"/>
        <v>24478.41</v>
      </c>
      <c r="J61" s="7"/>
      <c r="K61" s="16">
        <f t="shared" si="11"/>
        <v>43.883449999999989</v>
      </c>
      <c r="L61" s="6">
        <f t="shared" si="12"/>
        <v>1074197.08</v>
      </c>
      <c r="M61" s="6"/>
      <c r="N61" s="6">
        <v>24072</v>
      </c>
      <c r="O61" s="7"/>
      <c r="P61" s="16">
        <f t="shared" ref="P61:P67" si="16">+F61</f>
        <v>37.299999999999997</v>
      </c>
      <c r="Q61" s="6">
        <f t="shared" si="13"/>
        <v>897885.6</v>
      </c>
      <c r="R61" s="6"/>
      <c r="S61" s="6">
        <f t="shared" si="14"/>
        <v>24072</v>
      </c>
      <c r="T61" s="7"/>
      <c r="U61" s="16">
        <f>+'KAWC Rates'!D9</f>
        <v>43.883449999999989</v>
      </c>
      <c r="V61" s="6">
        <f>ROUND(S61*U61,0)</f>
        <v>1056362</v>
      </c>
      <c r="W61" s="6"/>
      <c r="X61" s="6">
        <f t="shared" si="15"/>
        <v>158476.40000000002</v>
      </c>
      <c r="Y61" s="7"/>
      <c r="Z61" s="15">
        <f t="shared" si="8"/>
        <v>0.17649999999999999</v>
      </c>
    </row>
    <row r="62" spans="1:26" x14ac:dyDescent="0.45">
      <c r="A62" s="13">
        <f t="shared" si="7"/>
        <v>6</v>
      </c>
      <c r="B62" s="3" t="s">
        <v>17</v>
      </c>
      <c r="C62" s="6"/>
      <c r="D62" s="6">
        <v>183.73000000000002</v>
      </c>
      <c r="E62" s="7"/>
      <c r="F62" s="16">
        <f>+'KAWC Rates'!C10</f>
        <v>74.7</v>
      </c>
      <c r="G62" s="6">
        <f t="shared" si="9"/>
        <v>13724.63</v>
      </c>
      <c r="H62" s="6"/>
      <c r="I62" s="6">
        <f t="shared" si="10"/>
        <v>183.73000000000002</v>
      </c>
      <c r="J62" s="7"/>
      <c r="K62" s="16">
        <f t="shared" si="11"/>
        <v>87.88454999999999</v>
      </c>
      <c r="L62" s="6">
        <f t="shared" si="12"/>
        <v>16147.03</v>
      </c>
      <c r="M62" s="6"/>
      <c r="N62" s="6">
        <v>180</v>
      </c>
      <c r="O62" s="7"/>
      <c r="P62" s="16">
        <f t="shared" si="16"/>
        <v>74.7</v>
      </c>
      <c r="Q62" s="6">
        <f t="shared" si="13"/>
        <v>13446</v>
      </c>
      <c r="R62" s="6"/>
      <c r="S62" s="6">
        <f t="shared" si="14"/>
        <v>180</v>
      </c>
      <c r="T62" s="7"/>
      <c r="U62" s="16">
        <f>+'KAWC Rates'!D10</f>
        <v>87.88454999999999</v>
      </c>
      <c r="V62" s="6">
        <f t="shared" ref="V62:V67" si="17">ROUND(S62*U62,2)</f>
        <v>15819.22</v>
      </c>
      <c r="W62" s="6"/>
      <c r="X62" s="6">
        <f t="shared" si="15"/>
        <v>2373.2199999999993</v>
      </c>
      <c r="Y62" s="7"/>
      <c r="Z62" s="15">
        <f t="shared" si="8"/>
        <v>0.17649999999999999</v>
      </c>
    </row>
    <row r="63" spans="1:26" x14ac:dyDescent="0.45">
      <c r="A63" s="13">
        <f t="shared" si="7"/>
        <v>7</v>
      </c>
      <c r="B63" s="3" t="s">
        <v>18</v>
      </c>
      <c r="C63" s="6"/>
      <c r="D63" s="6">
        <v>1468.85</v>
      </c>
      <c r="E63" s="7"/>
      <c r="F63" s="16">
        <f>+'KAWC Rates'!C11</f>
        <v>119.5</v>
      </c>
      <c r="G63" s="6">
        <f t="shared" si="9"/>
        <v>175527.58</v>
      </c>
      <c r="H63" s="6"/>
      <c r="I63" s="6">
        <f t="shared" si="10"/>
        <v>1468.85</v>
      </c>
      <c r="J63" s="7"/>
      <c r="K63" s="16">
        <f t="shared" si="11"/>
        <v>140.59174999999999</v>
      </c>
      <c r="L63" s="6">
        <f t="shared" si="12"/>
        <v>206508.19</v>
      </c>
      <c r="M63" s="6"/>
      <c r="N63" s="6">
        <v>1488</v>
      </c>
      <c r="O63" s="7"/>
      <c r="P63" s="16">
        <f t="shared" si="16"/>
        <v>119.5</v>
      </c>
      <c r="Q63" s="6">
        <f t="shared" si="13"/>
        <v>177816</v>
      </c>
      <c r="R63" s="6"/>
      <c r="S63" s="6">
        <f t="shared" si="14"/>
        <v>1488</v>
      </c>
      <c r="T63" s="7"/>
      <c r="U63" s="16">
        <f>+'KAWC Rates'!D11</f>
        <v>140.59174999999999</v>
      </c>
      <c r="V63" s="6">
        <f t="shared" si="17"/>
        <v>209200.52</v>
      </c>
      <c r="W63" s="6"/>
      <c r="X63" s="6">
        <f t="shared" si="15"/>
        <v>31384.51999999999</v>
      </c>
      <c r="Y63" s="7"/>
      <c r="Z63" s="15">
        <f t="shared" si="8"/>
        <v>0.17649999999999999</v>
      </c>
    </row>
    <row r="64" spans="1:26" x14ac:dyDescent="0.45">
      <c r="A64" s="13">
        <f t="shared" si="7"/>
        <v>8</v>
      </c>
      <c r="B64" s="3" t="s">
        <v>19</v>
      </c>
      <c r="C64" s="6"/>
      <c r="D64" s="6">
        <v>0</v>
      </c>
      <c r="E64" s="7"/>
      <c r="F64" s="16">
        <f>+'KAWC Rates'!C12</f>
        <v>224</v>
      </c>
      <c r="G64" s="6">
        <f t="shared" si="9"/>
        <v>0</v>
      </c>
      <c r="H64" s="6"/>
      <c r="I64" s="6">
        <f t="shared" si="10"/>
        <v>0</v>
      </c>
      <c r="J64" s="7"/>
      <c r="K64" s="16">
        <f t="shared" si="11"/>
        <v>263.53599999999994</v>
      </c>
      <c r="L64" s="6">
        <f t="shared" si="12"/>
        <v>0</v>
      </c>
      <c r="M64" s="6"/>
      <c r="N64" s="6">
        <v>0</v>
      </c>
      <c r="O64" s="7"/>
      <c r="P64" s="16">
        <f t="shared" si="16"/>
        <v>224</v>
      </c>
      <c r="Q64" s="6">
        <f t="shared" si="13"/>
        <v>0</v>
      </c>
      <c r="R64" s="6"/>
      <c r="S64" s="6">
        <f t="shared" si="14"/>
        <v>0</v>
      </c>
      <c r="T64" s="7"/>
      <c r="U64" s="16">
        <f>+'KAWC Rates'!D12</f>
        <v>263.53599999999994</v>
      </c>
      <c r="V64" s="6">
        <f t="shared" si="17"/>
        <v>0</v>
      </c>
      <c r="W64" s="6"/>
      <c r="X64" s="6">
        <f t="shared" si="15"/>
        <v>0</v>
      </c>
      <c r="Y64" s="7"/>
      <c r="Z64" s="15">
        <f t="shared" si="8"/>
        <v>0</v>
      </c>
    </row>
    <row r="65" spans="1:26" x14ac:dyDescent="0.45">
      <c r="A65" s="13">
        <f t="shared" si="7"/>
        <v>9</v>
      </c>
      <c r="B65" s="3" t="s">
        <v>20</v>
      </c>
      <c r="C65" s="6"/>
      <c r="D65" s="6">
        <v>6</v>
      </c>
      <c r="E65" s="7"/>
      <c r="F65" s="16">
        <f>+'KAWC Rates'!C13</f>
        <v>373.4</v>
      </c>
      <c r="G65" s="6">
        <f t="shared" si="9"/>
        <v>2240.4</v>
      </c>
      <c r="H65" s="6"/>
      <c r="I65" s="6">
        <f t="shared" si="10"/>
        <v>6</v>
      </c>
      <c r="J65" s="7"/>
      <c r="K65" s="16">
        <f t="shared" si="11"/>
        <v>439.30509999999992</v>
      </c>
      <c r="L65" s="6">
        <f t="shared" si="12"/>
        <v>2635.83</v>
      </c>
      <c r="M65" s="6"/>
      <c r="N65" s="6">
        <v>12</v>
      </c>
      <c r="O65" s="7"/>
      <c r="P65" s="16">
        <f t="shared" si="16"/>
        <v>373.4</v>
      </c>
      <c r="Q65" s="6">
        <f t="shared" si="13"/>
        <v>4480.8</v>
      </c>
      <c r="R65" s="6"/>
      <c r="S65" s="6">
        <f t="shared" si="14"/>
        <v>12</v>
      </c>
      <c r="T65" s="7"/>
      <c r="U65" s="16">
        <f>+'KAWC Rates'!D13</f>
        <v>439.30509999999992</v>
      </c>
      <c r="V65" s="6">
        <f t="shared" si="17"/>
        <v>5271.66</v>
      </c>
      <c r="W65" s="6"/>
      <c r="X65" s="6">
        <f t="shared" si="15"/>
        <v>790.85999999999967</v>
      </c>
      <c r="Y65" s="7"/>
      <c r="Z65" s="15">
        <f t="shared" si="8"/>
        <v>0.17649999999999999</v>
      </c>
    </row>
    <row r="66" spans="1:26" x14ac:dyDescent="0.45">
      <c r="A66" s="13">
        <f t="shared" si="7"/>
        <v>10</v>
      </c>
      <c r="B66" s="3" t="s">
        <v>21</v>
      </c>
      <c r="C66" s="6"/>
      <c r="D66" s="6">
        <v>24</v>
      </c>
      <c r="E66" s="7"/>
      <c r="F66" s="16">
        <f>+'KAWC Rates'!C14</f>
        <v>746.7</v>
      </c>
      <c r="G66" s="6">
        <f t="shared" si="9"/>
        <v>17920.8</v>
      </c>
      <c r="H66" s="6"/>
      <c r="I66" s="6">
        <f t="shared" si="10"/>
        <v>24</v>
      </c>
      <c r="J66" s="7"/>
      <c r="K66" s="16">
        <f t="shared" si="11"/>
        <v>878.49254999999994</v>
      </c>
      <c r="L66" s="6">
        <f t="shared" si="12"/>
        <v>21083.82</v>
      </c>
      <c r="M66" s="6"/>
      <c r="N66" s="6">
        <v>24</v>
      </c>
      <c r="O66" s="7"/>
      <c r="P66" s="16">
        <f t="shared" si="16"/>
        <v>746.7</v>
      </c>
      <c r="Q66" s="6">
        <f t="shared" si="13"/>
        <v>17920.8</v>
      </c>
      <c r="R66" s="6"/>
      <c r="S66" s="6">
        <f t="shared" si="14"/>
        <v>24</v>
      </c>
      <c r="T66" s="7"/>
      <c r="U66" s="16">
        <f>+'KAWC Rates'!D14</f>
        <v>878.49254999999994</v>
      </c>
      <c r="V66" s="6">
        <f t="shared" si="17"/>
        <v>21083.82</v>
      </c>
      <c r="W66" s="6"/>
      <c r="X66" s="6">
        <f t="shared" si="15"/>
        <v>3163.0200000000004</v>
      </c>
      <c r="Y66" s="7"/>
      <c r="Z66" s="15">
        <f t="shared" si="8"/>
        <v>0.17649999999999999</v>
      </c>
    </row>
    <row r="67" spans="1:26" x14ac:dyDescent="0.45">
      <c r="A67" s="13">
        <f t="shared" si="7"/>
        <v>11</v>
      </c>
      <c r="B67" s="3" t="s">
        <v>22</v>
      </c>
      <c r="C67" s="6"/>
      <c r="D67" s="6">
        <v>18.66</v>
      </c>
      <c r="E67" s="7"/>
      <c r="F67" s="16">
        <f>+'KAWC Rates'!C15</f>
        <v>1194.7</v>
      </c>
      <c r="G67" s="6">
        <f t="shared" si="9"/>
        <v>22293.1</v>
      </c>
      <c r="H67" s="6"/>
      <c r="I67" s="6">
        <f t="shared" si="10"/>
        <v>18.66</v>
      </c>
      <c r="J67" s="7"/>
      <c r="K67" s="16">
        <f t="shared" si="11"/>
        <v>1405.5645499999998</v>
      </c>
      <c r="L67" s="6">
        <f t="shared" si="12"/>
        <v>26227.83</v>
      </c>
      <c r="M67" s="6"/>
      <c r="N67" s="6">
        <v>24</v>
      </c>
      <c r="O67" s="7"/>
      <c r="P67" s="16">
        <f t="shared" si="16"/>
        <v>1194.7</v>
      </c>
      <c r="Q67" s="6">
        <f t="shared" si="13"/>
        <v>28672.799999999999</v>
      </c>
      <c r="R67" s="6"/>
      <c r="S67" s="6">
        <f t="shared" si="14"/>
        <v>24</v>
      </c>
      <c r="T67" s="7"/>
      <c r="U67" s="16">
        <f>+'KAWC Rates'!D15</f>
        <v>1405.5645499999998</v>
      </c>
      <c r="V67" s="6">
        <f t="shared" si="17"/>
        <v>33733.550000000003</v>
      </c>
      <c r="W67" s="6"/>
      <c r="X67" s="6">
        <f t="shared" si="15"/>
        <v>5060.7500000000036</v>
      </c>
      <c r="Y67" s="7"/>
      <c r="Z67" s="15">
        <f t="shared" si="8"/>
        <v>0.17649999999999999</v>
      </c>
    </row>
    <row r="68" spans="1:26" x14ac:dyDescent="0.45">
      <c r="A68" s="13">
        <f t="shared" si="7"/>
        <v>12</v>
      </c>
      <c r="C68" s="6"/>
      <c r="D68" s="6"/>
      <c r="E68" s="7"/>
      <c r="F68" s="16"/>
      <c r="G68" s="6"/>
      <c r="H68" s="6"/>
      <c r="I68" s="6"/>
      <c r="J68" s="7"/>
      <c r="K68" s="16"/>
      <c r="L68" s="6"/>
      <c r="M68" s="6"/>
      <c r="N68" s="6"/>
      <c r="O68" s="7"/>
      <c r="P68" s="16"/>
      <c r="Q68" s="6"/>
      <c r="R68" s="6"/>
      <c r="S68" s="6"/>
      <c r="T68" s="7"/>
      <c r="U68" s="16"/>
      <c r="V68" s="6"/>
      <c r="W68" s="6"/>
      <c r="X68" s="6">
        <f t="shared" si="15"/>
        <v>0</v>
      </c>
      <c r="Y68" s="7"/>
      <c r="Z68" s="15"/>
    </row>
    <row r="69" spans="1:26" x14ac:dyDescent="0.45">
      <c r="A69" s="13">
        <f t="shared" si="7"/>
        <v>13</v>
      </c>
      <c r="B69" s="14" t="s">
        <v>153</v>
      </c>
      <c r="C69" s="6"/>
      <c r="D69" s="6"/>
      <c r="E69" s="7"/>
      <c r="F69" s="16"/>
      <c r="G69" s="6"/>
      <c r="H69" s="6"/>
      <c r="I69" s="6"/>
      <c r="J69" s="7"/>
      <c r="K69" s="16"/>
      <c r="L69" s="6"/>
      <c r="M69" s="6"/>
      <c r="N69" s="6"/>
      <c r="O69" s="7"/>
      <c r="P69" s="16"/>
      <c r="Q69" s="6"/>
      <c r="R69" s="6"/>
      <c r="S69" s="6"/>
      <c r="T69" s="7"/>
      <c r="U69" s="16"/>
      <c r="V69" s="6"/>
      <c r="W69" s="6"/>
      <c r="X69" s="8"/>
      <c r="Y69" s="7"/>
      <c r="Z69" s="15"/>
    </row>
    <row r="70" spans="1:26" x14ac:dyDescent="0.45">
      <c r="A70" s="13">
        <f t="shared" si="7"/>
        <v>14</v>
      </c>
      <c r="B70" s="3" t="s">
        <v>158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6">
        <v>2079</v>
      </c>
      <c r="O70" s="7"/>
      <c r="P70" s="32"/>
      <c r="Q70" s="8">
        <f>ROUND(N70*P70,2)</f>
        <v>0</v>
      </c>
      <c r="R70" s="7"/>
      <c r="S70" s="6">
        <f t="shared" ref="S70" si="18">N70</f>
        <v>2079</v>
      </c>
      <c r="T70" s="7"/>
      <c r="U70" s="32">
        <f>+'KAWC Rates'!I7</f>
        <v>0</v>
      </c>
      <c r="V70" s="8">
        <f>ROUND(S70*U70,2)</f>
        <v>0</v>
      </c>
      <c r="W70" s="6"/>
      <c r="X70" s="6">
        <f t="shared" ref="X70" si="19">+V70-Q70</f>
        <v>0</v>
      </c>
      <c r="Y70" s="7"/>
      <c r="Z70" s="15">
        <f>IF(Q70=0,0,ROUND((X70/Q70),4))</f>
        <v>0</v>
      </c>
    </row>
    <row r="71" spans="1:26" x14ac:dyDescent="0.45">
      <c r="A71" s="13">
        <f t="shared" si="7"/>
        <v>15</v>
      </c>
      <c r="B71" s="3" t="s">
        <v>159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6">
        <v>2309</v>
      </c>
      <c r="O71" s="7"/>
      <c r="P71" s="16"/>
      <c r="Q71" s="6">
        <f t="shared" ref="Q71" si="20">ROUND(N71*P71,2)</f>
        <v>0</v>
      </c>
      <c r="R71" s="7"/>
      <c r="S71" s="6">
        <f>+N71</f>
        <v>2309</v>
      </c>
      <c r="T71" s="7"/>
      <c r="U71" s="16">
        <f>+'KAWC Rates'!I8</f>
        <v>0</v>
      </c>
      <c r="V71" s="6">
        <f t="shared" ref="V71" si="21">ROUND(S71*U71,2)</f>
        <v>0</v>
      </c>
      <c r="W71" s="6"/>
      <c r="X71" s="6">
        <f t="shared" ref="X71" si="22">+V71-Q71</f>
        <v>0</v>
      </c>
      <c r="Y71" s="7"/>
      <c r="Z71" s="15">
        <f>IF(Q71=0,0,ROUND((X71/Q71),4))</f>
        <v>0</v>
      </c>
    </row>
    <row r="72" spans="1:26" x14ac:dyDescent="0.45">
      <c r="A72" s="13">
        <f t="shared" si="7"/>
        <v>16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6"/>
      <c r="O72" s="7"/>
      <c r="P72" s="32"/>
      <c r="Q72" s="8"/>
      <c r="R72" s="7"/>
      <c r="S72" s="6"/>
      <c r="T72" s="7"/>
      <c r="U72" s="16"/>
      <c r="V72" s="6"/>
      <c r="W72" s="6"/>
      <c r="X72" s="6"/>
      <c r="Y72" s="7"/>
      <c r="Z72" s="15"/>
    </row>
    <row r="73" spans="1:26" x14ac:dyDescent="0.45">
      <c r="A73" s="13">
        <f t="shared" si="7"/>
        <v>17</v>
      </c>
      <c r="F73" s="7"/>
      <c r="K73" s="7"/>
    </row>
    <row r="74" spans="1:26" x14ac:dyDescent="0.45">
      <c r="A74" s="13">
        <f t="shared" si="7"/>
        <v>18</v>
      </c>
      <c r="B74" s="14" t="s">
        <v>24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6"/>
      <c r="Y74" s="7"/>
      <c r="Z74" s="15"/>
    </row>
    <row r="75" spans="1:26" x14ac:dyDescent="0.45">
      <c r="A75" s="13">
        <f t="shared" si="7"/>
        <v>19</v>
      </c>
      <c r="B75" s="3" t="s">
        <v>104</v>
      </c>
      <c r="C75" s="8"/>
      <c r="D75" s="7"/>
      <c r="E75" s="6">
        <v>6033379.921896995</v>
      </c>
      <c r="F75" s="33">
        <f>+'KAWC Rates'!C19</f>
        <v>5.7569999999999997</v>
      </c>
      <c r="G75" s="8">
        <f>ROUND(E75*F75,2)</f>
        <v>34734168.210000001</v>
      </c>
      <c r="H75" s="8"/>
      <c r="I75" s="7"/>
      <c r="J75" s="6">
        <f>E75</f>
        <v>6033379.921896995</v>
      </c>
      <c r="K75" s="33">
        <f>U75</f>
        <v>6.7750255245525128</v>
      </c>
      <c r="L75" s="8">
        <f>ROUND(J75*K75,2)</f>
        <v>40876302.969999999</v>
      </c>
      <c r="M75" s="8"/>
      <c r="N75" s="7"/>
      <c r="O75" s="6">
        <v>5810000</v>
      </c>
      <c r="P75" s="33">
        <f>+F75</f>
        <v>5.7569999999999997</v>
      </c>
      <c r="Q75" s="8">
        <f>ROUND(O75*P75,2)</f>
        <v>33448170</v>
      </c>
      <c r="R75" s="8"/>
      <c r="S75" s="7"/>
      <c r="T75" s="6">
        <f>O75</f>
        <v>5810000</v>
      </c>
      <c r="U75" s="33">
        <f>+'KAWC Rates'!D19</f>
        <v>6.7750255245525128</v>
      </c>
      <c r="V75" s="8">
        <f>ROUND(T75*U75,2)</f>
        <v>39362898.299999997</v>
      </c>
      <c r="W75" s="6"/>
      <c r="X75" s="6">
        <f t="shared" ref="X75" si="23">+V75-Q75</f>
        <v>5914728.299999997</v>
      </c>
      <c r="Y75" s="7"/>
      <c r="Z75" s="15">
        <f>IF(Q75=0,0,ROUND((X75/Q75),4))</f>
        <v>0.17680000000000001</v>
      </c>
    </row>
    <row r="76" spans="1:26" x14ac:dyDescent="0.45">
      <c r="A76" s="13">
        <f t="shared" si="7"/>
        <v>20</v>
      </c>
      <c r="C76" s="8"/>
      <c r="D76" s="7"/>
      <c r="E76" s="6"/>
      <c r="F76" s="33"/>
      <c r="G76" s="8"/>
      <c r="H76" s="8"/>
      <c r="I76" s="7"/>
      <c r="J76" s="6"/>
      <c r="K76" s="33"/>
      <c r="L76" s="8"/>
      <c r="M76" s="8"/>
      <c r="N76" s="7"/>
      <c r="O76" s="6"/>
      <c r="P76" s="33"/>
      <c r="Q76" s="8"/>
      <c r="R76" s="8"/>
      <c r="S76" s="7"/>
      <c r="T76" s="6"/>
      <c r="U76" s="33"/>
      <c r="V76" s="8"/>
      <c r="W76" s="6"/>
      <c r="X76" s="8"/>
      <c r="Y76" s="7"/>
      <c r="Z76" s="15"/>
    </row>
    <row r="77" spans="1:26" x14ac:dyDescent="0.45">
      <c r="A77" s="13">
        <f t="shared" si="7"/>
        <v>21</v>
      </c>
      <c r="B77" s="14" t="s">
        <v>153</v>
      </c>
      <c r="C77" s="6"/>
      <c r="E77" s="6"/>
      <c r="F77" s="33"/>
      <c r="G77" s="6"/>
      <c r="H77" s="6"/>
      <c r="J77" s="6"/>
      <c r="K77" s="21"/>
      <c r="L77" s="6"/>
      <c r="M77" s="6"/>
      <c r="O77" s="6"/>
      <c r="P77" s="21"/>
      <c r="Q77" s="6"/>
      <c r="R77" s="6"/>
      <c r="T77" s="6"/>
      <c r="U77" s="21"/>
      <c r="V77" s="6"/>
      <c r="W77" s="6"/>
      <c r="X77" s="6"/>
      <c r="Z77" s="15"/>
    </row>
    <row r="78" spans="1:26" x14ac:dyDescent="0.45">
      <c r="A78" s="13">
        <f t="shared" si="7"/>
        <v>22</v>
      </c>
      <c r="B78" s="3" t="s">
        <v>160</v>
      </c>
      <c r="C78" s="6"/>
      <c r="E78" s="6"/>
      <c r="F78" s="33"/>
      <c r="G78" s="6"/>
      <c r="H78" s="6"/>
      <c r="J78" s="6"/>
      <c r="K78" s="21"/>
      <c r="L78" s="6"/>
      <c r="M78" s="6"/>
      <c r="O78" s="6">
        <v>12126.5</v>
      </c>
      <c r="P78" s="33"/>
      <c r="Q78" s="8">
        <f>ROUND(O78*P78,2)</f>
        <v>0</v>
      </c>
      <c r="R78" s="6"/>
      <c r="T78" s="6">
        <f>+O78</f>
        <v>12126.5</v>
      </c>
      <c r="U78" s="33">
        <f>+'KAWC Rates'!I19</f>
        <v>0</v>
      </c>
      <c r="V78" s="8">
        <f>ROUND(T78*U78,2)</f>
        <v>0</v>
      </c>
      <c r="W78" s="6"/>
      <c r="X78" s="8">
        <f t="shared" ref="X78" si="24">+V78-Q78</f>
        <v>0</v>
      </c>
      <c r="Y78" s="7"/>
      <c r="Z78" s="15">
        <f t="shared" ref="Z78" si="25">IF(Q78=0,0,ROUND((X78/Q78),4))</f>
        <v>0</v>
      </c>
    </row>
    <row r="79" spans="1:26" x14ac:dyDescent="0.45">
      <c r="A79" s="13">
        <f t="shared" si="7"/>
        <v>23</v>
      </c>
      <c r="B79" s="3" t="s">
        <v>161</v>
      </c>
      <c r="C79" s="6"/>
      <c r="E79" s="6"/>
      <c r="F79" s="33"/>
      <c r="G79" s="6"/>
      <c r="H79" s="6"/>
      <c r="J79" s="6"/>
      <c r="K79" s="21"/>
      <c r="L79" s="6"/>
      <c r="M79" s="6"/>
      <c r="O79" s="6">
        <v>16189.7</v>
      </c>
      <c r="P79" s="21"/>
      <c r="Q79" s="6">
        <f>ROUND(O79*P79,2)</f>
        <v>0</v>
      </c>
      <c r="R79" s="6"/>
      <c r="T79" s="6">
        <f>+O79</f>
        <v>16189.7</v>
      </c>
      <c r="U79" s="21">
        <f>+'KAWC Rates'!I20</f>
        <v>0</v>
      </c>
      <c r="V79" s="6">
        <f>ROUND(T79*U79,2)</f>
        <v>0</v>
      </c>
      <c r="W79" s="6"/>
      <c r="X79" s="6">
        <f t="shared" ref="X79" si="26">+V79-Q79</f>
        <v>0</v>
      </c>
      <c r="Y79" s="7"/>
      <c r="Z79" s="15">
        <f>IF(Q79=0,0,ROUND((X79/Q79),4))</f>
        <v>0</v>
      </c>
    </row>
    <row r="80" spans="1:26" x14ac:dyDescent="0.45">
      <c r="A80" s="13">
        <f t="shared" si="7"/>
        <v>24</v>
      </c>
      <c r="C80" s="6"/>
      <c r="E80" s="6"/>
      <c r="F80" s="21"/>
      <c r="G80" s="6"/>
      <c r="H80" s="6"/>
      <c r="J80" s="6"/>
      <c r="K80" s="21"/>
      <c r="L80" s="6"/>
      <c r="M80" s="6"/>
      <c r="O80" s="6"/>
      <c r="P80" s="21"/>
      <c r="Q80" s="6"/>
      <c r="R80" s="6"/>
      <c r="T80" s="6"/>
      <c r="U80" s="21"/>
      <c r="V80" s="6"/>
      <c r="W80" s="6"/>
      <c r="X80" s="6"/>
      <c r="Z80" s="15"/>
    </row>
    <row r="81" spans="1:27" x14ac:dyDescent="0.45">
      <c r="A81" s="13">
        <f t="shared" si="7"/>
        <v>25</v>
      </c>
      <c r="C81" s="6"/>
      <c r="E81" s="6"/>
      <c r="F81" s="21"/>
      <c r="G81" s="6"/>
      <c r="H81" s="6"/>
      <c r="J81" s="6"/>
      <c r="K81" s="21"/>
      <c r="L81" s="6"/>
      <c r="M81" s="6"/>
      <c r="O81" s="6"/>
      <c r="P81" s="21"/>
      <c r="Q81" s="6"/>
      <c r="R81" s="6"/>
      <c r="T81" s="6"/>
      <c r="U81" s="21"/>
      <c r="V81" s="6"/>
      <c r="W81" s="6"/>
      <c r="X81" s="6"/>
      <c r="Z81" s="15"/>
    </row>
    <row r="82" spans="1:27" x14ac:dyDescent="0.45">
      <c r="A82" s="13">
        <f t="shared" si="7"/>
        <v>26</v>
      </c>
      <c r="B82" s="3" t="s">
        <v>136</v>
      </c>
      <c r="E82" s="6"/>
      <c r="F82" s="72"/>
      <c r="G82" s="6">
        <v>0</v>
      </c>
      <c r="H82" s="6"/>
      <c r="J82" s="6"/>
      <c r="K82" s="72">
        <f>+U82</f>
        <v>0</v>
      </c>
      <c r="L82" s="6">
        <f>+ROUND(SUM(L59:L75)*K82,2)</f>
        <v>0</v>
      </c>
      <c r="O82" s="6"/>
      <c r="P82" s="73"/>
      <c r="Q82" s="8">
        <v>0</v>
      </c>
      <c r="T82" s="6"/>
      <c r="U82" s="72"/>
      <c r="V82" s="8">
        <f>+Q82</f>
        <v>0</v>
      </c>
      <c r="X82" s="8">
        <f t="shared" ref="X82" si="27">+V82-Q82</f>
        <v>0</v>
      </c>
      <c r="Y82" s="7"/>
      <c r="Z82" s="15">
        <f t="shared" ref="Z82" si="28">IF(Q82=0,0,ROUND((X82/Q82),4))</f>
        <v>0</v>
      </c>
    </row>
    <row r="83" spans="1:27" x14ac:dyDescent="0.45">
      <c r="A83" s="13">
        <f t="shared" si="7"/>
        <v>27</v>
      </c>
      <c r="E83" s="6"/>
      <c r="F83" s="21"/>
      <c r="G83" s="6"/>
      <c r="H83" s="6"/>
      <c r="J83" s="6"/>
      <c r="K83" s="21"/>
      <c r="L83" s="6"/>
      <c r="O83" s="6"/>
      <c r="P83" s="21"/>
      <c r="Q83" s="6"/>
      <c r="T83" s="6"/>
      <c r="U83" s="21"/>
      <c r="V83" s="6"/>
      <c r="X83" s="6"/>
      <c r="Z83" s="15"/>
      <c r="AA83" s="15"/>
    </row>
    <row r="84" spans="1:27" x14ac:dyDescent="0.45">
      <c r="A84" s="13">
        <f t="shared" si="7"/>
        <v>28</v>
      </c>
      <c r="C84" s="22"/>
      <c r="F84" s="21"/>
      <c r="G84" s="22"/>
      <c r="H84" s="22"/>
      <c r="J84" s="6"/>
      <c r="K84" s="33"/>
      <c r="L84" s="22"/>
      <c r="M84" s="22"/>
      <c r="P84" s="13"/>
      <c r="Q84" s="22"/>
      <c r="R84" s="22"/>
      <c r="U84" s="13"/>
      <c r="V84" s="22"/>
      <c r="W84" s="22"/>
      <c r="X84" s="22"/>
      <c r="Z84" s="15"/>
    </row>
    <row r="85" spans="1:27" x14ac:dyDescent="0.45">
      <c r="A85" s="13">
        <f t="shared" si="7"/>
        <v>29</v>
      </c>
      <c r="C85" s="23"/>
      <c r="F85" s="23"/>
      <c r="G85" s="23"/>
      <c r="H85" s="23"/>
      <c r="K85" s="23"/>
      <c r="L85" s="23"/>
      <c r="M85" s="23"/>
      <c r="P85" s="23"/>
      <c r="Q85" s="23"/>
      <c r="R85" s="23"/>
      <c r="U85" s="23"/>
      <c r="V85" s="23"/>
      <c r="W85" s="23"/>
      <c r="X85" s="6"/>
      <c r="Z85" s="15"/>
    </row>
    <row r="86" spans="1:27" ht="14.65" thickBot="1" x14ac:dyDescent="0.5">
      <c r="A86" s="13">
        <f t="shared" si="7"/>
        <v>30</v>
      </c>
      <c r="B86" s="3" t="s">
        <v>1</v>
      </c>
      <c r="C86" s="25"/>
      <c r="D86" s="34"/>
      <c r="E86" s="35">
        <f>+E75</f>
        <v>6033379.921896995</v>
      </c>
      <c r="F86" s="25"/>
      <c r="G86" s="36">
        <f>SUM(G59:G85)</f>
        <v>58192951.659999996</v>
      </c>
      <c r="H86" s="25"/>
      <c r="I86" s="34"/>
      <c r="J86" s="35">
        <f>+J75</f>
        <v>6033379.921896995</v>
      </c>
      <c r="K86" s="25"/>
      <c r="L86" s="36">
        <f>SUM(L59:L85)</f>
        <v>68475561.689999998</v>
      </c>
      <c r="M86" s="25"/>
      <c r="N86" s="34"/>
      <c r="O86" s="35">
        <f>+O75</f>
        <v>5810000</v>
      </c>
      <c r="P86" s="25"/>
      <c r="Q86" s="36">
        <f>SUM(Q59:Q85)</f>
        <v>56883835.329999998</v>
      </c>
      <c r="R86" s="25"/>
      <c r="S86" s="34"/>
      <c r="T86" s="35">
        <f>+T75</f>
        <v>5810000</v>
      </c>
      <c r="U86" s="25"/>
      <c r="V86" s="36">
        <f>SUM(V59:V85)</f>
        <v>66934958.069999993</v>
      </c>
      <c r="W86" s="25"/>
      <c r="X86" s="36">
        <f>SUM(X59:X85)</f>
        <v>10051122.739999998</v>
      </c>
      <c r="Z86" s="30">
        <f t="shared" ref="Z86" si="29">IF(Q86=0,0,ROUND((X86/Q86),4))</f>
        <v>0.1767</v>
      </c>
    </row>
    <row r="87" spans="1:27" ht="14.65" thickTop="1" x14ac:dyDescent="0.45">
      <c r="A87" s="13"/>
      <c r="C87" s="6"/>
      <c r="F87" s="27"/>
      <c r="G87" s="6"/>
      <c r="H87" s="6"/>
      <c r="I87" s="6"/>
      <c r="J87" s="6"/>
      <c r="K87" s="6"/>
      <c r="L87" s="6"/>
      <c r="M87" s="6"/>
      <c r="N87" s="6"/>
      <c r="P87" s="27"/>
      <c r="Q87" s="6"/>
      <c r="R87" s="6"/>
      <c r="U87" s="27"/>
      <c r="V87" s="6"/>
      <c r="X87" s="6"/>
      <c r="Z87" s="15"/>
    </row>
    <row r="88" spans="1:27" x14ac:dyDescent="0.45">
      <c r="A88" s="13"/>
      <c r="C88" s="6"/>
      <c r="D88" s="13"/>
      <c r="F88" s="27"/>
      <c r="G88" s="6"/>
      <c r="H88" s="6"/>
      <c r="I88" s="6"/>
      <c r="J88" s="6"/>
      <c r="K88" s="6"/>
      <c r="L88" s="6"/>
      <c r="M88" s="6"/>
      <c r="N88" s="6"/>
      <c r="P88" s="27"/>
      <c r="Q88" s="6"/>
      <c r="R88" s="6"/>
      <c r="S88" s="13"/>
      <c r="U88" s="27"/>
      <c r="V88" s="6"/>
      <c r="X88" s="6"/>
      <c r="Z88" s="15"/>
    </row>
    <row r="89" spans="1:27" x14ac:dyDescent="0.45">
      <c r="A89" s="13"/>
      <c r="F89" s="37"/>
      <c r="P89" s="37"/>
      <c r="U89" s="37"/>
      <c r="X89" s="6"/>
      <c r="Z89" s="15"/>
    </row>
    <row r="90" spans="1:27" x14ac:dyDescent="0.45">
      <c r="A90" s="13"/>
      <c r="F90" s="37"/>
      <c r="P90" s="37"/>
      <c r="U90" s="37"/>
      <c r="X90" s="6"/>
      <c r="Z90" s="15"/>
    </row>
    <row r="91" spans="1:27" x14ac:dyDescent="0.45">
      <c r="A91" s="161" t="str">
        <f>A$1</f>
        <v>Kentucky-American Water Company</v>
      </c>
      <c r="B91" s="161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</row>
    <row r="92" spans="1:27" x14ac:dyDescent="0.45">
      <c r="A92" s="161" t="str">
        <f>+$A$2</f>
        <v>Forecast Year Operating Revenues at Present Rates &amp; Proposed Rates</v>
      </c>
      <c r="B92" s="161"/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</row>
    <row r="93" spans="1:27" x14ac:dyDescent="0.45">
      <c r="A93" s="161" t="str">
        <f>+$A$3</f>
        <v>Base Year (12 Months Ending September 30, 2023)</v>
      </c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</row>
    <row r="94" spans="1:27" x14ac:dyDescent="0.45">
      <c r="A94" s="161" t="str">
        <f>+$A$4</f>
        <v>Forecast Year (12 Months Ending January 31, 2025)</v>
      </c>
      <c r="B94" s="161"/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</row>
    <row r="95" spans="1:27" x14ac:dyDescent="0.45">
      <c r="A95" s="9"/>
      <c r="I95" s="161" t="s">
        <v>90</v>
      </c>
      <c r="J95" s="161"/>
      <c r="K95" s="161"/>
      <c r="L95" s="161"/>
      <c r="M95" s="161"/>
      <c r="N95" s="161"/>
      <c r="O95" s="161"/>
      <c r="P95" s="161"/>
      <c r="Q95" s="161"/>
    </row>
    <row r="96" spans="1:27" x14ac:dyDescent="0.45">
      <c r="A96" s="9"/>
      <c r="I96" s="48"/>
      <c r="J96" s="48"/>
      <c r="K96" s="48"/>
      <c r="L96" s="48"/>
      <c r="M96" s="48"/>
      <c r="N96" s="48"/>
      <c r="O96" s="48"/>
      <c r="P96" s="48"/>
      <c r="Q96" s="48"/>
      <c r="Z96" s="10" t="s">
        <v>84</v>
      </c>
    </row>
    <row r="97" spans="1:26" x14ac:dyDescent="0.45">
      <c r="A97" s="9"/>
      <c r="I97" s="48"/>
      <c r="J97" s="48"/>
      <c r="K97" s="48"/>
      <c r="L97" s="48"/>
      <c r="M97" s="48"/>
      <c r="N97" s="48"/>
      <c r="O97" s="48"/>
      <c r="P97" s="48"/>
      <c r="Q97" s="48"/>
      <c r="Z97" s="140"/>
    </row>
    <row r="98" spans="1:26" x14ac:dyDescent="0.45">
      <c r="A98" s="9"/>
      <c r="Z98" s="140"/>
    </row>
    <row r="99" spans="1:26" x14ac:dyDescent="0.45">
      <c r="A99" s="47"/>
      <c r="B99" s="11"/>
      <c r="C99" s="50"/>
      <c r="D99" s="51"/>
      <c r="E99" s="11"/>
      <c r="F99" s="52"/>
      <c r="G99" s="50"/>
      <c r="H99" s="50"/>
      <c r="I99" s="50"/>
      <c r="J99" s="50"/>
      <c r="K99" s="50"/>
      <c r="L99" s="50"/>
      <c r="M99" s="50"/>
      <c r="N99" s="50"/>
      <c r="O99" s="11"/>
      <c r="P99" s="52"/>
      <c r="Q99" s="50"/>
      <c r="R99" s="50"/>
      <c r="S99" s="50"/>
      <c r="T99" s="51"/>
      <c r="U99" s="52"/>
      <c r="V99" s="51"/>
      <c r="W99" s="51"/>
      <c r="X99" s="53"/>
      <c r="Y99" s="51"/>
      <c r="Z99" s="54"/>
    </row>
    <row r="100" spans="1:26" x14ac:dyDescent="0.45">
      <c r="C100" s="13"/>
      <c r="D100" s="162" t="s">
        <v>80</v>
      </c>
      <c r="E100" s="162" t="s">
        <v>48</v>
      </c>
      <c r="F100" s="162"/>
      <c r="G100" s="162"/>
      <c r="H100" s="13"/>
      <c r="I100" s="162" t="s">
        <v>79</v>
      </c>
      <c r="J100" s="162" t="s">
        <v>48</v>
      </c>
      <c r="K100" s="162"/>
      <c r="L100" s="162"/>
      <c r="M100" s="13"/>
      <c r="N100" s="162" t="s">
        <v>51</v>
      </c>
      <c r="O100" s="162" t="s">
        <v>49</v>
      </c>
      <c r="P100" s="162"/>
      <c r="Q100" s="162"/>
      <c r="R100" s="13"/>
      <c r="S100" s="162" t="s">
        <v>52</v>
      </c>
      <c r="T100" s="162" t="s">
        <v>50</v>
      </c>
      <c r="U100" s="162"/>
      <c r="V100" s="162"/>
      <c r="W100" s="12"/>
      <c r="X100" s="12"/>
    </row>
    <row r="101" spans="1:26" x14ac:dyDescent="0.45">
      <c r="C101" s="13"/>
      <c r="D101" s="13" t="s">
        <v>11</v>
      </c>
      <c r="E101" s="13"/>
      <c r="F101" s="13"/>
      <c r="G101" s="13"/>
      <c r="H101" s="13"/>
      <c r="I101" s="13" t="s">
        <v>11</v>
      </c>
      <c r="J101" s="13"/>
      <c r="K101" s="13"/>
      <c r="L101" s="13"/>
      <c r="M101" s="13"/>
      <c r="N101" s="13" t="s">
        <v>11</v>
      </c>
      <c r="O101" s="13"/>
      <c r="P101" s="13"/>
      <c r="Q101" s="13"/>
      <c r="R101" s="13"/>
      <c r="S101" s="13" t="s">
        <v>11</v>
      </c>
      <c r="T101" s="13"/>
      <c r="U101" s="13"/>
      <c r="V101" s="13"/>
      <c r="W101" s="13"/>
      <c r="X101" s="13"/>
    </row>
    <row r="102" spans="1:26" x14ac:dyDescent="0.45">
      <c r="B102" s="13" t="s">
        <v>9</v>
      </c>
      <c r="C102" s="13"/>
      <c r="D102" s="13" t="s">
        <v>12</v>
      </c>
      <c r="E102" s="13" t="s">
        <v>23</v>
      </c>
      <c r="F102" s="13" t="s">
        <v>25</v>
      </c>
      <c r="G102" s="13" t="s">
        <v>1</v>
      </c>
      <c r="H102" s="13"/>
      <c r="I102" s="13" t="s">
        <v>12</v>
      </c>
      <c r="J102" s="13" t="s">
        <v>23</v>
      </c>
      <c r="K102" s="13" t="s">
        <v>81</v>
      </c>
      <c r="L102" s="13" t="s">
        <v>1</v>
      </c>
      <c r="M102" s="13"/>
      <c r="N102" s="13" t="s">
        <v>12</v>
      </c>
      <c r="O102" s="13" t="s">
        <v>23</v>
      </c>
      <c r="P102" s="13" t="s">
        <v>25</v>
      </c>
      <c r="Q102" s="13" t="s">
        <v>1</v>
      </c>
      <c r="R102" s="13"/>
      <c r="S102" s="13" t="s">
        <v>12</v>
      </c>
      <c r="T102" s="13" t="s">
        <v>23</v>
      </c>
      <c r="U102" s="13" t="s">
        <v>44</v>
      </c>
      <c r="V102" s="13" t="s">
        <v>1</v>
      </c>
      <c r="W102" s="13"/>
      <c r="X102" s="13" t="s">
        <v>29</v>
      </c>
      <c r="Z102" s="13" t="s">
        <v>133</v>
      </c>
    </row>
    <row r="103" spans="1:26" x14ac:dyDescent="0.45">
      <c r="A103" s="47" t="s">
        <v>0</v>
      </c>
      <c r="B103" s="47" t="s">
        <v>2</v>
      </c>
      <c r="C103" s="13"/>
      <c r="D103" s="47" t="s">
        <v>13</v>
      </c>
      <c r="E103" s="47" t="str">
        <f>E56</f>
        <v>(000 Gal)</v>
      </c>
      <c r="F103" s="47" t="s">
        <v>26</v>
      </c>
      <c r="G103" s="47" t="s">
        <v>27</v>
      </c>
      <c r="H103" s="13"/>
      <c r="I103" s="47" t="s">
        <v>13</v>
      </c>
      <c r="J103" s="47" t="str">
        <f>J56</f>
        <v>(000 Gal)</v>
      </c>
      <c r="K103" s="47" t="s">
        <v>26</v>
      </c>
      <c r="L103" s="47" t="s">
        <v>27</v>
      </c>
      <c r="M103" s="13"/>
      <c r="N103" s="47" t="s">
        <v>13</v>
      </c>
      <c r="O103" s="47" t="str">
        <f>E103</f>
        <v>(000 Gal)</v>
      </c>
      <c r="P103" s="47" t="s">
        <v>26</v>
      </c>
      <c r="Q103" s="47" t="s">
        <v>27</v>
      </c>
      <c r="R103" s="13"/>
      <c r="S103" s="47" t="s">
        <v>13</v>
      </c>
      <c r="T103" s="47" t="str">
        <f>O103</f>
        <v>(000 Gal)</v>
      </c>
      <c r="U103" s="47" t="s">
        <v>26</v>
      </c>
      <c r="V103" s="47" t="s">
        <v>27</v>
      </c>
      <c r="W103" s="13"/>
      <c r="X103" s="47" t="s">
        <v>30</v>
      </c>
      <c r="Z103" s="47" t="s">
        <v>30</v>
      </c>
    </row>
    <row r="104" spans="1:26" x14ac:dyDescent="0.45">
      <c r="A104" s="13">
        <v>1</v>
      </c>
      <c r="B104" s="9" t="str">
        <f>+I95</f>
        <v>COMMERCIAL CLASS</v>
      </c>
      <c r="C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Z104" s="13"/>
    </row>
    <row r="105" spans="1:26" x14ac:dyDescent="0.45">
      <c r="A105" s="13">
        <v>2</v>
      </c>
      <c r="B105" s="14" t="s">
        <v>10</v>
      </c>
    </row>
    <row r="106" spans="1:26" x14ac:dyDescent="0.45">
      <c r="A106" s="13">
        <v>3</v>
      </c>
      <c r="B106" s="3" t="s">
        <v>14</v>
      </c>
      <c r="C106" s="8"/>
      <c r="D106" s="6">
        <v>57589.817845701247</v>
      </c>
      <c r="E106" s="7"/>
      <c r="F106" s="32">
        <f>+'KAWC Rates'!C7</f>
        <v>15</v>
      </c>
      <c r="G106" s="8">
        <f>ROUND(D106*F106,2)</f>
        <v>863847.27</v>
      </c>
      <c r="H106" s="8"/>
      <c r="I106" s="6">
        <f>D106</f>
        <v>57589.817845701247</v>
      </c>
      <c r="J106" s="7"/>
      <c r="K106" s="32">
        <f>U106</f>
        <v>17.647499999999997</v>
      </c>
      <c r="L106" s="8">
        <f>ROUND(I106*K106,2)</f>
        <v>1016316.31</v>
      </c>
      <c r="M106" s="8"/>
      <c r="N106" s="6">
        <v>58136.866055060702</v>
      </c>
      <c r="O106" s="7"/>
      <c r="P106" s="32">
        <f t="shared" ref="P106:P113" si="30">+F106</f>
        <v>15</v>
      </c>
      <c r="Q106" s="8">
        <f>ROUND(N106*P106,2)</f>
        <v>872052.99</v>
      </c>
      <c r="R106" s="8"/>
      <c r="S106" s="6">
        <f>N106</f>
        <v>58136.866055060702</v>
      </c>
      <c r="T106" s="7"/>
      <c r="U106" s="32">
        <f>+'KAWC Rates'!D7</f>
        <v>17.647499999999997</v>
      </c>
      <c r="V106" s="8">
        <f>ROUND(S106*U106,2)</f>
        <v>1025970.34</v>
      </c>
      <c r="W106" s="8"/>
      <c r="X106" s="8">
        <f>+V106-Q106</f>
        <v>153917.34999999998</v>
      </c>
      <c r="Y106" s="7"/>
      <c r="Z106" s="15">
        <f t="shared" ref="Z106:Z115" si="31">IF(Q106=0,0,ROUND((X106/Q106),4))</f>
        <v>0.17649999999999999</v>
      </c>
    </row>
    <row r="107" spans="1:26" x14ac:dyDescent="0.45">
      <c r="A107" s="13">
        <v>4</v>
      </c>
      <c r="B107" s="3" t="s">
        <v>15</v>
      </c>
      <c r="C107" s="6"/>
      <c r="D107" s="6">
        <v>0</v>
      </c>
      <c r="E107" s="7"/>
      <c r="F107" s="16">
        <f>+'KAWC Rates'!C8</f>
        <v>22.4</v>
      </c>
      <c r="G107" s="6">
        <f t="shared" ref="G107:G114" si="32">ROUND(D107*F107,2)</f>
        <v>0</v>
      </c>
      <c r="H107" s="6"/>
      <c r="I107" s="6">
        <f t="shared" ref="I107:I114" si="33">D107</f>
        <v>0</v>
      </c>
      <c r="J107" s="7"/>
      <c r="K107" s="16">
        <f t="shared" ref="K107:K114" si="34">U107</f>
        <v>26.353599999999997</v>
      </c>
      <c r="L107" s="6">
        <f t="shared" ref="L107:L114" si="35">ROUND(I107*K107,2)</f>
        <v>0</v>
      </c>
      <c r="M107" s="6"/>
      <c r="N107" s="6">
        <v>0</v>
      </c>
      <c r="O107" s="7"/>
      <c r="P107" s="16">
        <f t="shared" si="30"/>
        <v>22.4</v>
      </c>
      <c r="Q107" s="6">
        <f t="shared" ref="Q107:Q114" si="36">ROUND(N107*P107,2)</f>
        <v>0</v>
      </c>
      <c r="R107" s="6"/>
      <c r="S107" s="6">
        <f t="shared" ref="S107:S114" si="37">N107</f>
        <v>0</v>
      </c>
      <c r="T107" s="7"/>
      <c r="U107" s="16">
        <f>+'KAWC Rates'!D8</f>
        <v>26.353599999999997</v>
      </c>
      <c r="V107" s="6">
        <f t="shared" ref="V107:V114" si="38">ROUND(S107*U107,2)</f>
        <v>0</v>
      </c>
      <c r="W107" s="6"/>
      <c r="X107" s="6">
        <f t="shared" ref="X107:X115" si="39">+V107-Q107</f>
        <v>0</v>
      </c>
      <c r="Y107" s="7"/>
      <c r="Z107" s="15">
        <f t="shared" si="31"/>
        <v>0</v>
      </c>
    </row>
    <row r="108" spans="1:26" x14ac:dyDescent="0.45">
      <c r="A108" s="13">
        <v>5</v>
      </c>
      <c r="B108" s="3" t="s">
        <v>16</v>
      </c>
      <c r="C108" s="6"/>
      <c r="D108" s="6">
        <v>30349.544846778463</v>
      </c>
      <c r="E108" s="7"/>
      <c r="F108" s="16">
        <f>+'KAWC Rates'!C9</f>
        <v>37.299999999999997</v>
      </c>
      <c r="G108" s="6">
        <f t="shared" si="32"/>
        <v>1132038.02</v>
      </c>
      <c r="H108" s="6"/>
      <c r="I108" s="6">
        <f t="shared" si="33"/>
        <v>30349.544846778463</v>
      </c>
      <c r="J108" s="7"/>
      <c r="K108" s="16">
        <f t="shared" si="34"/>
        <v>43.883449999999989</v>
      </c>
      <c r="L108" s="6">
        <f t="shared" si="35"/>
        <v>1331842.73</v>
      </c>
      <c r="M108" s="6"/>
      <c r="N108" s="6">
        <v>30461.086654440634</v>
      </c>
      <c r="O108" s="7"/>
      <c r="P108" s="16">
        <f t="shared" si="30"/>
        <v>37.299999999999997</v>
      </c>
      <c r="Q108" s="6">
        <f t="shared" si="36"/>
        <v>1136198.53</v>
      </c>
      <c r="R108" s="6"/>
      <c r="S108" s="6">
        <f t="shared" si="37"/>
        <v>30461.086654440634</v>
      </c>
      <c r="T108" s="7"/>
      <c r="U108" s="16">
        <f>+'KAWC Rates'!D9</f>
        <v>43.883449999999989</v>
      </c>
      <c r="V108" s="6">
        <f t="shared" si="38"/>
        <v>1336737.57</v>
      </c>
      <c r="W108" s="6"/>
      <c r="X108" s="6">
        <f t="shared" si="39"/>
        <v>200539.04000000004</v>
      </c>
      <c r="Y108" s="7"/>
      <c r="Z108" s="15">
        <f t="shared" si="31"/>
        <v>0.17649999999999999</v>
      </c>
    </row>
    <row r="109" spans="1:26" x14ac:dyDescent="0.45">
      <c r="A109" s="13">
        <v>6</v>
      </c>
      <c r="B109" s="3" t="s">
        <v>17</v>
      </c>
      <c r="C109" s="6"/>
      <c r="D109" s="6">
        <v>2117.9816504871178</v>
      </c>
      <c r="E109" s="7"/>
      <c r="F109" s="16">
        <f>+'KAWC Rates'!C10</f>
        <v>74.7</v>
      </c>
      <c r="G109" s="6">
        <f t="shared" si="32"/>
        <v>158213.23000000001</v>
      </c>
      <c r="H109" s="6"/>
      <c r="I109" s="6">
        <f t="shared" si="33"/>
        <v>2117.9816504871178</v>
      </c>
      <c r="J109" s="7"/>
      <c r="K109" s="16">
        <f t="shared" si="34"/>
        <v>87.88454999999999</v>
      </c>
      <c r="L109" s="6">
        <f t="shared" si="35"/>
        <v>186137.86</v>
      </c>
      <c r="M109" s="6"/>
      <c r="N109" s="6">
        <v>2126.9256154692534</v>
      </c>
      <c r="O109" s="7"/>
      <c r="P109" s="16">
        <f t="shared" si="30"/>
        <v>74.7</v>
      </c>
      <c r="Q109" s="6">
        <f t="shared" si="36"/>
        <v>158881.34</v>
      </c>
      <c r="R109" s="6"/>
      <c r="S109" s="6">
        <f t="shared" si="37"/>
        <v>2126.9256154692534</v>
      </c>
      <c r="T109" s="7"/>
      <c r="U109" s="16">
        <f>+'KAWC Rates'!D10</f>
        <v>87.88454999999999</v>
      </c>
      <c r="V109" s="6">
        <f t="shared" si="38"/>
        <v>186923.9</v>
      </c>
      <c r="W109" s="6"/>
      <c r="X109" s="6">
        <f t="shared" si="39"/>
        <v>28042.559999999998</v>
      </c>
      <c r="Y109" s="7"/>
      <c r="Z109" s="15">
        <f t="shared" si="31"/>
        <v>0.17649999999999999</v>
      </c>
    </row>
    <row r="110" spans="1:26" x14ac:dyDescent="0.45">
      <c r="A110" s="13">
        <v>7</v>
      </c>
      <c r="B110" s="3" t="s">
        <v>18</v>
      </c>
      <c r="C110" s="6"/>
      <c r="D110" s="6">
        <v>25586.864698885853</v>
      </c>
      <c r="E110" s="7"/>
      <c r="F110" s="16">
        <f>+'KAWC Rates'!C11</f>
        <v>119.5</v>
      </c>
      <c r="G110" s="6">
        <f t="shared" si="32"/>
        <v>3057630.33</v>
      </c>
      <c r="H110" s="6"/>
      <c r="I110" s="6">
        <f t="shared" si="33"/>
        <v>25586.864698885853</v>
      </c>
      <c r="J110" s="7"/>
      <c r="K110" s="16">
        <f t="shared" si="34"/>
        <v>140.59174999999999</v>
      </c>
      <c r="L110" s="6">
        <f t="shared" si="35"/>
        <v>3597302.09</v>
      </c>
      <c r="M110" s="6"/>
      <c r="N110" s="6">
        <v>25922.173092068108</v>
      </c>
      <c r="O110" s="7"/>
      <c r="P110" s="16">
        <f t="shared" si="30"/>
        <v>119.5</v>
      </c>
      <c r="Q110" s="6">
        <f t="shared" si="36"/>
        <v>3097699.68</v>
      </c>
      <c r="R110" s="6"/>
      <c r="S110" s="6">
        <f t="shared" si="37"/>
        <v>25922.173092068108</v>
      </c>
      <c r="T110" s="7"/>
      <c r="U110" s="16">
        <f>+'KAWC Rates'!D11</f>
        <v>140.59174999999999</v>
      </c>
      <c r="V110" s="6">
        <f t="shared" si="38"/>
        <v>3644443.68</v>
      </c>
      <c r="W110" s="6"/>
      <c r="X110" s="6">
        <f t="shared" si="39"/>
        <v>546744</v>
      </c>
      <c r="Y110" s="7"/>
      <c r="Z110" s="15">
        <f t="shared" si="31"/>
        <v>0.17649999999999999</v>
      </c>
    </row>
    <row r="111" spans="1:26" x14ac:dyDescent="0.45">
      <c r="A111" s="13">
        <v>8</v>
      </c>
      <c r="B111" s="3" t="s">
        <v>19</v>
      </c>
      <c r="C111" s="6"/>
      <c r="D111" s="6">
        <v>24</v>
      </c>
      <c r="E111" s="7"/>
      <c r="F111" s="16">
        <f>+'KAWC Rates'!C12</f>
        <v>224</v>
      </c>
      <c r="G111" s="6">
        <f t="shared" si="32"/>
        <v>5376</v>
      </c>
      <c r="H111" s="6"/>
      <c r="I111" s="6">
        <f t="shared" si="33"/>
        <v>24</v>
      </c>
      <c r="J111" s="7"/>
      <c r="K111" s="16">
        <f t="shared" si="34"/>
        <v>263.53599999999994</v>
      </c>
      <c r="L111" s="6">
        <f t="shared" si="35"/>
        <v>6324.86</v>
      </c>
      <c r="M111" s="6"/>
      <c r="N111" s="6">
        <v>24</v>
      </c>
      <c r="O111" s="7"/>
      <c r="P111" s="16">
        <f t="shared" si="30"/>
        <v>224</v>
      </c>
      <c r="Q111" s="6">
        <f t="shared" si="36"/>
        <v>5376</v>
      </c>
      <c r="R111" s="6"/>
      <c r="S111" s="6">
        <f t="shared" si="37"/>
        <v>24</v>
      </c>
      <c r="T111" s="7"/>
      <c r="U111" s="16">
        <f>+'KAWC Rates'!D12</f>
        <v>263.53599999999994</v>
      </c>
      <c r="V111" s="6">
        <f t="shared" si="38"/>
        <v>6324.86</v>
      </c>
      <c r="W111" s="6"/>
      <c r="X111" s="6">
        <f t="shared" si="39"/>
        <v>948.85999999999967</v>
      </c>
      <c r="Y111" s="7"/>
      <c r="Z111" s="15">
        <f t="shared" si="31"/>
        <v>0.17649999999999999</v>
      </c>
    </row>
    <row r="112" spans="1:26" x14ac:dyDescent="0.45">
      <c r="A112" s="13">
        <v>9</v>
      </c>
      <c r="B112" s="3" t="s">
        <v>20</v>
      </c>
      <c r="C112" s="6"/>
      <c r="D112" s="6">
        <v>480.78999999999996</v>
      </c>
      <c r="E112" s="7"/>
      <c r="F112" s="16">
        <f>+'KAWC Rates'!C13</f>
        <v>373.4</v>
      </c>
      <c r="G112" s="6">
        <f t="shared" si="32"/>
        <v>179526.99</v>
      </c>
      <c r="H112" s="6"/>
      <c r="I112" s="6">
        <f t="shared" si="33"/>
        <v>480.78999999999996</v>
      </c>
      <c r="J112" s="7"/>
      <c r="K112" s="16">
        <f t="shared" si="34"/>
        <v>439.30509999999992</v>
      </c>
      <c r="L112" s="6">
        <f t="shared" si="35"/>
        <v>211213.5</v>
      </c>
      <c r="M112" s="6"/>
      <c r="N112" s="6">
        <v>480</v>
      </c>
      <c r="O112" s="7"/>
      <c r="P112" s="16">
        <f t="shared" si="30"/>
        <v>373.4</v>
      </c>
      <c r="Q112" s="6">
        <f t="shared" si="36"/>
        <v>179232</v>
      </c>
      <c r="R112" s="6"/>
      <c r="S112" s="6">
        <f t="shared" si="37"/>
        <v>480</v>
      </c>
      <c r="T112" s="7"/>
      <c r="U112" s="16">
        <f>+'KAWC Rates'!D13</f>
        <v>439.30509999999992</v>
      </c>
      <c r="V112" s="6">
        <f t="shared" si="38"/>
        <v>210866.45</v>
      </c>
      <c r="W112" s="6"/>
      <c r="X112" s="6">
        <f t="shared" si="39"/>
        <v>31634.450000000012</v>
      </c>
      <c r="Y112" s="7"/>
      <c r="Z112" s="15">
        <f t="shared" si="31"/>
        <v>0.17649999999999999</v>
      </c>
    </row>
    <row r="113" spans="1:27" x14ac:dyDescent="0.45">
      <c r="A113" s="13">
        <v>10</v>
      </c>
      <c r="B113" s="3" t="s">
        <v>21</v>
      </c>
      <c r="C113" s="6"/>
      <c r="D113" s="6">
        <v>179.73000000000002</v>
      </c>
      <c r="E113" s="7"/>
      <c r="F113" s="16">
        <f>+'KAWC Rates'!C14</f>
        <v>746.7</v>
      </c>
      <c r="G113" s="6">
        <f t="shared" si="32"/>
        <v>134204.39000000001</v>
      </c>
      <c r="H113" s="6"/>
      <c r="I113" s="6">
        <f t="shared" si="33"/>
        <v>179.73000000000002</v>
      </c>
      <c r="J113" s="7"/>
      <c r="K113" s="16">
        <f t="shared" si="34"/>
        <v>878.49254999999994</v>
      </c>
      <c r="L113" s="6">
        <f t="shared" si="35"/>
        <v>157891.47</v>
      </c>
      <c r="M113" s="6"/>
      <c r="N113" s="6">
        <v>180</v>
      </c>
      <c r="O113" s="7"/>
      <c r="P113" s="16">
        <f t="shared" si="30"/>
        <v>746.7</v>
      </c>
      <c r="Q113" s="6">
        <f t="shared" si="36"/>
        <v>134406</v>
      </c>
      <c r="R113" s="6"/>
      <c r="S113" s="6">
        <f t="shared" si="37"/>
        <v>180</v>
      </c>
      <c r="T113" s="7"/>
      <c r="U113" s="16">
        <f>+'KAWC Rates'!D14</f>
        <v>878.49254999999994</v>
      </c>
      <c r="V113" s="6">
        <f t="shared" si="38"/>
        <v>158128.66</v>
      </c>
      <c r="W113" s="6"/>
      <c r="X113" s="6">
        <f t="shared" si="39"/>
        <v>23722.660000000003</v>
      </c>
      <c r="Y113" s="7"/>
      <c r="Z113" s="15">
        <f t="shared" si="31"/>
        <v>0.17649999999999999</v>
      </c>
    </row>
    <row r="114" spans="1:27" x14ac:dyDescent="0.45">
      <c r="A114" s="13">
        <v>11</v>
      </c>
      <c r="B114" s="3" t="s">
        <v>22</v>
      </c>
      <c r="C114" s="6"/>
      <c r="D114" s="6">
        <v>212.94</v>
      </c>
      <c r="E114" s="7"/>
      <c r="F114" s="16">
        <f>+'KAWC Rates'!C15</f>
        <v>1194.7</v>
      </c>
      <c r="G114" s="6">
        <f t="shared" si="32"/>
        <v>254399.42</v>
      </c>
      <c r="H114" s="6"/>
      <c r="I114" s="6">
        <f t="shared" si="33"/>
        <v>212.94</v>
      </c>
      <c r="J114" s="7"/>
      <c r="K114" s="16">
        <f t="shared" si="34"/>
        <v>1405.5645499999998</v>
      </c>
      <c r="L114" s="6">
        <f t="shared" si="35"/>
        <v>299300.92</v>
      </c>
      <c r="M114" s="6"/>
      <c r="N114" s="6">
        <v>216</v>
      </c>
      <c r="O114" s="7"/>
      <c r="P114" s="16">
        <f>+F114</f>
        <v>1194.7</v>
      </c>
      <c r="Q114" s="6">
        <f t="shared" si="36"/>
        <v>258055.2</v>
      </c>
      <c r="R114" s="6"/>
      <c r="S114" s="6">
        <f t="shared" si="37"/>
        <v>216</v>
      </c>
      <c r="T114" s="7"/>
      <c r="U114" s="16">
        <f>+'KAWC Rates'!D15</f>
        <v>1405.5645499999998</v>
      </c>
      <c r="V114" s="6">
        <f t="shared" si="38"/>
        <v>303601.94</v>
      </c>
      <c r="W114" s="6"/>
      <c r="X114" s="6">
        <f t="shared" si="39"/>
        <v>45546.739999999991</v>
      </c>
      <c r="Y114" s="7"/>
      <c r="Z114" s="15">
        <f t="shared" si="31"/>
        <v>0.17649999999999999</v>
      </c>
    </row>
    <row r="115" spans="1:27" x14ac:dyDescent="0.45">
      <c r="A115" s="13">
        <v>12</v>
      </c>
      <c r="C115" s="6"/>
      <c r="D115" s="6"/>
      <c r="E115" s="7"/>
      <c r="F115" s="16"/>
      <c r="G115" s="6"/>
      <c r="H115" s="6"/>
      <c r="I115" s="6"/>
      <c r="J115" s="7"/>
      <c r="K115" s="16"/>
      <c r="L115" s="6"/>
      <c r="M115" s="6"/>
      <c r="N115" s="6"/>
      <c r="O115" s="7"/>
      <c r="P115" s="16"/>
      <c r="Q115" s="6"/>
      <c r="R115" s="6"/>
      <c r="S115" s="6"/>
      <c r="T115" s="7"/>
      <c r="U115" s="16"/>
      <c r="V115" s="6"/>
      <c r="W115" s="6"/>
      <c r="X115" s="6">
        <f t="shared" si="39"/>
        <v>0</v>
      </c>
      <c r="Y115" s="7"/>
      <c r="Z115" s="15">
        <f t="shared" si="31"/>
        <v>0</v>
      </c>
    </row>
    <row r="116" spans="1:27" x14ac:dyDescent="0.45">
      <c r="A116" s="13">
        <v>13</v>
      </c>
      <c r="C116" s="6"/>
      <c r="D116" s="6"/>
      <c r="E116" s="7"/>
      <c r="F116" s="16"/>
      <c r="G116" s="6"/>
      <c r="H116" s="6"/>
      <c r="I116" s="6"/>
      <c r="J116" s="7"/>
      <c r="K116" s="16"/>
      <c r="L116" s="6"/>
      <c r="M116" s="6"/>
      <c r="N116" s="6"/>
      <c r="O116" s="7"/>
      <c r="P116" s="16"/>
      <c r="Q116" s="6"/>
      <c r="R116" s="6"/>
      <c r="S116" s="6"/>
      <c r="T116" s="7"/>
      <c r="U116" s="16"/>
      <c r="V116" s="6"/>
      <c r="W116" s="6"/>
      <c r="X116" s="8"/>
      <c r="Y116" s="7"/>
      <c r="Z116" s="15"/>
    </row>
    <row r="117" spans="1:27" x14ac:dyDescent="0.45">
      <c r="A117" s="13">
        <v>14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6"/>
      <c r="Y117" s="7"/>
      <c r="Z117" s="15"/>
    </row>
    <row r="118" spans="1:27" x14ac:dyDescent="0.45">
      <c r="A118" s="13">
        <v>15</v>
      </c>
      <c r="F118" s="7"/>
      <c r="K118" s="7"/>
    </row>
    <row r="119" spans="1:27" x14ac:dyDescent="0.45">
      <c r="A119" s="13">
        <v>16</v>
      </c>
      <c r="B119" s="14" t="s">
        <v>24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6"/>
      <c r="Y119" s="7"/>
      <c r="Z119" s="15"/>
    </row>
    <row r="120" spans="1:27" x14ac:dyDescent="0.45">
      <c r="A120" s="13">
        <v>17</v>
      </c>
      <c r="B120" s="3" t="s">
        <v>104</v>
      </c>
      <c r="C120" s="8"/>
      <c r="D120" s="7"/>
      <c r="E120" s="6">
        <v>4175826.0917406371</v>
      </c>
      <c r="F120" s="33">
        <f>+'KAWC Rates'!C20</f>
        <v>5.2065999999999999</v>
      </c>
      <c r="G120" s="8">
        <f>ROUND(E120*F120,2)</f>
        <v>21741856.129999999</v>
      </c>
      <c r="H120" s="8"/>
      <c r="I120" s="7"/>
      <c r="J120" s="6">
        <f>E120</f>
        <v>4175826.0917406371</v>
      </c>
      <c r="K120" s="33">
        <f>U120</f>
        <v>6.1272968379598947</v>
      </c>
      <c r="L120" s="8">
        <f>ROUND(J120*K120,2)</f>
        <v>25586526.010000002</v>
      </c>
      <c r="M120" s="8"/>
      <c r="N120" s="7"/>
      <c r="O120" s="6">
        <v>4111315.8800000004</v>
      </c>
      <c r="P120" s="33">
        <f>+F120</f>
        <v>5.2065999999999999</v>
      </c>
      <c r="Q120" s="8">
        <f>ROUND(O120*P120,2)</f>
        <v>21405977.260000002</v>
      </c>
      <c r="R120" s="8"/>
      <c r="S120" s="7"/>
      <c r="T120" s="6">
        <f>O120</f>
        <v>4111315.8800000004</v>
      </c>
      <c r="U120" s="33">
        <f>+'KAWC Rates'!D20</f>
        <v>6.1272968379598947</v>
      </c>
      <c r="V120" s="8">
        <f>ROUND(T120*U120,2)</f>
        <v>25191252.789999999</v>
      </c>
      <c r="W120" s="6"/>
      <c r="X120" s="8">
        <f t="shared" ref="X120" si="40">+V120-Q120</f>
        <v>3785275.5299999975</v>
      </c>
      <c r="Y120" s="7"/>
      <c r="Z120" s="15">
        <f t="shared" ref="Z120:Z128" si="41">IF(Q120=0,0,ROUND((X120/Q120),4))</f>
        <v>0.17680000000000001</v>
      </c>
    </row>
    <row r="121" spans="1:27" x14ac:dyDescent="0.45">
      <c r="A121" s="13">
        <v>18</v>
      </c>
      <c r="C121" s="6"/>
      <c r="E121" s="6"/>
      <c r="F121" s="21"/>
      <c r="G121" s="6"/>
      <c r="H121" s="6"/>
      <c r="J121" s="6"/>
      <c r="K121" s="21"/>
      <c r="L121" s="6"/>
      <c r="M121" s="6"/>
      <c r="O121" s="6"/>
      <c r="P121" s="21"/>
      <c r="Q121" s="6"/>
      <c r="R121" s="6"/>
      <c r="T121" s="6"/>
      <c r="U121" s="21"/>
      <c r="V121" s="6"/>
      <c r="W121" s="6"/>
      <c r="X121" s="6"/>
      <c r="Z121" s="15"/>
    </row>
    <row r="122" spans="1:27" x14ac:dyDescent="0.45">
      <c r="A122" s="13">
        <v>19</v>
      </c>
      <c r="C122" s="6"/>
      <c r="E122" s="6"/>
      <c r="F122" s="21"/>
      <c r="G122" s="6"/>
      <c r="H122" s="6"/>
      <c r="J122" s="6"/>
      <c r="K122" s="21"/>
      <c r="L122" s="6"/>
      <c r="M122" s="6"/>
      <c r="O122" s="6"/>
      <c r="P122" s="21"/>
      <c r="Q122" s="6"/>
      <c r="R122" s="6"/>
      <c r="T122" s="6"/>
      <c r="U122" s="21"/>
      <c r="V122" s="6"/>
      <c r="W122" s="6"/>
      <c r="X122" s="6"/>
      <c r="Z122" s="15"/>
    </row>
    <row r="123" spans="1:27" x14ac:dyDescent="0.45">
      <c r="A123" s="13">
        <v>20</v>
      </c>
      <c r="C123" s="6"/>
      <c r="E123" s="6"/>
      <c r="F123" s="21"/>
      <c r="G123" s="6"/>
      <c r="H123" s="6"/>
      <c r="J123" s="6"/>
      <c r="K123" s="21"/>
      <c r="L123" s="6"/>
      <c r="M123" s="6"/>
      <c r="O123" s="6"/>
      <c r="P123" s="21"/>
      <c r="Q123" s="6"/>
      <c r="R123" s="6"/>
      <c r="T123" s="6"/>
      <c r="U123" s="21"/>
      <c r="V123" s="6"/>
      <c r="W123" s="6"/>
      <c r="X123" s="6"/>
      <c r="Z123" s="15"/>
    </row>
    <row r="124" spans="1:27" x14ac:dyDescent="0.45">
      <c r="A124" s="13">
        <v>21</v>
      </c>
      <c r="B124" s="3" t="s">
        <v>136</v>
      </c>
      <c r="E124" s="6"/>
      <c r="F124" s="72"/>
      <c r="G124" s="6">
        <v>0</v>
      </c>
      <c r="H124" s="6"/>
      <c r="J124" s="6"/>
      <c r="K124" s="72">
        <f>+U124</f>
        <v>0</v>
      </c>
      <c r="L124" s="6">
        <f>+ROUND(SUM(L106:L120)*K124,2)</f>
        <v>0</v>
      </c>
      <c r="O124" s="6"/>
      <c r="P124" s="73"/>
      <c r="Q124" s="8">
        <v>0</v>
      </c>
      <c r="T124" s="6"/>
      <c r="U124" s="72"/>
      <c r="V124" s="8">
        <f>+Q124</f>
        <v>0</v>
      </c>
      <c r="X124" s="8">
        <f t="shared" ref="X124" si="42">+V124-Q124</f>
        <v>0</v>
      </c>
      <c r="Y124" s="7"/>
      <c r="Z124" s="15">
        <f t="shared" ref="Z124" si="43">IF(Q124=0,0,ROUND((X124/Q124),4))</f>
        <v>0</v>
      </c>
    </row>
    <row r="125" spans="1:27" x14ac:dyDescent="0.45">
      <c r="A125" s="13">
        <v>22</v>
      </c>
      <c r="E125" s="6"/>
      <c r="F125" s="21"/>
      <c r="G125" s="6"/>
      <c r="H125" s="6"/>
      <c r="J125" s="6"/>
      <c r="K125" s="21"/>
      <c r="L125" s="6"/>
      <c r="O125" s="6"/>
      <c r="P125" s="21"/>
      <c r="Q125" s="6"/>
      <c r="T125" s="6"/>
      <c r="U125" s="21"/>
      <c r="V125" s="6"/>
      <c r="X125" s="6"/>
      <c r="Z125" s="15"/>
    </row>
    <row r="126" spans="1:27" x14ac:dyDescent="0.45">
      <c r="A126" s="13">
        <v>23</v>
      </c>
      <c r="C126" s="22"/>
      <c r="F126" s="21"/>
      <c r="G126" s="22"/>
      <c r="H126" s="22"/>
      <c r="J126" s="6"/>
      <c r="K126" s="33"/>
      <c r="L126" s="22"/>
      <c r="M126" s="22"/>
      <c r="P126" s="13"/>
      <c r="Q126" s="22"/>
      <c r="R126" s="22"/>
      <c r="U126" s="13"/>
      <c r="V126" s="22"/>
      <c r="W126" s="22"/>
      <c r="X126" s="22"/>
      <c r="Z126" s="15"/>
      <c r="AA126" s="15"/>
    </row>
    <row r="127" spans="1:27" x14ac:dyDescent="0.45">
      <c r="A127" s="13">
        <v>24</v>
      </c>
      <c r="C127" s="23"/>
      <c r="F127" s="23"/>
      <c r="G127" s="23"/>
      <c r="H127" s="23"/>
      <c r="K127" s="23"/>
      <c r="L127" s="23"/>
      <c r="M127" s="23"/>
      <c r="P127" s="23"/>
      <c r="Q127" s="23"/>
      <c r="R127" s="23"/>
      <c r="U127" s="23"/>
      <c r="V127" s="23"/>
      <c r="W127" s="23"/>
      <c r="X127" s="6"/>
      <c r="Z127" s="15"/>
    </row>
    <row r="128" spans="1:27" ht="14.65" thickBot="1" x14ac:dyDescent="0.5">
      <c r="A128" s="13">
        <v>25</v>
      </c>
      <c r="B128" s="3" t="s">
        <v>1</v>
      </c>
      <c r="C128" s="25"/>
      <c r="D128" s="34"/>
      <c r="E128" s="35">
        <f>SUM(E120:E127)</f>
        <v>4175826.0917406371</v>
      </c>
      <c r="F128" s="25"/>
      <c r="G128" s="36">
        <f>SUM(G106:G127)</f>
        <v>27527091.779999997</v>
      </c>
      <c r="H128" s="25"/>
      <c r="I128" s="34"/>
      <c r="J128" s="35">
        <f>SUM(J120:J127)</f>
        <v>4175826.0917406371</v>
      </c>
      <c r="K128" s="25"/>
      <c r="L128" s="36">
        <f>SUM(L106:L127)</f>
        <v>32392855.75</v>
      </c>
      <c r="M128" s="25"/>
      <c r="N128" s="34"/>
      <c r="O128" s="35">
        <f>SUM(O120:O127)</f>
        <v>4111315.8800000004</v>
      </c>
      <c r="P128" s="25"/>
      <c r="Q128" s="36">
        <f>SUM(Q106:Q127)</f>
        <v>27247879</v>
      </c>
      <c r="R128" s="25"/>
      <c r="S128" s="34"/>
      <c r="T128" s="35">
        <f>SUM(T120:T127)</f>
        <v>4111315.8800000004</v>
      </c>
      <c r="U128" s="25"/>
      <c r="V128" s="36">
        <f>SUM(V106:V127)</f>
        <v>32064250.190000001</v>
      </c>
      <c r="W128" s="25"/>
      <c r="X128" s="36">
        <f>SUM(X106:X127)</f>
        <v>4816371.1899999976</v>
      </c>
      <c r="Z128" s="30">
        <f t="shared" si="41"/>
        <v>0.17680000000000001</v>
      </c>
    </row>
    <row r="129" spans="1:26" ht="14.65" thickTop="1" x14ac:dyDescent="0.45">
      <c r="A129" s="13"/>
      <c r="C129" s="6"/>
      <c r="F129" s="27"/>
      <c r="G129" s="6"/>
      <c r="H129" s="6"/>
      <c r="I129" s="6"/>
      <c r="J129" s="6"/>
      <c r="K129" s="6"/>
      <c r="L129" s="6"/>
      <c r="M129" s="6"/>
      <c r="N129" s="6"/>
      <c r="P129" s="27"/>
      <c r="Q129" s="6"/>
      <c r="R129" s="6"/>
      <c r="U129" s="27"/>
      <c r="V129" s="6"/>
      <c r="X129" s="6"/>
      <c r="Z129" s="15"/>
    </row>
    <row r="130" spans="1:26" x14ac:dyDescent="0.45">
      <c r="A130" s="13"/>
      <c r="C130" s="6"/>
      <c r="D130" s="13"/>
      <c r="F130" s="27"/>
      <c r="G130" s="6"/>
      <c r="H130" s="6"/>
      <c r="I130" s="6"/>
      <c r="J130" s="6"/>
      <c r="K130" s="6"/>
      <c r="L130" s="6"/>
      <c r="M130" s="6"/>
      <c r="N130" s="6"/>
      <c r="P130" s="27"/>
      <c r="Q130" s="6"/>
      <c r="R130" s="6"/>
      <c r="S130" s="13"/>
      <c r="U130" s="27"/>
      <c r="V130" s="6"/>
      <c r="X130" s="6"/>
      <c r="Z130" s="15"/>
    </row>
    <row r="131" spans="1:26" x14ac:dyDescent="0.45">
      <c r="A131" s="13"/>
      <c r="F131" s="37"/>
      <c r="G131" s="44"/>
      <c r="P131" s="37"/>
      <c r="U131" s="37"/>
      <c r="X131" s="6"/>
      <c r="Z131" s="15"/>
    </row>
    <row r="132" spans="1:26" x14ac:dyDescent="0.45">
      <c r="A132" s="13"/>
      <c r="F132" s="37"/>
      <c r="P132" s="37"/>
      <c r="U132" s="37"/>
      <c r="X132" s="6"/>
      <c r="Z132" s="15"/>
    </row>
    <row r="133" spans="1:26" x14ac:dyDescent="0.45">
      <c r="A133" s="161" t="str">
        <f>A$1</f>
        <v>Kentucky-American Water Company</v>
      </c>
      <c r="B133" s="161"/>
      <c r="C133" s="161"/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</row>
    <row r="134" spans="1:26" x14ac:dyDescent="0.45">
      <c r="A134" s="161" t="str">
        <f>+$A$2</f>
        <v>Forecast Year Operating Revenues at Present Rates &amp; Proposed Rates</v>
      </c>
      <c r="B134" s="161"/>
      <c r="C134" s="161"/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</row>
    <row r="135" spans="1:26" x14ac:dyDescent="0.45">
      <c r="A135" s="161" t="str">
        <f>+$A$3</f>
        <v>Base Year (12 Months Ending September 30, 2023)</v>
      </c>
      <c r="B135" s="161"/>
      <c r="C135" s="161"/>
      <c r="D135" s="161"/>
      <c r="E135" s="161"/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</row>
    <row r="136" spans="1:26" x14ac:dyDescent="0.45">
      <c r="A136" s="161" t="str">
        <f>+$A$4</f>
        <v>Forecast Year (12 Months Ending January 31, 2025)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</row>
    <row r="137" spans="1:26" x14ac:dyDescent="0.45">
      <c r="A137" s="9"/>
      <c r="I137" s="161" t="s">
        <v>91</v>
      </c>
      <c r="J137" s="161"/>
      <c r="K137" s="161"/>
      <c r="L137" s="161"/>
      <c r="M137" s="161"/>
      <c r="N137" s="161"/>
      <c r="O137" s="161"/>
      <c r="P137" s="161"/>
      <c r="Q137" s="161"/>
    </row>
    <row r="138" spans="1:26" x14ac:dyDescent="0.45">
      <c r="A138" s="9"/>
      <c r="I138" s="48"/>
      <c r="J138" s="48"/>
      <c r="K138" s="48"/>
      <c r="L138" s="48"/>
      <c r="M138" s="48"/>
      <c r="N138" s="48"/>
      <c r="O138" s="48"/>
      <c r="P138" s="48"/>
      <c r="Q138" s="48"/>
      <c r="Z138" s="10" t="s">
        <v>84</v>
      </c>
    </row>
    <row r="139" spans="1:26" x14ac:dyDescent="0.45">
      <c r="A139" s="9"/>
      <c r="I139" s="48"/>
      <c r="J139" s="48"/>
      <c r="K139" s="48"/>
      <c r="L139" s="48"/>
      <c r="M139" s="48"/>
      <c r="N139" s="48"/>
      <c r="O139" s="48"/>
      <c r="P139" s="48"/>
      <c r="Q139" s="48"/>
      <c r="Z139" s="140"/>
    </row>
    <row r="140" spans="1:26" x14ac:dyDescent="0.45">
      <c r="A140" s="9"/>
      <c r="Z140" s="140"/>
    </row>
    <row r="141" spans="1:26" x14ac:dyDescent="0.45">
      <c r="A141" s="47"/>
      <c r="B141" s="11"/>
      <c r="C141" s="50"/>
      <c r="D141" s="51"/>
      <c r="E141" s="11"/>
      <c r="F141" s="52"/>
      <c r="G141" s="50"/>
      <c r="H141" s="50"/>
      <c r="I141" s="50"/>
      <c r="J141" s="50"/>
      <c r="K141" s="50"/>
      <c r="L141" s="50"/>
      <c r="M141" s="50"/>
      <c r="N141" s="50"/>
      <c r="O141" s="11"/>
      <c r="P141" s="52"/>
      <c r="Q141" s="50"/>
      <c r="R141" s="50"/>
      <c r="S141" s="50"/>
      <c r="T141" s="51"/>
      <c r="U141" s="52"/>
      <c r="V141" s="51"/>
      <c r="W141" s="51"/>
      <c r="X141" s="53"/>
      <c r="Y141" s="51"/>
      <c r="Z141" s="54"/>
    </row>
    <row r="142" spans="1:26" x14ac:dyDescent="0.45">
      <c r="C142" s="13"/>
      <c r="D142" s="162" t="s">
        <v>80</v>
      </c>
      <c r="E142" s="162" t="s">
        <v>48</v>
      </c>
      <c r="F142" s="162"/>
      <c r="G142" s="162"/>
      <c r="H142" s="13"/>
      <c r="I142" s="162" t="s">
        <v>79</v>
      </c>
      <c r="J142" s="162" t="s">
        <v>48</v>
      </c>
      <c r="K142" s="162"/>
      <c r="L142" s="162"/>
      <c r="M142" s="13"/>
      <c r="N142" s="162" t="s">
        <v>51</v>
      </c>
      <c r="O142" s="162" t="s">
        <v>49</v>
      </c>
      <c r="P142" s="162"/>
      <c r="Q142" s="162"/>
      <c r="R142" s="13"/>
      <c r="S142" s="162" t="s">
        <v>52</v>
      </c>
      <c r="T142" s="162" t="s">
        <v>50</v>
      </c>
      <c r="U142" s="162"/>
      <c r="V142" s="162"/>
      <c r="W142" s="12"/>
      <c r="X142" s="12"/>
    </row>
    <row r="143" spans="1:26" x14ac:dyDescent="0.45">
      <c r="C143" s="13"/>
      <c r="D143" s="13" t="s">
        <v>11</v>
      </c>
      <c r="E143" s="13"/>
      <c r="F143" s="13"/>
      <c r="G143" s="13"/>
      <c r="H143" s="13"/>
      <c r="I143" s="13" t="s">
        <v>11</v>
      </c>
      <c r="J143" s="13"/>
      <c r="K143" s="13"/>
      <c r="L143" s="13"/>
      <c r="M143" s="13"/>
      <c r="N143" s="13" t="s">
        <v>11</v>
      </c>
      <c r="O143" s="13"/>
      <c r="P143" s="13"/>
      <c r="Q143" s="13"/>
      <c r="R143" s="13"/>
      <c r="S143" s="13" t="s">
        <v>11</v>
      </c>
      <c r="T143" s="13"/>
      <c r="U143" s="13"/>
      <c r="V143" s="13"/>
      <c r="W143" s="13"/>
      <c r="X143" s="13"/>
    </row>
    <row r="144" spans="1:26" x14ac:dyDescent="0.45">
      <c r="B144" s="13" t="s">
        <v>9</v>
      </c>
      <c r="C144" s="13"/>
      <c r="D144" s="13" t="s">
        <v>12</v>
      </c>
      <c r="E144" s="13" t="s">
        <v>23</v>
      </c>
      <c r="F144" s="13" t="s">
        <v>25</v>
      </c>
      <c r="G144" s="13" t="s">
        <v>1</v>
      </c>
      <c r="H144" s="13"/>
      <c r="I144" s="13" t="s">
        <v>12</v>
      </c>
      <c r="J144" s="13" t="s">
        <v>23</v>
      </c>
      <c r="K144" s="13" t="s">
        <v>81</v>
      </c>
      <c r="L144" s="13" t="s">
        <v>1</v>
      </c>
      <c r="M144" s="13"/>
      <c r="N144" s="13" t="s">
        <v>12</v>
      </c>
      <c r="O144" s="13" t="s">
        <v>23</v>
      </c>
      <c r="P144" s="13" t="s">
        <v>25</v>
      </c>
      <c r="Q144" s="13" t="s">
        <v>1</v>
      </c>
      <c r="R144" s="13"/>
      <c r="S144" s="13" t="s">
        <v>12</v>
      </c>
      <c r="T144" s="13" t="s">
        <v>23</v>
      </c>
      <c r="U144" s="13" t="s">
        <v>44</v>
      </c>
      <c r="V144" s="13" t="s">
        <v>1</v>
      </c>
      <c r="W144" s="13"/>
      <c r="X144" s="13" t="s">
        <v>29</v>
      </c>
      <c r="Z144" s="13" t="s">
        <v>133</v>
      </c>
    </row>
    <row r="145" spans="1:26" x14ac:dyDescent="0.45">
      <c r="A145" s="47" t="s">
        <v>0</v>
      </c>
      <c r="B145" s="47" t="s">
        <v>2</v>
      </c>
      <c r="C145" s="13"/>
      <c r="D145" s="47" t="s">
        <v>13</v>
      </c>
      <c r="E145" s="47" t="str">
        <f>E103</f>
        <v>(000 Gal)</v>
      </c>
      <c r="F145" s="47" t="s">
        <v>26</v>
      </c>
      <c r="G145" s="47" t="s">
        <v>27</v>
      </c>
      <c r="H145" s="13"/>
      <c r="I145" s="47" t="s">
        <v>13</v>
      </c>
      <c r="J145" s="47" t="str">
        <f>J103</f>
        <v>(000 Gal)</v>
      </c>
      <c r="K145" s="47" t="s">
        <v>26</v>
      </c>
      <c r="L145" s="47" t="s">
        <v>27</v>
      </c>
      <c r="M145" s="13"/>
      <c r="N145" s="47" t="s">
        <v>13</v>
      </c>
      <c r="O145" s="47" t="str">
        <f>E145</f>
        <v>(000 Gal)</v>
      </c>
      <c r="P145" s="47" t="s">
        <v>26</v>
      </c>
      <c r="Q145" s="47" t="s">
        <v>27</v>
      </c>
      <c r="R145" s="13"/>
      <c r="S145" s="47" t="s">
        <v>13</v>
      </c>
      <c r="T145" s="47" t="str">
        <f>O145</f>
        <v>(000 Gal)</v>
      </c>
      <c r="U145" s="47" t="s">
        <v>26</v>
      </c>
      <c r="V145" s="47" t="s">
        <v>27</v>
      </c>
      <c r="W145" s="13"/>
      <c r="X145" s="47" t="s">
        <v>30</v>
      </c>
      <c r="Z145" s="47" t="s">
        <v>30</v>
      </c>
    </row>
    <row r="146" spans="1:26" x14ac:dyDescent="0.45">
      <c r="A146" s="13">
        <v>1</v>
      </c>
      <c r="B146" s="9" t="str">
        <f>+I137</f>
        <v>INDUSTRIAL CLASS</v>
      </c>
      <c r="C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Z146" s="13"/>
    </row>
    <row r="147" spans="1:26" x14ac:dyDescent="0.45">
      <c r="A147" s="13">
        <v>2</v>
      </c>
      <c r="B147" s="14" t="s">
        <v>10</v>
      </c>
    </row>
    <row r="148" spans="1:26" x14ac:dyDescent="0.45">
      <c r="A148" s="13">
        <v>3</v>
      </c>
      <c r="B148" s="3" t="s">
        <v>14</v>
      </c>
      <c r="C148" s="8"/>
      <c r="D148" s="6">
        <v>36</v>
      </c>
      <c r="E148" s="7"/>
      <c r="F148" s="32">
        <f>+'KAWC Rates'!C7</f>
        <v>15</v>
      </c>
      <c r="G148" s="8">
        <f>ROUND(D148*F148,2)</f>
        <v>540</v>
      </c>
      <c r="H148" s="8"/>
      <c r="I148" s="6">
        <f>D148</f>
        <v>36</v>
      </c>
      <c r="J148" s="7"/>
      <c r="K148" s="32">
        <f>U148</f>
        <v>17.647499999999997</v>
      </c>
      <c r="L148" s="8">
        <f>ROUND(I148*K148,2)</f>
        <v>635.30999999999995</v>
      </c>
      <c r="M148" s="8"/>
      <c r="N148" s="6">
        <v>36</v>
      </c>
      <c r="O148" s="7"/>
      <c r="P148" s="32">
        <f t="shared" ref="P148:P155" si="44">+F148</f>
        <v>15</v>
      </c>
      <c r="Q148" s="8">
        <f>ROUND(N148*P148,2)</f>
        <v>540</v>
      </c>
      <c r="R148" s="8"/>
      <c r="S148" s="6">
        <f>N148</f>
        <v>36</v>
      </c>
      <c r="T148" s="7"/>
      <c r="U148" s="32">
        <f>+'KAWC Rates'!D7</f>
        <v>17.647499999999997</v>
      </c>
      <c r="V148" s="8">
        <f>ROUND(S148*U148,2)</f>
        <v>635.30999999999995</v>
      </c>
      <c r="W148" s="8"/>
      <c r="X148" s="8">
        <f>+V148-Q148</f>
        <v>95.309999999999945</v>
      </c>
      <c r="Y148" s="7"/>
      <c r="Z148" s="15">
        <f t="shared" ref="Z148:Z157" si="45">IF(Q148=0,0,ROUND((X148/Q148),4))</f>
        <v>0.17649999999999999</v>
      </c>
    </row>
    <row r="149" spans="1:26" x14ac:dyDescent="0.45">
      <c r="A149" s="13">
        <v>4</v>
      </c>
      <c r="B149" s="3" t="s">
        <v>15</v>
      </c>
      <c r="C149" s="6"/>
      <c r="D149" s="6">
        <v>0</v>
      </c>
      <c r="E149" s="7"/>
      <c r="F149" s="16">
        <f>+'KAWC Rates'!C8</f>
        <v>22.4</v>
      </c>
      <c r="G149" s="6">
        <f t="shared" ref="G149:G156" si="46">ROUND(D149*F149,2)</f>
        <v>0</v>
      </c>
      <c r="H149" s="6"/>
      <c r="I149" s="6">
        <f t="shared" ref="I149:I156" si="47">D149</f>
        <v>0</v>
      </c>
      <c r="J149" s="7"/>
      <c r="K149" s="16">
        <f t="shared" ref="K149:K156" si="48">U149</f>
        <v>26.353599999999997</v>
      </c>
      <c r="L149" s="6">
        <f t="shared" ref="L149:L156" si="49">ROUND(I149*K149,2)</f>
        <v>0</v>
      </c>
      <c r="M149" s="6"/>
      <c r="N149" s="6">
        <v>0</v>
      </c>
      <c r="O149" s="7"/>
      <c r="P149" s="16">
        <f t="shared" si="44"/>
        <v>22.4</v>
      </c>
      <c r="Q149" s="6">
        <f t="shared" ref="Q149:Q156" si="50">ROUND(N149*P149,2)</f>
        <v>0</v>
      </c>
      <c r="R149" s="6"/>
      <c r="S149" s="6">
        <f t="shared" ref="S149:S156" si="51">N149</f>
        <v>0</v>
      </c>
      <c r="T149" s="7"/>
      <c r="U149" s="16">
        <f>+'KAWC Rates'!D8</f>
        <v>26.353599999999997</v>
      </c>
      <c r="V149" s="6">
        <f t="shared" ref="V149:V156" si="52">ROUND(S149*U149,2)</f>
        <v>0</v>
      </c>
      <c r="W149" s="6"/>
      <c r="X149" s="6">
        <f t="shared" ref="X149:X157" si="53">+V149-Q149</f>
        <v>0</v>
      </c>
      <c r="Y149" s="7"/>
      <c r="Z149" s="15">
        <f t="shared" si="45"/>
        <v>0</v>
      </c>
    </row>
    <row r="150" spans="1:26" x14ac:dyDescent="0.45">
      <c r="A150" s="13">
        <v>5</v>
      </c>
      <c r="B150" s="3" t="s">
        <v>16</v>
      </c>
      <c r="C150" s="6"/>
      <c r="D150" s="6">
        <v>47.58</v>
      </c>
      <c r="E150" s="7"/>
      <c r="F150" s="16">
        <f>+'KAWC Rates'!C9</f>
        <v>37.299999999999997</v>
      </c>
      <c r="G150" s="6">
        <f t="shared" si="46"/>
        <v>1774.73</v>
      </c>
      <c r="H150" s="6"/>
      <c r="I150" s="6">
        <f t="shared" si="47"/>
        <v>47.58</v>
      </c>
      <c r="J150" s="7"/>
      <c r="K150" s="16">
        <f t="shared" si="48"/>
        <v>43.883449999999989</v>
      </c>
      <c r="L150" s="6">
        <f t="shared" si="49"/>
        <v>2087.9699999999998</v>
      </c>
      <c r="M150" s="6"/>
      <c r="N150" s="6">
        <v>48</v>
      </c>
      <c r="O150" s="7"/>
      <c r="P150" s="16">
        <f t="shared" si="44"/>
        <v>37.299999999999997</v>
      </c>
      <c r="Q150" s="6">
        <f t="shared" si="50"/>
        <v>1790.4</v>
      </c>
      <c r="R150" s="6"/>
      <c r="S150" s="6">
        <f t="shared" si="51"/>
        <v>48</v>
      </c>
      <c r="T150" s="7"/>
      <c r="U150" s="16">
        <f>+'KAWC Rates'!D9</f>
        <v>43.883449999999989</v>
      </c>
      <c r="V150" s="6">
        <f t="shared" si="52"/>
        <v>2106.41</v>
      </c>
      <c r="W150" s="6"/>
      <c r="X150" s="6">
        <f t="shared" si="53"/>
        <v>316.00999999999976</v>
      </c>
      <c r="Y150" s="7"/>
      <c r="Z150" s="15">
        <f t="shared" si="45"/>
        <v>0.17649999999999999</v>
      </c>
    </row>
    <row r="151" spans="1:26" x14ac:dyDescent="0.45">
      <c r="A151" s="13">
        <v>6</v>
      </c>
      <c r="B151" s="3" t="s">
        <v>17</v>
      </c>
      <c r="C151" s="6"/>
      <c r="D151" s="6">
        <v>12.58</v>
      </c>
      <c r="E151" s="7"/>
      <c r="F151" s="16">
        <f>+'KAWC Rates'!C10</f>
        <v>74.7</v>
      </c>
      <c r="G151" s="6">
        <f t="shared" si="46"/>
        <v>939.73</v>
      </c>
      <c r="H151" s="6"/>
      <c r="I151" s="6">
        <f t="shared" si="47"/>
        <v>12.58</v>
      </c>
      <c r="J151" s="7"/>
      <c r="K151" s="16">
        <f t="shared" si="48"/>
        <v>87.88454999999999</v>
      </c>
      <c r="L151" s="6">
        <f t="shared" si="49"/>
        <v>1105.5899999999999</v>
      </c>
      <c r="M151" s="6"/>
      <c r="N151" s="6">
        <v>12</v>
      </c>
      <c r="O151" s="7"/>
      <c r="P151" s="16">
        <f t="shared" si="44"/>
        <v>74.7</v>
      </c>
      <c r="Q151" s="6">
        <f t="shared" si="50"/>
        <v>896.4</v>
      </c>
      <c r="R151" s="6"/>
      <c r="S151" s="6">
        <f t="shared" si="51"/>
        <v>12</v>
      </c>
      <c r="T151" s="7"/>
      <c r="U151" s="16">
        <f>+'KAWC Rates'!D10</f>
        <v>87.88454999999999</v>
      </c>
      <c r="V151" s="6">
        <f t="shared" si="52"/>
        <v>1054.6099999999999</v>
      </c>
      <c r="W151" s="6"/>
      <c r="X151" s="6">
        <f t="shared" si="53"/>
        <v>158.20999999999992</v>
      </c>
      <c r="Y151" s="7"/>
      <c r="Z151" s="15">
        <f t="shared" si="45"/>
        <v>0.17649999999999999</v>
      </c>
    </row>
    <row r="152" spans="1:26" x14ac:dyDescent="0.45">
      <c r="A152" s="13">
        <v>7</v>
      </c>
      <c r="B152" s="3" t="s">
        <v>18</v>
      </c>
      <c r="C152" s="6"/>
      <c r="D152" s="6">
        <v>277.3</v>
      </c>
      <c r="E152" s="7"/>
      <c r="F152" s="16">
        <f>+'KAWC Rates'!C11</f>
        <v>119.5</v>
      </c>
      <c r="G152" s="6">
        <f t="shared" si="46"/>
        <v>33137.35</v>
      </c>
      <c r="H152" s="6"/>
      <c r="I152" s="6">
        <f t="shared" si="47"/>
        <v>277.3</v>
      </c>
      <c r="J152" s="7"/>
      <c r="K152" s="16">
        <f t="shared" si="48"/>
        <v>140.59174999999999</v>
      </c>
      <c r="L152" s="6">
        <f t="shared" si="49"/>
        <v>38986.089999999997</v>
      </c>
      <c r="M152" s="6"/>
      <c r="N152" s="6">
        <v>276</v>
      </c>
      <c r="O152" s="7"/>
      <c r="P152" s="16">
        <f t="shared" si="44"/>
        <v>119.5</v>
      </c>
      <c r="Q152" s="6">
        <f t="shared" si="50"/>
        <v>32982</v>
      </c>
      <c r="R152" s="6"/>
      <c r="S152" s="6">
        <f t="shared" si="51"/>
        <v>276</v>
      </c>
      <c r="T152" s="7"/>
      <c r="U152" s="16">
        <f>+'KAWC Rates'!D11</f>
        <v>140.59174999999999</v>
      </c>
      <c r="V152" s="6">
        <f t="shared" si="52"/>
        <v>38803.32</v>
      </c>
      <c r="W152" s="6"/>
      <c r="X152" s="6">
        <f t="shared" si="53"/>
        <v>5821.32</v>
      </c>
      <c r="Y152" s="7"/>
      <c r="Z152" s="15">
        <f t="shared" si="45"/>
        <v>0.17649999999999999</v>
      </c>
    </row>
    <row r="153" spans="1:26" x14ac:dyDescent="0.45">
      <c r="A153" s="13">
        <v>8</v>
      </c>
      <c r="B153" s="3" t="s">
        <v>19</v>
      </c>
      <c r="C153" s="6"/>
      <c r="D153" s="6">
        <v>0</v>
      </c>
      <c r="E153" s="7"/>
      <c r="F153" s="16">
        <f>+'KAWC Rates'!C12</f>
        <v>224</v>
      </c>
      <c r="G153" s="6">
        <f t="shared" si="46"/>
        <v>0</v>
      </c>
      <c r="H153" s="6"/>
      <c r="I153" s="6">
        <f t="shared" si="47"/>
        <v>0</v>
      </c>
      <c r="J153" s="7"/>
      <c r="K153" s="16">
        <f t="shared" si="48"/>
        <v>263.53599999999994</v>
      </c>
      <c r="L153" s="6">
        <f t="shared" si="49"/>
        <v>0</v>
      </c>
      <c r="M153" s="6"/>
      <c r="N153" s="6">
        <v>0</v>
      </c>
      <c r="O153" s="7"/>
      <c r="P153" s="16">
        <f t="shared" si="44"/>
        <v>224</v>
      </c>
      <c r="Q153" s="6">
        <f t="shared" si="50"/>
        <v>0</v>
      </c>
      <c r="R153" s="6"/>
      <c r="S153" s="6">
        <f t="shared" si="51"/>
        <v>0</v>
      </c>
      <c r="T153" s="7"/>
      <c r="U153" s="16">
        <f>+'KAWC Rates'!D12</f>
        <v>263.53599999999994</v>
      </c>
      <c r="V153" s="6">
        <f t="shared" si="52"/>
        <v>0</v>
      </c>
      <c r="W153" s="6"/>
      <c r="X153" s="6">
        <f t="shared" si="53"/>
        <v>0</v>
      </c>
      <c r="Y153" s="7"/>
      <c r="Z153" s="15">
        <f t="shared" si="45"/>
        <v>0</v>
      </c>
    </row>
    <row r="154" spans="1:26" x14ac:dyDescent="0.45">
      <c r="A154" s="13">
        <v>9</v>
      </c>
      <c r="B154" s="3" t="s">
        <v>20</v>
      </c>
      <c r="C154" s="6"/>
      <c r="D154" s="6">
        <v>127.12</v>
      </c>
      <c r="E154" s="7"/>
      <c r="F154" s="16">
        <f>+'KAWC Rates'!C13</f>
        <v>373.4</v>
      </c>
      <c r="G154" s="6">
        <f t="shared" si="46"/>
        <v>47466.61</v>
      </c>
      <c r="H154" s="6"/>
      <c r="I154" s="6">
        <f t="shared" si="47"/>
        <v>127.12</v>
      </c>
      <c r="J154" s="7"/>
      <c r="K154" s="16">
        <f t="shared" si="48"/>
        <v>439.30509999999992</v>
      </c>
      <c r="L154" s="6">
        <f t="shared" si="49"/>
        <v>55844.46</v>
      </c>
      <c r="M154" s="6"/>
      <c r="N154" s="6">
        <v>120</v>
      </c>
      <c r="O154" s="7"/>
      <c r="P154" s="16">
        <f t="shared" si="44"/>
        <v>373.4</v>
      </c>
      <c r="Q154" s="6">
        <f t="shared" si="50"/>
        <v>44808</v>
      </c>
      <c r="R154" s="6"/>
      <c r="S154" s="6">
        <f t="shared" si="51"/>
        <v>120</v>
      </c>
      <c r="T154" s="7"/>
      <c r="U154" s="16">
        <f>+'KAWC Rates'!D13</f>
        <v>439.30509999999992</v>
      </c>
      <c r="V154" s="6">
        <f t="shared" si="52"/>
        <v>52716.61</v>
      </c>
      <c r="W154" s="6"/>
      <c r="X154" s="6">
        <f t="shared" si="53"/>
        <v>7908.6100000000006</v>
      </c>
      <c r="Y154" s="7"/>
      <c r="Z154" s="15">
        <f t="shared" si="45"/>
        <v>0.17649999999999999</v>
      </c>
    </row>
    <row r="155" spans="1:26" x14ac:dyDescent="0.45">
      <c r="A155" s="13">
        <v>10</v>
      </c>
      <c r="B155" s="3" t="s">
        <v>21</v>
      </c>
      <c r="C155" s="6"/>
      <c r="D155" s="6">
        <v>111.4</v>
      </c>
      <c r="E155" s="7"/>
      <c r="F155" s="16">
        <f>+'KAWC Rates'!C14</f>
        <v>746.7</v>
      </c>
      <c r="G155" s="6">
        <f t="shared" si="46"/>
        <v>83182.38</v>
      </c>
      <c r="H155" s="6"/>
      <c r="I155" s="6">
        <f t="shared" si="47"/>
        <v>111.4</v>
      </c>
      <c r="J155" s="7"/>
      <c r="K155" s="16">
        <f t="shared" si="48"/>
        <v>878.49254999999994</v>
      </c>
      <c r="L155" s="6">
        <f t="shared" si="49"/>
        <v>97864.07</v>
      </c>
      <c r="M155" s="6"/>
      <c r="N155" s="6">
        <v>108</v>
      </c>
      <c r="O155" s="7"/>
      <c r="P155" s="16">
        <f t="shared" si="44"/>
        <v>746.7</v>
      </c>
      <c r="Q155" s="6">
        <f t="shared" si="50"/>
        <v>80643.600000000006</v>
      </c>
      <c r="R155" s="6"/>
      <c r="S155" s="6">
        <f t="shared" si="51"/>
        <v>108</v>
      </c>
      <c r="T155" s="7"/>
      <c r="U155" s="16">
        <f>+'KAWC Rates'!D14</f>
        <v>878.49254999999994</v>
      </c>
      <c r="V155" s="6">
        <f t="shared" si="52"/>
        <v>94877.2</v>
      </c>
      <c r="W155" s="6"/>
      <c r="X155" s="6">
        <f t="shared" si="53"/>
        <v>14233.599999999991</v>
      </c>
      <c r="Y155" s="7"/>
      <c r="Z155" s="15">
        <f t="shared" si="45"/>
        <v>0.17649999999999999</v>
      </c>
    </row>
    <row r="156" spans="1:26" x14ac:dyDescent="0.45">
      <c r="A156" s="13">
        <v>11</v>
      </c>
      <c r="B156" s="3" t="s">
        <v>22</v>
      </c>
      <c r="C156" s="6"/>
      <c r="D156" s="6">
        <v>0</v>
      </c>
      <c r="E156" s="7"/>
      <c r="F156" s="16">
        <f>+'KAWC Rates'!C15</f>
        <v>1194.7</v>
      </c>
      <c r="G156" s="6">
        <f t="shared" si="46"/>
        <v>0</v>
      </c>
      <c r="H156" s="6"/>
      <c r="I156" s="6">
        <f t="shared" si="47"/>
        <v>0</v>
      </c>
      <c r="J156" s="7"/>
      <c r="K156" s="16">
        <f t="shared" si="48"/>
        <v>1405.5645499999998</v>
      </c>
      <c r="L156" s="6">
        <f t="shared" si="49"/>
        <v>0</v>
      </c>
      <c r="M156" s="6"/>
      <c r="N156" s="6">
        <v>0</v>
      </c>
      <c r="O156" s="7"/>
      <c r="P156" s="16">
        <f>+F156</f>
        <v>1194.7</v>
      </c>
      <c r="Q156" s="6">
        <f t="shared" si="50"/>
        <v>0</v>
      </c>
      <c r="R156" s="6"/>
      <c r="S156" s="6">
        <f t="shared" si="51"/>
        <v>0</v>
      </c>
      <c r="T156" s="7"/>
      <c r="U156" s="16">
        <f>+'KAWC Rates'!D15</f>
        <v>1405.5645499999998</v>
      </c>
      <c r="V156" s="6">
        <f t="shared" si="52"/>
        <v>0</v>
      </c>
      <c r="W156" s="6"/>
      <c r="X156" s="6">
        <f t="shared" si="53"/>
        <v>0</v>
      </c>
      <c r="Y156" s="7"/>
      <c r="Z156" s="15">
        <f t="shared" si="45"/>
        <v>0</v>
      </c>
    </row>
    <row r="157" spans="1:26" x14ac:dyDescent="0.45">
      <c r="A157" s="13">
        <v>12</v>
      </c>
      <c r="C157" s="6"/>
      <c r="D157" s="6"/>
      <c r="E157" s="7"/>
      <c r="F157" s="16"/>
      <c r="G157" s="6"/>
      <c r="H157" s="6"/>
      <c r="I157" s="6"/>
      <c r="J157" s="7"/>
      <c r="K157" s="16"/>
      <c r="L157" s="6"/>
      <c r="M157" s="6"/>
      <c r="N157" s="6"/>
      <c r="O157" s="7"/>
      <c r="P157" s="16"/>
      <c r="Q157" s="6"/>
      <c r="R157" s="6"/>
      <c r="S157" s="6"/>
      <c r="T157" s="7"/>
      <c r="U157" s="16"/>
      <c r="V157" s="6"/>
      <c r="W157" s="6"/>
      <c r="X157" s="6">
        <f t="shared" si="53"/>
        <v>0</v>
      </c>
      <c r="Y157" s="7"/>
      <c r="Z157" s="15">
        <f t="shared" si="45"/>
        <v>0</v>
      </c>
    </row>
    <row r="158" spans="1:26" x14ac:dyDescent="0.45">
      <c r="A158" s="13">
        <v>13</v>
      </c>
      <c r="C158" s="6"/>
      <c r="D158" s="6"/>
      <c r="E158" s="7"/>
      <c r="F158" s="16"/>
      <c r="G158" s="6"/>
      <c r="H158" s="6"/>
      <c r="I158" s="6"/>
      <c r="J158" s="7"/>
      <c r="K158" s="16"/>
      <c r="L158" s="6"/>
      <c r="M158" s="6"/>
      <c r="N158" s="6"/>
      <c r="O158" s="7"/>
      <c r="P158" s="16"/>
      <c r="Q158" s="6"/>
      <c r="R158" s="6"/>
      <c r="S158" s="6"/>
      <c r="T158" s="7"/>
      <c r="U158" s="16"/>
      <c r="V158" s="6"/>
      <c r="W158" s="6"/>
      <c r="X158" s="8"/>
      <c r="Y158" s="7"/>
      <c r="Z158" s="15"/>
    </row>
    <row r="159" spans="1:26" x14ac:dyDescent="0.45">
      <c r="A159" s="13">
        <v>14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6"/>
      <c r="Y159" s="7"/>
      <c r="Z159" s="15"/>
    </row>
    <row r="160" spans="1:26" x14ac:dyDescent="0.45">
      <c r="A160" s="13">
        <v>15</v>
      </c>
      <c r="F160" s="7"/>
      <c r="K160" s="7"/>
    </row>
    <row r="161" spans="1:27" x14ac:dyDescent="0.45">
      <c r="A161" s="13">
        <v>16</v>
      </c>
      <c r="B161" s="14" t="s">
        <v>24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6"/>
      <c r="Y161" s="7"/>
      <c r="Z161" s="15"/>
    </row>
    <row r="162" spans="1:27" x14ac:dyDescent="0.45">
      <c r="A162" s="13">
        <v>17</v>
      </c>
      <c r="B162" s="3" t="s">
        <v>104</v>
      </c>
      <c r="C162" s="8"/>
      <c r="D162" s="7"/>
      <c r="E162" s="6">
        <v>570014.38900000008</v>
      </c>
      <c r="F162" s="33">
        <f>+'KAWC Rates'!C21</f>
        <v>4.3049999999999997</v>
      </c>
      <c r="G162" s="8">
        <f>ROUND(E162*F162,2)</f>
        <v>2453911.94</v>
      </c>
      <c r="H162" s="8"/>
      <c r="I162" s="7"/>
      <c r="J162" s="6">
        <f>E162</f>
        <v>570014.38900000008</v>
      </c>
      <c r="K162" s="33">
        <f>U162</f>
        <v>5.0662645272187889</v>
      </c>
      <c r="L162" s="8">
        <f>ROUND(J162*K162,2)</f>
        <v>2887843.68</v>
      </c>
      <c r="M162" s="8"/>
      <c r="N162" s="7"/>
      <c r="O162" s="6">
        <v>571807.07000000007</v>
      </c>
      <c r="P162" s="33">
        <f>+F162</f>
        <v>4.3049999999999997</v>
      </c>
      <c r="Q162" s="8">
        <f>ROUND(O162*P162,2)</f>
        <v>2461629.4399999999</v>
      </c>
      <c r="R162" s="8"/>
      <c r="S162" s="7"/>
      <c r="T162" s="6">
        <f>O162</f>
        <v>571807.07000000007</v>
      </c>
      <c r="U162" s="33">
        <f>+'KAWC Rates'!D21</f>
        <v>5.0662645272187889</v>
      </c>
      <c r="V162" s="8">
        <f>ROUND(T162*U162,2)</f>
        <v>2896925.88</v>
      </c>
      <c r="W162" s="6"/>
      <c r="X162" s="8">
        <f t="shared" ref="X162" si="54">+V162-Q162</f>
        <v>435296.43999999994</v>
      </c>
      <c r="Y162" s="7"/>
      <c r="Z162" s="15">
        <f t="shared" ref="Z162" si="55">IF(Q162=0,0,ROUND((X162/Q162),4))</f>
        <v>0.17680000000000001</v>
      </c>
    </row>
    <row r="163" spans="1:27" x14ac:dyDescent="0.45">
      <c r="A163" s="13">
        <v>18</v>
      </c>
      <c r="C163" s="6"/>
      <c r="E163" s="6"/>
      <c r="F163" s="21"/>
      <c r="G163" s="6"/>
      <c r="H163" s="6"/>
      <c r="J163" s="6"/>
      <c r="K163" s="21"/>
      <c r="L163" s="6"/>
      <c r="M163" s="6"/>
      <c r="O163" s="6"/>
      <c r="P163" s="21"/>
      <c r="Q163" s="6"/>
      <c r="R163" s="6"/>
      <c r="T163" s="6"/>
      <c r="U163" s="21"/>
      <c r="V163" s="6"/>
      <c r="W163" s="6"/>
      <c r="X163" s="6"/>
      <c r="Z163" s="15"/>
    </row>
    <row r="164" spans="1:27" x14ac:dyDescent="0.45">
      <c r="A164" s="13">
        <v>19</v>
      </c>
      <c r="C164" s="6"/>
      <c r="E164" s="6"/>
      <c r="F164" s="21"/>
      <c r="G164" s="6"/>
      <c r="H164" s="6"/>
      <c r="J164" s="6"/>
      <c r="K164" s="21"/>
      <c r="L164" s="6"/>
      <c r="M164" s="6"/>
      <c r="O164" s="6"/>
      <c r="P164" s="21"/>
      <c r="Q164" s="6"/>
      <c r="R164" s="6"/>
      <c r="T164" s="6"/>
      <c r="U164" s="21"/>
      <c r="V164" s="6"/>
      <c r="W164" s="6"/>
      <c r="X164" s="6"/>
      <c r="Z164" s="15"/>
    </row>
    <row r="165" spans="1:27" x14ac:dyDescent="0.45">
      <c r="A165" s="13">
        <v>20</v>
      </c>
      <c r="C165" s="6"/>
      <c r="E165" s="6"/>
      <c r="F165" s="21"/>
      <c r="G165" s="6"/>
      <c r="H165" s="6"/>
      <c r="J165" s="6"/>
      <c r="K165" s="21"/>
      <c r="L165" s="6"/>
      <c r="M165" s="6"/>
      <c r="O165" s="6"/>
      <c r="P165" s="21"/>
      <c r="Q165" s="6"/>
      <c r="R165" s="6"/>
      <c r="T165" s="6"/>
      <c r="U165" s="21"/>
      <c r="V165" s="6"/>
      <c r="W165" s="6"/>
      <c r="X165" s="6"/>
      <c r="Z165" s="15"/>
    </row>
    <row r="166" spans="1:27" x14ac:dyDescent="0.45">
      <c r="A166" s="13">
        <v>21</v>
      </c>
      <c r="B166" s="3" t="s">
        <v>136</v>
      </c>
      <c r="E166" s="6"/>
      <c r="F166" s="72"/>
      <c r="G166" s="6">
        <v>0</v>
      </c>
      <c r="H166" s="6"/>
      <c r="J166" s="6"/>
      <c r="K166" s="72">
        <f>+U166</f>
        <v>0</v>
      </c>
      <c r="L166" s="6">
        <f>+ROUND(SUM(L148:L162)*K166,2)</f>
        <v>0</v>
      </c>
      <c r="O166" s="6"/>
      <c r="P166" s="73"/>
      <c r="Q166" s="8">
        <v>0</v>
      </c>
      <c r="T166" s="6"/>
      <c r="U166" s="72"/>
      <c r="V166" s="8">
        <f>+Q166</f>
        <v>0</v>
      </c>
      <c r="X166" s="8">
        <f t="shared" ref="X166" si="56">+V166-Q166</f>
        <v>0</v>
      </c>
      <c r="Y166" s="7"/>
      <c r="Z166" s="15">
        <f t="shared" ref="Z166" si="57">IF(Q166=0,0,ROUND((X166/Q166),4))</f>
        <v>0</v>
      </c>
    </row>
    <row r="167" spans="1:27" x14ac:dyDescent="0.45">
      <c r="A167" s="13">
        <v>22</v>
      </c>
      <c r="E167" s="6"/>
      <c r="F167" s="21"/>
      <c r="G167" s="6"/>
      <c r="H167" s="6"/>
      <c r="J167" s="6"/>
      <c r="K167" s="21"/>
      <c r="L167" s="6"/>
      <c r="O167" s="6"/>
      <c r="P167" s="21"/>
      <c r="Q167" s="6"/>
      <c r="T167" s="6"/>
      <c r="U167" s="21"/>
      <c r="V167" s="6"/>
      <c r="X167" s="6"/>
      <c r="Z167" s="15"/>
    </row>
    <row r="168" spans="1:27" x14ac:dyDescent="0.45">
      <c r="A168" s="13">
        <v>23</v>
      </c>
      <c r="C168" s="22"/>
      <c r="F168" s="21"/>
      <c r="G168" s="22"/>
      <c r="H168" s="22"/>
      <c r="J168" s="6"/>
      <c r="K168" s="33"/>
      <c r="L168" s="22"/>
      <c r="M168" s="22"/>
      <c r="P168" s="13"/>
      <c r="Q168" s="22"/>
      <c r="R168" s="22"/>
      <c r="U168" s="13"/>
      <c r="V168" s="22"/>
      <c r="W168" s="22"/>
      <c r="X168" s="22"/>
      <c r="Z168" s="15"/>
      <c r="AA168" s="15"/>
    </row>
    <row r="169" spans="1:27" x14ac:dyDescent="0.45">
      <c r="A169" s="13">
        <v>24</v>
      </c>
      <c r="C169" s="23"/>
      <c r="F169" s="23"/>
      <c r="G169" s="23"/>
      <c r="H169" s="23"/>
      <c r="K169" s="23"/>
      <c r="L169" s="23"/>
      <c r="M169" s="23"/>
      <c r="P169" s="23"/>
      <c r="Q169" s="23"/>
      <c r="R169" s="23"/>
      <c r="U169" s="23"/>
      <c r="V169" s="23"/>
      <c r="W169" s="23"/>
      <c r="X169" s="6"/>
      <c r="Z169" s="15"/>
    </row>
    <row r="170" spans="1:27" ht="14.65" thickBot="1" x14ac:dyDescent="0.5">
      <c r="A170" s="13">
        <v>25</v>
      </c>
      <c r="B170" s="3" t="s">
        <v>1</v>
      </c>
      <c r="C170" s="25"/>
      <c r="D170" s="34"/>
      <c r="E170" s="35">
        <f>SUM(E162:E169)</f>
        <v>570014.38900000008</v>
      </c>
      <c r="F170" s="25"/>
      <c r="G170" s="36">
        <f>SUM(G148:G169)</f>
        <v>2620952.7399999998</v>
      </c>
      <c r="H170" s="25"/>
      <c r="I170" s="34"/>
      <c r="J170" s="35">
        <f>SUM(J162:J169)</f>
        <v>570014.38900000008</v>
      </c>
      <c r="K170" s="25"/>
      <c r="L170" s="36">
        <f>SUM(L148:L169)</f>
        <v>3084367.17</v>
      </c>
      <c r="M170" s="25"/>
      <c r="N170" s="34"/>
      <c r="O170" s="35">
        <f>SUM(O162:O169)</f>
        <v>571807.07000000007</v>
      </c>
      <c r="P170" s="25"/>
      <c r="Q170" s="36">
        <f>SUM(Q148:Q169)</f>
        <v>2623289.84</v>
      </c>
      <c r="R170" s="25"/>
      <c r="S170" s="34"/>
      <c r="T170" s="35">
        <f>SUM(T162:T169)</f>
        <v>571807.07000000007</v>
      </c>
      <c r="U170" s="25"/>
      <c r="V170" s="36">
        <f>SUM(V148:V169)</f>
        <v>3087119.34</v>
      </c>
      <c r="W170" s="25"/>
      <c r="X170" s="36">
        <f>SUM(X148:X169)</f>
        <v>463829.49999999994</v>
      </c>
      <c r="Z170" s="30">
        <f t="shared" ref="Z170" si="58">IF(Q170=0,0,ROUND((X170/Q170),4))</f>
        <v>0.17680000000000001</v>
      </c>
    </row>
    <row r="171" spans="1:27" ht="14.65" thickTop="1" x14ac:dyDescent="0.45">
      <c r="A171" s="13"/>
      <c r="C171" s="6"/>
      <c r="F171" s="27"/>
      <c r="G171" s="6"/>
      <c r="H171" s="6"/>
      <c r="I171" s="6"/>
      <c r="J171" s="6"/>
      <c r="K171" s="6"/>
      <c r="L171" s="6"/>
      <c r="M171" s="6"/>
      <c r="N171" s="6"/>
      <c r="P171" s="27"/>
      <c r="Q171" s="6"/>
      <c r="R171" s="6"/>
      <c r="U171" s="27"/>
      <c r="V171" s="6"/>
      <c r="X171" s="6"/>
      <c r="Z171" s="15"/>
    </row>
    <row r="172" spans="1:27" x14ac:dyDescent="0.45">
      <c r="A172" s="13"/>
      <c r="C172" s="6"/>
      <c r="D172" s="13"/>
      <c r="F172" s="27"/>
      <c r="G172" s="6"/>
      <c r="H172" s="6"/>
      <c r="I172" s="6"/>
      <c r="J172" s="6"/>
      <c r="K172" s="6"/>
      <c r="L172" s="6"/>
      <c r="M172" s="6"/>
      <c r="N172" s="6"/>
      <c r="P172" s="27"/>
      <c r="Q172" s="6"/>
      <c r="R172" s="6"/>
      <c r="S172" s="13"/>
      <c r="U172" s="27"/>
      <c r="V172" s="6"/>
      <c r="X172" s="6"/>
      <c r="Z172" s="15"/>
    </row>
    <row r="173" spans="1:27" x14ac:dyDescent="0.45">
      <c r="A173" s="13"/>
      <c r="F173" s="37"/>
      <c r="P173" s="37"/>
      <c r="U173" s="37"/>
      <c r="X173" s="6"/>
      <c r="Z173" s="15"/>
    </row>
    <row r="174" spans="1:27" x14ac:dyDescent="0.45">
      <c r="A174" s="13"/>
      <c r="F174" s="37"/>
      <c r="P174" s="37"/>
      <c r="U174" s="37"/>
      <c r="X174" s="6"/>
      <c r="Z174" s="15"/>
    </row>
    <row r="175" spans="1:27" x14ac:dyDescent="0.45">
      <c r="A175" s="161" t="str">
        <f>A$1</f>
        <v>Kentucky-American Water Company</v>
      </c>
      <c r="B175" s="161"/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</row>
    <row r="176" spans="1:27" x14ac:dyDescent="0.45">
      <c r="A176" s="161" t="str">
        <f>+$A$2</f>
        <v>Forecast Year Operating Revenues at Present Rates &amp; Proposed Rates</v>
      </c>
      <c r="B176" s="161"/>
      <c r="C176" s="161"/>
      <c r="D176" s="161"/>
      <c r="E176" s="161"/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</row>
    <row r="177" spans="1:26" x14ac:dyDescent="0.45">
      <c r="A177" s="161" t="str">
        <f>+$A$3</f>
        <v>Base Year (12 Months Ending September 30, 2023)</v>
      </c>
      <c r="B177" s="161"/>
      <c r="C177" s="161"/>
      <c r="D177" s="161"/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</row>
    <row r="178" spans="1:26" x14ac:dyDescent="0.45">
      <c r="A178" s="161" t="str">
        <f>+$A$4</f>
        <v>Forecast Year (12 Months Ending January 31, 2025)</v>
      </c>
      <c r="B178" s="161"/>
      <c r="C178" s="161"/>
      <c r="D178" s="161"/>
      <c r="E178" s="161"/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</row>
    <row r="179" spans="1:26" x14ac:dyDescent="0.45">
      <c r="A179" s="161" t="s">
        <v>167</v>
      </c>
      <c r="B179" s="161"/>
      <c r="C179" s="161"/>
      <c r="D179" s="161"/>
      <c r="E179" s="161"/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</row>
    <row r="180" spans="1:26" x14ac:dyDescent="0.45">
      <c r="A180" s="9"/>
      <c r="I180" s="48"/>
      <c r="J180" s="48"/>
      <c r="K180" s="48"/>
      <c r="L180" s="48"/>
      <c r="M180" s="48"/>
      <c r="N180" s="48"/>
      <c r="O180" s="48"/>
      <c r="P180" s="48"/>
      <c r="Q180" s="48"/>
      <c r="Z180" s="10" t="s">
        <v>84</v>
      </c>
    </row>
    <row r="181" spans="1:26" x14ac:dyDescent="0.45">
      <c r="A181" s="9"/>
      <c r="I181" s="48"/>
      <c r="J181" s="48"/>
      <c r="K181" s="48"/>
      <c r="L181" s="48"/>
      <c r="M181" s="48"/>
      <c r="N181" s="48"/>
      <c r="O181" s="48"/>
      <c r="P181" s="48"/>
      <c r="Q181" s="48"/>
      <c r="Z181" s="140"/>
    </row>
    <row r="182" spans="1:26" x14ac:dyDescent="0.45">
      <c r="A182" s="9"/>
      <c r="Z182" s="140"/>
    </row>
    <row r="183" spans="1:26" x14ac:dyDescent="0.45">
      <c r="A183" s="47"/>
      <c r="B183" s="11"/>
      <c r="C183" s="50"/>
      <c r="D183" s="51"/>
      <c r="E183" s="11"/>
      <c r="F183" s="52"/>
      <c r="G183" s="50"/>
      <c r="H183" s="50"/>
      <c r="I183" s="50"/>
      <c r="J183" s="50"/>
      <c r="K183" s="50"/>
      <c r="L183" s="50"/>
      <c r="M183" s="50"/>
      <c r="N183" s="50"/>
      <c r="O183" s="11"/>
      <c r="P183" s="52"/>
      <c r="Q183" s="50"/>
      <c r="R183" s="50"/>
      <c r="S183" s="50"/>
      <c r="T183" s="51"/>
      <c r="U183" s="52"/>
      <c r="V183" s="51"/>
      <c r="W183" s="51"/>
      <c r="X183" s="53"/>
      <c r="Y183" s="51"/>
      <c r="Z183" s="54"/>
    </row>
    <row r="184" spans="1:26" x14ac:dyDescent="0.45">
      <c r="C184" s="13"/>
      <c r="D184" s="162" t="s">
        <v>80</v>
      </c>
      <c r="E184" s="162" t="s">
        <v>48</v>
      </c>
      <c r="F184" s="162"/>
      <c r="G184" s="162"/>
      <c r="H184" s="13"/>
      <c r="I184" s="162" t="s">
        <v>79</v>
      </c>
      <c r="J184" s="162" t="s">
        <v>48</v>
      </c>
      <c r="K184" s="162"/>
      <c r="L184" s="162"/>
      <c r="M184" s="13"/>
      <c r="N184" s="162" t="s">
        <v>51</v>
      </c>
      <c r="O184" s="162" t="s">
        <v>49</v>
      </c>
      <c r="P184" s="162"/>
      <c r="Q184" s="162"/>
      <c r="R184" s="13"/>
      <c r="S184" s="162" t="s">
        <v>52</v>
      </c>
      <c r="T184" s="162" t="s">
        <v>50</v>
      </c>
      <c r="U184" s="162"/>
      <c r="V184" s="162"/>
      <c r="W184" s="12"/>
      <c r="X184" s="12"/>
    </row>
    <row r="185" spans="1:26" x14ac:dyDescent="0.45">
      <c r="C185" s="13"/>
      <c r="D185" s="13" t="s">
        <v>11</v>
      </c>
      <c r="E185" s="13"/>
      <c r="F185" s="13"/>
      <c r="G185" s="13"/>
      <c r="H185" s="13"/>
      <c r="I185" s="13" t="s">
        <v>11</v>
      </c>
      <c r="J185" s="13"/>
      <c r="K185" s="13"/>
      <c r="L185" s="13"/>
      <c r="M185" s="13"/>
      <c r="N185" s="13" t="s">
        <v>11</v>
      </c>
      <c r="O185" s="13"/>
      <c r="P185" s="13"/>
      <c r="Q185" s="13"/>
      <c r="R185" s="13"/>
      <c r="S185" s="13" t="s">
        <v>11</v>
      </c>
      <c r="T185" s="13"/>
      <c r="U185" s="13"/>
      <c r="V185" s="13"/>
      <c r="W185" s="13"/>
      <c r="X185" s="13"/>
    </row>
    <row r="186" spans="1:26" x14ac:dyDescent="0.45">
      <c r="B186" s="13" t="s">
        <v>9</v>
      </c>
      <c r="C186" s="13"/>
      <c r="D186" s="13" t="s">
        <v>12</v>
      </c>
      <c r="E186" s="13" t="s">
        <v>23</v>
      </c>
      <c r="F186" s="13" t="s">
        <v>25</v>
      </c>
      <c r="G186" s="13" t="s">
        <v>1</v>
      </c>
      <c r="H186" s="13"/>
      <c r="I186" s="13" t="s">
        <v>12</v>
      </c>
      <c r="J186" s="13" t="s">
        <v>23</v>
      </c>
      <c r="K186" s="13" t="s">
        <v>81</v>
      </c>
      <c r="L186" s="13" t="s">
        <v>1</v>
      </c>
      <c r="M186" s="13"/>
      <c r="N186" s="13" t="s">
        <v>12</v>
      </c>
      <c r="O186" s="13" t="s">
        <v>23</v>
      </c>
      <c r="P186" s="13" t="s">
        <v>25</v>
      </c>
      <c r="Q186" s="13" t="s">
        <v>1</v>
      </c>
      <c r="R186" s="13"/>
      <c r="S186" s="13" t="s">
        <v>12</v>
      </c>
      <c r="T186" s="13" t="s">
        <v>23</v>
      </c>
      <c r="U186" s="13" t="s">
        <v>44</v>
      </c>
      <c r="V186" s="13" t="s">
        <v>1</v>
      </c>
      <c r="W186" s="13"/>
      <c r="X186" s="13" t="s">
        <v>29</v>
      </c>
      <c r="Z186" s="13" t="s">
        <v>133</v>
      </c>
    </row>
    <row r="187" spans="1:26" x14ac:dyDescent="0.45">
      <c r="A187" s="47" t="s">
        <v>0</v>
      </c>
      <c r="B187" s="47" t="s">
        <v>2</v>
      </c>
      <c r="C187" s="13"/>
      <c r="D187" s="47" t="s">
        <v>13</v>
      </c>
      <c r="E187" s="47" t="str">
        <f>E145</f>
        <v>(000 Gal)</v>
      </c>
      <c r="F187" s="47" t="s">
        <v>26</v>
      </c>
      <c r="G187" s="47" t="s">
        <v>27</v>
      </c>
      <c r="H187" s="13"/>
      <c r="I187" s="47" t="s">
        <v>13</v>
      </c>
      <c r="J187" s="47" t="str">
        <f>J145</f>
        <v>(000 Gal)</v>
      </c>
      <c r="K187" s="47" t="s">
        <v>26</v>
      </c>
      <c r="L187" s="47" t="s">
        <v>27</v>
      </c>
      <c r="M187" s="13"/>
      <c r="N187" s="47" t="s">
        <v>13</v>
      </c>
      <c r="O187" s="47" t="str">
        <f>E187</f>
        <v>(000 Gal)</v>
      </c>
      <c r="P187" s="47" t="s">
        <v>26</v>
      </c>
      <c r="Q187" s="47" t="s">
        <v>27</v>
      </c>
      <c r="R187" s="13"/>
      <c r="S187" s="47" t="s">
        <v>13</v>
      </c>
      <c r="T187" s="47" t="str">
        <f>O187</f>
        <v>(000 Gal)</v>
      </c>
      <c r="U187" s="47" t="s">
        <v>26</v>
      </c>
      <c r="V187" s="47" t="s">
        <v>27</v>
      </c>
      <c r="W187" s="13"/>
      <c r="X187" s="47" t="s">
        <v>30</v>
      </c>
      <c r="Z187" s="47" t="s">
        <v>30</v>
      </c>
    </row>
    <row r="188" spans="1:26" x14ac:dyDescent="0.45">
      <c r="A188" s="13">
        <v>1</v>
      </c>
      <c r="B188" s="9" t="str">
        <f>+A179</f>
        <v>MUNICIPAL &amp; OTHER PUBLIC AUTHORITY CLASS</v>
      </c>
      <c r="C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Z188" s="13"/>
    </row>
    <row r="189" spans="1:26" x14ac:dyDescent="0.45">
      <c r="A189" s="13">
        <v>2</v>
      </c>
      <c r="B189" s="14" t="s">
        <v>10</v>
      </c>
    </row>
    <row r="190" spans="1:26" x14ac:dyDescent="0.45">
      <c r="A190" s="13">
        <v>3</v>
      </c>
      <c r="B190" s="3" t="s">
        <v>14</v>
      </c>
      <c r="C190" s="8"/>
      <c r="D190" s="6">
        <v>1895.6</v>
      </c>
      <c r="E190" s="7"/>
      <c r="F190" s="32">
        <f>+'KAWC Rates'!C7</f>
        <v>15</v>
      </c>
      <c r="G190" s="8">
        <f>ROUND(D190*F190,2)</f>
        <v>28434</v>
      </c>
      <c r="H190" s="8"/>
      <c r="I190" s="6">
        <f>D190</f>
        <v>1895.6</v>
      </c>
      <c r="J190" s="7"/>
      <c r="K190" s="32">
        <f>U190</f>
        <v>17.647499999999997</v>
      </c>
      <c r="L190" s="8">
        <f>ROUND(I190*K190,2)</f>
        <v>33452.6</v>
      </c>
      <c r="M190" s="8"/>
      <c r="N190" s="6">
        <v>1920</v>
      </c>
      <c r="O190" s="7"/>
      <c r="P190" s="32">
        <f t="shared" ref="P190:P197" si="59">+F190</f>
        <v>15</v>
      </c>
      <c r="Q190" s="8">
        <f>ROUND(N190*P190,2)</f>
        <v>28800</v>
      </c>
      <c r="R190" s="8"/>
      <c r="S190" s="6">
        <f>N190</f>
        <v>1920</v>
      </c>
      <c r="T190" s="7"/>
      <c r="U190" s="32">
        <f>+'KAWC Rates'!D7</f>
        <v>17.647499999999997</v>
      </c>
      <c r="V190" s="8">
        <f>ROUND(S190*U190,2)</f>
        <v>33883.199999999997</v>
      </c>
      <c r="W190" s="8"/>
      <c r="X190" s="8">
        <f>+V190-Q190</f>
        <v>5083.1999999999971</v>
      </c>
      <c r="Y190" s="7"/>
      <c r="Z190" s="15">
        <f t="shared" ref="Z190:Z199" si="60">IF(Q190=0,0,ROUND((X190/Q190),4))</f>
        <v>0.17649999999999999</v>
      </c>
    </row>
    <row r="191" spans="1:26" x14ac:dyDescent="0.45">
      <c r="A191" s="13">
        <v>4</v>
      </c>
      <c r="B191" s="3" t="s">
        <v>15</v>
      </c>
      <c r="C191" s="6"/>
      <c r="D191" s="6">
        <v>0</v>
      </c>
      <c r="E191" s="7"/>
      <c r="F191" s="16">
        <f>+'KAWC Rates'!C8</f>
        <v>22.4</v>
      </c>
      <c r="G191" s="6">
        <f t="shared" ref="G191:G198" si="61">ROUND(D191*F191,2)</f>
        <v>0</v>
      </c>
      <c r="H191" s="6"/>
      <c r="I191" s="6">
        <f t="shared" ref="I191:I198" si="62">D191</f>
        <v>0</v>
      </c>
      <c r="J191" s="7"/>
      <c r="K191" s="16">
        <f t="shared" ref="K191:K198" si="63">U191</f>
        <v>26.353599999999997</v>
      </c>
      <c r="L191" s="6">
        <f t="shared" ref="L191:L198" si="64">ROUND(I191*K191,2)</f>
        <v>0</v>
      </c>
      <c r="M191" s="6"/>
      <c r="N191" s="6">
        <v>0</v>
      </c>
      <c r="O191" s="7"/>
      <c r="P191" s="16">
        <f t="shared" si="59"/>
        <v>22.4</v>
      </c>
      <c r="Q191" s="6">
        <f t="shared" ref="Q191:Q198" si="65">ROUND(N191*P191,2)</f>
        <v>0</v>
      </c>
      <c r="R191" s="6"/>
      <c r="S191" s="6">
        <f t="shared" ref="S191:S198" si="66">N191</f>
        <v>0</v>
      </c>
      <c r="T191" s="7"/>
      <c r="U191" s="16">
        <f>+'KAWC Rates'!D8</f>
        <v>26.353599999999997</v>
      </c>
      <c r="V191" s="6">
        <f t="shared" ref="V191:V198" si="67">ROUND(S191*U191,2)</f>
        <v>0</v>
      </c>
      <c r="W191" s="6"/>
      <c r="X191" s="6">
        <f t="shared" ref="X191:X199" si="68">+V191-Q191</f>
        <v>0</v>
      </c>
      <c r="Y191" s="7"/>
      <c r="Z191" s="15">
        <f t="shared" si="60"/>
        <v>0</v>
      </c>
    </row>
    <row r="192" spans="1:26" x14ac:dyDescent="0.45">
      <c r="A192" s="13">
        <v>5</v>
      </c>
      <c r="B192" s="3" t="s">
        <v>16</v>
      </c>
      <c r="C192" s="6"/>
      <c r="D192" s="6">
        <v>2227.71</v>
      </c>
      <c r="E192" s="7"/>
      <c r="F192" s="16">
        <f>+'KAWC Rates'!C9</f>
        <v>37.299999999999997</v>
      </c>
      <c r="G192" s="6">
        <f t="shared" si="61"/>
        <v>83093.58</v>
      </c>
      <c r="H192" s="6"/>
      <c r="I192" s="6">
        <f t="shared" si="62"/>
        <v>2227.71</v>
      </c>
      <c r="J192" s="7"/>
      <c r="K192" s="16">
        <f t="shared" si="63"/>
        <v>43.883449999999989</v>
      </c>
      <c r="L192" s="6">
        <f t="shared" si="64"/>
        <v>97759.6</v>
      </c>
      <c r="M192" s="6"/>
      <c r="N192" s="6">
        <v>2220</v>
      </c>
      <c r="O192" s="7"/>
      <c r="P192" s="16">
        <f t="shared" si="59"/>
        <v>37.299999999999997</v>
      </c>
      <c r="Q192" s="6">
        <f t="shared" si="65"/>
        <v>82806</v>
      </c>
      <c r="R192" s="6"/>
      <c r="S192" s="6">
        <f t="shared" si="66"/>
        <v>2220</v>
      </c>
      <c r="T192" s="7"/>
      <c r="U192" s="16">
        <f>+'KAWC Rates'!D9</f>
        <v>43.883449999999989</v>
      </c>
      <c r="V192" s="6">
        <f t="shared" si="67"/>
        <v>97421.26</v>
      </c>
      <c r="W192" s="6"/>
      <c r="X192" s="6">
        <f t="shared" si="68"/>
        <v>14615.259999999995</v>
      </c>
      <c r="Y192" s="7"/>
      <c r="Z192" s="15">
        <f t="shared" si="60"/>
        <v>0.17649999999999999</v>
      </c>
    </row>
    <row r="193" spans="1:26" x14ac:dyDescent="0.45">
      <c r="A193" s="13">
        <v>6</v>
      </c>
      <c r="B193" s="3" t="s">
        <v>17</v>
      </c>
      <c r="C193" s="6"/>
      <c r="D193" s="6">
        <v>329.93</v>
      </c>
      <c r="E193" s="7"/>
      <c r="F193" s="16">
        <f>+'KAWC Rates'!C10</f>
        <v>74.7</v>
      </c>
      <c r="G193" s="6">
        <f t="shared" si="61"/>
        <v>24645.77</v>
      </c>
      <c r="H193" s="6"/>
      <c r="I193" s="6">
        <f t="shared" si="62"/>
        <v>329.93</v>
      </c>
      <c r="J193" s="7"/>
      <c r="K193" s="16">
        <f t="shared" si="63"/>
        <v>87.88454999999999</v>
      </c>
      <c r="L193" s="6">
        <f t="shared" si="64"/>
        <v>28995.75</v>
      </c>
      <c r="M193" s="6"/>
      <c r="N193" s="6">
        <v>324</v>
      </c>
      <c r="O193" s="7"/>
      <c r="P193" s="16">
        <f t="shared" si="59"/>
        <v>74.7</v>
      </c>
      <c r="Q193" s="6">
        <f t="shared" si="65"/>
        <v>24202.799999999999</v>
      </c>
      <c r="R193" s="6"/>
      <c r="S193" s="6">
        <f t="shared" si="66"/>
        <v>324</v>
      </c>
      <c r="T193" s="7"/>
      <c r="U193" s="16">
        <f>+'KAWC Rates'!D10</f>
        <v>87.88454999999999</v>
      </c>
      <c r="V193" s="6">
        <f t="shared" si="67"/>
        <v>28474.59</v>
      </c>
      <c r="W193" s="6"/>
      <c r="X193" s="6">
        <f t="shared" si="68"/>
        <v>4271.7900000000009</v>
      </c>
      <c r="Y193" s="7"/>
      <c r="Z193" s="15">
        <f t="shared" si="60"/>
        <v>0.17649999999999999</v>
      </c>
    </row>
    <row r="194" spans="1:26" x14ac:dyDescent="0.45">
      <c r="A194" s="13">
        <v>7</v>
      </c>
      <c r="B194" s="3" t="s">
        <v>18</v>
      </c>
      <c r="C194" s="6"/>
      <c r="D194" s="6">
        <v>4919.2800000000007</v>
      </c>
      <c r="E194" s="7"/>
      <c r="F194" s="16">
        <f>+'KAWC Rates'!C11</f>
        <v>119.5</v>
      </c>
      <c r="G194" s="6">
        <f t="shared" si="61"/>
        <v>587853.96</v>
      </c>
      <c r="H194" s="6"/>
      <c r="I194" s="6">
        <f t="shared" si="62"/>
        <v>4919.2800000000007</v>
      </c>
      <c r="J194" s="7"/>
      <c r="K194" s="16">
        <f t="shared" si="63"/>
        <v>140.59174999999999</v>
      </c>
      <c r="L194" s="6">
        <f t="shared" si="64"/>
        <v>691610.18</v>
      </c>
      <c r="M194" s="6"/>
      <c r="N194" s="6">
        <v>4824</v>
      </c>
      <c r="O194" s="7"/>
      <c r="P194" s="16">
        <f t="shared" si="59"/>
        <v>119.5</v>
      </c>
      <c r="Q194" s="6">
        <f t="shared" si="65"/>
        <v>576468</v>
      </c>
      <c r="R194" s="6"/>
      <c r="S194" s="6">
        <f t="shared" si="66"/>
        <v>4824</v>
      </c>
      <c r="T194" s="7"/>
      <c r="U194" s="16">
        <f>+'KAWC Rates'!D11</f>
        <v>140.59174999999999</v>
      </c>
      <c r="V194" s="6">
        <f t="shared" si="67"/>
        <v>678214.6</v>
      </c>
      <c r="W194" s="6"/>
      <c r="X194" s="6">
        <f t="shared" si="68"/>
        <v>101746.59999999998</v>
      </c>
      <c r="Y194" s="7"/>
      <c r="Z194" s="15">
        <f t="shared" si="60"/>
        <v>0.17649999999999999</v>
      </c>
    </row>
    <row r="195" spans="1:26" x14ac:dyDescent="0.45">
      <c r="A195" s="13">
        <v>8</v>
      </c>
      <c r="B195" s="3" t="s">
        <v>19</v>
      </c>
      <c r="C195" s="6"/>
      <c r="D195" s="6">
        <v>12</v>
      </c>
      <c r="E195" s="7"/>
      <c r="F195" s="16">
        <f>+'KAWC Rates'!C12</f>
        <v>224</v>
      </c>
      <c r="G195" s="6">
        <f t="shared" si="61"/>
        <v>2688</v>
      </c>
      <c r="H195" s="6"/>
      <c r="I195" s="6">
        <f t="shared" si="62"/>
        <v>12</v>
      </c>
      <c r="J195" s="7"/>
      <c r="K195" s="16">
        <f t="shared" si="63"/>
        <v>263.53599999999994</v>
      </c>
      <c r="L195" s="6">
        <f t="shared" si="64"/>
        <v>3162.43</v>
      </c>
      <c r="M195" s="6"/>
      <c r="N195" s="6">
        <v>12</v>
      </c>
      <c r="O195" s="7"/>
      <c r="P195" s="16">
        <f t="shared" si="59"/>
        <v>224</v>
      </c>
      <c r="Q195" s="6">
        <f t="shared" si="65"/>
        <v>2688</v>
      </c>
      <c r="R195" s="6"/>
      <c r="S195" s="6">
        <f t="shared" si="66"/>
        <v>12</v>
      </c>
      <c r="T195" s="7"/>
      <c r="U195" s="16">
        <f>+'KAWC Rates'!D12</f>
        <v>263.53599999999994</v>
      </c>
      <c r="V195" s="6">
        <f t="shared" si="67"/>
        <v>3162.43</v>
      </c>
      <c r="W195" s="6"/>
      <c r="X195" s="6">
        <f t="shared" si="68"/>
        <v>474.42999999999984</v>
      </c>
      <c r="Y195" s="7"/>
      <c r="Z195" s="15">
        <f t="shared" si="60"/>
        <v>0.17649999999999999</v>
      </c>
    </row>
    <row r="196" spans="1:26" x14ac:dyDescent="0.45">
      <c r="A196" s="13">
        <v>9</v>
      </c>
      <c r="B196" s="3" t="s">
        <v>20</v>
      </c>
      <c r="C196" s="6"/>
      <c r="D196" s="6">
        <v>445.28999999999996</v>
      </c>
      <c r="E196" s="7"/>
      <c r="F196" s="16">
        <f>+'KAWC Rates'!C13</f>
        <v>373.4</v>
      </c>
      <c r="G196" s="6">
        <f t="shared" si="61"/>
        <v>166271.29</v>
      </c>
      <c r="H196" s="6"/>
      <c r="I196" s="6">
        <f t="shared" si="62"/>
        <v>445.28999999999996</v>
      </c>
      <c r="J196" s="7"/>
      <c r="K196" s="16">
        <f t="shared" si="63"/>
        <v>439.30509999999992</v>
      </c>
      <c r="L196" s="6">
        <f t="shared" si="64"/>
        <v>195618.17</v>
      </c>
      <c r="M196" s="6"/>
      <c r="N196" s="6">
        <v>420</v>
      </c>
      <c r="O196" s="7"/>
      <c r="P196" s="16">
        <f t="shared" si="59"/>
        <v>373.4</v>
      </c>
      <c r="Q196" s="6">
        <f t="shared" si="65"/>
        <v>156828</v>
      </c>
      <c r="R196" s="6"/>
      <c r="S196" s="6">
        <f t="shared" si="66"/>
        <v>420</v>
      </c>
      <c r="T196" s="7"/>
      <c r="U196" s="16">
        <f>+'KAWC Rates'!D13</f>
        <v>439.30509999999992</v>
      </c>
      <c r="V196" s="6">
        <f t="shared" si="67"/>
        <v>184508.14</v>
      </c>
      <c r="W196" s="6"/>
      <c r="X196" s="6">
        <f t="shared" si="68"/>
        <v>27680.140000000014</v>
      </c>
      <c r="Y196" s="7"/>
      <c r="Z196" s="15">
        <f t="shared" si="60"/>
        <v>0.17649999999999999</v>
      </c>
    </row>
    <row r="197" spans="1:26" x14ac:dyDescent="0.45">
      <c r="A197" s="13">
        <v>10</v>
      </c>
      <c r="B197" s="3" t="s">
        <v>21</v>
      </c>
      <c r="C197" s="6"/>
      <c r="D197" s="6">
        <v>164.53</v>
      </c>
      <c r="E197" s="7"/>
      <c r="F197" s="16">
        <f>+'KAWC Rates'!C14</f>
        <v>746.7</v>
      </c>
      <c r="G197" s="6">
        <f t="shared" si="61"/>
        <v>122854.55</v>
      </c>
      <c r="H197" s="6"/>
      <c r="I197" s="6">
        <f t="shared" si="62"/>
        <v>164.53</v>
      </c>
      <c r="J197" s="7"/>
      <c r="K197" s="16">
        <f t="shared" si="63"/>
        <v>878.49254999999994</v>
      </c>
      <c r="L197" s="6">
        <f t="shared" si="64"/>
        <v>144538.38</v>
      </c>
      <c r="M197" s="6"/>
      <c r="N197" s="6">
        <v>156</v>
      </c>
      <c r="O197" s="7"/>
      <c r="P197" s="16">
        <f t="shared" si="59"/>
        <v>746.7</v>
      </c>
      <c r="Q197" s="6">
        <f t="shared" si="65"/>
        <v>116485.2</v>
      </c>
      <c r="R197" s="6"/>
      <c r="S197" s="6">
        <f t="shared" si="66"/>
        <v>156</v>
      </c>
      <c r="T197" s="7"/>
      <c r="U197" s="16">
        <f>+'KAWC Rates'!D14</f>
        <v>878.49254999999994</v>
      </c>
      <c r="V197" s="6">
        <f t="shared" si="67"/>
        <v>137044.84</v>
      </c>
      <c r="W197" s="6"/>
      <c r="X197" s="6">
        <f t="shared" si="68"/>
        <v>20559.64</v>
      </c>
      <c r="Y197" s="7"/>
      <c r="Z197" s="15">
        <f t="shared" si="60"/>
        <v>0.17649999999999999</v>
      </c>
    </row>
    <row r="198" spans="1:26" x14ac:dyDescent="0.45">
      <c r="A198" s="13">
        <v>11</v>
      </c>
      <c r="B198" s="3" t="s">
        <v>22</v>
      </c>
      <c r="C198" s="6"/>
      <c r="D198" s="6">
        <v>24.96</v>
      </c>
      <c r="E198" s="7"/>
      <c r="F198" s="16">
        <f>+'KAWC Rates'!C15</f>
        <v>1194.7</v>
      </c>
      <c r="G198" s="6">
        <f t="shared" si="61"/>
        <v>29819.71</v>
      </c>
      <c r="H198" s="6"/>
      <c r="I198" s="6">
        <f t="shared" si="62"/>
        <v>24.96</v>
      </c>
      <c r="J198" s="7"/>
      <c r="K198" s="16">
        <f t="shared" si="63"/>
        <v>1405.5645499999998</v>
      </c>
      <c r="L198" s="6">
        <f t="shared" si="64"/>
        <v>35082.89</v>
      </c>
      <c r="M198" s="6"/>
      <c r="N198" s="6">
        <v>24</v>
      </c>
      <c r="O198" s="7"/>
      <c r="P198" s="16">
        <f>+F198</f>
        <v>1194.7</v>
      </c>
      <c r="Q198" s="6">
        <f t="shared" si="65"/>
        <v>28672.799999999999</v>
      </c>
      <c r="R198" s="6"/>
      <c r="S198" s="6">
        <f t="shared" si="66"/>
        <v>24</v>
      </c>
      <c r="T198" s="7"/>
      <c r="U198" s="16">
        <f>+'KAWC Rates'!D15</f>
        <v>1405.5645499999998</v>
      </c>
      <c r="V198" s="6">
        <f t="shared" si="67"/>
        <v>33733.550000000003</v>
      </c>
      <c r="W198" s="6"/>
      <c r="X198" s="6">
        <f t="shared" si="68"/>
        <v>5060.7500000000036</v>
      </c>
      <c r="Y198" s="7"/>
      <c r="Z198" s="15">
        <f t="shared" si="60"/>
        <v>0.17649999999999999</v>
      </c>
    </row>
    <row r="199" spans="1:26" x14ac:dyDescent="0.45">
      <c r="A199" s="13">
        <v>12</v>
      </c>
      <c r="C199" s="6"/>
      <c r="D199" s="6"/>
      <c r="E199" s="7"/>
      <c r="F199" s="16"/>
      <c r="G199" s="6"/>
      <c r="H199" s="6"/>
      <c r="I199" s="6"/>
      <c r="J199" s="7"/>
      <c r="K199" s="16"/>
      <c r="L199" s="6"/>
      <c r="M199" s="6"/>
      <c r="N199" s="6"/>
      <c r="O199" s="7"/>
      <c r="P199" s="16"/>
      <c r="Q199" s="6"/>
      <c r="R199" s="6"/>
      <c r="S199" s="6"/>
      <c r="T199" s="7"/>
      <c r="U199" s="16"/>
      <c r="V199" s="6"/>
      <c r="W199" s="6"/>
      <c r="X199" s="6">
        <f t="shared" si="68"/>
        <v>0</v>
      </c>
      <c r="Y199" s="7"/>
      <c r="Z199" s="15">
        <f t="shared" si="60"/>
        <v>0</v>
      </c>
    </row>
    <row r="200" spans="1:26" x14ac:dyDescent="0.45">
      <c r="A200" s="13">
        <v>13</v>
      </c>
      <c r="C200" s="6"/>
      <c r="D200" s="6"/>
      <c r="E200" s="7"/>
      <c r="F200" s="16"/>
      <c r="G200" s="6"/>
      <c r="H200" s="6"/>
      <c r="I200" s="6"/>
      <c r="J200" s="7"/>
      <c r="K200" s="16"/>
      <c r="L200" s="6"/>
      <c r="M200" s="6"/>
      <c r="N200" s="6"/>
      <c r="O200" s="7"/>
      <c r="P200" s="16"/>
      <c r="Q200" s="6"/>
      <c r="R200" s="6"/>
      <c r="S200" s="6"/>
      <c r="T200" s="7"/>
      <c r="U200" s="16"/>
      <c r="V200" s="6"/>
      <c r="W200" s="6"/>
      <c r="X200" s="8"/>
      <c r="Y200" s="7"/>
      <c r="Z200" s="15"/>
    </row>
    <row r="201" spans="1:26" x14ac:dyDescent="0.45">
      <c r="A201" s="13">
        <v>14</v>
      </c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6"/>
      <c r="Y201" s="7"/>
      <c r="Z201" s="15"/>
    </row>
    <row r="202" spans="1:26" x14ac:dyDescent="0.45">
      <c r="A202" s="13">
        <v>15</v>
      </c>
      <c r="F202" s="7"/>
      <c r="K202" s="7"/>
    </row>
    <row r="203" spans="1:26" x14ac:dyDescent="0.45">
      <c r="A203" s="13">
        <v>16</v>
      </c>
      <c r="B203" s="14" t="s">
        <v>24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6"/>
      <c r="Y203" s="7"/>
      <c r="Z203" s="15"/>
    </row>
    <row r="204" spans="1:26" x14ac:dyDescent="0.45">
      <c r="A204" s="13">
        <v>17</v>
      </c>
      <c r="B204" s="3" t="s">
        <v>104</v>
      </c>
      <c r="C204" s="8"/>
      <c r="D204" s="7"/>
      <c r="E204" s="6">
        <v>1204998.791</v>
      </c>
      <c r="F204" s="33">
        <f>+'KAWC Rates'!C22</f>
        <v>4.7960000000000003</v>
      </c>
      <c r="G204" s="8">
        <f>ROUND(E204*F204,2)</f>
        <v>5779174.2000000002</v>
      </c>
      <c r="H204" s="8"/>
      <c r="I204" s="7"/>
      <c r="J204" s="6">
        <f>E204</f>
        <v>1204998.791</v>
      </c>
      <c r="K204" s="33">
        <f>U204</f>
        <v>5.6440893548295739</v>
      </c>
      <c r="L204" s="8">
        <f>ROUND(J204*K204,2)</f>
        <v>6801120.8499999996</v>
      </c>
      <c r="M204" s="8"/>
      <c r="N204" s="7"/>
      <c r="O204" s="6">
        <v>1209547.46</v>
      </c>
      <c r="P204" s="33">
        <f>+F204</f>
        <v>4.7960000000000003</v>
      </c>
      <c r="Q204" s="8">
        <f>ROUND(O204*P204,2)</f>
        <v>5800989.6200000001</v>
      </c>
      <c r="R204" s="8"/>
      <c r="S204" s="7"/>
      <c r="T204" s="6">
        <f>O204</f>
        <v>1209547.46</v>
      </c>
      <c r="U204" s="33">
        <f>+'KAWC Rates'!D22</f>
        <v>5.6440893548295739</v>
      </c>
      <c r="V204" s="8">
        <f>ROUND(T204*U204,2)</f>
        <v>6826793.9400000004</v>
      </c>
      <c r="W204" s="6"/>
      <c r="X204" s="8">
        <f t="shared" ref="X204" si="69">+V204-Q204</f>
        <v>1025804.3200000003</v>
      </c>
      <c r="Y204" s="7"/>
      <c r="Z204" s="15">
        <f t="shared" ref="Z204" si="70">IF(Q204=0,0,ROUND((X204/Q204),4))</f>
        <v>0.17680000000000001</v>
      </c>
    </row>
    <row r="205" spans="1:26" x14ac:dyDescent="0.45">
      <c r="A205" s="13">
        <v>18</v>
      </c>
      <c r="C205" s="6"/>
      <c r="E205" s="6"/>
      <c r="F205" s="21"/>
      <c r="G205" s="6"/>
      <c r="H205" s="6"/>
      <c r="J205" s="6"/>
      <c r="K205" s="21"/>
      <c r="L205" s="6"/>
      <c r="M205" s="6"/>
      <c r="O205" s="6"/>
      <c r="P205" s="21"/>
      <c r="Q205" s="6"/>
      <c r="R205" s="6"/>
      <c r="T205" s="6"/>
      <c r="U205" s="21"/>
      <c r="V205" s="6"/>
      <c r="W205" s="6"/>
      <c r="X205" s="6"/>
      <c r="Z205" s="15"/>
    </row>
    <row r="206" spans="1:26" x14ac:dyDescent="0.45">
      <c r="A206" s="13">
        <v>19</v>
      </c>
      <c r="C206" s="6"/>
      <c r="E206" s="6"/>
      <c r="F206" s="21"/>
      <c r="G206" s="6"/>
      <c r="H206" s="6"/>
      <c r="J206" s="6"/>
      <c r="K206" s="21"/>
      <c r="L206" s="6"/>
      <c r="M206" s="6"/>
      <c r="O206" s="6"/>
      <c r="P206" s="21"/>
      <c r="Q206" s="6"/>
      <c r="R206" s="6"/>
      <c r="T206" s="6"/>
      <c r="U206" s="21"/>
      <c r="V206" s="6"/>
      <c r="W206" s="6"/>
      <c r="X206" s="6"/>
      <c r="Z206" s="15"/>
    </row>
    <row r="207" spans="1:26" x14ac:dyDescent="0.45">
      <c r="A207" s="13">
        <v>20</v>
      </c>
      <c r="C207" s="6"/>
      <c r="E207" s="6"/>
      <c r="F207" s="21"/>
      <c r="G207" s="6"/>
      <c r="H207" s="6"/>
      <c r="J207" s="6"/>
      <c r="K207" s="21"/>
      <c r="L207" s="6"/>
      <c r="M207" s="6"/>
      <c r="O207" s="6"/>
      <c r="P207" s="21"/>
      <c r="Q207" s="6"/>
      <c r="R207" s="6"/>
      <c r="T207" s="6"/>
      <c r="U207" s="21"/>
      <c r="V207" s="6"/>
      <c r="W207" s="6"/>
      <c r="X207" s="6"/>
      <c r="Z207" s="15"/>
    </row>
    <row r="208" spans="1:26" x14ac:dyDescent="0.45">
      <c r="A208" s="13">
        <v>21</v>
      </c>
      <c r="B208" s="3" t="s">
        <v>136</v>
      </c>
      <c r="E208" s="6"/>
      <c r="F208" s="72"/>
      <c r="G208" s="6">
        <v>0</v>
      </c>
      <c r="H208" s="6"/>
      <c r="J208" s="6"/>
      <c r="K208" s="72">
        <f>+U208</f>
        <v>0</v>
      </c>
      <c r="L208" s="6">
        <f>+ROUND(SUM(L190:L204)*K208,2)</f>
        <v>0</v>
      </c>
      <c r="O208" s="6"/>
      <c r="P208" s="73"/>
      <c r="Q208" s="8">
        <v>0</v>
      </c>
      <c r="T208" s="6"/>
      <c r="U208" s="72"/>
      <c r="V208" s="8">
        <f>+Q208</f>
        <v>0</v>
      </c>
      <c r="X208" s="8">
        <f t="shared" ref="X208" si="71">+V208-Q208</f>
        <v>0</v>
      </c>
      <c r="Y208" s="7"/>
      <c r="Z208" s="15">
        <f t="shared" ref="Z208" si="72">IF(Q208=0,0,ROUND((X208/Q208),4))</f>
        <v>0</v>
      </c>
    </row>
    <row r="209" spans="1:27" x14ac:dyDescent="0.45">
      <c r="A209" s="13">
        <v>22</v>
      </c>
      <c r="E209" s="6"/>
      <c r="F209" s="21"/>
      <c r="G209" s="6"/>
      <c r="H209" s="6"/>
      <c r="J209" s="6"/>
      <c r="K209" s="21"/>
      <c r="L209" s="6"/>
      <c r="O209" s="6"/>
      <c r="P209" s="21"/>
      <c r="Q209" s="6"/>
      <c r="T209" s="6"/>
      <c r="U209" s="21"/>
      <c r="V209" s="6"/>
      <c r="X209" s="6"/>
      <c r="Z209" s="15"/>
    </row>
    <row r="210" spans="1:27" x14ac:dyDescent="0.45">
      <c r="A210" s="13">
        <v>23</v>
      </c>
      <c r="C210" s="22"/>
      <c r="F210" s="21"/>
      <c r="G210" s="22"/>
      <c r="H210" s="22"/>
      <c r="J210" s="6"/>
      <c r="K210" s="33"/>
      <c r="L210" s="22"/>
      <c r="M210" s="22"/>
      <c r="P210" s="13"/>
      <c r="Q210" s="22"/>
      <c r="R210" s="22"/>
      <c r="U210" s="13"/>
      <c r="V210" s="22"/>
      <c r="W210" s="22"/>
      <c r="X210" s="22"/>
      <c r="Z210" s="15"/>
      <c r="AA210" s="15"/>
    </row>
    <row r="211" spans="1:27" x14ac:dyDescent="0.45">
      <c r="A211" s="13">
        <v>24</v>
      </c>
      <c r="C211" s="23"/>
      <c r="F211" s="23"/>
      <c r="G211" s="23"/>
      <c r="H211" s="23"/>
      <c r="K211" s="23"/>
      <c r="L211" s="23"/>
      <c r="M211" s="23"/>
      <c r="P211" s="23"/>
      <c r="Q211" s="23"/>
      <c r="R211" s="23"/>
      <c r="U211" s="23"/>
      <c r="V211" s="23"/>
      <c r="W211" s="23"/>
      <c r="X211" s="6"/>
      <c r="Z211" s="15"/>
    </row>
    <row r="212" spans="1:27" ht="14.65" thickBot="1" x14ac:dyDescent="0.5">
      <c r="A212" s="13">
        <v>25</v>
      </c>
      <c r="B212" s="3" t="s">
        <v>1</v>
      </c>
      <c r="C212" s="25"/>
      <c r="D212" s="34"/>
      <c r="E212" s="35">
        <f>SUM(E204:E211)</f>
        <v>1204998.791</v>
      </c>
      <c r="F212" s="25"/>
      <c r="G212" s="36">
        <f>SUM(G190:G211)</f>
        <v>6824835.0600000005</v>
      </c>
      <c r="H212" s="25"/>
      <c r="I212" s="34"/>
      <c r="J212" s="35">
        <f>SUM(J204:J211)</f>
        <v>1204998.791</v>
      </c>
      <c r="K212" s="25"/>
      <c r="L212" s="36">
        <f>SUM(L190:L211)</f>
        <v>8031340.8499999996</v>
      </c>
      <c r="M212" s="25"/>
      <c r="N212" s="34"/>
      <c r="O212" s="35">
        <f>SUM(O204:O211)</f>
        <v>1209547.46</v>
      </c>
      <c r="P212" s="25"/>
      <c r="Q212" s="36">
        <f>SUM(Q190:Q211)</f>
        <v>6817940.4199999999</v>
      </c>
      <c r="R212" s="25"/>
      <c r="S212" s="34"/>
      <c r="T212" s="35">
        <f>SUM(T204:T211)</f>
        <v>1209547.46</v>
      </c>
      <c r="U212" s="25"/>
      <c r="V212" s="36">
        <f>SUM(V190:V211)</f>
        <v>8023236.5500000007</v>
      </c>
      <c r="W212" s="25"/>
      <c r="X212" s="36">
        <f>SUM(X190:X211)</f>
        <v>1205296.1300000004</v>
      </c>
      <c r="Z212" s="30">
        <f t="shared" ref="Z212" si="73">IF(Q212=0,0,ROUND((X212/Q212),4))</f>
        <v>0.17680000000000001</v>
      </c>
    </row>
    <row r="213" spans="1:27" ht="14.65" thickTop="1" x14ac:dyDescent="0.45">
      <c r="A213" s="13"/>
      <c r="C213" s="6"/>
      <c r="F213" s="27"/>
      <c r="G213" s="6"/>
      <c r="H213" s="6"/>
      <c r="I213" s="6"/>
      <c r="J213" s="6"/>
      <c r="K213" s="6"/>
      <c r="L213" s="6"/>
      <c r="M213" s="6"/>
      <c r="N213" s="6"/>
      <c r="P213" s="27"/>
      <c r="Q213" s="6"/>
      <c r="R213" s="6"/>
      <c r="U213" s="27"/>
      <c r="V213" s="6"/>
      <c r="X213" s="6"/>
      <c r="Z213" s="15"/>
    </row>
    <row r="214" spans="1:27" x14ac:dyDescent="0.45">
      <c r="A214" s="13"/>
      <c r="C214" s="6"/>
      <c r="D214" s="13"/>
      <c r="F214" s="27"/>
      <c r="G214" s="6"/>
      <c r="H214" s="6"/>
      <c r="I214" s="6"/>
      <c r="J214" s="6"/>
      <c r="K214" s="6"/>
      <c r="L214" s="6"/>
      <c r="M214" s="6"/>
      <c r="N214" s="6"/>
      <c r="P214" s="27"/>
      <c r="Q214" s="6"/>
      <c r="R214" s="6"/>
      <c r="S214" s="13"/>
      <c r="U214" s="27"/>
      <c r="V214" s="6"/>
      <c r="X214" s="6"/>
      <c r="Z214" s="15"/>
    </row>
    <row r="215" spans="1:27" x14ac:dyDescent="0.45">
      <c r="A215" s="13"/>
      <c r="F215" s="37"/>
      <c r="P215" s="37"/>
      <c r="U215" s="37"/>
      <c r="X215" s="6"/>
      <c r="Z215" s="15"/>
    </row>
    <row r="216" spans="1:27" x14ac:dyDescent="0.45">
      <c r="A216" s="13"/>
      <c r="F216" s="37"/>
      <c r="P216" s="37"/>
      <c r="U216" s="37"/>
      <c r="X216" s="6"/>
      <c r="Z216" s="15"/>
    </row>
    <row r="217" spans="1:27" x14ac:dyDescent="0.45">
      <c r="A217" s="161" t="str">
        <f>A$1</f>
        <v>Kentucky-American Water Company</v>
      </c>
      <c r="B217" s="161"/>
      <c r="C217" s="161"/>
      <c r="D217" s="161"/>
      <c r="E217" s="161"/>
      <c r="F217" s="161"/>
      <c r="G217" s="161"/>
      <c r="H217" s="161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1"/>
      <c r="X217" s="161"/>
      <c r="Y217" s="161"/>
      <c r="Z217" s="161"/>
    </row>
    <row r="218" spans="1:27" x14ac:dyDescent="0.45">
      <c r="A218" s="161" t="str">
        <f>+$A$2</f>
        <v>Forecast Year Operating Revenues at Present Rates &amp; Proposed Rates</v>
      </c>
      <c r="B218" s="161"/>
      <c r="C218" s="161"/>
      <c r="D218" s="161"/>
      <c r="E218" s="161"/>
      <c r="F218" s="161"/>
      <c r="G218" s="161"/>
      <c r="H218" s="161"/>
      <c r="I218" s="161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</row>
    <row r="219" spans="1:27" x14ac:dyDescent="0.45">
      <c r="A219" s="161" t="str">
        <f>+$A$3</f>
        <v>Base Year (12 Months Ending September 30, 2023)</v>
      </c>
      <c r="B219" s="161"/>
      <c r="C219" s="161"/>
      <c r="D219" s="161"/>
      <c r="E219" s="161"/>
      <c r="F219" s="161"/>
      <c r="G219" s="161"/>
      <c r="H219" s="161"/>
      <c r="I219" s="161"/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  <c r="W219" s="161"/>
      <c r="X219" s="161"/>
      <c r="Y219" s="161"/>
      <c r="Z219" s="161"/>
    </row>
    <row r="220" spans="1:27" x14ac:dyDescent="0.45">
      <c r="A220" s="161" t="str">
        <f>+$A$4</f>
        <v>Forecast Year (12 Months Ending January 31, 2025)</v>
      </c>
      <c r="B220" s="161"/>
      <c r="C220" s="161"/>
      <c r="D220" s="161"/>
      <c r="E220" s="161"/>
      <c r="F220" s="161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</row>
    <row r="221" spans="1:27" x14ac:dyDescent="0.45">
      <c r="A221" s="9"/>
      <c r="I221" s="161" t="s">
        <v>168</v>
      </c>
      <c r="J221" s="161"/>
      <c r="K221" s="161"/>
      <c r="L221" s="161"/>
      <c r="M221" s="161"/>
      <c r="N221" s="161"/>
      <c r="O221" s="161"/>
      <c r="P221" s="161"/>
      <c r="Q221" s="161"/>
    </row>
    <row r="222" spans="1:27" x14ac:dyDescent="0.45">
      <c r="A222" s="9"/>
      <c r="I222" s="48"/>
      <c r="J222" s="48"/>
      <c r="K222" s="48"/>
      <c r="L222" s="48"/>
      <c r="M222" s="48"/>
      <c r="N222" s="48"/>
      <c r="O222" s="48"/>
      <c r="P222" s="48"/>
      <c r="Q222" s="48"/>
      <c r="Z222" s="10" t="s">
        <v>84</v>
      </c>
    </row>
    <row r="223" spans="1:27" x14ac:dyDescent="0.45">
      <c r="A223" s="9"/>
      <c r="I223" s="48"/>
      <c r="J223" s="48"/>
      <c r="K223" s="48"/>
      <c r="L223" s="48"/>
      <c r="M223" s="48"/>
      <c r="N223" s="48"/>
      <c r="O223" s="48"/>
      <c r="P223" s="48"/>
      <c r="Q223" s="48"/>
      <c r="Z223" s="140"/>
    </row>
    <row r="224" spans="1:27" x14ac:dyDescent="0.45">
      <c r="A224" s="9"/>
      <c r="Z224" s="140"/>
    </row>
    <row r="225" spans="1:26" x14ac:dyDescent="0.45">
      <c r="A225" s="47"/>
      <c r="B225" s="11"/>
      <c r="C225" s="50"/>
      <c r="D225" s="51"/>
      <c r="E225" s="11"/>
      <c r="F225" s="52"/>
      <c r="G225" s="50"/>
      <c r="H225" s="50"/>
      <c r="I225" s="50"/>
      <c r="J225" s="50"/>
      <c r="K225" s="50"/>
      <c r="L225" s="50"/>
      <c r="M225" s="50"/>
      <c r="N225" s="50"/>
      <c r="O225" s="11"/>
      <c r="P225" s="52"/>
      <c r="Q225" s="50"/>
      <c r="R225" s="50"/>
      <c r="S225" s="50"/>
      <c r="T225" s="51"/>
      <c r="U225" s="52"/>
      <c r="V225" s="51"/>
      <c r="W225" s="51"/>
      <c r="X225" s="53"/>
      <c r="Y225" s="51"/>
      <c r="Z225" s="54"/>
    </row>
    <row r="226" spans="1:26" x14ac:dyDescent="0.45">
      <c r="C226" s="13"/>
      <c r="D226" s="162" t="s">
        <v>80</v>
      </c>
      <c r="E226" s="162" t="s">
        <v>48</v>
      </c>
      <c r="F226" s="162"/>
      <c r="G226" s="162"/>
      <c r="H226" s="13"/>
      <c r="I226" s="162" t="s">
        <v>79</v>
      </c>
      <c r="J226" s="162" t="s">
        <v>48</v>
      </c>
      <c r="K226" s="162"/>
      <c r="L226" s="162"/>
      <c r="M226" s="13"/>
      <c r="N226" s="162" t="s">
        <v>51</v>
      </c>
      <c r="O226" s="162" t="s">
        <v>49</v>
      </c>
      <c r="P226" s="162"/>
      <c r="Q226" s="162"/>
      <c r="R226" s="13"/>
      <c r="S226" s="162" t="s">
        <v>52</v>
      </c>
      <c r="T226" s="162" t="s">
        <v>50</v>
      </c>
      <c r="U226" s="162"/>
      <c r="V226" s="162"/>
      <c r="W226" s="12"/>
      <c r="X226" s="12"/>
    </row>
    <row r="227" spans="1:26" x14ac:dyDescent="0.45">
      <c r="C227" s="13"/>
      <c r="D227" s="13" t="s">
        <v>11</v>
      </c>
      <c r="E227" s="13"/>
      <c r="F227" s="13"/>
      <c r="G227" s="13"/>
      <c r="H227" s="13"/>
      <c r="I227" s="13" t="s">
        <v>11</v>
      </c>
      <c r="J227" s="13"/>
      <c r="K227" s="13"/>
      <c r="L227" s="13"/>
      <c r="M227" s="13"/>
      <c r="N227" s="13" t="s">
        <v>11</v>
      </c>
      <c r="O227" s="13"/>
      <c r="P227" s="13"/>
      <c r="Q227" s="13"/>
      <c r="R227" s="13"/>
      <c r="S227" s="13" t="s">
        <v>11</v>
      </c>
      <c r="T227" s="13"/>
      <c r="U227" s="13"/>
      <c r="V227" s="13"/>
      <c r="W227" s="13"/>
      <c r="X227" s="13"/>
    </row>
    <row r="228" spans="1:26" x14ac:dyDescent="0.45">
      <c r="B228" s="13" t="s">
        <v>9</v>
      </c>
      <c r="C228" s="13"/>
      <c r="D228" s="13" t="s">
        <v>12</v>
      </c>
      <c r="E228" s="13" t="s">
        <v>23</v>
      </c>
      <c r="F228" s="13" t="s">
        <v>25</v>
      </c>
      <c r="G228" s="13" t="s">
        <v>1</v>
      </c>
      <c r="H228" s="13"/>
      <c r="I228" s="13" t="s">
        <v>12</v>
      </c>
      <c r="J228" s="13" t="s">
        <v>23</v>
      </c>
      <c r="K228" s="13" t="s">
        <v>81</v>
      </c>
      <c r="L228" s="13" t="s">
        <v>1</v>
      </c>
      <c r="M228" s="13"/>
      <c r="N228" s="13" t="s">
        <v>12</v>
      </c>
      <c r="O228" s="13" t="s">
        <v>23</v>
      </c>
      <c r="P228" s="13" t="s">
        <v>25</v>
      </c>
      <c r="Q228" s="13" t="s">
        <v>1</v>
      </c>
      <c r="R228" s="13"/>
      <c r="S228" s="13" t="s">
        <v>12</v>
      </c>
      <c r="T228" s="13" t="s">
        <v>23</v>
      </c>
      <c r="U228" s="13" t="s">
        <v>44</v>
      </c>
      <c r="V228" s="13" t="s">
        <v>1</v>
      </c>
      <c r="W228" s="13"/>
      <c r="X228" s="13" t="s">
        <v>29</v>
      </c>
      <c r="Z228" s="13" t="s">
        <v>133</v>
      </c>
    </row>
    <row r="229" spans="1:26" x14ac:dyDescent="0.45">
      <c r="A229" s="47" t="s">
        <v>0</v>
      </c>
      <c r="B229" s="47" t="s">
        <v>2</v>
      </c>
      <c r="C229" s="13"/>
      <c r="D229" s="47" t="s">
        <v>13</v>
      </c>
      <c r="E229" s="47" t="str">
        <f>E187</f>
        <v>(000 Gal)</v>
      </c>
      <c r="F229" s="47" t="s">
        <v>26</v>
      </c>
      <c r="G229" s="47" t="s">
        <v>27</v>
      </c>
      <c r="H229" s="13"/>
      <c r="I229" s="47" t="s">
        <v>13</v>
      </c>
      <c r="J229" s="47" t="str">
        <f>J187</f>
        <v>(000 Gal)</v>
      </c>
      <c r="K229" s="47" t="s">
        <v>26</v>
      </c>
      <c r="L229" s="47" t="s">
        <v>27</v>
      </c>
      <c r="M229" s="13"/>
      <c r="N229" s="47" t="s">
        <v>13</v>
      </c>
      <c r="O229" s="47" t="str">
        <f>E229</f>
        <v>(000 Gal)</v>
      </c>
      <c r="P229" s="47" t="s">
        <v>26</v>
      </c>
      <c r="Q229" s="47" t="s">
        <v>27</v>
      </c>
      <c r="R229" s="13"/>
      <c r="S229" s="47" t="s">
        <v>13</v>
      </c>
      <c r="T229" s="47" t="str">
        <f>O229</f>
        <v>(000 Gal)</v>
      </c>
      <c r="U229" s="47" t="s">
        <v>26</v>
      </c>
      <c r="V229" s="47" t="s">
        <v>27</v>
      </c>
      <c r="W229" s="13"/>
      <c r="X229" s="47" t="s">
        <v>30</v>
      </c>
      <c r="Z229" s="47" t="s">
        <v>30</v>
      </c>
    </row>
    <row r="230" spans="1:26" x14ac:dyDescent="0.45">
      <c r="A230" s="13">
        <v>1</v>
      </c>
      <c r="B230" s="9" t="str">
        <f>+I221</f>
        <v>SALES FOR RESALE</v>
      </c>
      <c r="C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Z230" s="13"/>
    </row>
    <row r="231" spans="1:26" x14ac:dyDescent="0.45">
      <c r="A231" s="13">
        <f>+A230+1</f>
        <v>2</v>
      </c>
      <c r="B231" s="14" t="s">
        <v>10</v>
      </c>
    </row>
    <row r="232" spans="1:26" x14ac:dyDescent="0.45">
      <c r="A232" s="13">
        <f t="shared" ref="A232:A254" si="74">+A231+1</f>
        <v>3</v>
      </c>
      <c r="B232" s="3" t="s">
        <v>14</v>
      </c>
      <c r="C232" s="8"/>
      <c r="D232" s="6">
        <v>13</v>
      </c>
      <c r="E232" s="7"/>
      <c r="F232" s="32">
        <f>+'KAWC Rates'!C7</f>
        <v>15</v>
      </c>
      <c r="G232" s="8">
        <f>ROUND(D232*F232,2)</f>
        <v>195</v>
      </c>
      <c r="H232" s="8"/>
      <c r="I232" s="6">
        <f>D232</f>
        <v>13</v>
      </c>
      <c r="J232" s="7"/>
      <c r="K232" s="32">
        <f>U232</f>
        <v>17.647499999999997</v>
      </c>
      <c r="L232" s="8">
        <f>ROUND(I232*K232,2)</f>
        <v>229.42</v>
      </c>
      <c r="M232" s="8"/>
      <c r="N232" s="6">
        <v>12</v>
      </c>
      <c r="O232" s="7"/>
      <c r="P232" s="32">
        <f t="shared" ref="P232:P239" si="75">+F232</f>
        <v>15</v>
      </c>
      <c r="Q232" s="8">
        <f>ROUND(N232*P232,2)</f>
        <v>180</v>
      </c>
      <c r="R232" s="8"/>
      <c r="S232" s="6">
        <f>N232</f>
        <v>12</v>
      </c>
      <c r="T232" s="7"/>
      <c r="U232" s="32">
        <f>+'KAWC Rates'!D7</f>
        <v>17.647499999999997</v>
      </c>
      <c r="V232" s="8">
        <f>ROUND(S232*U232,2)</f>
        <v>211.77</v>
      </c>
      <c r="W232" s="8"/>
      <c r="X232" s="8">
        <f>+V232-Q232</f>
        <v>31.77000000000001</v>
      </c>
      <c r="Y232" s="7"/>
      <c r="Z232" s="15">
        <f t="shared" ref="Z232:Z240" si="76">IF(Q232=0,0,ROUND((X232/Q232),4))</f>
        <v>0.17649999999999999</v>
      </c>
    </row>
    <row r="233" spans="1:26" x14ac:dyDescent="0.45">
      <c r="A233" s="13">
        <f t="shared" si="74"/>
        <v>4</v>
      </c>
      <c r="B233" s="3" t="s">
        <v>15</v>
      </c>
      <c r="C233" s="6"/>
      <c r="D233" s="6">
        <v>0</v>
      </c>
      <c r="E233" s="7"/>
      <c r="F233" s="16">
        <f>+'KAWC Rates'!C8</f>
        <v>22.4</v>
      </c>
      <c r="G233" s="6">
        <f t="shared" ref="G233:G240" si="77">ROUND(D233*F233,2)</f>
        <v>0</v>
      </c>
      <c r="H233" s="6"/>
      <c r="I233" s="6">
        <f t="shared" ref="I233:I240" si="78">D233</f>
        <v>0</v>
      </c>
      <c r="J233" s="7"/>
      <c r="K233" s="16">
        <f t="shared" ref="K233:K240" si="79">U233</f>
        <v>26.353599999999997</v>
      </c>
      <c r="L233" s="6">
        <f t="shared" ref="L233:L240" si="80">ROUND(I233*K233,2)</f>
        <v>0</v>
      </c>
      <c r="M233" s="6"/>
      <c r="N233" s="6">
        <v>0</v>
      </c>
      <c r="O233" s="7"/>
      <c r="P233" s="16">
        <f t="shared" si="75"/>
        <v>22.4</v>
      </c>
      <c r="Q233" s="6">
        <f t="shared" ref="Q233:Q240" si="81">ROUND(N233*P233,2)</f>
        <v>0</v>
      </c>
      <c r="R233" s="6"/>
      <c r="S233" s="6">
        <f t="shared" ref="S233:S240" si="82">N233</f>
        <v>0</v>
      </c>
      <c r="T233" s="7"/>
      <c r="U233" s="16">
        <f>+'KAWC Rates'!D8</f>
        <v>26.353599999999997</v>
      </c>
      <c r="V233" s="6">
        <f t="shared" ref="V233:V240" si="83">ROUND(S233*U233,2)</f>
        <v>0</v>
      </c>
      <c r="W233" s="6"/>
      <c r="X233" s="6">
        <f t="shared" ref="X233:X240" si="84">+V233-Q233</f>
        <v>0</v>
      </c>
      <c r="Y233" s="7"/>
      <c r="Z233" s="15">
        <f t="shared" si="76"/>
        <v>0</v>
      </c>
    </row>
    <row r="234" spans="1:26" x14ac:dyDescent="0.45">
      <c r="A234" s="13">
        <f t="shared" si="74"/>
        <v>5</v>
      </c>
      <c r="B234" s="3" t="s">
        <v>16</v>
      </c>
      <c r="C234" s="6"/>
      <c r="D234" s="6">
        <v>0</v>
      </c>
      <c r="E234" s="7"/>
      <c r="F234" s="16">
        <f>+'KAWC Rates'!C9</f>
        <v>37.299999999999997</v>
      </c>
      <c r="G234" s="6">
        <f t="shared" si="77"/>
        <v>0</v>
      </c>
      <c r="H234" s="6"/>
      <c r="I234" s="6">
        <f t="shared" si="78"/>
        <v>0</v>
      </c>
      <c r="J234" s="7"/>
      <c r="K234" s="16">
        <f t="shared" si="79"/>
        <v>43.883449999999989</v>
      </c>
      <c r="L234" s="6">
        <f t="shared" si="80"/>
        <v>0</v>
      </c>
      <c r="M234" s="6"/>
      <c r="N234" s="6">
        <v>0</v>
      </c>
      <c r="O234" s="7"/>
      <c r="P234" s="16">
        <f t="shared" si="75"/>
        <v>37.299999999999997</v>
      </c>
      <c r="Q234" s="6">
        <f t="shared" si="81"/>
        <v>0</v>
      </c>
      <c r="R234" s="6"/>
      <c r="S234" s="6">
        <f t="shared" si="82"/>
        <v>0</v>
      </c>
      <c r="T234" s="7"/>
      <c r="U234" s="16">
        <f>+'KAWC Rates'!D9</f>
        <v>43.883449999999989</v>
      </c>
      <c r="V234" s="6">
        <f t="shared" si="83"/>
        <v>0</v>
      </c>
      <c r="W234" s="6"/>
      <c r="X234" s="6">
        <f t="shared" si="84"/>
        <v>0</v>
      </c>
      <c r="Y234" s="7"/>
      <c r="Z234" s="15">
        <f t="shared" si="76"/>
        <v>0</v>
      </c>
    </row>
    <row r="235" spans="1:26" x14ac:dyDescent="0.45">
      <c r="A235" s="13">
        <f t="shared" si="74"/>
        <v>6</v>
      </c>
      <c r="B235" s="3" t="s">
        <v>17</v>
      </c>
      <c r="C235" s="6"/>
      <c r="D235" s="6">
        <v>16.47</v>
      </c>
      <c r="E235" s="7"/>
      <c r="F235" s="16">
        <f>+'KAWC Rates'!C10</f>
        <v>74.7</v>
      </c>
      <c r="G235" s="6">
        <f t="shared" si="77"/>
        <v>1230.31</v>
      </c>
      <c r="H235" s="6"/>
      <c r="I235" s="6">
        <f t="shared" si="78"/>
        <v>16.47</v>
      </c>
      <c r="J235" s="7"/>
      <c r="K235" s="16">
        <f t="shared" si="79"/>
        <v>87.88454999999999</v>
      </c>
      <c r="L235" s="6">
        <f t="shared" si="80"/>
        <v>1447.46</v>
      </c>
      <c r="M235" s="6"/>
      <c r="N235" s="6">
        <v>12</v>
      </c>
      <c r="O235" s="7"/>
      <c r="P235" s="16">
        <f t="shared" si="75"/>
        <v>74.7</v>
      </c>
      <c r="Q235" s="6">
        <f t="shared" si="81"/>
        <v>896.4</v>
      </c>
      <c r="R235" s="6"/>
      <c r="S235" s="6">
        <f t="shared" si="82"/>
        <v>12</v>
      </c>
      <c r="T235" s="7"/>
      <c r="U235" s="16">
        <f>+'KAWC Rates'!D10</f>
        <v>87.88454999999999</v>
      </c>
      <c r="V235" s="6">
        <f t="shared" si="83"/>
        <v>1054.6099999999999</v>
      </c>
      <c r="W235" s="6"/>
      <c r="X235" s="6">
        <f t="shared" si="84"/>
        <v>158.20999999999992</v>
      </c>
      <c r="Y235" s="7"/>
      <c r="Z235" s="15">
        <f t="shared" si="76"/>
        <v>0.17649999999999999</v>
      </c>
    </row>
    <row r="236" spans="1:26" x14ac:dyDescent="0.45">
      <c r="A236" s="13">
        <f t="shared" si="74"/>
        <v>7</v>
      </c>
      <c r="B236" s="3" t="s">
        <v>18</v>
      </c>
      <c r="C236" s="6"/>
      <c r="D236" s="6">
        <v>66.78</v>
      </c>
      <c r="E236" s="7"/>
      <c r="F236" s="16">
        <f>+'KAWC Rates'!C11</f>
        <v>119.5</v>
      </c>
      <c r="G236" s="6">
        <f t="shared" si="77"/>
        <v>7980.21</v>
      </c>
      <c r="H236" s="6"/>
      <c r="I236" s="6">
        <f t="shared" si="78"/>
        <v>66.78</v>
      </c>
      <c r="J236" s="7"/>
      <c r="K236" s="16">
        <f t="shared" si="79"/>
        <v>140.59174999999999</v>
      </c>
      <c r="L236" s="6">
        <f t="shared" si="80"/>
        <v>9388.7199999999993</v>
      </c>
      <c r="M236" s="6"/>
      <c r="N236" s="6">
        <v>72</v>
      </c>
      <c r="O236" s="7"/>
      <c r="P236" s="16">
        <f t="shared" si="75"/>
        <v>119.5</v>
      </c>
      <c r="Q236" s="6">
        <f t="shared" si="81"/>
        <v>8604</v>
      </c>
      <c r="R236" s="6"/>
      <c r="S236" s="6">
        <f t="shared" si="82"/>
        <v>72</v>
      </c>
      <c r="T236" s="7"/>
      <c r="U236" s="16">
        <f>+'KAWC Rates'!D11</f>
        <v>140.59174999999999</v>
      </c>
      <c r="V236" s="6">
        <f t="shared" si="83"/>
        <v>10122.61</v>
      </c>
      <c r="W236" s="6"/>
      <c r="X236" s="6">
        <f t="shared" si="84"/>
        <v>1518.6100000000006</v>
      </c>
      <c r="Y236" s="7"/>
      <c r="Z236" s="15">
        <f t="shared" si="76"/>
        <v>0.17649999999999999</v>
      </c>
    </row>
    <row r="237" spans="1:26" x14ac:dyDescent="0.45">
      <c r="A237" s="13">
        <f t="shared" si="74"/>
        <v>8</v>
      </c>
      <c r="B237" s="3" t="s">
        <v>19</v>
      </c>
      <c r="C237" s="6"/>
      <c r="D237" s="6">
        <v>12</v>
      </c>
      <c r="E237" s="7"/>
      <c r="F237" s="16">
        <f>+'KAWC Rates'!C12</f>
        <v>224</v>
      </c>
      <c r="G237" s="6">
        <f t="shared" si="77"/>
        <v>2688</v>
      </c>
      <c r="H237" s="6"/>
      <c r="I237" s="6">
        <f t="shared" si="78"/>
        <v>12</v>
      </c>
      <c r="J237" s="7"/>
      <c r="K237" s="16">
        <f t="shared" si="79"/>
        <v>263.53599999999994</v>
      </c>
      <c r="L237" s="6">
        <f t="shared" si="80"/>
        <v>3162.43</v>
      </c>
      <c r="M237" s="6"/>
      <c r="N237" s="6">
        <v>12</v>
      </c>
      <c r="O237" s="7"/>
      <c r="P237" s="16">
        <f t="shared" si="75"/>
        <v>224</v>
      </c>
      <c r="Q237" s="6">
        <f t="shared" si="81"/>
        <v>2688</v>
      </c>
      <c r="R237" s="6"/>
      <c r="S237" s="6">
        <f t="shared" si="82"/>
        <v>12</v>
      </c>
      <c r="T237" s="7"/>
      <c r="U237" s="16">
        <f>+'KAWC Rates'!D12</f>
        <v>263.53599999999994</v>
      </c>
      <c r="V237" s="6">
        <f t="shared" si="83"/>
        <v>3162.43</v>
      </c>
      <c r="W237" s="6"/>
      <c r="X237" s="6">
        <f t="shared" si="84"/>
        <v>474.42999999999984</v>
      </c>
      <c r="Y237" s="7"/>
      <c r="Z237" s="15">
        <f t="shared" si="76"/>
        <v>0.17649999999999999</v>
      </c>
    </row>
    <row r="238" spans="1:26" x14ac:dyDescent="0.45">
      <c r="A238" s="13">
        <f t="shared" si="74"/>
        <v>9</v>
      </c>
      <c r="B238" s="3" t="s">
        <v>20</v>
      </c>
      <c r="C238" s="6"/>
      <c r="D238" s="6">
        <v>83.16</v>
      </c>
      <c r="E238" s="7"/>
      <c r="F238" s="16">
        <f>+'KAWC Rates'!C13</f>
        <v>373.4</v>
      </c>
      <c r="G238" s="6">
        <f t="shared" si="77"/>
        <v>31051.94</v>
      </c>
      <c r="H238" s="6"/>
      <c r="I238" s="6">
        <f t="shared" si="78"/>
        <v>83.16</v>
      </c>
      <c r="J238" s="7"/>
      <c r="K238" s="16">
        <f t="shared" si="79"/>
        <v>439.30509999999992</v>
      </c>
      <c r="L238" s="6">
        <f t="shared" si="80"/>
        <v>36532.61</v>
      </c>
      <c r="M238" s="6"/>
      <c r="N238" s="6">
        <v>84</v>
      </c>
      <c r="O238" s="7"/>
      <c r="P238" s="16">
        <f t="shared" si="75"/>
        <v>373.4</v>
      </c>
      <c r="Q238" s="6">
        <f t="shared" si="81"/>
        <v>31365.599999999999</v>
      </c>
      <c r="R238" s="6"/>
      <c r="S238" s="6">
        <f t="shared" si="82"/>
        <v>84</v>
      </c>
      <c r="T238" s="7"/>
      <c r="U238" s="16">
        <f>+'KAWC Rates'!D13</f>
        <v>439.30509999999992</v>
      </c>
      <c r="V238" s="6">
        <f t="shared" si="83"/>
        <v>36901.629999999997</v>
      </c>
      <c r="W238" s="6"/>
      <c r="X238" s="6">
        <f t="shared" si="84"/>
        <v>5536.0299999999988</v>
      </c>
      <c r="Y238" s="7"/>
      <c r="Z238" s="15">
        <f t="shared" si="76"/>
        <v>0.17649999999999999</v>
      </c>
    </row>
    <row r="239" spans="1:26" x14ac:dyDescent="0.45">
      <c r="A239" s="13">
        <f t="shared" si="74"/>
        <v>10</v>
      </c>
      <c r="B239" s="3" t="s">
        <v>21</v>
      </c>
      <c r="C239" s="6"/>
      <c r="D239" s="6">
        <v>47</v>
      </c>
      <c r="E239" s="7"/>
      <c r="F239" s="16">
        <f>+'KAWC Rates'!C14</f>
        <v>746.7</v>
      </c>
      <c r="G239" s="6">
        <f t="shared" si="77"/>
        <v>35094.9</v>
      </c>
      <c r="H239" s="6"/>
      <c r="I239" s="6">
        <f t="shared" si="78"/>
        <v>47</v>
      </c>
      <c r="J239" s="7"/>
      <c r="K239" s="16">
        <f t="shared" si="79"/>
        <v>878.49254999999994</v>
      </c>
      <c r="L239" s="6">
        <f t="shared" si="80"/>
        <v>41289.15</v>
      </c>
      <c r="M239" s="6"/>
      <c r="N239" s="6">
        <v>48</v>
      </c>
      <c r="O239" s="7"/>
      <c r="P239" s="16">
        <f t="shared" si="75"/>
        <v>746.7</v>
      </c>
      <c r="Q239" s="6">
        <f t="shared" si="81"/>
        <v>35841.599999999999</v>
      </c>
      <c r="R239" s="6"/>
      <c r="S239" s="6">
        <f t="shared" si="82"/>
        <v>48</v>
      </c>
      <c r="T239" s="7"/>
      <c r="U239" s="16">
        <f>+'KAWC Rates'!D14</f>
        <v>878.49254999999994</v>
      </c>
      <c r="V239" s="6">
        <f t="shared" si="83"/>
        <v>42167.64</v>
      </c>
      <c r="W239" s="6"/>
      <c r="X239" s="6">
        <f t="shared" si="84"/>
        <v>6326.0400000000009</v>
      </c>
      <c r="Y239" s="7"/>
      <c r="Z239" s="15">
        <f t="shared" si="76"/>
        <v>0.17649999999999999</v>
      </c>
    </row>
    <row r="240" spans="1:26" x14ac:dyDescent="0.45">
      <c r="A240" s="13">
        <f t="shared" si="74"/>
        <v>11</v>
      </c>
      <c r="B240" s="3" t="s">
        <v>22</v>
      </c>
      <c r="C240" s="6"/>
      <c r="D240" s="6">
        <v>0</v>
      </c>
      <c r="E240" s="7"/>
      <c r="F240" s="16">
        <f>+'KAWC Rates'!C15</f>
        <v>1194.7</v>
      </c>
      <c r="G240" s="6">
        <f t="shared" si="77"/>
        <v>0</v>
      </c>
      <c r="H240" s="6"/>
      <c r="I240" s="6">
        <f t="shared" si="78"/>
        <v>0</v>
      </c>
      <c r="J240" s="7"/>
      <c r="K240" s="16">
        <f t="shared" si="79"/>
        <v>1405.5645499999998</v>
      </c>
      <c r="L240" s="6">
        <f t="shared" si="80"/>
        <v>0</v>
      </c>
      <c r="M240" s="6"/>
      <c r="N240" s="6">
        <v>0</v>
      </c>
      <c r="O240" s="7"/>
      <c r="P240" s="16">
        <f>+F240</f>
        <v>1194.7</v>
      </c>
      <c r="Q240" s="6">
        <f t="shared" si="81"/>
        <v>0</v>
      </c>
      <c r="R240" s="6"/>
      <c r="S240" s="6">
        <f t="shared" si="82"/>
        <v>0</v>
      </c>
      <c r="T240" s="7"/>
      <c r="U240" s="16">
        <f>+'KAWC Rates'!D15</f>
        <v>1405.5645499999998</v>
      </c>
      <c r="V240" s="6">
        <f t="shared" si="83"/>
        <v>0</v>
      </c>
      <c r="W240" s="6"/>
      <c r="X240" s="6">
        <f t="shared" si="84"/>
        <v>0</v>
      </c>
      <c r="Y240" s="7"/>
      <c r="Z240" s="15">
        <f t="shared" si="76"/>
        <v>0</v>
      </c>
    </row>
    <row r="241" spans="1:27" x14ac:dyDescent="0.45">
      <c r="A241" s="13">
        <f t="shared" si="74"/>
        <v>12</v>
      </c>
      <c r="C241" s="6"/>
      <c r="D241" s="6"/>
      <c r="E241" s="7"/>
      <c r="F241" s="16"/>
      <c r="G241" s="6"/>
      <c r="H241" s="6"/>
      <c r="I241" s="6"/>
      <c r="J241" s="7"/>
      <c r="K241" s="16"/>
      <c r="L241" s="6"/>
      <c r="M241" s="6"/>
      <c r="N241" s="6"/>
      <c r="O241" s="7"/>
      <c r="P241" s="16"/>
      <c r="Q241" s="6"/>
      <c r="R241" s="6"/>
      <c r="S241" s="6"/>
      <c r="T241" s="7"/>
      <c r="U241" s="16"/>
      <c r="V241" s="6"/>
      <c r="W241" s="6"/>
      <c r="X241" s="6"/>
      <c r="Y241" s="7"/>
      <c r="Z241" s="15"/>
    </row>
    <row r="242" spans="1:27" x14ac:dyDescent="0.45">
      <c r="A242" s="13">
        <f t="shared" si="74"/>
        <v>13</v>
      </c>
      <c r="C242" s="6"/>
      <c r="D242" s="6"/>
      <c r="E242" s="7"/>
      <c r="F242" s="16"/>
      <c r="G242" s="6"/>
      <c r="H242" s="6"/>
      <c r="I242" s="6"/>
      <c r="J242" s="7"/>
      <c r="K242" s="16"/>
      <c r="L242" s="6"/>
      <c r="M242" s="6"/>
      <c r="N242" s="6"/>
      <c r="O242" s="7"/>
      <c r="P242" s="16"/>
      <c r="Q242" s="6"/>
      <c r="R242" s="6"/>
      <c r="S242" s="6"/>
      <c r="T242" s="7"/>
      <c r="U242" s="16"/>
      <c r="V242" s="6"/>
      <c r="W242" s="6"/>
      <c r="X242" s="8"/>
      <c r="Y242" s="7"/>
      <c r="Z242" s="15"/>
    </row>
    <row r="243" spans="1:27" x14ac:dyDescent="0.45">
      <c r="A243" s="13">
        <f t="shared" si="74"/>
        <v>14</v>
      </c>
      <c r="B243" s="14" t="s">
        <v>24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6"/>
      <c r="Y243" s="7"/>
      <c r="Z243" s="15"/>
    </row>
    <row r="244" spans="1:27" x14ac:dyDescent="0.45">
      <c r="A244" s="13">
        <f t="shared" si="74"/>
        <v>15</v>
      </c>
      <c r="B244" s="3" t="s">
        <v>132</v>
      </c>
      <c r="C244" s="8"/>
      <c r="D244" s="7"/>
      <c r="E244" s="6">
        <v>238466.73032112001</v>
      </c>
      <c r="F244" s="33">
        <f>+'KAWC Rates'!C23</f>
        <v>4.2359999999999998</v>
      </c>
      <c r="G244" s="8">
        <f>ROUND(E244*F244,2)</f>
        <v>1010145.07</v>
      </c>
      <c r="H244" s="8"/>
      <c r="I244" s="7"/>
      <c r="J244" s="6">
        <f>E244</f>
        <v>238466.73032112001</v>
      </c>
      <c r="K244" s="33">
        <f>U244</f>
        <v>4.9850630748661535</v>
      </c>
      <c r="L244" s="8">
        <f>ROUND(J244*K244,2)</f>
        <v>1188771.69</v>
      </c>
      <c r="M244" s="8"/>
      <c r="N244" s="7"/>
      <c r="O244" s="6">
        <v>207991.11999999994</v>
      </c>
      <c r="P244" s="33">
        <f>+F244</f>
        <v>4.2359999999999998</v>
      </c>
      <c r="Q244" s="8">
        <f>ROUND(O244*P244,2)</f>
        <v>881050.38</v>
      </c>
      <c r="R244" s="8"/>
      <c r="S244" s="7"/>
      <c r="T244" s="6">
        <f>O244</f>
        <v>207991.11999999994</v>
      </c>
      <c r="U244" s="33">
        <f>+'KAWC Rates'!D23</f>
        <v>4.9850630748661535</v>
      </c>
      <c r="V244" s="8">
        <f>ROUND(T244*U244,2)</f>
        <v>1036848.85</v>
      </c>
      <c r="W244" s="6"/>
      <c r="X244" s="8">
        <f t="shared" ref="X244" si="85">+V244-Q244</f>
        <v>155798.46999999997</v>
      </c>
      <c r="Y244" s="7"/>
      <c r="Z244" s="15">
        <f t="shared" ref="Z244" si="86">IF(Q244=0,0,ROUND((X244/Q244),4))</f>
        <v>0.17680000000000001</v>
      </c>
    </row>
    <row r="245" spans="1:27" x14ac:dyDescent="0.45">
      <c r="A245" s="13">
        <f t="shared" si="74"/>
        <v>16</v>
      </c>
      <c r="C245" s="6"/>
      <c r="E245" s="6"/>
      <c r="F245" s="21"/>
      <c r="G245" s="6"/>
      <c r="H245" s="6"/>
      <c r="J245" s="6"/>
      <c r="K245" s="21"/>
      <c r="L245" s="6"/>
      <c r="M245" s="6"/>
      <c r="O245" s="6"/>
      <c r="P245" s="21"/>
      <c r="Q245" s="6"/>
      <c r="R245" s="6"/>
      <c r="T245" s="6"/>
      <c r="U245" s="21"/>
      <c r="V245" s="6"/>
      <c r="W245" s="6"/>
      <c r="X245" s="6"/>
      <c r="Z245" s="15"/>
    </row>
    <row r="246" spans="1:27" x14ac:dyDescent="0.45">
      <c r="A246" s="13">
        <f t="shared" si="74"/>
        <v>17</v>
      </c>
      <c r="B246" s="3" t="s">
        <v>110</v>
      </c>
      <c r="C246" s="6"/>
      <c r="E246" s="6"/>
      <c r="F246" s="21"/>
      <c r="G246" s="6"/>
      <c r="H246" s="6"/>
      <c r="J246" s="6"/>
      <c r="K246" s="21"/>
      <c r="L246" s="6"/>
      <c r="M246" s="6"/>
      <c r="O246" s="6"/>
      <c r="P246" s="21"/>
      <c r="Q246" s="6"/>
      <c r="R246" s="6"/>
      <c r="T246" s="6"/>
      <c r="U246" s="21"/>
      <c r="V246" s="6"/>
      <c r="W246" s="6"/>
      <c r="X246" s="6"/>
      <c r="Z246" s="15"/>
    </row>
    <row r="247" spans="1:27" x14ac:dyDescent="0.45">
      <c r="A247" s="13">
        <f t="shared" si="74"/>
        <v>18</v>
      </c>
      <c r="B247" s="3" t="s">
        <v>111</v>
      </c>
      <c r="C247" s="6"/>
      <c r="E247" s="6">
        <v>31291.999829604661</v>
      </c>
      <c r="F247" s="33">
        <f>+'KAWC Rates'!C26</f>
        <v>4.5199999999999996</v>
      </c>
      <c r="G247" s="8">
        <f>ROUND(E247*F247,2)</f>
        <v>141439.84</v>
      </c>
      <c r="H247" s="6"/>
      <c r="J247" s="6">
        <f>+E247</f>
        <v>31291.999829604661</v>
      </c>
      <c r="K247" s="33">
        <f t="shared" ref="K247:K250" si="87">U247</f>
        <v>4.9850630748661535</v>
      </c>
      <c r="L247" s="8">
        <f>ROUND(J247*K247,2)</f>
        <v>155992.59</v>
      </c>
      <c r="M247" s="6"/>
      <c r="O247" s="6">
        <v>27242.21100748179</v>
      </c>
      <c r="P247" s="33">
        <f>+F247</f>
        <v>4.5199999999999996</v>
      </c>
      <c r="Q247" s="8">
        <f>ROUND(O247*P247,2)</f>
        <v>123134.79</v>
      </c>
      <c r="R247" s="6"/>
      <c r="T247" s="6">
        <f>+O247</f>
        <v>27242.21100748179</v>
      </c>
      <c r="U247" s="33">
        <f>+'KAWC Rates'!D26</f>
        <v>4.9850630748661535</v>
      </c>
      <c r="V247" s="8">
        <f>ROUND(T247*U247,2)</f>
        <v>135804.14000000001</v>
      </c>
      <c r="W247" s="6"/>
      <c r="X247" s="8">
        <f t="shared" ref="X247" si="88">+V247-Q247</f>
        <v>12669.35000000002</v>
      </c>
      <c r="Y247" s="7"/>
      <c r="Z247" s="15">
        <f t="shared" ref="Z247" si="89">IF(Q247=0,0,ROUND((X247/Q247),4))</f>
        <v>0.10290000000000001</v>
      </c>
    </row>
    <row r="248" spans="1:27" x14ac:dyDescent="0.45">
      <c r="A248" s="13">
        <f t="shared" si="74"/>
        <v>19</v>
      </c>
      <c r="B248" s="3" t="s">
        <v>112</v>
      </c>
      <c r="E248" s="6">
        <v>2305.4255611953372</v>
      </c>
      <c r="F248" s="21">
        <f>+'KAWC Rates'!C27</f>
        <v>4.62</v>
      </c>
      <c r="G248" s="6">
        <f>ROUND(E248*F248,2)</f>
        <v>10651.07</v>
      </c>
      <c r="H248" s="6"/>
      <c r="J248" s="6">
        <f>+E248</f>
        <v>2305.4255611953372</v>
      </c>
      <c r="K248" s="21">
        <f t="shared" si="87"/>
        <v>4.9850630748661535</v>
      </c>
      <c r="L248" s="6">
        <f>ROUND(J248*K248,2)</f>
        <v>11492.69</v>
      </c>
      <c r="O248" s="6">
        <v>3240.2556591848779</v>
      </c>
      <c r="P248" s="21">
        <f>+F248</f>
        <v>4.62</v>
      </c>
      <c r="Q248" s="6">
        <f>ROUND(O248*P248,2)</f>
        <v>14969.98</v>
      </c>
      <c r="T248" s="6">
        <f>+O248</f>
        <v>3240.2556591848779</v>
      </c>
      <c r="U248" s="21">
        <f>+'KAWC Rates'!D27</f>
        <v>4.9850630748661535</v>
      </c>
      <c r="V248" s="6">
        <f>ROUND(T248*U248,2)</f>
        <v>16152.88</v>
      </c>
      <c r="X248" s="6">
        <f t="shared" ref="X248" si="90">+V248-Q248</f>
        <v>1182.8999999999996</v>
      </c>
      <c r="Y248" s="7"/>
      <c r="Z248" s="15">
        <f t="shared" ref="Z248" si="91">IF(Q248=0,0,ROUND((X248/Q248),4))</f>
        <v>7.9000000000000001E-2</v>
      </c>
    </row>
    <row r="249" spans="1:27" x14ac:dyDescent="0.45">
      <c r="A249" s="13">
        <f t="shared" si="74"/>
        <v>20</v>
      </c>
      <c r="E249" s="6"/>
      <c r="F249" s="21"/>
      <c r="G249" s="6"/>
      <c r="H249" s="6"/>
      <c r="J249" s="6"/>
      <c r="K249" s="33"/>
      <c r="L249" s="6"/>
      <c r="O249" s="6"/>
      <c r="P249" s="21"/>
      <c r="Q249" s="6"/>
      <c r="T249" s="6"/>
      <c r="U249" s="21"/>
      <c r="V249" s="6"/>
      <c r="X249" s="6"/>
      <c r="Z249" s="15"/>
    </row>
    <row r="250" spans="1:27" x14ac:dyDescent="0.45">
      <c r="A250" s="13">
        <f t="shared" si="74"/>
        <v>21</v>
      </c>
      <c r="B250" s="3" t="s">
        <v>169</v>
      </c>
      <c r="C250" s="22"/>
      <c r="E250" s="3">
        <v>27727.420194455997</v>
      </c>
      <c r="F250" s="33">
        <f>+'KAWC Rates'!C29</f>
        <v>2.25</v>
      </c>
      <c r="G250" s="8">
        <f>ROUND(E250*F250,2)</f>
        <v>62386.7</v>
      </c>
      <c r="H250" s="22"/>
      <c r="J250" s="6">
        <f>+E250</f>
        <v>27727.420194455997</v>
      </c>
      <c r="K250" s="33">
        <f t="shared" si="87"/>
        <v>2.25</v>
      </c>
      <c r="L250" s="8">
        <f>ROUND(J250*K250,2)</f>
        <v>62386.7</v>
      </c>
      <c r="M250" s="22"/>
      <c r="O250" s="3">
        <v>31411.289333333323</v>
      </c>
      <c r="P250" s="33">
        <f>+F250</f>
        <v>2.25</v>
      </c>
      <c r="Q250" s="8">
        <f>ROUND(O250*P250,2)</f>
        <v>70675.399999999994</v>
      </c>
      <c r="R250" s="22"/>
      <c r="T250" s="3">
        <f>+O250</f>
        <v>31411.289333333323</v>
      </c>
      <c r="U250" s="33">
        <f>+'KAWC Rates'!D29</f>
        <v>2.25</v>
      </c>
      <c r="V250" s="8">
        <f>ROUND(T250*U250,2)</f>
        <v>70675.399999999994</v>
      </c>
      <c r="W250" s="22"/>
      <c r="X250" s="8">
        <f t="shared" ref="X250" si="92">+V250-Q250</f>
        <v>0</v>
      </c>
      <c r="Y250" s="7"/>
      <c r="Z250" s="15">
        <f t="shared" ref="Z250" si="93">IF(Q250=0,0,ROUND((X250/Q250),4))</f>
        <v>0</v>
      </c>
    </row>
    <row r="251" spans="1:27" x14ac:dyDescent="0.45">
      <c r="A251" s="13">
        <f t="shared" si="74"/>
        <v>22</v>
      </c>
      <c r="C251" s="22"/>
      <c r="F251" s="33"/>
      <c r="G251" s="8"/>
      <c r="H251" s="22"/>
      <c r="J251" s="6"/>
      <c r="K251" s="33"/>
      <c r="L251" s="8"/>
      <c r="M251" s="22"/>
      <c r="P251" s="33"/>
      <c r="Q251" s="8"/>
      <c r="R251" s="22"/>
      <c r="U251" s="33"/>
      <c r="V251" s="8"/>
      <c r="W251" s="22"/>
      <c r="X251" s="8"/>
      <c r="Y251" s="7"/>
      <c r="Z251" s="15"/>
    </row>
    <row r="252" spans="1:27" x14ac:dyDescent="0.45">
      <c r="A252" s="13">
        <f t="shared" si="74"/>
        <v>23</v>
      </c>
      <c r="B252" s="3" t="s">
        <v>136</v>
      </c>
      <c r="E252" s="6"/>
      <c r="F252" s="72"/>
      <c r="G252" s="6">
        <v>0</v>
      </c>
      <c r="H252" s="6"/>
      <c r="J252" s="6"/>
      <c r="K252" s="72">
        <f>+U252</f>
        <v>0</v>
      </c>
      <c r="L252" s="8">
        <f>+ROUND(SUM(L232:L250)*K252,2)</f>
        <v>0</v>
      </c>
      <c r="O252" s="6"/>
      <c r="P252" s="73"/>
      <c r="Q252" s="8">
        <v>0</v>
      </c>
      <c r="T252" s="6"/>
      <c r="U252" s="72"/>
      <c r="V252" s="8">
        <f>+Q252</f>
        <v>0</v>
      </c>
      <c r="W252" s="22"/>
      <c r="X252" s="8">
        <f t="shared" ref="X252" si="94">+V252-Q252</f>
        <v>0</v>
      </c>
      <c r="Y252" s="7"/>
      <c r="Z252" s="15">
        <f t="shared" ref="Z252" si="95">IF(Q252=0,0,ROUND((X252/Q252),4))</f>
        <v>0</v>
      </c>
    </row>
    <row r="253" spans="1:27" x14ac:dyDescent="0.45">
      <c r="A253" s="13">
        <f t="shared" si="74"/>
        <v>24</v>
      </c>
      <c r="C253" s="23"/>
      <c r="F253" s="23"/>
      <c r="G253" s="23"/>
      <c r="H253" s="23"/>
      <c r="K253" s="33"/>
      <c r="L253" s="23"/>
      <c r="M253" s="23"/>
      <c r="P253" s="23"/>
      <c r="Q253" s="23"/>
      <c r="R253" s="23"/>
      <c r="U253" s="23"/>
      <c r="V253" s="23"/>
      <c r="W253" s="23"/>
      <c r="X253" s="6"/>
      <c r="Z253" s="15"/>
      <c r="AA253" s="15"/>
    </row>
    <row r="254" spans="1:27" ht="14.65" thickBot="1" x14ac:dyDescent="0.5">
      <c r="A254" s="13">
        <f t="shared" si="74"/>
        <v>25</v>
      </c>
      <c r="B254" s="3" t="s">
        <v>1</v>
      </c>
      <c r="C254" s="25"/>
      <c r="D254" s="34"/>
      <c r="E254" s="35">
        <f>SUM(E244:E253)</f>
        <v>299791.57590637601</v>
      </c>
      <c r="F254" s="25"/>
      <c r="G254" s="36">
        <f>SUM(G232:G253)</f>
        <v>1302863.04</v>
      </c>
      <c r="H254" s="25"/>
      <c r="I254" s="34"/>
      <c r="J254" s="35">
        <f>SUM(J244:J253)</f>
        <v>299791.57590637601</v>
      </c>
      <c r="K254" s="25"/>
      <c r="L254" s="36">
        <f>SUM(L232:L253)</f>
        <v>1510693.46</v>
      </c>
      <c r="M254" s="25"/>
      <c r="N254" s="34"/>
      <c r="O254" s="35">
        <f>SUM(O244:O253)</f>
        <v>269884.87599999993</v>
      </c>
      <c r="P254" s="25"/>
      <c r="Q254" s="36">
        <f>SUM(Q232:Q253)</f>
        <v>1169406.1499999999</v>
      </c>
      <c r="R254" s="25"/>
      <c r="S254" s="34"/>
      <c r="T254" s="35">
        <f>SUM(T244:T253)</f>
        <v>269884.87599999993</v>
      </c>
      <c r="U254" s="25"/>
      <c r="V254" s="36">
        <f>SUM(V232:V253)</f>
        <v>1353101.96</v>
      </c>
      <c r="W254" s="25"/>
      <c r="X254" s="36">
        <f>SUM(X232:X253)</f>
        <v>183695.80999999997</v>
      </c>
      <c r="Z254" s="30">
        <f t="shared" ref="Z254" si="96">IF(Q254=0,0,ROUND((X254/Q254),4))</f>
        <v>0.15709999999999999</v>
      </c>
    </row>
    <row r="255" spans="1:27" ht="14.65" thickTop="1" x14ac:dyDescent="0.45">
      <c r="A255" s="13"/>
      <c r="C255" s="6"/>
      <c r="F255" s="27"/>
      <c r="G255" s="6"/>
      <c r="H255" s="6"/>
      <c r="I255" s="6"/>
      <c r="J255" s="6"/>
      <c r="K255" s="6"/>
      <c r="L255" s="6"/>
      <c r="M255" s="6"/>
      <c r="N255" s="6"/>
      <c r="P255" s="27"/>
      <c r="Q255" s="6"/>
      <c r="R255" s="6"/>
      <c r="U255" s="27"/>
      <c r="V255" s="6"/>
      <c r="X255" s="6"/>
      <c r="Z255" s="15"/>
    </row>
    <row r="256" spans="1:27" x14ac:dyDescent="0.45">
      <c r="A256" s="13"/>
      <c r="C256" s="6"/>
      <c r="F256" s="27"/>
      <c r="G256" s="6"/>
      <c r="H256" s="6"/>
      <c r="I256" s="6"/>
      <c r="J256" s="6"/>
      <c r="K256" s="6"/>
      <c r="L256" s="6"/>
      <c r="M256" s="6"/>
      <c r="N256" s="6"/>
      <c r="P256" s="27"/>
      <c r="Q256" s="6"/>
      <c r="R256" s="6"/>
      <c r="U256" s="27"/>
      <c r="V256" s="6"/>
      <c r="X256" s="6"/>
      <c r="Z256" s="15"/>
    </row>
    <row r="257" spans="1:26" x14ac:dyDescent="0.45">
      <c r="A257" s="13"/>
      <c r="C257" s="6"/>
      <c r="D257" s="13"/>
      <c r="F257" s="27"/>
      <c r="G257" s="6"/>
      <c r="H257" s="6"/>
      <c r="I257" s="6"/>
      <c r="J257" s="6"/>
      <c r="K257" s="6"/>
      <c r="L257" s="6"/>
      <c r="M257" s="6"/>
      <c r="N257" s="6"/>
      <c r="P257" s="27"/>
      <c r="Q257" s="6" t="s">
        <v>85</v>
      </c>
      <c r="R257" s="6"/>
      <c r="S257" s="13"/>
      <c r="U257" s="27"/>
      <c r="V257" s="6"/>
      <c r="X257" s="6"/>
      <c r="Z257" s="15"/>
    </row>
    <row r="258" spans="1:26" x14ac:dyDescent="0.45">
      <c r="A258" s="13"/>
      <c r="F258" s="37"/>
      <c r="P258" s="37"/>
      <c r="U258" s="37"/>
      <c r="X258" s="6"/>
      <c r="Z258" s="15"/>
    </row>
    <row r="259" spans="1:26" x14ac:dyDescent="0.45">
      <c r="A259" s="161" t="str">
        <f>A$1</f>
        <v>Kentucky-American Water Company</v>
      </c>
      <c r="B259" s="161"/>
      <c r="C259" s="161"/>
      <c r="D259" s="161"/>
      <c r="E259" s="161"/>
      <c r="F259" s="161"/>
      <c r="G259" s="161"/>
      <c r="H259" s="161"/>
      <c r="I259" s="161"/>
      <c r="J259" s="161"/>
      <c r="K259" s="161"/>
      <c r="L259" s="161"/>
      <c r="M259" s="161"/>
      <c r="N259" s="161"/>
      <c r="O259" s="161"/>
      <c r="P259" s="161"/>
      <c r="Q259" s="161"/>
      <c r="R259" s="161"/>
      <c r="S259" s="161"/>
      <c r="T259" s="161"/>
      <c r="U259" s="161"/>
      <c r="V259" s="161"/>
      <c r="W259" s="161"/>
      <c r="X259" s="161"/>
      <c r="Y259" s="161"/>
      <c r="Z259" s="161"/>
    </row>
    <row r="260" spans="1:26" x14ac:dyDescent="0.45">
      <c r="A260" s="161" t="str">
        <f>+$A$2</f>
        <v>Forecast Year Operating Revenues at Present Rates &amp; Proposed Rates</v>
      </c>
      <c r="B260" s="161"/>
      <c r="C260" s="161"/>
      <c r="D260" s="161"/>
      <c r="E260" s="161"/>
      <c r="F260" s="161"/>
      <c r="G260" s="161"/>
      <c r="H260" s="161"/>
      <c r="I260" s="161"/>
      <c r="J260" s="161"/>
      <c r="K260" s="161"/>
      <c r="L260" s="161"/>
      <c r="M260" s="161"/>
      <c r="N260" s="161"/>
      <c r="O260" s="161"/>
      <c r="P260" s="161"/>
      <c r="Q260" s="161"/>
      <c r="R260" s="161"/>
      <c r="S260" s="161"/>
      <c r="T260" s="161"/>
      <c r="U260" s="161"/>
      <c r="V260" s="161"/>
      <c r="W260" s="161"/>
      <c r="X260" s="161"/>
      <c r="Y260" s="161"/>
      <c r="Z260" s="161"/>
    </row>
    <row r="261" spans="1:26" x14ac:dyDescent="0.45">
      <c r="A261" s="161" t="str">
        <f>+$A$3</f>
        <v>Base Year (12 Months Ending September 30, 2023)</v>
      </c>
      <c r="B261" s="161"/>
      <c r="C261" s="161"/>
      <c r="D261" s="161"/>
      <c r="E261" s="161"/>
      <c r="F261" s="161"/>
      <c r="G261" s="161"/>
      <c r="H261" s="161"/>
      <c r="I261" s="161"/>
      <c r="J261" s="161"/>
      <c r="K261" s="161"/>
      <c r="L261" s="161"/>
      <c r="M261" s="161"/>
      <c r="N261" s="161"/>
      <c r="O261" s="161"/>
      <c r="P261" s="161"/>
      <c r="Q261" s="161"/>
      <c r="R261" s="161"/>
      <c r="S261" s="161"/>
      <c r="T261" s="161"/>
      <c r="U261" s="161"/>
      <c r="V261" s="161"/>
      <c r="W261" s="161"/>
      <c r="X261" s="161"/>
      <c r="Y261" s="161"/>
      <c r="Z261" s="161"/>
    </row>
    <row r="262" spans="1:26" x14ac:dyDescent="0.45">
      <c r="A262" s="161" t="str">
        <f>+$A$4</f>
        <v>Forecast Year (12 Months Ending January 31, 2025)</v>
      </c>
      <c r="B262" s="161"/>
      <c r="C262" s="161"/>
      <c r="D262" s="161"/>
      <c r="E262" s="161"/>
      <c r="F262" s="161"/>
      <c r="G262" s="161"/>
      <c r="H262" s="161"/>
      <c r="I262" s="161"/>
      <c r="J262" s="161"/>
      <c r="K262" s="161"/>
      <c r="L262" s="161"/>
      <c r="M262" s="161"/>
      <c r="N262" s="161"/>
      <c r="O262" s="161"/>
      <c r="P262" s="161"/>
      <c r="Q262" s="161"/>
      <c r="R262" s="161"/>
      <c r="S262" s="161"/>
      <c r="T262" s="161"/>
      <c r="U262" s="161"/>
      <c r="V262" s="161"/>
      <c r="W262" s="161"/>
      <c r="X262" s="161"/>
      <c r="Y262" s="161"/>
      <c r="Z262" s="161"/>
    </row>
    <row r="263" spans="1:26" x14ac:dyDescent="0.45">
      <c r="A263" s="9"/>
      <c r="I263" s="161" t="s">
        <v>135</v>
      </c>
      <c r="J263" s="161"/>
      <c r="K263" s="161"/>
      <c r="L263" s="161"/>
      <c r="M263" s="161"/>
      <c r="N263" s="161"/>
      <c r="O263" s="161"/>
      <c r="P263" s="161"/>
      <c r="Q263" s="161"/>
    </row>
    <row r="264" spans="1:26" x14ac:dyDescent="0.45">
      <c r="A264" s="9"/>
      <c r="I264" s="48"/>
      <c r="J264" s="48"/>
      <c r="K264" s="48"/>
      <c r="L264" s="48"/>
      <c r="M264" s="48"/>
      <c r="N264" s="48"/>
      <c r="O264" s="48"/>
      <c r="P264" s="48"/>
      <c r="Q264" s="48"/>
      <c r="Z264" s="10" t="s">
        <v>84</v>
      </c>
    </row>
    <row r="265" spans="1:26" x14ac:dyDescent="0.45">
      <c r="A265" s="9"/>
      <c r="I265" s="48"/>
      <c r="J265" s="48"/>
      <c r="K265" s="48"/>
      <c r="L265" s="48"/>
      <c r="M265" s="48"/>
      <c r="N265" s="48"/>
      <c r="O265" s="48"/>
      <c r="P265" s="48"/>
      <c r="Q265" s="48"/>
      <c r="Z265" s="140"/>
    </row>
    <row r="266" spans="1:26" x14ac:dyDescent="0.45">
      <c r="A266" s="9"/>
      <c r="Z266" s="140"/>
    </row>
    <row r="267" spans="1:26" x14ac:dyDescent="0.45">
      <c r="A267" s="47"/>
      <c r="B267" s="11"/>
      <c r="C267" s="50"/>
      <c r="D267" s="51"/>
      <c r="E267" s="11"/>
      <c r="F267" s="52"/>
      <c r="G267" s="50"/>
      <c r="H267" s="50"/>
      <c r="I267" s="50"/>
      <c r="J267" s="50"/>
      <c r="K267" s="50"/>
      <c r="L267" s="50"/>
      <c r="M267" s="50"/>
      <c r="N267" s="50"/>
      <c r="O267" s="11"/>
      <c r="P267" s="52"/>
      <c r="Q267" s="50"/>
      <c r="R267" s="50"/>
      <c r="S267" s="50"/>
      <c r="T267" s="51"/>
      <c r="U267" s="52"/>
      <c r="V267" s="51"/>
      <c r="W267" s="51"/>
      <c r="X267" s="53"/>
      <c r="Y267" s="51"/>
      <c r="Z267" s="54"/>
    </row>
    <row r="268" spans="1:26" x14ac:dyDescent="0.45">
      <c r="C268" s="13"/>
      <c r="D268" s="162" t="s">
        <v>80</v>
      </c>
      <c r="E268" s="162" t="s">
        <v>48</v>
      </c>
      <c r="F268" s="162"/>
      <c r="G268" s="162"/>
      <c r="H268" s="13"/>
      <c r="I268" s="162" t="s">
        <v>79</v>
      </c>
      <c r="J268" s="162" t="s">
        <v>48</v>
      </c>
      <c r="K268" s="162"/>
      <c r="L268" s="162"/>
      <c r="M268" s="13"/>
      <c r="N268" s="162" t="s">
        <v>51</v>
      </c>
      <c r="O268" s="162" t="s">
        <v>49</v>
      </c>
      <c r="P268" s="162"/>
      <c r="Q268" s="162"/>
      <c r="R268" s="13"/>
      <c r="S268" s="162" t="s">
        <v>52</v>
      </c>
      <c r="T268" s="162" t="s">
        <v>50</v>
      </c>
      <c r="U268" s="162"/>
      <c r="V268" s="162"/>
      <c r="W268" s="12"/>
      <c r="X268" s="12"/>
    </row>
    <row r="269" spans="1:26" x14ac:dyDescent="0.45">
      <c r="C269" s="13"/>
      <c r="D269" s="13" t="s">
        <v>11</v>
      </c>
      <c r="E269" s="13"/>
      <c r="F269" s="13"/>
      <c r="G269" s="13"/>
      <c r="H269" s="13"/>
      <c r="I269" s="13" t="s">
        <v>11</v>
      </c>
      <c r="J269" s="13"/>
      <c r="K269" s="13"/>
      <c r="L269" s="13"/>
      <c r="M269" s="13"/>
      <c r="N269" s="13" t="s">
        <v>11</v>
      </c>
      <c r="O269" s="13"/>
      <c r="P269" s="13"/>
      <c r="Q269" s="13"/>
      <c r="R269" s="13"/>
      <c r="S269" s="13" t="s">
        <v>11</v>
      </c>
      <c r="T269" s="13"/>
      <c r="U269" s="13"/>
      <c r="V269" s="13"/>
      <c r="W269" s="13"/>
      <c r="X269" s="13"/>
    </row>
    <row r="270" spans="1:26" x14ac:dyDescent="0.45">
      <c r="B270" s="13" t="s">
        <v>9</v>
      </c>
      <c r="C270" s="13"/>
      <c r="D270" s="13" t="s">
        <v>12</v>
      </c>
      <c r="E270" s="13" t="s">
        <v>23</v>
      </c>
      <c r="F270" s="13" t="s">
        <v>25</v>
      </c>
      <c r="G270" s="13" t="s">
        <v>1</v>
      </c>
      <c r="H270" s="13"/>
      <c r="I270" s="13" t="s">
        <v>12</v>
      </c>
      <c r="J270" s="13" t="s">
        <v>23</v>
      </c>
      <c r="K270" s="13" t="s">
        <v>81</v>
      </c>
      <c r="L270" s="13" t="s">
        <v>1</v>
      </c>
      <c r="M270" s="13"/>
      <c r="N270" s="13" t="s">
        <v>12</v>
      </c>
      <c r="O270" s="13" t="s">
        <v>23</v>
      </c>
      <c r="P270" s="13" t="s">
        <v>25</v>
      </c>
      <c r="Q270" s="13" t="s">
        <v>1</v>
      </c>
      <c r="R270" s="13"/>
      <c r="S270" s="13" t="s">
        <v>12</v>
      </c>
      <c r="T270" s="13" t="s">
        <v>23</v>
      </c>
      <c r="U270" s="13" t="s">
        <v>44</v>
      </c>
      <c r="V270" s="13" t="s">
        <v>1</v>
      </c>
      <c r="W270" s="13"/>
      <c r="X270" s="13" t="s">
        <v>29</v>
      </c>
      <c r="Z270" s="13" t="s">
        <v>133</v>
      </c>
    </row>
    <row r="271" spans="1:26" x14ac:dyDescent="0.45">
      <c r="A271" s="47" t="s">
        <v>0</v>
      </c>
      <c r="B271" s="47" t="s">
        <v>2</v>
      </c>
      <c r="C271" s="13"/>
      <c r="D271" s="47" t="s">
        <v>13</v>
      </c>
      <c r="E271" s="47" t="str">
        <f>E229</f>
        <v>(000 Gal)</v>
      </c>
      <c r="F271" s="47" t="s">
        <v>26</v>
      </c>
      <c r="G271" s="47" t="s">
        <v>27</v>
      </c>
      <c r="H271" s="13"/>
      <c r="I271" s="47" t="s">
        <v>13</v>
      </c>
      <c r="J271" s="47" t="str">
        <f>J229</f>
        <v>(000 Gal)</v>
      </c>
      <c r="K271" s="47" t="s">
        <v>26</v>
      </c>
      <c r="L271" s="47" t="s">
        <v>27</v>
      </c>
      <c r="M271" s="13"/>
      <c r="N271" s="47" t="s">
        <v>13</v>
      </c>
      <c r="O271" s="47" t="str">
        <f>E271</f>
        <v>(000 Gal)</v>
      </c>
      <c r="P271" s="47" t="s">
        <v>26</v>
      </c>
      <c r="Q271" s="47" t="s">
        <v>27</v>
      </c>
      <c r="R271" s="13"/>
      <c r="S271" s="47" t="s">
        <v>13</v>
      </c>
      <c r="T271" s="47" t="str">
        <f>O271</f>
        <v>(000 Gal)</v>
      </c>
      <c r="U271" s="47" t="s">
        <v>26</v>
      </c>
      <c r="V271" s="47" t="s">
        <v>27</v>
      </c>
      <c r="W271" s="13"/>
      <c r="X271" s="47" t="s">
        <v>30</v>
      </c>
      <c r="Z271" s="47" t="s">
        <v>30</v>
      </c>
    </row>
    <row r="272" spans="1:26" x14ac:dyDescent="0.45">
      <c r="A272" s="13">
        <v>1</v>
      </c>
      <c r="B272" s="9" t="str">
        <f>+I263</f>
        <v>MISCELLANEOUS CLASS (BULK SALES THROUGH LOADING STATIONS)</v>
      </c>
      <c r="C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Z272" s="13"/>
    </row>
    <row r="273" spans="1:26" x14ac:dyDescent="0.45">
      <c r="A273" s="13">
        <v>2</v>
      </c>
      <c r="B273" s="14" t="s">
        <v>10</v>
      </c>
    </row>
    <row r="274" spans="1:26" x14ac:dyDescent="0.45">
      <c r="A274" s="13">
        <v>3</v>
      </c>
      <c r="B274" s="3" t="s">
        <v>14</v>
      </c>
      <c r="C274" s="8"/>
      <c r="D274" s="6">
        <v>182.78</v>
      </c>
      <c r="E274" s="7"/>
      <c r="F274" s="32">
        <f>+'KAWC Rates'!C7</f>
        <v>15</v>
      </c>
      <c r="G274" s="8">
        <f>ROUND(D274*F274,2)</f>
        <v>2741.7</v>
      </c>
      <c r="H274" s="8"/>
      <c r="I274" s="6">
        <f>D274</f>
        <v>182.78</v>
      </c>
      <c r="J274" s="7"/>
      <c r="K274" s="32">
        <f>U274</f>
        <v>17.647499999999997</v>
      </c>
      <c r="L274" s="8">
        <f>ROUND(I274*K274,2)</f>
        <v>3225.61</v>
      </c>
      <c r="M274" s="8"/>
      <c r="N274" s="6">
        <v>180</v>
      </c>
      <c r="O274" s="7"/>
      <c r="P274" s="32">
        <f t="shared" ref="P274:P281" si="97">+F274</f>
        <v>15</v>
      </c>
      <c r="Q274" s="8">
        <f>ROUND(N274*P274,2)</f>
        <v>2700</v>
      </c>
      <c r="R274" s="8"/>
      <c r="S274" s="6">
        <f>N274</f>
        <v>180</v>
      </c>
      <c r="T274" s="7"/>
      <c r="U274" s="32">
        <f>+'KAWC Rates'!D7</f>
        <v>17.647499999999997</v>
      </c>
      <c r="V274" s="8">
        <f>ROUND(S274*U274,2)</f>
        <v>3176.55</v>
      </c>
      <c r="W274" s="8"/>
      <c r="X274" s="8">
        <f>+V274-Q274</f>
        <v>476.55000000000018</v>
      </c>
      <c r="Y274" s="7"/>
      <c r="Z274" s="15">
        <f t="shared" ref="Z274:Z283" si="98">IF(Q274=0,0,ROUND((X274/Q274),4))</f>
        <v>0.17649999999999999</v>
      </c>
    </row>
    <row r="275" spans="1:26" x14ac:dyDescent="0.45">
      <c r="A275" s="13">
        <v>4</v>
      </c>
      <c r="B275" s="3" t="s">
        <v>15</v>
      </c>
      <c r="C275" s="6"/>
      <c r="D275" s="6">
        <v>0</v>
      </c>
      <c r="E275" s="7"/>
      <c r="F275" s="16">
        <f>+'KAWC Rates'!C8</f>
        <v>22.4</v>
      </c>
      <c r="G275" s="6">
        <f t="shared" ref="G275:G282" si="99">ROUND(D275*F275,2)</f>
        <v>0</v>
      </c>
      <c r="H275" s="6"/>
      <c r="I275" s="6">
        <f t="shared" ref="I275:I282" si="100">D275</f>
        <v>0</v>
      </c>
      <c r="J275" s="7"/>
      <c r="K275" s="16">
        <f t="shared" ref="K275:K282" si="101">U275</f>
        <v>26.353599999999997</v>
      </c>
      <c r="L275" s="6">
        <f t="shared" ref="L275:L282" si="102">ROUND(I275*K275,2)</f>
        <v>0</v>
      </c>
      <c r="M275" s="6"/>
      <c r="N275" s="6">
        <v>0</v>
      </c>
      <c r="O275" s="7"/>
      <c r="P275" s="16">
        <f t="shared" si="97"/>
        <v>22.4</v>
      </c>
      <c r="Q275" s="6">
        <f t="shared" ref="Q275:Q282" si="103">ROUND(N275*P275,2)</f>
        <v>0</v>
      </c>
      <c r="R275" s="6"/>
      <c r="S275" s="6">
        <f t="shared" ref="S275:S282" si="104">N275</f>
        <v>0</v>
      </c>
      <c r="T275" s="7"/>
      <c r="U275" s="16">
        <f>+'KAWC Rates'!D8</f>
        <v>26.353599999999997</v>
      </c>
      <c r="V275" s="6">
        <f t="shared" ref="V275:V282" si="105">ROUND(S275*U275,2)</f>
        <v>0</v>
      </c>
      <c r="W275" s="6"/>
      <c r="X275" s="6">
        <f t="shared" ref="X275:X283" si="106">+V275-Q275</f>
        <v>0</v>
      </c>
      <c r="Y275" s="7"/>
      <c r="Z275" s="15">
        <f t="shared" si="98"/>
        <v>0</v>
      </c>
    </row>
    <row r="276" spans="1:26" x14ac:dyDescent="0.45">
      <c r="A276" s="13">
        <v>5</v>
      </c>
      <c r="B276" s="3" t="s">
        <v>16</v>
      </c>
      <c r="C276" s="6"/>
      <c r="D276" s="6">
        <v>262.52</v>
      </c>
      <c r="E276" s="7"/>
      <c r="F276" s="16">
        <f>+'KAWC Rates'!C9</f>
        <v>37.299999999999997</v>
      </c>
      <c r="G276" s="6">
        <f t="shared" si="99"/>
        <v>9792</v>
      </c>
      <c r="H276" s="6"/>
      <c r="I276" s="6">
        <f t="shared" si="100"/>
        <v>262.52</v>
      </c>
      <c r="J276" s="7"/>
      <c r="K276" s="16">
        <f t="shared" si="101"/>
        <v>43.883449999999989</v>
      </c>
      <c r="L276" s="6">
        <f t="shared" si="102"/>
        <v>11520.28</v>
      </c>
      <c r="M276" s="6"/>
      <c r="N276" s="6">
        <v>276</v>
      </c>
      <c r="O276" s="7"/>
      <c r="P276" s="16">
        <f t="shared" si="97"/>
        <v>37.299999999999997</v>
      </c>
      <c r="Q276" s="6">
        <f t="shared" si="103"/>
        <v>10294.799999999999</v>
      </c>
      <c r="R276" s="6"/>
      <c r="S276" s="6">
        <f t="shared" si="104"/>
        <v>276</v>
      </c>
      <c r="T276" s="7"/>
      <c r="U276" s="16">
        <f>+'KAWC Rates'!D9</f>
        <v>43.883449999999989</v>
      </c>
      <c r="V276" s="6">
        <f t="shared" si="105"/>
        <v>12111.83</v>
      </c>
      <c r="W276" s="6"/>
      <c r="X276" s="6">
        <f t="shared" si="106"/>
        <v>1817.0300000000007</v>
      </c>
      <c r="Y276" s="7"/>
      <c r="Z276" s="15">
        <f t="shared" si="98"/>
        <v>0.17649999999999999</v>
      </c>
    </row>
    <row r="277" spans="1:26" x14ac:dyDescent="0.45">
      <c r="A277" s="13">
        <v>6</v>
      </c>
      <c r="B277" s="3" t="s">
        <v>17</v>
      </c>
      <c r="C277" s="6"/>
      <c r="D277" s="6">
        <v>0</v>
      </c>
      <c r="E277" s="7"/>
      <c r="F277" s="16">
        <f>+'KAWC Rates'!C10</f>
        <v>74.7</v>
      </c>
      <c r="G277" s="6">
        <f t="shared" si="99"/>
        <v>0</v>
      </c>
      <c r="H277" s="6"/>
      <c r="I277" s="6">
        <f t="shared" si="100"/>
        <v>0</v>
      </c>
      <c r="J277" s="7"/>
      <c r="K277" s="16">
        <f t="shared" si="101"/>
        <v>87.88454999999999</v>
      </c>
      <c r="L277" s="6">
        <f t="shared" si="102"/>
        <v>0</v>
      </c>
      <c r="M277" s="6"/>
      <c r="N277" s="6">
        <v>0</v>
      </c>
      <c r="O277" s="7"/>
      <c r="P277" s="16">
        <f t="shared" si="97"/>
        <v>74.7</v>
      </c>
      <c r="Q277" s="6">
        <f t="shared" si="103"/>
        <v>0</v>
      </c>
      <c r="R277" s="6"/>
      <c r="S277" s="6">
        <f t="shared" si="104"/>
        <v>0</v>
      </c>
      <c r="T277" s="7"/>
      <c r="U277" s="16">
        <f>+'KAWC Rates'!D10</f>
        <v>87.88454999999999</v>
      </c>
      <c r="V277" s="6">
        <f t="shared" si="105"/>
        <v>0</v>
      </c>
      <c r="W277" s="6"/>
      <c r="X277" s="6">
        <f t="shared" si="106"/>
        <v>0</v>
      </c>
      <c r="Y277" s="7"/>
      <c r="Z277" s="15">
        <f t="shared" si="98"/>
        <v>0</v>
      </c>
    </row>
    <row r="278" spans="1:26" x14ac:dyDescent="0.45">
      <c r="A278" s="13">
        <v>7</v>
      </c>
      <c r="B278" s="3" t="s">
        <v>18</v>
      </c>
      <c r="C278" s="6"/>
      <c r="D278" s="6">
        <v>0</v>
      </c>
      <c r="E278" s="7"/>
      <c r="F278" s="16">
        <f>+'KAWC Rates'!C11</f>
        <v>119.5</v>
      </c>
      <c r="G278" s="6">
        <f t="shared" si="99"/>
        <v>0</v>
      </c>
      <c r="H278" s="6"/>
      <c r="I278" s="6">
        <f t="shared" si="100"/>
        <v>0</v>
      </c>
      <c r="J278" s="7"/>
      <c r="K278" s="16">
        <f t="shared" si="101"/>
        <v>140.59174999999999</v>
      </c>
      <c r="L278" s="6">
        <f t="shared" si="102"/>
        <v>0</v>
      </c>
      <c r="M278" s="6"/>
      <c r="N278" s="6">
        <v>0</v>
      </c>
      <c r="O278" s="7"/>
      <c r="P278" s="16">
        <f t="shared" si="97"/>
        <v>119.5</v>
      </c>
      <c r="Q278" s="6">
        <f t="shared" si="103"/>
        <v>0</v>
      </c>
      <c r="R278" s="6"/>
      <c r="S278" s="6">
        <f t="shared" si="104"/>
        <v>0</v>
      </c>
      <c r="T278" s="7"/>
      <c r="U278" s="16">
        <f>+'KAWC Rates'!D11</f>
        <v>140.59174999999999</v>
      </c>
      <c r="V278" s="6">
        <f t="shared" si="105"/>
        <v>0</v>
      </c>
      <c r="W278" s="6"/>
      <c r="X278" s="6">
        <f t="shared" si="106"/>
        <v>0</v>
      </c>
      <c r="Y278" s="7"/>
      <c r="Z278" s="15">
        <f t="shared" si="98"/>
        <v>0</v>
      </c>
    </row>
    <row r="279" spans="1:26" x14ac:dyDescent="0.45">
      <c r="A279" s="13">
        <v>8</v>
      </c>
      <c r="B279" s="3" t="s">
        <v>19</v>
      </c>
      <c r="C279" s="6"/>
      <c r="D279" s="6">
        <v>250.5</v>
      </c>
      <c r="E279" s="7"/>
      <c r="F279" s="16">
        <f>+'KAWC Rates'!C12</f>
        <v>224</v>
      </c>
      <c r="G279" s="6">
        <f t="shared" si="99"/>
        <v>56112</v>
      </c>
      <c r="H279" s="6"/>
      <c r="I279" s="6">
        <f t="shared" si="100"/>
        <v>250.5</v>
      </c>
      <c r="J279" s="7"/>
      <c r="K279" s="16">
        <f t="shared" si="101"/>
        <v>263.53599999999994</v>
      </c>
      <c r="L279" s="6">
        <f t="shared" si="102"/>
        <v>66015.77</v>
      </c>
      <c r="M279" s="6"/>
      <c r="N279" s="6">
        <v>240</v>
      </c>
      <c r="O279" s="7"/>
      <c r="P279" s="16">
        <f t="shared" si="97"/>
        <v>224</v>
      </c>
      <c r="Q279" s="6">
        <f t="shared" si="103"/>
        <v>53760</v>
      </c>
      <c r="R279" s="6"/>
      <c r="S279" s="6">
        <f t="shared" si="104"/>
        <v>240</v>
      </c>
      <c r="T279" s="7"/>
      <c r="U279" s="16">
        <f>+'KAWC Rates'!D12</f>
        <v>263.53599999999994</v>
      </c>
      <c r="V279" s="6">
        <f t="shared" si="105"/>
        <v>63248.639999999999</v>
      </c>
      <c r="W279" s="6"/>
      <c r="X279" s="6">
        <f t="shared" si="106"/>
        <v>9488.64</v>
      </c>
      <c r="Y279" s="7"/>
      <c r="Z279" s="15">
        <f t="shared" si="98"/>
        <v>0.17649999999999999</v>
      </c>
    </row>
    <row r="280" spans="1:26" x14ac:dyDescent="0.45">
      <c r="A280" s="13">
        <v>9</v>
      </c>
      <c r="B280" s="3" t="s">
        <v>20</v>
      </c>
      <c r="C280" s="6"/>
      <c r="D280" s="6">
        <v>0</v>
      </c>
      <c r="E280" s="7"/>
      <c r="F280" s="16">
        <f>+'KAWC Rates'!C13</f>
        <v>373.4</v>
      </c>
      <c r="G280" s="6">
        <f t="shared" si="99"/>
        <v>0</v>
      </c>
      <c r="H280" s="6"/>
      <c r="I280" s="6">
        <f t="shared" si="100"/>
        <v>0</v>
      </c>
      <c r="J280" s="7"/>
      <c r="K280" s="16">
        <f t="shared" si="101"/>
        <v>439.30509999999992</v>
      </c>
      <c r="L280" s="6">
        <f t="shared" si="102"/>
        <v>0</v>
      </c>
      <c r="M280" s="6"/>
      <c r="N280" s="6">
        <v>0</v>
      </c>
      <c r="O280" s="7"/>
      <c r="P280" s="16">
        <f t="shared" si="97"/>
        <v>373.4</v>
      </c>
      <c r="Q280" s="6">
        <f t="shared" si="103"/>
        <v>0</v>
      </c>
      <c r="R280" s="6"/>
      <c r="S280" s="6">
        <f t="shared" si="104"/>
        <v>0</v>
      </c>
      <c r="T280" s="7"/>
      <c r="U280" s="16">
        <f>+'KAWC Rates'!D13</f>
        <v>439.30509999999992</v>
      </c>
      <c r="V280" s="6">
        <f t="shared" si="105"/>
        <v>0</v>
      </c>
      <c r="W280" s="6"/>
      <c r="X280" s="6">
        <f t="shared" si="106"/>
        <v>0</v>
      </c>
      <c r="Y280" s="7"/>
      <c r="Z280" s="15">
        <f t="shared" si="98"/>
        <v>0</v>
      </c>
    </row>
    <row r="281" spans="1:26" x14ac:dyDescent="0.45">
      <c r="A281" s="13">
        <v>10</v>
      </c>
      <c r="B281" s="3" t="s">
        <v>21</v>
      </c>
      <c r="C281" s="6"/>
      <c r="D281" s="6">
        <v>0</v>
      </c>
      <c r="E281" s="7"/>
      <c r="F281" s="16">
        <f>+'KAWC Rates'!C14</f>
        <v>746.7</v>
      </c>
      <c r="G281" s="6">
        <f t="shared" si="99"/>
        <v>0</v>
      </c>
      <c r="H281" s="6"/>
      <c r="I281" s="6">
        <f t="shared" si="100"/>
        <v>0</v>
      </c>
      <c r="J281" s="7"/>
      <c r="K281" s="16">
        <f t="shared" si="101"/>
        <v>878.49254999999994</v>
      </c>
      <c r="L281" s="6">
        <f t="shared" si="102"/>
        <v>0</v>
      </c>
      <c r="M281" s="6"/>
      <c r="N281" s="6">
        <v>0</v>
      </c>
      <c r="O281" s="7"/>
      <c r="P281" s="16">
        <f t="shared" si="97"/>
        <v>746.7</v>
      </c>
      <c r="Q281" s="6">
        <f t="shared" si="103"/>
        <v>0</v>
      </c>
      <c r="R281" s="6"/>
      <c r="S281" s="6">
        <f t="shared" si="104"/>
        <v>0</v>
      </c>
      <c r="T281" s="7"/>
      <c r="U281" s="16">
        <f>+'KAWC Rates'!D14</f>
        <v>878.49254999999994</v>
      </c>
      <c r="V281" s="6">
        <f t="shared" si="105"/>
        <v>0</v>
      </c>
      <c r="W281" s="6"/>
      <c r="X281" s="6">
        <f t="shared" si="106"/>
        <v>0</v>
      </c>
      <c r="Y281" s="7"/>
      <c r="Z281" s="15">
        <f t="shared" si="98"/>
        <v>0</v>
      </c>
    </row>
    <row r="282" spans="1:26" x14ac:dyDescent="0.45">
      <c r="A282" s="13">
        <v>11</v>
      </c>
      <c r="B282" s="3" t="s">
        <v>22</v>
      </c>
      <c r="C282" s="6"/>
      <c r="D282" s="6">
        <v>0</v>
      </c>
      <c r="E282" s="7"/>
      <c r="F282" s="16">
        <f>+'KAWC Rates'!C15</f>
        <v>1194.7</v>
      </c>
      <c r="G282" s="6">
        <f t="shared" si="99"/>
        <v>0</v>
      </c>
      <c r="H282" s="6"/>
      <c r="I282" s="6">
        <f t="shared" si="100"/>
        <v>0</v>
      </c>
      <c r="J282" s="7"/>
      <c r="K282" s="16">
        <f t="shared" si="101"/>
        <v>1405.5645499999998</v>
      </c>
      <c r="L282" s="6">
        <f t="shared" si="102"/>
        <v>0</v>
      </c>
      <c r="M282" s="6"/>
      <c r="N282" s="6">
        <v>0</v>
      </c>
      <c r="O282" s="7"/>
      <c r="P282" s="16">
        <f>+F282</f>
        <v>1194.7</v>
      </c>
      <c r="Q282" s="6">
        <f t="shared" si="103"/>
        <v>0</v>
      </c>
      <c r="R282" s="6"/>
      <c r="S282" s="6">
        <f t="shared" si="104"/>
        <v>0</v>
      </c>
      <c r="T282" s="7"/>
      <c r="U282" s="16">
        <f>+'KAWC Rates'!D15</f>
        <v>1405.5645499999998</v>
      </c>
      <c r="V282" s="6">
        <f t="shared" si="105"/>
        <v>0</v>
      </c>
      <c r="W282" s="6"/>
      <c r="X282" s="6">
        <f t="shared" si="106"/>
        <v>0</v>
      </c>
      <c r="Y282" s="7"/>
      <c r="Z282" s="15">
        <f t="shared" si="98"/>
        <v>0</v>
      </c>
    </row>
    <row r="283" spans="1:26" x14ac:dyDescent="0.45">
      <c r="A283" s="13">
        <v>12</v>
      </c>
      <c r="C283" s="6"/>
      <c r="D283" s="6"/>
      <c r="E283" s="7"/>
      <c r="F283" s="16"/>
      <c r="G283" s="6"/>
      <c r="H283" s="6"/>
      <c r="I283" s="6"/>
      <c r="J283" s="7"/>
      <c r="K283" s="16"/>
      <c r="L283" s="6"/>
      <c r="M283" s="6"/>
      <c r="N283" s="6"/>
      <c r="O283" s="7"/>
      <c r="P283" s="16"/>
      <c r="Q283" s="6"/>
      <c r="R283" s="6"/>
      <c r="S283" s="6"/>
      <c r="T283" s="7"/>
      <c r="U283" s="16"/>
      <c r="V283" s="6"/>
      <c r="W283" s="6"/>
      <c r="X283" s="6">
        <f t="shared" si="106"/>
        <v>0</v>
      </c>
      <c r="Y283" s="7"/>
      <c r="Z283" s="15">
        <f t="shared" si="98"/>
        <v>0</v>
      </c>
    </row>
    <row r="284" spans="1:26" x14ac:dyDescent="0.45">
      <c r="A284" s="13">
        <v>13</v>
      </c>
      <c r="C284" s="6"/>
      <c r="D284" s="6"/>
      <c r="E284" s="7"/>
      <c r="F284" s="16"/>
      <c r="G284" s="6"/>
      <c r="H284" s="6"/>
      <c r="I284" s="6"/>
      <c r="J284" s="7"/>
      <c r="K284" s="16"/>
      <c r="L284" s="6"/>
      <c r="M284" s="6"/>
      <c r="N284" s="6"/>
      <c r="O284" s="7"/>
      <c r="P284" s="16"/>
      <c r="Q284" s="6"/>
      <c r="R284" s="6"/>
      <c r="S284" s="6"/>
      <c r="T284" s="7"/>
      <c r="U284" s="16"/>
      <c r="V284" s="6"/>
      <c r="W284" s="6"/>
      <c r="X284" s="8"/>
      <c r="Y284" s="7"/>
      <c r="Z284" s="15"/>
    </row>
    <row r="285" spans="1:26" x14ac:dyDescent="0.45">
      <c r="A285" s="13">
        <v>14</v>
      </c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6"/>
      <c r="Y285" s="7"/>
      <c r="Z285" s="15"/>
    </row>
    <row r="286" spans="1:26" x14ac:dyDescent="0.45">
      <c r="A286" s="13">
        <v>15</v>
      </c>
      <c r="F286" s="7"/>
      <c r="K286" s="7"/>
    </row>
    <row r="287" spans="1:26" x14ac:dyDescent="0.45">
      <c r="A287" s="13">
        <v>16</v>
      </c>
      <c r="B287" s="14" t="s">
        <v>24</v>
      </c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6"/>
      <c r="Y287" s="7"/>
      <c r="Z287" s="15"/>
    </row>
    <row r="288" spans="1:26" x14ac:dyDescent="0.45">
      <c r="A288" s="13">
        <v>17</v>
      </c>
      <c r="B288" s="3" t="s">
        <v>104</v>
      </c>
      <c r="C288" s="8"/>
      <c r="D288" s="7"/>
      <c r="E288" s="6">
        <v>15246.863999999998</v>
      </c>
      <c r="F288" s="33">
        <f>+'KAWC Rates'!C53*10</f>
        <v>3.3479999999999999</v>
      </c>
      <c r="G288" s="8">
        <f>ROUND(E288*F288,2)</f>
        <v>51046.5</v>
      </c>
      <c r="H288" s="8"/>
      <c r="I288" s="7"/>
      <c r="J288" s="6">
        <f>E288</f>
        <v>15246.863999999998</v>
      </c>
      <c r="K288" s="33">
        <f>U288</f>
        <v>3.9400356880670202</v>
      </c>
      <c r="L288" s="8">
        <f>ROUND(J288*K288,2)</f>
        <v>60073.19</v>
      </c>
      <c r="M288" s="8"/>
      <c r="N288" s="7"/>
      <c r="O288" s="6">
        <v>8989.6000000000022</v>
      </c>
      <c r="P288" s="33">
        <f>+F288</f>
        <v>3.3479999999999999</v>
      </c>
      <c r="Q288" s="8">
        <f>ROUND(O288*P288,2)</f>
        <v>30097.18</v>
      </c>
      <c r="R288" s="8"/>
      <c r="S288" s="7"/>
      <c r="T288" s="6">
        <f>O288</f>
        <v>8989.6000000000022</v>
      </c>
      <c r="U288" s="33">
        <f>+'KAWC Rates'!D53*10</f>
        <v>3.9400356880670202</v>
      </c>
      <c r="V288" s="8">
        <f>ROUND(T288*U288,2)</f>
        <v>35419.339999999997</v>
      </c>
      <c r="W288" s="6"/>
      <c r="X288" s="8">
        <f t="shared" ref="X288" si="107">+V288-Q288</f>
        <v>5322.1599999999962</v>
      </c>
      <c r="Y288" s="7"/>
      <c r="Z288" s="15">
        <f t="shared" ref="Z288" si="108">IF(Q288=0,0,ROUND((X288/Q288),4))</f>
        <v>0.17680000000000001</v>
      </c>
    </row>
    <row r="289" spans="1:28" x14ac:dyDescent="0.45">
      <c r="A289" s="13">
        <v>18</v>
      </c>
      <c r="C289" s="6"/>
      <c r="E289" s="6"/>
      <c r="F289" s="21"/>
      <c r="G289" s="6"/>
      <c r="H289" s="6"/>
      <c r="J289" s="6"/>
      <c r="K289" s="21"/>
      <c r="L289" s="6"/>
      <c r="M289" s="6"/>
      <c r="O289" s="6"/>
      <c r="P289" s="21"/>
      <c r="Q289" s="6"/>
      <c r="R289" s="6"/>
      <c r="T289" s="6"/>
      <c r="U289" s="21"/>
      <c r="V289" s="6"/>
      <c r="W289" s="6"/>
      <c r="X289" s="6"/>
      <c r="Z289" s="15"/>
      <c r="AB289" s="37"/>
    </row>
    <row r="290" spans="1:28" x14ac:dyDescent="0.45">
      <c r="A290" s="13">
        <v>19</v>
      </c>
      <c r="C290" s="6"/>
      <c r="E290" s="6"/>
      <c r="F290" s="21"/>
      <c r="G290" s="6"/>
      <c r="H290" s="6"/>
      <c r="J290" s="6"/>
      <c r="K290" s="21"/>
      <c r="L290" s="6"/>
      <c r="M290" s="6"/>
      <c r="O290" s="6"/>
      <c r="P290" s="21"/>
      <c r="Q290" s="6"/>
      <c r="R290" s="6"/>
      <c r="T290" s="6"/>
      <c r="U290" s="21"/>
      <c r="V290" s="6"/>
      <c r="W290" s="6"/>
      <c r="X290" s="6"/>
      <c r="Z290" s="15"/>
    </row>
    <row r="291" spans="1:28" x14ac:dyDescent="0.45">
      <c r="A291" s="13">
        <v>20</v>
      </c>
      <c r="C291" s="6"/>
      <c r="E291" s="6"/>
      <c r="F291" s="21"/>
      <c r="G291" s="6"/>
      <c r="H291" s="6"/>
      <c r="J291" s="6"/>
      <c r="K291" s="21"/>
      <c r="L291" s="6"/>
      <c r="M291" s="6"/>
      <c r="O291" s="6"/>
      <c r="P291" s="21"/>
      <c r="Q291" s="6"/>
      <c r="R291" s="6"/>
      <c r="T291" s="6"/>
      <c r="U291" s="21"/>
      <c r="V291" s="6"/>
      <c r="W291" s="6"/>
      <c r="X291" s="6"/>
      <c r="Z291" s="15"/>
    </row>
    <row r="292" spans="1:28" x14ac:dyDescent="0.45">
      <c r="A292" s="13">
        <v>21</v>
      </c>
      <c r="B292" s="3" t="s">
        <v>136</v>
      </c>
      <c r="E292" s="6"/>
      <c r="F292" s="72"/>
      <c r="G292" s="6">
        <v>0</v>
      </c>
      <c r="H292" s="6"/>
      <c r="J292" s="6"/>
      <c r="K292" s="72">
        <f>+U292</f>
        <v>0</v>
      </c>
      <c r="L292" s="6">
        <f>+ROUND(SUM(L274:L288)*K292,2)</f>
        <v>0</v>
      </c>
      <c r="O292" s="6"/>
      <c r="P292" s="73"/>
      <c r="Q292" s="8">
        <v>0</v>
      </c>
      <c r="T292" s="6"/>
      <c r="U292" s="72"/>
      <c r="V292" s="8">
        <f>+Q292</f>
        <v>0</v>
      </c>
      <c r="X292" s="8">
        <f t="shared" ref="X292" si="109">+V292-Q292</f>
        <v>0</v>
      </c>
      <c r="Y292" s="7"/>
      <c r="Z292" s="15">
        <f t="shared" ref="Z292" si="110">IF(Q292=0,0,ROUND((X292/Q292),4))</f>
        <v>0</v>
      </c>
    </row>
    <row r="293" spans="1:28" x14ac:dyDescent="0.45">
      <c r="A293" s="13">
        <v>22</v>
      </c>
      <c r="E293" s="6"/>
      <c r="F293" s="21"/>
      <c r="G293" s="6"/>
      <c r="H293" s="6"/>
      <c r="J293" s="6"/>
      <c r="K293" s="21"/>
      <c r="L293" s="6"/>
      <c r="O293" s="6"/>
      <c r="P293" s="21"/>
      <c r="Q293" s="6"/>
      <c r="T293" s="6"/>
      <c r="U293" s="21"/>
      <c r="V293" s="6"/>
      <c r="X293" s="6"/>
      <c r="Z293" s="15"/>
    </row>
    <row r="294" spans="1:28" x14ac:dyDescent="0.45">
      <c r="A294" s="13">
        <v>23</v>
      </c>
      <c r="C294" s="22"/>
      <c r="F294" s="21"/>
      <c r="G294" s="22"/>
      <c r="H294" s="22"/>
      <c r="J294" s="6"/>
      <c r="K294" s="33"/>
      <c r="L294" s="22"/>
      <c r="M294" s="22"/>
      <c r="P294" s="13"/>
      <c r="Q294" s="22"/>
      <c r="R294" s="22"/>
      <c r="U294" s="13"/>
      <c r="V294" s="22"/>
      <c r="W294" s="22"/>
      <c r="X294" s="22"/>
      <c r="Z294" s="15"/>
    </row>
    <row r="295" spans="1:28" x14ac:dyDescent="0.45">
      <c r="A295" s="13">
        <v>24</v>
      </c>
      <c r="C295" s="23"/>
      <c r="F295" s="23"/>
      <c r="G295" s="23"/>
      <c r="H295" s="23"/>
      <c r="K295" s="23"/>
      <c r="L295" s="23"/>
      <c r="M295" s="23"/>
      <c r="P295" s="23"/>
      <c r="Q295" s="23"/>
      <c r="R295" s="23"/>
      <c r="U295" s="23"/>
      <c r="V295" s="23"/>
      <c r="W295" s="23"/>
      <c r="X295" s="6"/>
      <c r="Z295" s="15"/>
      <c r="AA295" s="15"/>
    </row>
    <row r="296" spans="1:28" ht="14.65" thickBot="1" x14ac:dyDescent="0.5">
      <c r="A296" s="13">
        <v>25</v>
      </c>
      <c r="B296" s="3" t="s">
        <v>1</v>
      </c>
      <c r="C296" s="25"/>
      <c r="D296" s="34"/>
      <c r="E296" s="35">
        <f>SUM(E288:E295)</f>
        <v>15246.863999999998</v>
      </c>
      <c r="F296" s="25"/>
      <c r="G296" s="36">
        <f>SUM(G274:G295)</f>
        <v>119692.2</v>
      </c>
      <c r="H296" s="25"/>
      <c r="I296" s="34"/>
      <c r="J296" s="35">
        <f>SUM(J288:J295)</f>
        <v>15246.863999999998</v>
      </c>
      <c r="K296" s="25"/>
      <c r="L296" s="36">
        <f>SUM(L274:L295)</f>
        <v>140834.85</v>
      </c>
      <c r="M296" s="25"/>
      <c r="N296" s="34"/>
      <c r="O296" s="35">
        <f>SUM(O288:O295)</f>
        <v>8989.6000000000022</v>
      </c>
      <c r="P296" s="25"/>
      <c r="Q296" s="36">
        <f>SUM(Q274:Q295)</f>
        <v>96851.98000000001</v>
      </c>
      <c r="R296" s="25"/>
      <c r="S296" s="34"/>
      <c r="T296" s="35">
        <f>SUM(T288:T295)</f>
        <v>8989.6000000000022</v>
      </c>
      <c r="U296" s="25"/>
      <c r="V296" s="36">
        <f>SUM(V274:V295)</f>
        <v>113956.36</v>
      </c>
      <c r="W296" s="25"/>
      <c r="X296" s="36">
        <f>SUM(X274:X295)</f>
        <v>17104.379999999997</v>
      </c>
      <c r="Z296" s="30">
        <f t="shared" ref="Z296" si="111">IF(Q296=0,0,ROUND((X296/Q296),4))</f>
        <v>0.17660000000000001</v>
      </c>
    </row>
    <row r="297" spans="1:28" ht="14.65" thickTop="1" x14ac:dyDescent="0.45">
      <c r="A297" s="13"/>
      <c r="C297" s="6"/>
      <c r="F297" s="27"/>
      <c r="G297" s="6"/>
      <c r="H297" s="6"/>
      <c r="I297" s="6"/>
      <c r="J297" s="6"/>
      <c r="K297" s="6"/>
      <c r="L297" s="6"/>
      <c r="M297" s="6"/>
      <c r="N297" s="6"/>
      <c r="P297" s="27"/>
      <c r="Q297" s="6"/>
      <c r="R297" s="6"/>
      <c r="U297" s="27"/>
      <c r="V297" s="6"/>
      <c r="X297" s="6"/>
      <c r="Z297" s="15"/>
    </row>
    <row r="298" spans="1:28" x14ac:dyDescent="0.45">
      <c r="A298" s="13"/>
      <c r="C298" s="6"/>
      <c r="F298" s="27"/>
      <c r="G298" s="6"/>
      <c r="H298" s="6"/>
      <c r="I298" s="6"/>
      <c r="J298" s="6"/>
      <c r="K298" s="6"/>
      <c r="L298" s="6"/>
      <c r="M298" s="6"/>
      <c r="N298" s="6"/>
      <c r="P298" s="27"/>
      <c r="Q298" s="6"/>
      <c r="R298" s="6"/>
      <c r="U298" s="27"/>
      <c r="V298" s="6"/>
      <c r="X298" s="6"/>
      <c r="Z298" s="15"/>
    </row>
    <row r="299" spans="1:28" x14ac:dyDescent="0.45">
      <c r="A299" s="13"/>
      <c r="C299" s="6"/>
      <c r="D299" s="13"/>
      <c r="F299" s="27"/>
      <c r="G299" s="6"/>
      <c r="H299" s="6"/>
      <c r="I299" s="6"/>
      <c r="J299" s="6"/>
      <c r="K299" s="6"/>
      <c r="L299" s="6"/>
      <c r="M299" s="6"/>
      <c r="N299" s="6"/>
      <c r="P299" s="27"/>
      <c r="Q299" s="6" t="s">
        <v>85</v>
      </c>
      <c r="R299" s="6"/>
      <c r="S299" s="13"/>
      <c r="U299" s="27"/>
      <c r="V299" s="6"/>
      <c r="X299" s="6"/>
      <c r="Z299" s="15"/>
    </row>
    <row r="300" spans="1:28" x14ac:dyDescent="0.45">
      <c r="A300" s="13"/>
      <c r="F300" s="37"/>
      <c r="P300" s="37"/>
      <c r="U300" s="37"/>
      <c r="X300" s="6"/>
      <c r="Z300" s="15"/>
    </row>
    <row r="301" spans="1:28" x14ac:dyDescent="0.45">
      <c r="A301" s="13"/>
      <c r="F301" s="37"/>
      <c r="P301" s="37"/>
      <c r="U301" s="37"/>
      <c r="X301" s="6"/>
      <c r="Z301" s="15"/>
    </row>
    <row r="302" spans="1:28" x14ac:dyDescent="0.45">
      <c r="A302" s="161" t="str">
        <f>A$1</f>
        <v>Kentucky-American Water Company</v>
      </c>
      <c r="B302" s="161"/>
      <c r="C302" s="161"/>
      <c r="D302" s="161"/>
      <c r="E302" s="161"/>
      <c r="F302" s="161"/>
      <c r="G302" s="161"/>
      <c r="H302" s="161"/>
      <c r="I302" s="161"/>
      <c r="J302" s="161"/>
      <c r="K302" s="161"/>
      <c r="L302" s="161"/>
      <c r="M302" s="161"/>
      <c r="N302" s="161"/>
      <c r="O302" s="161"/>
      <c r="P302" s="161"/>
      <c r="Q302" s="161"/>
      <c r="R302" s="161"/>
      <c r="S302" s="161"/>
      <c r="T302" s="161"/>
      <c r="U302" s="161"/>
      <c r="V302" s="161"/>
      <c r="W302" s="161"/>
      <c r="X302" s="161"/>
      <c r="Y302" s="161"/>
      <c r="Z302" s="161"/>
    </row>
    <row r="303" spans="1:28" x14ac:dyDescent="0.45">
      <c r="A303" s="161" t="str">
        <f>+$A$2</f>
        <v>Forecast Year Operating Revenues at Present Rates &amp; Proposed Rates</v>
      </c>
      <c r="B303" s="161"/>
      <c r="C303" s="161"/>
      <c r="D303" s="161"/>
      <c r="E303" s="161"/>
      <c r="F303" s="161"/>
      <c r="G303" s="161"/>
      <c r="H303" s="161"/>
      <c r="I303" s="161"/>
      <c r="J303" s="161"/>
      <c r="K303" s="161"/>
      <c r="L303" s="161"/>
      <c r="M303" s="161"/>
      <c r="N303" s="161"/>
      <c r="O303" s="161"/>
      <c r="P303" s="161"/>
      <c r="Q303" s="161"/>
      <c r="R303" s="161"/>
      <c r="S303" s="161"/>
      <c r="T303" s="161"/>
      <c r="U303" s="161"/>
      <c r="V303" s="161"/>
      <c r="W303" s="161"/>
      <c r="X303" s="161"/>
      <c r="Y303" s="161"/>
      <c r="Z303" s="161"/>
    </row>
    <row r="304" spans="1:28" x14ac:dyDescent="0.45">
      <c r="A304" s="161" t="str">
        <f>+$A$3</f>
        <v>Base Year (12 Months Ending September 30, 2023)</v>
      </c>
      <c r="B304" s="161"/>
      <c r="C304" s="161"/>
      <c r="D304" s="161"/>
      <c r="E304" s="161"/>
      <c r="F304" s="161"/>
      <c r="G304" s="161"/>
      <c r="H304" s="161"/>
      <c r="I304" s="161"/>
      <c r="J304" s="161"/>
      <c r="K304" s="161"/>
      <c r="L304" s="161"/>
      <c r="M304" s="161"/>
      <c r="N304" s="161"/>
      <c r="O304" s="161"/>
      <c r="P304" s="161"/>
      <c r="Q304" s="161"/>
      <c r="R304" s="161"/>
      <c r="S304" s="161"/>
      <c r="T304" s="161"/>
      <c r="U304" s="161"/>
      <c r="V304" s="161"/>
      <c r="W304" s="161"/>
      <c r="X304" s="161"/>
      <c r="Y304" s="161"/>
      <c r="Z304" s="161"/>
    </row>
    <row r="305" spans="1:26" x14ac:dyDescent="0.45">
      <c r="A305" s="161" t="str">
        <f>+$A$4</f>
        <v>Forecast Year (12 Months Ending January 31, 2025)</v>
      </c>
      <c r="B305" s="161"/>
      <c r="C305" s="161"/>
      <c r="D305" s="161"/>
      <c r="E305" s="161"/>
      <c r="F305" s="161"/>
      <c r="G305" s="161"/>
      <c r="H305" s="161"/>
      <c r="I305" s="161"/>
      <c r="J305" s="161"/>
      <c r="K305" s="161"/>
      <c r="L305" s="161"/>
      <c r="M305" s="161"/>
      <c r="N305" s="161"/>
      <c r="O305" s="161"/>
      <c r="P305" s="161"/>
      <c r="Q305" s="161"/>
      <c r="R305" s="161"/>
      <c r="S305" s="161"/>
      <c r="T305" s="161"/>
      <c r="U305" s="161"/>
      <c r="V305" s="161"/>
      <c r="W305" s="161"/>
      <c r="X305" s="161"/>
      <c r="Y305" s="161"/>
      <c r="Z305" s="161"/>
    </row>
    <row r="306" spans="1:26" x14ac:dyDescent="0.45">
      <c r="A306" s="9"/>
      <c r="I306" s="161" t="s">
        <v>92</v>
      </c>
      <c r="J306" s="161"/>
      <c r="K306" s="161"/>
      <c r="L306" s="161"/>
      <c r="M306" s="161"/>
      <c r="N306" s="161"/>
      <c r="O306" s="161"/>
      <c r="P306" s="161"/>
      <c r="Q306" s="161"/>
    </row>
    <row r="307" spans="1:26" x14ac:dyDescent="0.45">
      <c r="A307" s="9"/>
      <c r="I307" s="48"/>
      <c r="J307" s="48"/>
      <c r="K307" s="48"/>
      <c r="L307" s="48"/>
      <c r="M307" s="48"/>
      <c r="N307" s="48"/>
      <c r="O307" s="48"/>
      <c r="P307" s="48"/>
      <c r="Q307" s="48"/>
      <c r="Z307" s="10" t="s">
        <v>84</v>
      </c>
    </row>
    <row r="308" spans="1:26" x14ac:dyDescent="0.45">
      <c r="A308" s="9"/>
      <c r="I308" s="48"/>
      <c r="J308" s="48"/>
      <c r="K308" s="48"/>
      <c r="L308" s="48"/>
      <c r="M308" s="48"/>
      <c r="N308" s="48"/>
      <c r="O308" s="48"/>
      <c r="P308" s="48"/>
      <c r="Q308" s="48"/>
      <c r="Z308" s="140"/>
    </row>
    <row r="309" spans="1:26" x14ac:dyDescent="0.45">
      <c r="A309" s="9"/>
      <c r="Z309" s="140"/>
    </row>
    <row r="310" spans="1:26" x14ac:dyDescent="0.45">
      <c r="A310" s="47"/>
      <c r="B310" s="11"/>
      <c r="C310" s="50"/>
      <c r="D310" s="51"/>
      <c r="E310" s="11"/>
      <c r="F310" s="52"/>
      <c r="G310" s="50"/>
      <c r="H310" s="50"/>
      <c r="I310" s="50"/>
      <c r="J310" s="50"/>
      <c r="K310" s="50"/>
      <c r="L310" s="50"/>
      <c r="M310" s="50"/>
      <c r="N310" s="50"/>
      <c r="O310" s="11"/>
      <c r="P310" s="52"/>
      <c r="Q310" s="50"/>
      <c r="R310" s="50"/>
      <c r="S310" s="50"/>
      <c r="T310" s="51"/>
      <c r="U310" s="52"/>
      <c r="V310" s="51"/>
      <c r="W310" s="51"/>
      <c r="X310" s="53"/>
      <c r="Y310" s="51"/>
      <c r="Z310" s="54"/>
    </row>
    <row r="311" spans="1:26" x14ac:dyDescent="0.45">
      <c r="C311" s="13"/>
      <c r="E311" s="162" t="s">
        <v>80</v>
      </c>
      <c r="F311" s="162"/>
      <c r="G311" s="162"/>
      <c r="H311" s="13"/>
      <c r="I311" s="13"/>
      <c r="J311" s="162" t="s">
        <v>79</v>
      </c>
      <c r="K311" s="162"/>
      <c r="L311" s="162"/>
      <c r="M311" s="13"/>
      <c r="O311" s="162" t="s">
        <v>51</v>
      </c>
      <c r="P311" s="162"/>
      <c r="Q311" s="162"/>
      <c r="R311" s="13"/>
      <c r="T311" s="162" t="s">
        <v>52</v>
      </c>
      <c r="U311" s="162"/>
      <c r="V311" s="162"/>
    </row>
    <row r="312" spans="1:26" x14ac:dyDescent="0.45">
      <c r="C312" s="13"/>
      <c r="E312" s="13" t="s">
        <v>39</v>
      </c>
      <c r="F312" s="13"/>
      <c r="G312" s="13"/>
      <c r="H312" s="13"/>
      <c r="I312" s="13"/>
      <c r="J312" s="13" t="s">
        <v>39</v>
      </c>
      <c r="K312" s="13"/>
      <c r="L312" s="13"/>
      <c r="M312" s="13"/>
      <c r="N312" s="13"/>
      <c r="O312" s="13" t="s">
        <v>39</v>
      </c>
      <c r="P312" s="13"/>
      <c r="Q312" s="13"/>
      <c r="R312" s="13"/>
      <c r="T312" s="13" t="s">
        <v>39</v>
      </c>
      <c r="U312" s="13"/>
      <c r="V312" s="13"/>
      <c r="W312" s="13"/>
      <c r="X312" s="13"/>
    </row>
    <row r="313" spans="1:26" x14ac:dyDescent="0.45">
      <c r="B313" s="13" t="s">
        <v>33</v>
      </c>
      <c r="C313" s="13"/>
      <c r="E313" s="13" t="s">
        <v>40</v>
      </c>
      <c r="F313" s="13" t="s">
        <v>25</v>
      </c>
      <c r="G313" s="13" t="s">
        <v>1</v>
      </c>
      <c r="H313" s="13"/>
      <c r="I313" s="13"/>
      <c r="J313" s="13" t="s">
        <v>40</v>
      </c>
      <c r="K313" s="13" t="s">
        <v>44</v>
      </c>
      <c r="L313" s="13" t="s">
        <v>1</v>
      </c>
      <c r="M313" s="13"/>
      <c r="N313" s="13"/>
      <c r="O313" s="13" t="s">
        <v>40</v>
      </c>
      <c r="P313" s="13" t="s">
        <v>25</v>
      </c>
      <c r="Q313" s="13" t="s">
        <v>1</v>
      </c>
      <c r="R313" s="13"/>
      <c r="T313" s="13" t="s">
        <v>40</v>
      </c>
      <c r="U313" s="13" t="s">
        <v>44</v>
      </c>
      <c r="V313" s="13" t="s">
        <v>1</v>
      </c>
      <c r="W313" s="13"/>
      <c r="X313" s="13" t="s">
        <v>29</v>
      </c>
      <c r="Z313" s="13" t="s">
        <v>133</v>
      </c>
    </row>
    <row r="314" spans="1:26" x14ac:dyDescent="0.45">
      <c r="A314" s="11" t="s">
        <v>0</v>
      </c>
      <c r="B314" s="47" t="s">
        <v>34</v>
      </c>
      <c r="C314" s="13"/>
      <c r="E314" s="47" t="s">
        <v>41</v>
      </c>
      <c r="F314" s="47" t="s">
        <v>26</v>
      </c>
      <c r="G314" s="47" t="s">
        <v>27</v>
      </c>
      <c r="H314" s="13"/>
      <c r="I314" s="13"/>
      <c r="J314" s="47" t="s">
        <v>41</v>
      </c>
      <c r="K314" s="47" t="s">
        <v>26</v>
      </c>
      <c r="L314" s="47" t="s">
        <v>27</v>
      </c>
      <c r="M314" s="13"/>
      <c r="N314" s="13"/>
      <c r="O314" s="47" t="s">
        <v>41</v>
      </c>
      <c r="P314" s="47" t="s">
        <v>26</v>
      </c>
      <c r="Q314" s="47" t="s">
        <v>27</v>
      </c>
      <c r="R314" s="13"/>
      <c r="T314" s="47" t="s">
        <v>41</v>
      </c>
      <c r="U314" s="47" t="s">
        <v>26</v>
      </c>
      <c r="V314" s="47" t="s">
        <v>27</v>
      </c>
      <c r="W314" s="13"/>
      <c r="X314" s="47" t="s">
        <v>30</v>
      </c>
      <c r="Z314" s="47" t="s">
        <v>30</v>
      </c>
    </row>
    <row r="315" spans="1:26" x14ac:dyDescent="0.45">
      <c r="A315" s="13">
        <v>1</v>
      </c>
      <c r="B315" s="9" t="s">
        <v>32</v>
      </c>
      <c r="C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T315" s="13"/>
      <c r="U315" s="13"/>
      <c r="V315" s="13"/>
      <c r="W315" s="13"/>
      <c r="X315" s="13"/>
      <c r="Z315" s="15"/>
    </row>
    <row r="316" spans="1:26" x14ac:dyDescent="0.45">
      <c r="A316" s="13">
        <f t="shared" ref="A316:A344" si="112">+A315+1</f>
        <v>2</v>
      </c>
      <c r="B316" s="3" t="s">
        <v>63</v>
      </c>
      <c r="C316" s="8"/>
      <c r="D316" s="7"/>
      <c r="E316" s="6">
        <v>16619.516666666663</v>
      </c>
      <c r="F316" s="32">
        <f>+'KAWC Rates'!C47</f>
        <v>76.569999999999993</v>
      </c>
      <c r="G316" s="8">
        <f>ROUND(E316*F316,2)</f>
        <v>1272556.3899999999</v>
      </c>
      <c r="H316" s="8"/>
      <c r="I316" s="8"/>
      <c r="J316" s="6">
        <f>E316</f>
        <v>16619.516666666663</v>
      </c>
      <c r="K316" s="32">
        <f>U316</f>
        <v>90.084604999999982</v>
      </c>
      <c r="L316" s="8">
        <f>ROUND(J316*K316,2)</f>
        <v>1497162.59</v>
      </c>
      <c r="M316" s="8"/>
      <c r="N316" s="8"/>
      <c r="O316" s="6">
        <v>16898.666666666664</v>
      </c>
      <c r="P316" s="32">
        <f>+F316</f>
        <v>76.569999999999993</v>
      </c>
      <c r="Q316" s="8">
        <f>ROUND(O316*P316,2)</f>
        <v>1293930.9099999999</v>
      </c>
      <c r="R316" s="8"/>
      <c r="T316" s="6">
        <f>O316</f>
        <v>16898.666666666664</v>
      </c>
      <c r="U316" s="32">
        <f>+'KAWC Rates'!D47</f>
        <v>90.084604999999982</v>
      </c>
      <c r="V316" s="8">
        <f>ROUND(T316*U316,2)</f>
        <v>1522309.71</v>
      </c>
      <c r="X316" s="8">
        <f>+V316-Q316</f>
        <v>228378.80000000005</v>
      </c>
      <c r="Y316" s="7"/>
      <c r="Z316" s="15">
        <f>IF(Q316=0,0,ROUND((X316/Q316),4))</f>
        <v>0.17649999999999999</v>
      </c>
    </row>
    <row r="317" spans="1:26" x14ac:dyDescent="0.45">
      <c r="A317" s="13">
        <f t="shared" si="112"/>
        <v>3</v>
      </c>
      <c r="B317" s="3" t="s">
        <v>6</v>
      </c>
      <c r="C317" s="6"/>
      <c r="D317" s="7"/>
      <c r="E317" s="6">
        <v>835.84333333333348</v>
      </c>
      <c r="F317" s="16">
        <f>+'KAWC Rates'!C34</f>
        <v>8.76</v>
      </c>
      <c r="G317" s="6">
        <f>ROUND(E317*F317,2)</f>
        <v>7321.99</v>
      </c>
      <c r="H317" s="6"/>
      <c r="I317" s="6"/>
      <c r="J317" s="6">
        <f t="shared" ref="J317:J324" si="113">E317</f>
        <v>835.84333333333348</v>
      </c>
      <c r="K317" s="32">
        <f t="shared" ref="K317:K324" si="114">U317</f>
        <v>10.306139999999999</v>
      </c>
      <c r="L317" s="6">
        <f>ROUND(J317*K317,2)</f>
        <v>8614.32</v>
      </c>
      <c r="M317" s="6"/>
      <c r="N317" s="6"/>
      <c r="O317" s="6">
        <v>803.99999999999977</v>
      </c>
      <c r="P317" s="16">
        <f>+F317</f>
        <v>8.76</v>
      </c>
      <c r="Q317" s="6">
        <f>ROUND(O317*P317,2)</f>
        <v>7043.04</v>
      </c>
      <c r="R317" s="6"/>
      <c r="T317" s="6">
        <f t="shared" ref="T317:T324" si="115">O317</f>
        <v>803.99999999999977</v>
      </c>
      <c r="U317" s="16">
        <f>+'KAWC Rates'!D34</f>
        <v>10.306139999999999</v>
      </c>
      <c r="V317" s="6">
        <f>ROUND(T317*U317,2)</f>
        <v>8286.14</v>
      </c>
      <c r="W317" s="8"/>
      <c r="X317" s="6">
        <f t="shared" ref="X317:X324" si="116">+V317-Q317</f>
        <v>1243.0999999999995</v>
      </c>
      <c r="Y317" s="7"/>
      <c r="Z317" s="15">
        <f t="shared" ref="Z317:Z324" si="117">IF(Q317=0,0,ROUND((X317/Q317),4))</f>
        <v>0.17649999999999999</v>
      </c>
    </row>
    <row r="318" spans="1:26" x14ac:dyDescent="0.45">
      <c r="A318" s="13">
        <f t="shared" si="112"/>
        <v>4</v>
      </c>
      <c r="B318" s="3" t="s">
        <v>7</v>
      </c>
      <c r="C318" s="6"/>
      <c r="D318" s="7"/>
      <c r="E318" s="6">
        <v>5962.81</v>
      </c>
      <c r="F318" s="16">
        <f>+'KAWC Rates'!C35</f>
        <v>35.28</v>
      </c>
      <c r="G318" s="6">
        <f t="shared" ref="G318:G324" si="118">ROUND(E318*F318,2)</f>
        <v>210367.94</v>
      </c>
      <c r="H318" s="6"/>
      <c r="I318" s="6"/>
      <c r="J318" s="6">
        <f t="shared" si="113"/>
        <v>5962.81</v>
      </c>
      <c r="K318" s="32">
        <f t="shared" si="114"/>
        <v>41.506919999999994</v>
      </c>
      <c r="L318" s="6">
        <f t="shared" ref="L318:L324" si="119">ROUND(J318*K318,2)</f>
        <v>247497.88</v>
      </c>
      <c r="M318" s="6"/>
      <c r="N318" s="6"/>
      <c r="O318" s="6">
        <v>6048.8888888888896</v>
      </c>
      <c r="P318" s="16">
        <f t="shared" ref="P318:P324" si="120">+F318</f>
        <v>35.28</v>
      </c>
      <c r="Q318" s="6">
        <f t="shared" ref="Q318:Q324" si="121">ROUND(O318*P318,2)</f>
        <v>213404.79999999999</v>
      </c>
      <c r="R318" s="6"/>
      <c r="T318" s="6">
        <f t="shared" si="115"/>
        <v>6048.8888888888896</v>
      </c>
      <c r="U318" s="16">
        <f>+'KAWC Rates'!D35</f>
        <v>41.506919999999994</v>
      </c>
      <c r="V318" s="6">
        <f t="shared" ref="V318:V324" si="122">ROUND(T318*U318,2)</f>
        <v>251070.75</v>
      </c>
      <c r="W318" s="6"/>
      <c r="X318" s="6">
        <f t="shared" si="116"/>
        <v>37665.950000000012</v>
      </c>
      <c r="Y318" s="7"/>
      <c r="Z318" s="15">
        <f t="shared" si="117"/>
        <v>0.17649999999999999</v>
      </c>
    </row>
    <row r="319" spans="1:26" x14ac:dyDescent="0.45">
      <c r="A319" s="13">
        <f t="shared" si="112"/>
        <v>5</v>
      </c>
      <c r="B319" s="3" t="s">
        <v>35</v>
      </c>
      <c r="C319" s="6"/>
      <c r="D319" s="7"/>
      <c r="E319" s="6">
        <v>12054.346666666666</v>
      </c>
      <c r="F319" s="16">
        <f>+'KAWC Rates'!C36</f>
        <v>79.37</v>
      </c>
      <c r="G319" s="6">
        <f t="shared" si="118"/>
        <v>956753.49</v>
      </c>
      <c r="H319" s="6"/>
      <c r="I319" s="6"/>
      <c r="J319" s="6">
        <f t="shared" si="113"/>
        <v>12054.346666666666</v>
      </c>
      <c r="K319" s="32">
        <f t="shared" si="114"/>
        <v>93.378805</v>
      </c>
      <c r="L319" s="6">
        <f t="shared" si="119"/>
        <v>1125620.49</v>
      </c>
      <c r="M319" s="6"/>
      <c r="N319" s="6"/>
      <c r="O319" s="6">
        <v>12102.777777777783</v>
      </c>
      <c r="P319" s="16">
        <f t="shared" si="120"/>
        <v>79.37</v>
      </c>
      <c r="Q319" s="6">
        <f t="shared" si="121"/>
        <v>960597.47</v>
      </c>
      <c r="R319" s="6"/>
      <c r="T319" s="6">
        <f t="shared" si="115"/>
        <v>12102.777777777783</v>
      </c>
      <c r="U319" s="16">
        <f>+'KAWC Rates'!D36</f>
        <v>93.378805</v>
      </c>
      <c r="V319" s="6">
        <f t="shared" si="122"/>
        <v>1130142.93</v>
      </c>
      <c r="W319" s="8"/>
      <c r="X319" s="6">
        <f t="shared" si="116"/>
        <v>169545.45999999996</v>
      </c>
      <c r="Y319" s="7"/>
      <c r="Z319" s="15">
        <f t="shared" si="117"/>
        <v>0.17649999999999999</v>
      </c>
    </row>
    <row r="320" spans="1:26" x14ac:dyDescent="0.45">
      <c r="A320" s="13">
        <f t="shared" si="112"/>
        <v>6</v>
      </c>
      <c r="B320" s="3" t="s">
        <v>36</v>
      </c>
      <c r="C320" s="6"/>
      <c r="D320" s="7"/>
      <c r="E320" s="6">
        <v>4235.8166666666666</v>
      </c>
      <c r="F320" s="16">
        <f>+'KAWC Rates'!C37</f>
        <v>141.09</v>
      </c>
      <c r="G320" s="6">
        <f t="shared" si="118"/>
        <v>597631.37</v>
      </c>
      <c r="H320" s="6"/>
      <c r="I320" s="6"/>
      <c r="J320" s="6">
        <f t="shared" si="113"/>
        <v>4235.8166666666666</v>
      </c>
      <c r="K320" s="32">
        <f t="shared" si="114"/>
        <v>165.99238499999998</v>
      </c>
      <c r="L320" s="6">
        <f t="shared" si="119"/>
        <v>703113.31</v>
      </c>
      <c r="M320" s="6"/>
      <c r="N320" s="6"/>
      <c r="O320" s="6">
        <v>4356.8888888888887</v>
      </c>
      <c r="P320" s="16">
        <f t="shared" si="120"/>
        <v>141.09</v>
      </c>
      <c r="Q320" s="6">
        <f t="shared" si="121"/>
        <v>614713.44999999995</v>
      </c>
      <c r="R320" s="6"/>
      <c r="T320" s="6">
        <f t="shared" si="115"/>
        <v>4356.8888888888887</v>
      </c>
      <c r="U320" s="16">
        <f>+'KAWC Rates'!D37</f>
        <v>165.99238499999998</v>
      </c>
      <c r="V320" s="6">
        <f t="shared" si="122"/>
        <v>723210.38</v>
      </c>
      <c r="W320" s="6"/>
      <c r="X320" s="6">
        <f t="shared" si="116"/>
        <v>108496.93000000005</v>
      </c>
      <c r="Y320" s="7"/>
      <c r="Z320" s="15">
        <f t="shared" si="117"/>
        <v>0.17649999999999999</v>
      </c>
    </row>
    <row r="321" spans="1:26" x14ac:dyDescent="0.45">
      <c r="A321" s="13">
        <f t="shared" si="112"/>
        <v>7</v>
      </c>
      <c r="B321" s="3" t="s">
        <v>37</v>
      </c>
      <c r="C321" s="6"/>
      <c r="D321" s="7"/>
      <c r="E321" s="6">
        <v>183.07666666666668</v>
      </c>
      <c r="F321" s="16">
        <f>+'KAWC Rates'!C38</f>
        <v>220.51</v>
      </c>
      <c r="G321" s="6">
        <f t="shared" si="118"/>
        <v>40370.239999999998</v>
      </c>
      <c r="H321" s="6"/>
      <c r="I321" s="6"/>
      <c r="J321" s="6">
        <f t="shared" si="113"/>
        <v>183.07666666666668</v>
      </c>
      <c r="K321" s="32">
        <f t="shared" si="114"/>
        <v>259.43001499999997</v>
      </c>
      <c r="L321" s="6">
        <f t="shared" si="119"/>
        <v>47495.58</v>
      </c>
      <c r="M321" s="6"/>
      <c r="N321" s="6"/>
      <c r="O321" s="6">
        <v>189.66666666666669</v>
      </c>
      <c r="P321" s="16">
        <f t="shared" si="120"/>
        <v>220.51</v>
      </c>
      <c r="Q321" s="6">
        <f t="shared" si="121"/>
        <v>41823.4</v>
      </c>
      <c r="R321" s="6"/>
      <c r="T321" s="6">
        <f t="shared" si="115"/>
        <v>189.66666666666669</v>
      </c>
      <c r="U321" s="16">
        <f>+'KAWC Rates'!D38</f>
        <v>259.43001499999997</v>
      </c>
      <c r="V321" s="6">
        <f t="shared" si="122"/>
        <v>49205.23</v>
      </c>
      <c r="W321" s="8"/>
      <c r="X321" s="6">
        <f t="shared" si="116"/>
        <v>7381.8300000000017</v>
      </c>
      <c r="Y321" s="7"/>
      <c r="Z321" s="15">
        <f t="shared" si="117"/>
        <v>0.17649999999999999</v>
      </c>
    </row>
    <row r="322" spans="1:26" x14ac:dyDescent="0.45">
      <c r="A322" s="13">
        <f t="shared" si="112"/>
        <v>8</v>
      </c>
      <c r="B322" s="3" t="s">
        <v>38</v>
      </c>
      <c r="C322" s="6"/>
      <c r="D322" s="7"/>
      <c r="E322" s="6">
        <v>72.58</v>
      </c>
      <c r="F322" s="16">
        <f>+'KAWC Rates'!C39</f>
        <v>330.03</v>
      </c>
      <c r="G322" s="6">
        <f t="shared" si="118"/>
        <v>23953.58</v>
      </c>
      <c r="H322" s="6"/>
      <c r="I322" s="6"/>
      <c r="J322" s="6">
        <f t="shared" si="113"/>
        <v>72.58</v>
      </c>
      <c r="K322" s="32">
        <f t="shared" si="114"/>
        <v>388.28029499999991</v>
      </c>
      <c r="L322" s="6">
        <f t="shared" si="119"/>
        <v>28181.38</v>
      </c>
      <c r="M322" s="6"/>
      <c r="N322" s="6"/>
      <c r="O322" s="6">
        <v>72</v>
      </c>
      <c r="P322" s="16">
        <f t="shared" si="120"/>
        <v>330.03</v>
      </c>
      <c r="Q322" s="6">
        <f t="shared" si="121"/>
        <v>23762.16</v>
      </c>
      <c r="R322" s="6"/>
      <c r="T322" s="6">
        <f t="shared" si="115"/>
        <v>72</v>
      </c>
      <c r="U322" s="16">
        <f>+'KAWC Rates'!D39</f>
        <v>388.28029499999991</v>
      </c>
      <c r="V322" s="6">
        <f t="shared" si="122"/>
        <v>27956.18</v>
      </c>
      <c r="W322" s="6"/>
      <c r="X322" s="6">
        <f t="shared" si="116"/>
        <v>4194.0200000000004</v>
      </c>
      <c r="Y322" s="7"/>
      <c r="Z322" s="15">
        <f t="shared" si="117"/>
        <v>0.17649999999999999</v>
      </c>
    </row>
    <row r="323" spans="1:26" x14ac:dyDescent="0.45">
      <c r="A323" s="13">
        <f t="shared" si="112"/>
        <v>9</v>
      </c>
      <c r="B323" s="3" t="s">
        <v>61</v>
      </c>
      <c r="C323" s="6"/>
      <c r="D323" s="7"/>
      <c r="E323" s="6">
        <v>0</v>
      </c>
      <c r="F323" s="16">
        <f>+'KAWC Rates'!C40</f>
        <v>317.98</v>
      </c>
      <c r="G323" s="6">
        <f t="shared" si="118"/>
        <v>0</v>
      </c>
      <c r="H323" s="6"/>
      <c r="I323" s="6"/>
      <c r="J323" s="6">
        <f t="shared" si="113"/>
        <v>0</v>
      </c>
      <c r="K323" s="32">
        <f t="shared" si="114"/>
        <v>374.10346999999996</v>
      </c>
      <c r="L323" s="6">
        <f t="shared" si="119"/>
        <v>0</v>
      </c>
      <c r="M323" s="6"/>
      <c r="N323" s="6"/>
      <c r="O323" s="6">
        <v>0</v>
      </c>
      <c r="P323" s="16">
        <f t="shared" si="120"/>
        <v>317.98</v>
      </c>
      <c r="Q323" s="6">
        <f t="shared" si="121"/>
        <v>0</v>
      </c>
      <c r="R323" s="6"/>
      <c r="T323" s="6">
        <f t="shared" si="115"/>
        <v>0</v>
      </c>
      <c r="U323" s="16">
        <f>+'KAWC Rates'!D40</f>
        <v>374.10346999999996</v>
      </c>
      <c r="V323" s="6">
        <f t="shared" si="122"/>
        <v>0</v>
      </c>
      <c r="W323" s="8"/>
      <c r="X323" s="6">
        <f t="shared" si="116"/>
        <v>0</v>
      </c>
      <c r="Y323" s="7"/>
      <c r="Z323" s="15">
        <f t="shared" si="117"/>
        <v>0</v>
      </c>
    </row>
    <row r="324" spans="1:26" x14ac:dyDescent="0.45">
      <c r="A324" s="13">
        <f t="shared" si="112"/>
        <v>10</v>
      </c>
      <c r="B324" s="3" t="s">
        <v>62</v>
      </c>
      <c r="C324" s="6"/>
      <c r="D324" s="7"/>
      <c r="E324" s="6">
        <v>12.61</v>
      </c>
      <c r="F324" s="16">
        <f>+'KAWC Rates'!C41</f>
        <v>564.63</v>
      </c>
      <c r="G324" s="6">
        <f t="shared" si="118"/>
        <v>7119.98</v>
      </c>
      <c r="H324" s="6"/>
      <c r="I324" s="6"/>
      <c r="J324" s="6">
        <f t="shared" si="113"/>
        <v>12.61</v>
      </c>
      <c r="K324" s="32">
        <f t="shared" si="114"/>
        <v>664.28719499999988</v>
      </c>
      <c r="L324" s="6">
        <f t="shared" si="119"/>
        <v>8376.66</v>
      </c>
      <c r="M324" s="6"/>
      <c r="N324" s="6"/>
      <c r="O324" s="6">
        <v>12</v>
      </c>
      <c r="P324" s="16">
        <f t="shared" si="120"/>
        <v>564.63</v>
      </c>
      <c r="Q324" s="6">
        <f t="shared" si="121"/>
        <v>6775.56</v>
      </c>
      <c r="R324" s="6"/>
      <c r="T324" s="6">
        <f t="shared" si="115"/>
        <v>12</v>
      </c>
      <c r="U324" s="16">
        <f>+'KAWC Rates'!D41</f>
        <v>664.28719499999988</v>
      </c>
      <c r="V324" s="6">
        <f t="shared" si="122"/>
        <v>7971.45</v>
      </c>
      <c r="W324" s="6"/>
      <c r="X324" s="6">
        <f t="shared" si="116"/>
        <v>1195.8899999999994</v>
      </c>
      <c r="Y324" s="7"/>
      <c r="Z324" s="15">
        <f t="shared" si="117"/>
        <v>0.17649999999999999</v>
      </c>
    </row>
    <row r="325" spans="1:26" x14ac:dyDescent="0.45">
      <c r="A325" s="13">
        <f t="shared" si="112"/>
        <v>11</v>
      </c>
      <c r="B325" s="13"/>
      <c r="C325" s="6"/>
      <c r="E325" s="6"/>
      <c r="F325" s="16"/>
      <c r="G325" s="6"/>
      <c r="H325" s="6"/>
      <c r="I325" s="6"/>
      <c r="J325" s="6"/>
      <c r="K325" s="16"/>
      <c r="L325" s="6"/>
      <c r="M325" s="6"/>
      <c r="N325" s="6"/>
      <c r="O325" s="6"/>
      <c r="P325" s="16"/>
      <c r="Q325" s="6"/>
      <c r="R325" s="6"/>
      <c r="T325" s="6"/>
      <c r="U325" s="16"/>
      <c r="V325" s="6"/>
      <c r="W325" s="8"/>
      <c r="X325" s="8"/>
      <c r="Y325" s="7"/>
      <c r="Z325" s="15"/>
    </row>
    <row r="326" spans="1:26" x14ac:dyDescent="0.45">
      <c r="A326" s="13">
        <f t="shared" si="112"/>
        <v>12</v>
      </c>
      <c r="B326" s="34" t="s">
        <v>14</v>
      </c>
      <c r="E326" s="3">
        <v>1722.3293333333334</v>
      </c>
      <c r="F326" s="32">
        <f>+'KAWC Rates'!C7</f>
        <v>15</v>
      </c>
      <c r="G326" s="8">
        <f>ROUND(E326*F326,2)</f>
        <v>25834.94</v>
      </c>
      <c r="J326" s="3">
        <f>+E326</f>
        <v>1722.3293333333334</v>
      </c>
      <c r="K326" s="32">
        <f>+U326</f>
        <v>17.647499999999997</v>
      </c>
      <c r="L326" s="8">
        <f>ROUND(J326*K326,2)</f>
        <v>30394.81</v>
      </c>
      <c r="O326" s="3">
        <v>1411</v>
      </c>
      <c r="P326" s="32">
        <f>+F326</f>
        <v>15</v>
      </c>
      <c r="Q326" s="8">
        <f>ROUND(O326*P326,2)</f>
        <v>21165</v>
      </c>
      <c r="T326" s="3">
        <f>+O326</f>
        <v>1411</v>
      </c>
      <c r="U326" s="32">
        <f>+'KAWC Rates'!D7</f>
        <v>17.647499999999997</v>
      </c>
      <c r="V326" s="8">
        <f>ROUND(T326*U326,2)</f>
        <v>24900.62</v>
      </c>
      <c r="W326" s="6"/>
      <c r="X326" s="8">
        <f>+V326-Q326</f>
        <v>3735.619999999999</v>
      </c>
      <c r="Y326" s="7"/>
      <c r="Z326" s="15">
        <f>IF(Q326=0,0,ROUND((X326/Q326),4))</f>
        <v>0.17649999999999999</v>
      </c>
    </row>
    <row r="327" spans="1:26" x14ac:dyDescent="0.45">
      <c r="A327" s="13">
        <f t="shared" si="112"/>
        <v>13</v>
      </c>
      <c r="B327" s="34" t="s">
        <v>16</v>
      </c>
      <c r="E327" s="3">
        <v>13</v>
      </c>
      <c r="F327" s="16">
        <f>+'KAWC Rates'!C9</f>
        <v>37.299999999999997</v>
      </c>
      <c r="G327" s="6">
        <f>ROUND(E327*F327,2)</f>
        <v>484.9</v>
      </c>
      <c r="J327" s="3">
        <f>+E327</f>
        <v>13</v>
      </c>
      <c r="K327" s="16">
        <f>+U327</f>
        <v>43.883449999999989</v>
      </c>
      <c r="L327" s="6">
        <f>ROUND(J327*K327,2)</f>
        <v>570.48</v>
      </c>
      <c r="O327" s="3">
        <v>12</v>
      </c>
      <c r="P327" s="16">
        <f>+F327</f>
        <v>37.299999999999997</v>
      </c>
      <c r="Q327" s="6">
        <f>ROUND(O327*P327,2)</f>
        <v>447.6</v>
      </c>
      <c r="T327" s="3">
        <f>+O327</f>
        <v>12</v>
      </c>
      <c r="U327" s="16">
        <f>+'KAWC Rates'!D9</f>
        <v>43.883449999999989</v>
      </c>
      <c r="V327" s="6">
        <f>ROUND(T327*U327,2)</f>
        <v>526.6</v>
      </c>
      <c r="W327" s="6"/>
      <c r="X327" s="6">
        <f t="shared" ref="X327:X328" si="123">+V327-Q327</f>
        <v>79</v>
      </c>
      <c r="Y327" s="7"/>
      <c r="Z327" s="15">
        <f t="shared" ref="Z327:Z328" si="124">IF(Q327=0,0,ROUND((X327/Q327),4))</f>
        <v>0.17649999999999999</v>
      </c>
    </row>
    <row r="328" spans="1:26" x14ac:dyDescent="0.45">
      <c r="A328" s="13">
        <f t="shared" si="112"/>
        <v>14</v>
      </c>
      <c r="B328" s="3" t="s">
        <v>22</v>
      </c>
      <c r="C328" s="6"/>
      <c r="D328" s="7"/>
      <c r="E328" s="3">
        <v>5</v>
      </c>
      <c r="F328" s="16">
        <f>+'KAWC Rates'!C15</f>
        <v>1194.7</v>
      </c>
      <c r="G328" s="6">
        <f t="shared" ref="G328" si="125">ROUND(E328*F328,2)</f>
        <v>5973.5</v>
      </c>
      <c r="H328" s="22"/>
      <c r="I328" s="22"/>
      <c r="J328" s="3">
        <f>+E328</f>
        <v>5</v>
      </c>
      <c r="K328" s="16">
        <f>+U328</f>
        <v>1405.5645499999998</v>
      </c>
      <c r="L328" s="6">
        <f t="shared" ref="L328" si="126">ROUND(J328*K328,2)</f>
        <v>7027.82</v>
      </c>
      <c r="M328" s="22"/>
      <c r="O328" s="3">
        <v>5</v>
      </c>
      <c r="P328" s="16">
        <f>+F328</f>
        <v>1194.7</v>
      </c>
      <c r="Q328" s="6">
        <f t="shared" ref="Q328" si="127">ROUND(O328*P328,2)</f>
        <v>5973.5</v>
      </c>
      <c r="R328" s="22"/>
      <c r="T328" s="3">
        <f>+O328</f>
        <v>5</v>
      </c>
      <c r="U328" s="16">
        <f>+'KAWC Rates'!D15</f>
        <v>1405.5645499999998</v>
      </c>
      <c r="V328" s="6">
        <f t="shared" ref="V328" si="128">ROUND(T328*U328,2)</f>
        <v>7027.82</v>
      </c>
      <c r="W328" s="8"/>
      <c r="X328" s="6">
        <f t="shared" si="123"/>
        <v>1054.3199999999997</v>
      </c>
      <c r="Y328" s="7"/>
      <c r="Z328" s="15">
        <f t="shared" si="124"/>
        <v>0.17649999999999999</v>
      </c>
    </row>
    <row r="329" spans="1:26" x14ac:dyDescent="0.45">
      <c r="A329" s="13">
        <f t="shared" si="112"/>
        <v>15</v>
      </c>
      <c r="C329" s="6"/>
      <c r="D329" s="7"/>
      <c r="F329" s="21"/>
      <c r="G329" s="22"/>
      <c r="H329" s="22"/>
      <c r="I329" s="22"/>
      <c r="K329" s="21"/>
      <c r="L329" s="22"/>
      <c r="M329" s="22"/>
      <c r="P329" s="13"/>
      <c r="Q329" s="22"/>
      <c r="R329" s="22"/>
      <c r="U329" s="13"/>
      <c r="V329" s="22"/>
      <c r="W329" s="8"/>
      <c r="X329" s="6"/>
      <c r="Y329" s="7"/>
      <c r="Z329" s="15"/>
    </row>
    <row r="330" spans="1:26" ht="14.65" thickBot="1" x14ac:dyDescent="0.5">
      <c r="A330" s="13">
        <f t="shared" si="112"/>
        <v>16</v>
      </c>
      <c r="B330" s="3" t="s">
        <v>1</v>
      </c>
      <c r="C330" s="38"/>
      <c r="D330" s="13"/>
      <c r="E330" s="17">
        <f>SUM(E316:E328)</f>
        <v>41716.929333333333</v>
      </c>
      <c r="F330" s="13"/>
      <c r="G330" s="39">
        <f>SUM(G316:G328)</f>
        <v>3148368.32</v>
      </c>
      <c r="H330" s="38"/>
      <c r="I330" s="38"/>
      <c r="J330" s="17">
        <f>SUM(J316:J328)</f>
        <v>41716.929333333333</v>
      </c>
      <c r="K330" s="13"/>
      <c r="L330" s="39">
        <f>SUM(L316:L328)</f>
        <v>3704055.3200000003</v>
      </c>
      <c r="M330" s="38"/>
      <c r="N330" s="38"/>
      <c r="O330" s="17">
        <f>SUM(O316:O328)</f>
        <v>41912.888888888891</v>
      </c>
      <c r="P330" s="13"/>
      <c r="Q330" s="39">
        <f>SUM(Q316:Q328)</f>
        <v>3189636.89</v>
      </c>
      <c r="R330" s="38"/>
      <c r="T330" s="17">
        <f>SUM(T316:T328)</f>
        <v>41912.888888888891</v>
      </c>
      <c r="U330" s="22"/>
      <c r="V330" s="39">
        <f>SUM(V316:V328)</f>
        <v>3752607.81</v>
      </c>
      <c r="W330" s="22"/>
      <c r="X330" s="39">
        <f>SUM(X316:X328)</f>
        <v>562970.92000000004</v>
      </c>
      <c r="Z330" s="30">
        <f>IF(Q330=0,0,ROUND((X330/Q330),4))</f>
        <v>0.17649999999999999</v>
      </c>
    </row>
    <row r="331" spans="1:26" ht="14.65" thickTop="1" x14ac:dyDescent="0.45">
      <c r="A331" s="13">
        <f t="shared" si="112"/>
        <v>17</v>
      </c>
      <c r="C331" s="6"/>
      <c r="E331" s="6"/>
      <c r="F331" s="21"/>
      <c r="G331" s="6"/>
      <c r="H331" s="6"/>
      <c r="I331" s="6"/>
      <c r="J331" s="6"/>
      <c r="K331" s="21"/>
      <c r="L331" s="6"/>
      <c r="M331" s="6"/>
      <c r="N331" s="6"/>
      <c r="O331" s="6"/>
      <c r="P331" s="21"/>
      <c r="Q331" s="6"/>
      <c r="R331" s="6"/>
      <c r="T331" s="6"/>
      <c r="U331" s="16"/>
      <c r="V331" s="21"/>
      <c r="W331" s="6"/>
      <c r="X331" s="6"/>
      <c r="Z331" s="15"/>
    </row>
    <row r="332" spans="1:26" x14ac:dyDescent="0.45">
      <c r="A332" s="13">
        <f t="shared" si="112"/>
        <v>18</v>
      </c>
      <c r="B332" s="14" t="s">
        <v>24</v>
      </c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6"/>
      <c r="Y332" s="7"/>
      <c r="Z332" s="15"/>
    </row>
    <row r="333" spans="1:26" x14ac:dyDescent="0.45">
      <c r="A333" s="13">
        <f t="shared" si="112"/>
        <v>19</v>
      </c>
      <c r="B333" s="3" t="s">
        <v>104</v>
      </c>
      <c r="C333" s="8"/>
      <c r="D333" s="7"/>
      <c r="E333" s="6">
        <v>9684.3372247403913</v>
      </c>
      <c r="F333" s="33">
        <f>+'KAWC Rates'!C20</f>
        <v>5.2065999999999999</v>
      </c>
      <c r="G333" s="8">
        <f>ROUND(E333*F333,2)</f>
        <v>50422.47</v>
      </c>
      <c r="H333" s="8"/>
      <c r="I333" s="7"/>
      <c r="J333" s="6">
        <f>E333</f>
        <v>9684.3372247403913</v>
      </c>
      <c r="K333" s="33">
        <f>U333</f>
        <v>6.1272968379598947</v>
      </c>
      <c r="L333" s="8">
        <f>ROUND(J333*K333,2)</f>
        <v>59338.81</v>
      </c>
      <c r="M333" s="8"/>
      <c r="N333" s="7"/>
      <c r="O333" s="6">
        <v>6379.4384494807882</v>
      </c>
      <c r="P333" s="33">
        <f>+F333</f>
        <v>5.2065999999999999</v>
      </c>
      <c r="Q333" s="8">
        <f>ROUND(O333*P333,2)</f>
        <v>33215.18</v>
      </c>
      <c r="R333" s="8"/>
      <c r="S333" s="7"/>
      <c r="T333" s="6">
        <f>O333</f>
        <v>6379.4384494807882</v>
      </c>
      <c r="U333" s="33">
        <f>+'KAWC Rates'!D20</f>
        <v>6.1272968379598947</v>
      </c>
      <c r="V333" s="8">
        <f>ROUND(T333*U333,2)</f>
        <v>39088.71</v>
      </c>
      <c r="W333" s="6"/>
      <c r="X333" s="8">
        <f t="shared" ref="X333" si="129">+V333-Q333</f>
        <v>5873.5299999999988</v>
      </c>
      <c r="Y333" s="7"/>
      <c r="Z333" s="15">
        <f t="shared" ref="Z333" si="130">IF(Q333=0,0,ROUND((X333/Q333),4))</f>
        <v>0.17680000000000001</v>
      </c>
    </row>
    <row r="334" spans="1:26" x14ac:dyDescent="0.45">
      <c r="A334" s="13">
        <f t="shared" si="112"/>
        <v>20</v>
      </c>
      <c r="C334" s="6"/>
      <c r="E334" s="6"/>
      <c r="F334" s="21"/>
      <c r="G334" s="6"/>
      <c r="H334" s="6"/>
      <c r="I334" s="6"/>
      <c r="J334" s="6"/>
      <c r="K334" s="21"/>
      <c r="L334" s="6"/>
      <c r="M334" s="6"/>
      <c r="N334" s="6"/>
      <c r="O334" s="6"/>
      <c r="P334" s="21"/>
      <c r="Q334" s="6"/>
      <c r="R334" s="6"/>
      <c r="T334" s="6"/>
      <c r="U334" s="16"/>
      <c r="V334" s="21"/>
      <c r="W334" s="6"/>
      <c r="X334" s="6"/>
      <c r="Z334" s="15"/>
    </row>
    <row r="335" spans="1:26" x14ac:dyDescent="0.45">
      <c r="A335" s="13">
        <f t="shared" si="112"/>
        <v>21</v>
      </c>
      <c r="B335" s="3" t="s">
        <v>136</v>
      </c>
      <c r="E335" s="6"/>
      <c r="F335" s="72"/>
      <c r="G335" s="6">
        <v>0</v>
      </c>
      <c r="H335" s="6"/>
      <c r="J335" s="6"/>
      <c r="K335" s="72">
        <f>+U335</f>
        <v>0</v>
      </c>
      <c r="L335" s="8">
        <f>+ROUND(SUM(L330:L333)*K335,2)</f>
        <v>0</v>
      </c>
      <c r="O335" s="6"/>
      <c r="P335" s="73"/>
      <c r="Q335" s="8">
        <v>0</v>
      </c>
      <c r="T335" s="6"/>
      <c r="U335" s="72"/>
      <c r="V335" s="8">
        <f>+Q335</f>
        <v>0</v>
      </c>
      <c r="X335" s="8">
        <f t="shared" ref="X335" si="131">+V335-Q335</f>
        <v>0</v>
      </c>
      <c r="Y335" s="7"/>
      <c r="Z335" s="15">
        <f t="shared" ref="Z335" si="132">IF(Q335=0,0,ROUND((X335/Q335),4))</f>
        <v>0</v>
      </c>
    </row>
    <row r="336" spans="1:26" x14ac:dyDescent="0.45">
      <c r="A336" s="13">
        <f t="shared" si="112"/>
        <v>22</v>
      </c>
      <c r="C336" s="6"/>
      <c r="E336" s="6"/>
      <c r="F336" s="21"/>
      <c r="G336" s="6"/>
      <c r="H336" s="6"/>
      <c r="I336" s="6"/>
      <c r="J336" s="6"/>
      <c r="K336" s="21"/>
      <c r="L336" s="6"/>
      <c r="M336" s="6"/>
      <c r="N336" s="6"/>
      <c r="O336" s="6"/>
      <c r="P336" s="21"/>
      <c r="Q336" s="6"/>
      <c r="R336" s="6"/>
      <c r="T336" s="6"/>
      <c r="U336" s="16"/>
      <c r="V336" s="21"/>
      <c r="W336" s="6"/>
      <c r="X336" s="6"/>
      <c r="Z336" s="15"/>
    </row>
    <row r="337" spans="1:26" ht="14.65" thickBot="1" x14ac:dyDescent="0.5">
      <c r="A337" s="13">
        <f t="shared" si="112"/>
        <v>23</v>
      </c>
      <c r="B337" s="9" t="s">
        <v>137</v>
      </c>
      <c r="C337" s="6"/>
      <c r="E337" s="6"/>
      <c r="F337" s="21"/>
      <c r="G337" s="74">
        <f>+SUM(G330:G335)</f>
        <v>3198790.79</v>
      </c>
      <c r="H337" s="75"/>
      <c r="I337" s="75"/>
      <c r="J337" s="75"/>
      <c r="K337" s="76"/>
      <c r="L337" s="74">
        <f>+SUM(L330:L335)</f>
        <v>3763394.1300000004</v>
      </c>
      <c r="M337" s="75"/>
      <c r="N337" s="75"/>
      <c r="O337" s="75"/>
      <c r="P337" s="76"/>
      <c r="Q337" s="74">
        <f>+SUM(Q330:Q335)</f>
        <v>3222852.0700000003</v>
      </c>
      <c r="R337" s="75"/>
      <c r="S337" s="9"/>
      <c r="T337" s="75"/>
      <c r="U337" s="77"/>
      <c r="V337" s="74">
        <f>+SUM(V330:V335)</f>
        <v>3791696.52</v>
      </c>
      <c r="W337" s="75"/>
      <c r="X337" s="74">
        <f>+SUM(X330:X335)</f>
        <v>568844.45000000007</v>
      </c>
      <c r="Y337" s="9"/>
      <c r="Z337" s="78">
        <f>IF(Q337=0,0,ROUND((X337/Q337),4))</f>
        <v>0.17649999999999999</v>
      </c>
    </row>
    <row r="338" spans="1:26" ht="14.65" thickTop="1" x14ac:dyDescent="0.45">
      <c r="A338" s="13">
        <f t="shared" si="112"/>
        <v>24</v>
      </c>
      <c r="C338" s="6"/>
      <c r="E338" s="6"/>
      <c r="F338" s="21"/>
      <c r="G338" s="6"/>
      <c r="H338" s="6"/>
      <c r="I338" s="6"/>
      <c r="J338" s="6"/>
      <c r="K338" s="21"/>
      <c r="L338" s="6"/>
      <c r="M338" s="6"/>
      <c r="N338" s="6"/>
      <c r="O338" s="6"/>
      <c r="P338" s="21"/>
      <c r="Q338" s="6"/>
      <c r="R338" s="6"/>
      <c r="T338" s="6"/>
      <c r="U338" s="16"/>
      <c r="V338" s="21"/>
      <c r="W338" s="6"/>
      <c r="X338" s="6"/>
      <c r="Z338" s="15"/>
    </row>
    <row r="339" spans="1:26" x14ac:dyDescent="0.45">
      <c r="A339" s="13">
        <f t="shared" si="112"/>
        <v>25</v>
      </c>
    </row>
    <row r="340" spans="1:26" x14ac:dyDescent="0.45">
      <c r="A340" s="13">
        <f t="shared" si="112"/>
        <v>26</v>
      </c>
      <c r="B340" s="9" t="s">
        <v>46</v>
      </c>
      <c r="C340" s="6"/>
      <c r="D340" s="26"/>
      <c r="F340" s="27"/>
      <c r="G340" s="6"/>
      <c r="H340" s="6"/>
      <c r="I340" s="6"/>
      <c r="K340" s="27"/>
      <c r="L340" s="6"/>
      <c r="M340" s="6"/>
      <c r="N340" s="6"/>
      <c r="P340" s="27"/>
      <c r="Q340" s="6"/>
      <c r="R340" s="6"/>
      <c r="T340" s="26"/>
      <c r="V340" s="27"/>
      <c r="W340" s="26"/>
      <c r="X340" s="6"/>
      <c r="Z340" s="15"/>
    </row>
    <row r="341" spans="1:26" x14ac:dyDescent="0.45">
      <c r="A341" s="13">
        <f t="shared" si="112"/>
        <v>27</v>
      </c>
      <c r="B341" s="3" t="s">
        <v>47</v>
      </c>
      <c r="C341" s="6"/>
      <c r="E341" s="3">
        <v>91388.57</v>
      </c>
      <c r="F341" s="32">
        <f>+'KAWC Rates'!C46</f>
        <v>48.7</v>
      </c>
      <c r="G341" s="8">
        <f>ROUND(E341*F341,2)</f>
        <v>4450623.3600000003</v>
      </c>
      <c r="H341" s="8"/>
      <c r="I341" s="6"/>
      <c r="J341" s="3">
        <f>E341</f>
        <v>91388.57</v>
      </c>
      <c r="K341" s="32">
        <f>U341</f>
        <v>57.295549999999999</v>
      </c>
      <c r="L341" s="8">
        <f>ROUND(J341*K341,2)</f>
        <v>5236158.38</v>
      </c>
      <c r="M341" s="6"/>
      <c r="N341" s="6"/>
      <c r="O341" s="3">
        <v>91926.777777777752</v>
      </c>
      <c r="P341" s="32">
        <f>+F341</f>
        <v>48.7</v>
      </c>
      <c r="Q341" s="8">
        <f>ROUND(O341*P341,2)</f>
        <v>4476834.08</v>
      </c>
      <c r="R341" s="6"/>
      <c r="T341" s="3">
        <f>+O341</f>
        <v>91926.777777777752</v>
      </c>
      <c r="U341" s="32">
        <f>+'KAWC Rates'!D46</f>
        <v>57.295549999999999</v>
      </c>
      <c r="V341" s="8">
        <f>ROUND(T341*U341,2)</f>
        <v>5266995.29</v>
      </c>
      <c r="X341" s="8">
        <f>+V341-Q341</f>
        <v>790161.21</v>
      </c>
      <c r="Z341" s="15">
        <f t="shared" ref="Z341" si="133">IF(Q341=0,0,ROUND((X341/Q341),4))</f>
        <v>0.17649999999999999</v>
      </c>
    </row>
    <row r="342" spans="1:26" x14ac:dyDescent="0.45">
      <c r="A342" s="13">
        <f t="shared" si="112"/>
        <v>28</v>
      </c>
      <c r="B342" s="40"/>
      <c r="C342" s="38"/>
      <c r="D342" s="13"/>
      <c r="F342" s="16"/>
      <c r="G342" s="6"/>
      <c r="H342" s="6"/>
      <c r="K342" s="16"/>
      <c r="L342" s="6"/>
      <c r="P342" s="16"/>
      <c r="Q342" s="6"/>
      <c r="U342" s="16"/>
      <c r="V342" s="6"/>
      <c r="X342" s="6"/>
      <c r="Z342" s="15"/>
    </row>
    <row r="343" spans="1:26" ht="14.65" thickBot="1" x14ac:dyDescent="0.5">
      <c r="A343" s="13">
        <f t="shared" si="112"/>
        <v>29</v>
      </c>
      <c r="E343" s="35">
        <f>SUM(E341:E342)</f>
        <v>91388.57</v>
      </c>
      <c r="F343" s="32"/>
      <c r="G343" s="39">
        <f>SUM(G341:G342)</f>
        <v>4450623.3600000003</v>
      </c>
      <c r="H343" s="38"/>
      <c r="I343" s="38"/>
      <c r="J343" s="35">
        <f>SUM(J341:J342)</f>
        <v>91388.57</v>
      </c>
      <c r="K343" s="32"/>
      <c r="L343" s="39">
        <f>SUM(L341:L342)</f>
        <v>5236158.38</v>
      </c>
      <c r="M343" s="38"/>
      <c r="N343" s="38"/>
      <c r="O343" s="35">
        <f>SUM(O341:O342)</f>
        <v>91926.777777777752</v>
      </c>
      <c r="P343" s="32"/>
      <c r="Q343" s="39">
        <f>SUM(Q341:Q342)</f>
        <v>4476834.08</v>
      </c>
      <c r="R343" s="38"/>
      <c r="T343" s="35">
        <f>SUM(T341:T342)</f>
        <v>91926.777777777752</v>
      </c>
      <c r="U343" s="32"/>
      <c r="V343" s="39">
        <f>SUM(V341:V342)</f>
        <v>5266995.29</v>
      </c>
      <c r="W343" s="8"/>
      <c r="X343" s="39">
        <f>+V343-Q343</f>
        <v>790161.21</v>
      </c>
      <c r="Y343" s="7"/>
      <c r="Z343" s="30">
        <f>IF(Q343=0,0,ROUND((X343/Q343),4))</f>
        <v>0.17649999999999999</v>
      </c>
    </row>
    <row r="344" spans="1:26" ht="14.65" thickTop="1" x14ac:dyDescent="0.45">
      <c r="A344" s="13">
        <f t="shared" si="112"/>
        <v>30</v>
      </c>
    </row>
    <row r="345" spans="1:26" x14ac:dyDescent="0.45">
      <c r="A345" s="13">
        <f t="shared" ref="A345:A349" si="134">+A344+1</f>
        <v>31</v>
      </c>
      <c r="B345" s="3" t="s">
        <v>136</v>
      </c>
      <c r="E345" s="6"/>
      <c r="F345" s="72"/>
      <c r="G345" s="6">
        <v>0</v>
      </c>
      <c r="H345" s="6"/>
      <c r="J345" s="6"/>
      <c r="K345" s="72">
        <f>+U345</f>
        <v>0</v>
      </c>
      <c r="L345" s="8">
        <f>+ROUND(SUM(L343)*K345,2)</f>
        <v>0</v>
      </c>
      <c r="O345" s="6"/>
      <c r="P345" s="73"/>
      <c r="Q345" s="8">
        <v>0</v>
      </c>
      <c r="T345" s="6"/>
      <c r="U345" s="72"/>
      <c r="V345" s="8">
        <f>+Q345</f>
        <v>0</v>
      </c>
      <c r="X345" s="8">
        <f t="shared" ref="X345" si="135">+V345-Q345</f>
        <v>0</v>
      </c>
      <c r="Y345" s="7"/>
      <c r="Z345" s="15">
        <f t="shared" ref="Z345" si="136">IF(Q345=0,0,ROUND((X345/Q345),4))</f>
        <v>0</v>
      </c>
    </row>
    <row r="346" spans="1:26" x14ac:dyDescent="0.45">
      <c r="A346" s="13">
        <f t="shared" si="134"/>
        <v>32</v>
      </c>
      <c r="E346" s="6"/>
      <c r="F346" s="72"/>
      <c r="G346" s="6"/>
      <c r="H346" s="6"/>
      <c r="J346" s="6"/>
      <c r="K346" s="72"/>
      <c r="L346" s="8"/>
      <c r="O346" s="6"/>
      <c r="P346" s="73"/>
      <c r="Q346" s="8"/>
      <c r="T346" s="6"/>
      <c r="U346" s="72"/>
      <c r="V346" s="8"/>
      <c r="X346" s="6"/>
      <c r="Z346" s="15"/>
    </row>
    <row r="347" spans="1:26" ht="14.65" thickBot="1" x14ac:dyDescent="0.5">
      <c r="A347" s="13">
        <f t="shared" si="134"/>
        <v>33</v>
      </c>
      <c r="B347" s="9" t="s">
        <v>138</v>
      </c>
      <c r="E347" s="6"/>
      <c r="F347" s="72"/>
      <c r="G347" s="74">
        <f>+SUM(G343:G345)</f>
        <v>4450623.3600000003</v>
      </c>
      <c r="H347" s="75"/>
      <c r="I347" s="9"/>
      <c r="J347" s="75"/>
      <c r="K347" s="79"/>
      <c r="L347" s="74">
        <f>+SUM(L343:L345)</f>
        <v>5236158.38</v>
      </c>
      <c r="M347" s="9"/>
      <c r="N347" s="9"/>
      <c r="O347" s="75"/>
      <c r="P347" s="80"/>
      <c r="Q347" s="74">
        <f>+SUM(Q343:Q345)</f>
        <v>4476834.08</v>
      </c>
      <c r="R347" s="9"/>
      <c r="S347" s="9"/>
      <c r="T347" s="75"/>
      <c r="U347" s="79"/>
      <c r="V347" s="74">
        <f>+SUM(V343:V345)</f>
        <v>5266995.29</v>
      </c>
      <c r="W347" s="9"/>
      <c r="X347" s="74">
        <f>+SUM(X343:X345)</f>
        <v>790161.21</v>
      </c>
      <c r="Y347" s="9"/>
      <c r="Z347" s="78">
        <f>IF(Q347=0,0,ROUND((X347/Q347),4))</f>
        <v>0.17649999999999999</v>
      </c>
    </row>
    <row r="348" spans="1:26" ht="14.65" thickTop="1" x14ac:dyDescent="0.45">
      <c r="A348" s="13">
        <f t="shared" si="134"/>
        <v>34</v>
      </c>
      <c r="E348" s="6"/>
      <c r="F348" s="72"/>
      <c r="G348" s="6"/>
      <c r="H348" s="6"/>
      <c r="J348" s="6"/>
      <c r="K348" s="72"/>
      <c r="L348" s="8"/>
      <c r="O348" s="6"/>
      <c r="P348" s="73"/>
      <c r="Q348" s="8"/>
      <c r="T348" s="6"/>
      <c r="U348" s="72"/>
      <c r="V348" s="8"/>
      <c r="X348" s="6"/>
      <c r="Z348" s="15"/>
    </row>
    <row r="349" spans="1:26" ht="14.65" thickBot="1" x14ac:dyDescent="0.5">
      <c r="A349" s="13">
        <f t="shared" si="134"/>
        <v>35</v>
      </c>
      <c r="B349" s="9" t="s">
        <v>139</v>
      </c>
      <c r="C349" s="9"/>
      <c r="D349" s="9"/>
      <c r="E349" s="9"/>
      <c r="F349" s="9"/>
      <c r="G349" s="81">
        <f>+G337+G347</f>
        <v>7649414.1500000004</v>
      </c>
      <c r="H349" s="82"/>
      <c r="I349" s="9"/>
      <c r="J349" s="9"/>
      <c r="K349" s="9"/>
      <c r="L349" s="81">
        <f>+L337+L347</f>
        <v>8999552.5099999998</v>
      </c>
      <c r="M349" s="9"/>
      <c r="N349" s="9"/>
      <c r="O349" s="9"/>
      <c r="P349" s="9"/>
      <c r="Q349" s="81">
        <f>+Q337+Q347</f>
        <v>7699686.1500000004</v>
      </c>
      <c r="R349" s="9"/>
      <c r="S349" s="9"/>
      <c r="T349" s="9"/>
      <c r="U349" s="9"/>
      <c r="V349" s="81">
        <f>+V337+V347</f>
        <v>9058691.8100000005</v>
      </c>
      <c r="W349" s="9"/>
      <c r="X349" s="81">
        <f>+X337+X347</f>
        <v>1359005.6600000001</v>
      </c>
      <c r="Y349" s="9"/>
      <c r="Z349" s="78">
        <f>IF(Q349=0,0,ROUND((X349/Q349),4))</f>
        <v>0.17649999999999999</v>
      </c>
    </row>
    <row r="350" spans="1:26" ht="14.65" thickTop="1" x14ac:dyDescent="0.45">
      <c r="A350" s="13"/>
    </row>
    <row r="351" spans="1:26" x14ac:dyDescent="0.45">
      <c r="A351" s="13"/>
    </row>
    <row r="352" spans="1:26" x14ac:dyDescent="0.45">
      <c r="A352" s="13"/>
      <c r="G352" s="41"/>
    </row>
    <row r="353" spans="1:26" x14ac:dyDescent="0.45">
      <c r="A353" s="13"/>
      <c r="C353" s="23"/>
      <c r="D353" s="23"/>
      <c r="F353" s="23"/>
      <c r="G353" s="23"/>
      <c r="H353" s="23"/>
      <c r="I353" s="23"/>
      <c r="J353" s="23"/>
      <c r="K353" s="23"/>
      <c r="L353" s="23"/>
      <c r="M353" s="23"/>
      <c r="N353" s="23"/>
      <c r="P353" s="23"/>
      <c r="Q353" s="23"/>
      <c r="R353" s="23"/>
      <c r="S353" s="23"/>
      <c r="T353" s="14"/>
      <c r="U353" s="14"/>
      <c r="V353" s="14"/>
      <c r="W353" s="14"/>
      <c r="X353" s="14"/>
      <c r="Y353" s="13"/>
    </row>
    <row r="354" spans="1:26" x14ac:dyDescent="0.45">
      <c r="A354" s="13"/>
      <c r="C354" s="25"/>
      <c r="D354" s="26"/>
      <c r="F354" s="31"/>
      <c r="G354" s="25"/>
      <c r="H354" s="25"/>
      <c r="I354" s="25"/>
      <c r="J354" s="25"/>
      <c r="K354" s="25"/>
      <c r="L354" s="25"/>
      <c r="M354" s="25"/>
      <c r="N354" s="25"/>
      <c r="P354" s="31"/>
      <c r="Q354" s="25"/>
      <c r="R354" s="25"/>
      <c r="S354" s="25"/>
      <c r="T354" s="26"/>
      <c r="U354" s="31"/>
      <c r="V354" s="26"/>
      <c r="W354" s="26"/>
      <c r="X354" s="6"/>
      <c r="Y354" s="26"/>
      <c r="Z354" s="15"/>
    </row>
    <row r="355" spans="1:26" x14ac:dyDescent="0.45">
      <c r="A355" s="13"/>
      <c r="C355" s="25"/>
      <c r="D355" s="26"/>
      <c r="F355" s="31"/>
      <c r="G355" s="25"/>
      <c r="H355" s="25"/>
      <c r="I355" s="25"/>
      <c r="J355" s="25"/>
      <c r="K355" s="25"/>
      <c r="L355" s="25"/>
      <c r="M355" s="25"/>
      <c r="N355" s="25"/>
      <c r="P355" s="31"/>
      <c r="Q355" s="25"/>
      <c r="R355" s="25"/>
      <c r="S355" s="25"/>
      <c r="T355" s="26"/>
      <c r="U355" s="31"/>
      <c r="V355" s="26"/>
    </row>
    <row r="356" spans="1:26" x14ac:dyDescent="0.45">
      <c r="A356" s="13"/>
      <c r="F356" s="37"/>
      <c r="P356" s="37"/>
      <c r="U356" s="37"/>
      <c r="X356" s="6"/>
      <c r="Z356" s="15"/>
    </row>
  </sheetData>
  <mergeCells count="72">
    <mergeCell ref="A304:Z304"/>
    <mergeCell ref="A305:Z305"/>
    <mergeCell ref="I306:Q306"/>
    <mergeCell ref="D100:G100"/>
    <mergeCell ref="N100:Q100"/>
    <mergeCell ref="S100:V100"/>
    <mergeCell ref="I100:L100"/>
    <mergeCell ref="I142:L142"/>
    <mergeCell ref="I184:L184"/>
    <mergeCell ref="N142:Q142"/>
    <mergeCell ref="S142:V142"/>
    <mergeCell ref="I137:Q137"/>
    <mergeCell ref="A175:Z175"/>
    <mergeCell ref="A176:Z176"/>
    <mergeCell ref="A177:Z177"/>
    <mergeCell ref="A260:Z260"/>
    <mergeCell ref="T311:V311"/>
    <mergeCell ref="E311:G311"/>
    <mergeCell ref="O311:Q311"/>
    <mergeCell ref="D226:G226"/>
    <mergeCell ref="N226:Q226"/>
    <mergeCell ref="S226:V226"/>
    <mergeCell ref="I226:L226"/>
    <mergeCell ref="J311:L311"/>
    <mergeCell ref="A262:Z262"/>
    <mergeCell ref="I263:Q263"/>
    <mergeCell ref="D268:G268"/>
    <mergeCell ref="I268:L268"/>
    <mergeCell ref="N268:Q268"/>
    <mergeCell ref="S268:V268"/>
    <mergeCell ref="A302:Z302"/>
    <mergeCell ref="A303:Z303"/>
    <mergeCell ref="I95:Q95"/>
    <mergeCell ref="N184:Q184"/>
    <mergeCell ref="S184:V184"/>
    <mergeCell ref="D142:G142"/>
    <mergeCell ref="D184:G184"/>
    <mergeCell ref="A178:Z178"/>
    <mergeCell ref="A179:Z179"/>
    <mergeCell ref="A261:Z261"/>
    <mergeCell ref="A218:Z218"/>
    <mergeCell ref="A219:Z219"/>
    <mergeCell ref="A220:Z220"/>
    <mergeCell ref="I221:Q221"/>
    <mergeCell ref="A259:Z259"/>
    <mergeCell ref="A217:Z217"/>
    <mergeCell ref="A1:Z1"/>
    <mergeCell ref="A2:Z2"/>
    <mergeCell ref="A3:Z3"/>
    <mergeCell ref="A4:Z4"/>
    <mergeCell ref="A44:Z44"/>
    <mergeCell ref="E10:G10"/>
    <mergeCell ref="O10:Q10"/>
    <mergeCell ref="T10:V10"/>
    <mergeCell ref="J10:L10"/>
    <mergeCell ref="I5:Q5"/>
    <mergeCell ref="A45:Z45"/>
    <mergeCell ref="A133:Z133"/>
    <mergeCell ref="A134:Z134"/>
    <mergeCell ref="A135:Z135"/>
    <mergeCell ref="A136:Z136"/>
    <mergeCell ref="A91:Z91"/>
    <mergeCell ref="A92:Z92"/>
    <mergeCell ref="A93:Z93"/>
    <mergeCell ref="A94:Z94"/>
    <mergeCell ref="A46:Z46"/>
    <mergeCell ref="A47:Z47"/>
    <mergeCell ref="D53:G53"/>
    <mergeCell ref="N53:Q53"/>
    <mergeCell ref="S53:V53"/>
    <mergeCell ref="I53:L53"/>
    <mergeCell ref="I48:Q48"/>
  </mergeCells>
  <phoneticPr fontId="0" type="noConversion"/>
  <printOptions horizontalCentered="1"/>
  <pageMargins left="0.5" right="0.5" top="0.75" bottom="0.75" header="0.5" footer="0.25"/>
  <pageSetup scale="50" orientation="landscape" r:id="rId1"/>
  <headerFooter alignWithMargins="0"/>
  <rowBreaks count="7" manualBreakCount="7">
    <brk id="43" max="25" man="1"/>
    <brk id="90" max="25" man="1"/>
    <brk id="132" max="25" man="1"/>
    <brk id="174" max="25" man="1"/>
    <brk id="216" max="25" man="1"/>
    <brk id="258" max="25" man="1"/>
    <brk id="301" max="25" man="1"/>
  </row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Z280"/>
  <sheetViews>
    <sheetView view="pageBreakPreview" zoomScale="80" zoomScaleNormal="100" zoomScaleSheetLayoutView="80" workbookViewId="0"/>
  </sheetViews>
  <sheetFormatPr defaultColWidth="9.1328125" defaultRowHeight="14.25" x14ac:dyDescent="0.45"/>
  <cols>
    <col min="1" max="1" width="18.86328125" style="91" bestFit="1" customWidth="1"/>
    <col min="2" max="2" width="2.73046875" style="87" customWidth="1"/>
    <col min="3" max="3" width="13.86328125" style="87" customWidth="1"/>
    <col min="4" max="4" width="2.73046875" style="87" customWidth="1"/>
    <col min="5" max="5" width="13.86328125" style="87" customWidth="1"/>
    <col min="6" max="6" width="2.73046875" style="87" customWidth="1"/>
    <col min="7" max="7" width="13.59765625" style="87" customWidth="1"/>
    <col min="8" max="8" width="2.73046875" style="87" customWidth="1"/>
    <col min="9" max="9" width="12.265625" style="87" customWidth="1"/>
    <col min="10" max="10" width="2.73046875" style="87" customWidth="1"/>
    <col min="11" max="11" width="18.73046875" style="91" customWidth="1"/>
    <col min="12" max="12" width="3.1328125" style="87" customWidth="1"/>
    <col min="13" max="15" width="13.3984375" style="87" customWidth="1"/>
    <col min="16" max="17" width="9.1328125" style="87"/>
    <col min="18" max="18" width="18.86328125" style="87" bestFit="1" customWidth="1"/>
    <col min="19" max="19" width="15.265625" style="87" customWidth="1"/>
    <col min="20" max="20" width="12" style="87" bestFit="1" customWidth="1"/>
    <col min="21" max="16384" width="9.1328125" style="87"/>
  </cols>
  <sheetData>
    <row r="2" spans="1:26" x14ac:dyDescent="0.45">
      <c r="A2" s="164" t="s">
        <v>233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85"/>
      <c r="N2" s="85"/>
      <c r="O2" s="85"/>
      <c r="P2" s="86"/>
      <c r="Q2" s="86"/>
      <c r="R2" s="86"/>
      <c r="S2" s="86"/>
      <c r="U2" s="86"/>
      <c r="V2" s="86"/>
      <c r="W2" s="86"/>
      <c r="X2" s="86"/>
      <c r="Y2" s="86"/>
      <c r="Z2" s="86"/>
    </row>
    <row r="3" spans="1:26" x14ac:dyDescent="0.45">
      <c r="A3" s="164" t="s">
        <v>235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85"/>
      <c r="N3" s="85"/>
      <c r="O3" s="85"/>
      <c r="P3" s="86"/>
      <c r="Q3" s="88"/>
      <c r="R3" s="88"/>
      <c r="S3" s="89"/>
      <c r="U3" s="86"/>
      <c r="V3" s="86"/>
      <c r="W3" s="86"/>
      <c r="X3" s="86"/>
      <c r="Y3" s="86"/>
      <c r="Z3" s="86"/>
    </row>
    <row r="4" spans="1:26" x14ac:dyDescent="0.45">
      <c r="A4" s="164" t="s">
        <v>239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85"/>
      <c r="N4" s="85"/>
      <c r="O4" s="85"/>
      <c r="P4" s="86"/>
      <c r="Q4" s="88"/>
      <c r="R4" s="88"/>
      <c r="S4" s="89"/>
      <c r="U4" s="86"/>
      <c r="V4" s="86"/>
      <c r="W4" s="86"/>
      <c r="X4" s="86"/>
      <c r="Y4" s="86"/>
      <c r="Z4" s="86"/>
    </row>
    <row r="5" spans="1:26" ht="30" customHeight="1" x14ac:dyDescent="0.45">
      <c r="A5" s="165" t="s">
        <v>86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85"/>
      <c r="M5" s="85"/>
      <c r="N5" s="85"/>
      <c r="O5" s="85"/>
      <c r="P5" s="86"/>
      <c r="Q5" s="90"/>
      <c r="R5" s="90"/>
      <c r="S5" s="89"/>
      <c r="U5" s="86"/>
      <c r="V5" s="86"/>
      <c r="W5" s="86"/>
      <c r="X5" s="86"/>
      <c r="Y5" s="86"/>
      <c r="Z5" s="86"/>
    </row>
    <row r="6" spans="1:26" x14ac:dyDescent="0.45">
      <c r="A6" s="164" t="s">
        <v>53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85"/>
      <c r="N6" s="85"/>
      <c r="O6" s="85"/>
      <c r="P6" s="86"/>
      <c r="Q6" s="90"/>
      <c r="R6" s="90"/>
      <c r="S6" s="89"/>
      <c r="T6" s="88"/>
      <c r="U6" s="86"/>
      <c r="V6" s="86"/>
      <c r="W6" s="86"/>
      <c r="X6" s="86"/>
      <c r="Y6" s="86"/>
      <c r="Z6" s="86"/>
    </row>
    <row r="7" spans="1:26" x14ac:dyDescent="0.45">
      <c r="L7" s="4" t="s">
        <v>82</v>
      </c>
      <c r="M7" s="85"/>
      <c r="N7" s="85"/>
      <c r="O7" s="85"/>
      <c r="P7" s="86"/>
      <c r="Q7" s="90"/>
      <c r="R7" s="90"/>
      <c r="S7" s="89"/>
      <c r="T7" s="88"/>
      <c r="U7" s="86"/>
      <c r="V7" s="86"/>
      <c r="W7" s="86"/>
      <c r="X7" s="86"/>
      <c r="Y7" s="86"/>
      <c r="Z7" s="86"/>
    </row>
    <row r="8" spans="1:26" x14ac:dyDescent="0.45">
      <c r="A8" s="1"/>
      <c r="B8" s="5"/>
      <c r="C8" s="5"/>
      <c r="D8" s="5"/>
      <c r="E8" s="5"/>
      <c r="F8" s="5"/>
      <c r="G8" s="5"/>
      <c r="H8" s="5"/>
      <c r="I8" s="5"/>
      <c r="J8" s="5"/>
      <c r="K8" s="87"/>
      <c r="L8" s="10"/>
      <c r="M8" s="85"/>
      <c r="N8" s="85"/>
      <c r="O8" s="85"/>
      <c r="P8" s="86"/>
      <c r="Q8" s="90"/>
      <c r="R8" s="90"/>
      <c r="S8" s="89"/>
      <c r="T8" s="88"/>
      <c r="U8" s="86"/>
      <c r="V8" s="86"/>
      <c r="W8" s="86"/>
      <c r="X8" s="86"/>
      <c r="Y8" s="86"/>
      <c r="Z8" s="86"/>
    </row>
    <row r="9" spans="1:26" x14ac:dyDescent="0.45">
      <c r="A9" s="1"/>
      <c r="B9" s="5"/>
      <c r="C9" s="5"/>
      <c r="D9" s="5"/>
      <c r="E9" s="5"/>
      <c r="F9" s="5"/>
      <c r="G9" s="5"/>
      <c r="H9" s="5"/>
      <c r="I9" s="5"/>
      <c r="J9" s="5"/>
      <c r="K9" s="87"/>
      <c r="L9" s="4"/>
      <c r="M9" s="85"/>
      <c r="N9" s="85"/>
      <c r="O9" s="85"/>
      <c r="P9" s="86"/>
      <c r="Q9" s="90"/>
      <c r="R9" s="90"/>
      <c r="S9" s="89"/>
      <c r="T9" s="88"/>
      <c r="U9" s="86"/>
      <c r="V9" s="86"/>
      <c r="W9" s="86"/>
      <c r="X9" s="86"/>
      <c r="Y9" s="86"/>
      <c r="Z9" s="86"/>
    </row>
    <row r="10" spans="1:26" x14ac:dyDescent="0.45">
      <c r="A10" s="92"/>
      <c r="B10" s="86"/>
      <c r="C10" s="86"/>
      <c r="D10" s="86"/>
      <c r="E10" s="86"/>
      <c r="F10" s="86"/>
      <c r="G10" s="86"/>
      <c r="H10" s="86"/>
      <c r="I10" s="86"/>
      <c r="J10" s="86"/>
      <c r="K10" s="92"/>
      <c r="L10" s="86"/>
      <c r="M10" s="86"/>
      <c r="N10" s="86"/>
      <c r="O10" s="86"/>
      <c r="P10" s="86"/>
      <c r="Q10" s="90"/>
      <c r="R10" s="90"/>
      <c r="S10" s="89"/>
      <c r="T10" s="88"/>
      <c r="U10" s="86"/>
      <c r="V10" s="86"/>
      <c r="W10" s="86"/>
      <c r="X10" s="86"/>
      <c r="Y10" s="86"/>
      <c r="Z10" s="86"/>
    </row>
    <row r="11" spans="1:26" x14ac:dyDescent="0.45">
      <c r="A11" s="1" t="s">
        <v>8</v>
      </c>
      <c r="B11" s="92"/>
      <c r="C11" s="1" t="s">
        <v>45</v>
      </c>
      <c r="D11" s="1"/>
      <c r="E11" s="1" t="s">
        <v>45</v>
      </c>
      <c r="F11" s="1"/>
      <c r="G11" s="1" t="s">
        <v>44</v>
      </c>
      <c r="H11" s="1"/>
      <c r="I11" s="1"/>
      <c r="J11" s="1"/>
      <c r="K11" s="1" t="s">
        <v>31</v>
      </c>
      <c r="L11" s="92"/>
      <c r="M11" s="92"/>
      <c r="N11" s="92"/>
      <c r="O11" s="92"/>
      <c r="P11" s="86"/>
      <c r="Q11" s="90"/>
      <c r="R11" s="90"/>
      <c r="S11" s="89"/>
      <c r="T11" s="93"/>
      <c r="U11" s="85"/>
      <c r="V11" s="85"/>
      <c r="W11" s="85"/>
      <c r="X11" s="85"/>
      <c r="Y11" s="86"/>
      <c r="Z11" s="86"/>
    </row>
    <row r="12" spans="1:26" x14ac:dyDescent="0.45">
      <c r="A12" s="2" t="s">
        <v>56</v>
      </c>
      <c r="B12" s="92"/>
      <c r="C12" s="2" t="s">
        <v>26</v>
      </c>
      <c r="D12" s="1"/>
      <c r="E12" s="2" t="s">
        <v>236</v>
      </c>
      <c r="F12" s="1"/>
      <c r="G12" s="2" t="s">
        <v>26</v>
      </c>
      <c r="H12" s="1"/>
      <c r="I12" s="2" t="s">
        <v>54</v>
      </c>
      <c r="J12" s="1"/>
      <c r="K12" s="2" t="s">
        <v>54</v>
      </c>
      <c r="L12" s="92"/>
      <c r="M12" s="92"/>
      <c r="N12" s="92"/>
      <c r="O12" s="92"/>
      <c r="P12" s="86"/>
      <c r="Q12" s="90"/>
      <c r="R12" s="90"/>
      <c r="S12" s="89"/>
      <c r="T12" s="86"/>
      <c r="U12" s="86"/>
      <c r="V12" s="86"/>
      <c r="W12" s="86"/>
      <c r="X12" s="86"/>
      <c r="Y12" s="86"/>
      <c r="Z12" s="86"/>
    </row>
    <row r="13" spans="1:26" x14ac:dyDescent="0.45">
      <c r="A13" s="92">
        <v>0</v>
      </c>
      <c r="B13" s="92"/>
      <c r="C13" s="94">
        <f>'Sch M2-M3'!P59</f>
        <v>15</v>
      </c>
      <c r="D13" s="95"/>
      <c r="E13" s="94">
        <f>+C13*(1+$E$35)</f>
        <v>15</v>
      </c>
      <c r="F13" s="95"/>
      <c r="G13" s="94">
        <f>'Sch M2-M3'!U59</f>
        <v>17.647499999999997</v>
      </c>
      <c r="H13" s="95"/>
      <c r="I13" s="94">
        <f>+G13-E13</f>
        <v>2.6474999999999973</v>
      </c>
      <c r="J13" s="92"/>
      <c r="K13" s="104">
        <f>+I13/E13</f>
        <v>0.17649999999999982</v>
      </c>
      <c r="L13" s="105"/>
      <c r="M13" s="105"/>
      <c r="N13" s="105"/>
      <c r="O13" s="105"/>
      <c r="P13" s="86"/>
      <c r="Q13" s="86"/>
      <c r="R13" s="106"/>
      <c r="S13" s="86"/>
      <c r="T13" s="86"/>
      <c r="U13" s="86"/>
      <c r="V13" s="86"/>
      <c r="W13" s="86"/>
      <c r="X13" s="86"/>
      <c r="Y13" s="86"/>
      <c r="Z13" s="86"/>
    </row>
    <row r="14" spans="1:26" x14ac:dyDescent="0.45">
      <c r="A14" s="92">
        <v>1</v>
      </c>
      <c r="B14" s="86"/>
      <c r="C14" s="96">
        <f>ROUND($C$13+(A14*'Sch M2-M3'!$P$75),2)</f>
        <v>20.76</v>
      </c>
      <c r="D14" s="96"/>
      <c r="E14" s="96">
        <f t="shared" ref="E14:E33" si="0">+C14*(1+$E$35)</f>
        <v>20.76</v>
      </c>
      <c r="F14" s="96"/>
      <c r="G14" s="96">
        <f>ROUND($G$13+(A14*'Sch M2-M3'!$U$75),2)</f>
        <v>24.42</v>
      </c>
      <c r="H14" s="96"/>
      <c r="I14" s="97">
        <f>+G14-E14</f>
        <v>3.66</v>
      </c>
      <c r="J14" s="92"/>
      <c r="K14" s="104">
        <f>+I14/E14</f>
        <v>0.17630057803468208</v>
      </c>
      <c r="L14" s="105"/>
      <c r="M14" s="105"/>
      <c r="N14" s="105"/>
      <c r="O14" s="105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</row>
    <row r="15" spans="1:26" x14ac:dyDescent="0.45">
      <c r="A15" s="92">
        <v>2</v>
      </c>
      <c r="B15" s="86"/>
      <c r="C15" s="96">
        <f>ROUND($C$13+(A15*'Sch M2-M3'!$P$75),2)</f>
        <v>26.51</v>
      </c>
      <c r="D15" s="96"/>
      <c r="E15" s="96">
        <f t="shared" si="0"/>
        <v>26.51</v>
      </c>
      <c r="F15" s="96"/>
      <c r="G15" s="96">
        <f>ROUND($G$13+(A15*'Sch M2-M3'!$U$75),2)</f>
        <v>31.2</v>
      </c>
      <c r="H15" s="96"/>
      <c r="I15" s="97">
        <f t="shared" ref="I15:I33" si="1">+G15-E15</f>
        <v>4.6899999999999977</v>
      </c>
      <c r="J15" s="92"/>
      <c r="K15" s="104">
        <f t="shared" ref="K15:K33" si="2">+I15/E15</f>
        <v>0.17691437193511872</v>
      </c>
      <c r="L15" s="105"/>
      <c r="M15" s="105"/>
      <c r="N15" s="105"/>
      <c r="O15" s="105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</row>
    <row r="16" spans="1:26" x14ac:dyDescent="0.45">
      <c r="A16" s="92">
        <v>3</v>
      </c>
      <c r="B16" s="86"/>
      <c r="C16" s="96">
        <f>ROUND($C$13+(A16*'Sch M2-M3'!$P$75),2)</f>
        <v>32.270000000000003</v>
      </c>
      <c r="D16" s="96"/>
      <c r="E16" s="96">
        <f t="shared" si="0"/>
        <v>32.270000000000003</v>
      </c>
      <c r="F16" s="96"/>
      <c r="G16" s="96">
        <f>ROUND($G$13+(A16*'Sch M2-M3'!$U$75),2)</f>
        <v>37.97</v>
      </c>
      <c r="H16" s="96"/>
      <c r="I16" s="97">
        <f t="shared" si="1"/>
        <v>5.6999999999999957</v>
      </c>
      <c r="J16" s="92"/>
      <c r="K16" s="104">
        <f t="shared" si="2"/>
        <v>0.17663464518128277</v>
      </c>
      <c r="L16" s="105"/>
      <c r="M16" s="105"/>
      <c r="N16" s="105"/>
      <c r="O16" s="105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</row>
    <row r="17" spans="1:26" x14ac:dyDescent="0.45">
      <c r="A17" s="92">
        <v>4</v>
      </c>
      <c r="B17" s="86"/>
      <c r="C17" s="96">
        <f>ROUND($C$13+(A17*'Sch M2-M3'!$P$75),2)</f>
        <v>38.03</v>
      </c>
      <c r="D17" s="96"/>
      <c r="E17" s="96">
        <f t="shared" si="0"/>
        <v>38.03</v>
      </c>
      <c r="F17" s="96"/>
      <c r="G17" s="96">
        <f>ROUND($G$13+(A17*'Sch M2-M3'!$U$75),2)</f>
        <v>44.75</v>
      </c>
      <c r="H17" s="96"/>
      <c r="I17" s="97">
        <f t="shared" si="1"/>
        <v>6.7199999999999989</v>
      </c>
      <c r="J17" s="92"/>
      <c r="K17" s="104">
        <f t="shared" si="2"/>
        <v>0.17670260320799366</v>
      </c>
      <c r="L17" s="105"/>
      <c r="M17" s="105"/>
      <c r="N17" s="105"/>
      <c r="O17" s="105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</row>
    <row r="18" spans="1:26" x14ac:dyDescent="0.45">
      <c r="A18" s="92">
        <v>5</v>
      </c>
      <c r="B18" s="86"/>
      <c r="C18" s="96">
        <f>ROUND($C$13+(A18*'Sch M2-M3'!$P$75),2)</f>
        <v>43.79</v>
      </c>
      <c r="D18" s="96"/>
      <c r="E18" s="96">
        <f t="shared" si="0"/>
        <v>43.79</v>
      </c>
      <c r="F18" s="96"/>
      <c r="G18" s="96">
        <f>ROUND($G$13+(A18*'Sch M2-M3'!$U$75),2)</f>
        <v>51.52</v>
      </c>
      <c r="H18" s="96"/>
      <c r="I18" s="97">
        <f t="shared" si="1"/>
        <v>7.730000000000004</v>
      </c>
      <c r="J18" s="92"/>
      <c r="K18" s="104">
        <f t="shared" si="2"/>
        <v>0.17652432062114648</v>
      </c>
      <c r="L18" s="105"/>
      <c r="M18" s="105"/>
      <c r="N18" s="105"/>
      <c r="O18" s="105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</row>
    <row r="19" spans="1:26" x14ac:dyDescent="0.45">
      <c r="A19" s="92">
        <v>6</v>
      </c>
      <c r="B19" s="86"/>
      <c r="C19" s="96">
        <f>ROUND($C$13+(A19*'Sch M2-M3'!$P$75),2)</f>
        <v>49.54</v>
      </c>
      <c r="D19" s="96"/>
      <c r="E19" s="96">
        <f t="shared" si="0"/>
        <v>49.54</v>
      </c>
      <c r="F19" s="96"/>
      <c r="G19" s="96">
        <f>ROUND($G$13+(A19*'Sch M2-M3'!$U$75),2)</f>
        <v>58.3</v>
      </c>
      <c r="H19" s="96"/>
      <c r="I19" s="97">
        <f t="shared" si="1"/>
        <v>8.759999999999998</v>
      </c>
      <c r="J19" s="92"/>
      <c r="K19" s="104">
        <f t="shared" si="2"/>
        <v>0.17682680662091235</v>
      </c>
      <c r="L19" s="105"/>
      <c r="M19" s="105"/>
      <c r="N19" s="105"/>
      <c r="O19" s="105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</row>
    <row r="20" spans="1:26" x14ac:dyDescent="0.45">
      <c r="A20" s="92">
        <v>7</v>
      </c>
      <c r="B20" s="86"/>
      <c r="C20" s="96">
        <f>ROUND($C$13+(A20*'Sch M2-M3'!$P$75),2)</f>
        <v>55.3</v>
      </c>
      <c r="D20" s="96"/>
      <c r="E20" s="96">
        <f t="shared" si="0"/>
        <v>55.3</v>
      </c>
      <c r="F20" s="96"/>
      <c r="G20" s="96">
        <f>ROUND($G$13+(A20*'Sch M2-M3'!$U$75),2)</f>
        <v>65.069999999999993</v>
      </c>
      <c r="H20" s="96"/>
      <c r="I20" s="97">
        <f t="shared" si="1"/>
        <v>9.769999999999996</v>
      </c>
      <c r="J20" s="92"/>
      <c r="K20" s="104">
        <f t="shared" si="2"/>
        <v>0.17667269439421332</v>
      </c>
      <c r="L20" s="105"/>
      <c r="M20" s="105"/>
      <c r="N20" s="105"/>
      <c r="O20" s="105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</row>
    <row r="21" spans="1:26" x14ac:dyDescent="0.45">
      <c r="A21" s="92">
        <v>8</v>
      </c>
      <c r="B21" s="86"/>
      <c r="C21" s="96">
        <f>ROUND($C$13+(A21*'Sch M2-M3'!$P$75),2)</f>
        <v>61.06</v>
      </c>
      <c r="D21" s="96"/>
      <c r="E21" s="96">
        <f t="shared" si="0"/>
        <v>61.06</v>
      </c>
      <c r="F21" s="96"/>
      <c r="G21" s="96">
        <f>ROUND($G$13+(A21*'Sch M2-M3'!$U$75),2)</f>
        <v>71.849999999999994</v>
      </c>
      <c r="H21" s="96"/>
      <c r="I21" s="97">
        <f t="shared" si="1"/>
        <v>10.789999999999992</v>
      </c>
      <c r="J21" s="92"/>
      <c r="K21" s="104">
        <f t="shared" si="2"/>
        <v>0.17671143137897136</v>
      </c>
      <c r="L21" s="105"/>
      <c r="M21" s="105"/>
      <c r="N21" s="105"/>
      <c r="O21" s="105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</row>
    <row r="22" spans="1:26" x14ac:dyDescent="0.45">
      <c r="A22" s="92">
        <v>9</v>
      </c>
      <c r="B22" s="86"/>
      <c r="C22" s="96">
        <f>ROUND($C$13+(A22*'Sch M2-M3'!$P$75),2)</f>
        <v>66.81</v>
      </c>
      <c r="D22" s="96"/>
      <c r="E22" s="96">
        <f t="shared" si="0"/>
        <v>66.81</v>
      </c>
      <c r="F22" s="96"/>
      <c r="G22" s="96">
        <f>ROUND($G$13+(A22*'Sch M2-M3'!$U$75),2)</f>
        <v>78.62</v>
      </c>
      <c r="H22" s="96"/>
      <c r="I22" s="97">
        <f t="shared" si="1"/>
        <v>11.810000000000002</v>
      </c>
      <c r="J22" s="92"/>
      <c r="K22" s="104">
        <f t="shared" si="2"/>
        <v>0.17676994461906903</v>
      </c>
      <c r="L22" s="105"/>
      <c r="M22" s="105"/>
      <c r="N22" s="105"/>
      <c r="O22" s="105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</row>
    <row r="23" spans="1:26" x14ac:dyDescent="0.45">
      <c r="A23" s="92">
        <v>10</v>
      </c>
      <c r="B23" s="86"/>
      <c r="C23" s="96">
        <f>ROUND($C$13+(A23*'Sch M2-M3'!$P$75),2)</f>
        <v>72.569999999999993</v>
      </c>
      <c r="D23" s="96"/>
      <c r="E23" s="96">
        <f t="shared" si="0"/>
        <v>72.569999999999993</v>
      </c>
      <c r="F23" s="96"/>
      <c r="G23" s="96">
        <f>ROUND($G$13+(A23*'Sch M2-M3'!$U$75),2)</f>
        <v>85.4</v>
      </c>
      <c r="H23" s="96"/>
      <c r="I23" s="97">
        <f t="shared" si="1"/>
        <v>12.830000000000013</v>
      </c>
      <c r="J23" s="92"/>
      <c r="K23" s="104">
        <f t="shared" si="2"/>
        <v>0.17679481879564576</v>
      </c>
      <c r="L23" s="105"/>
      <c r="M23" s="105"/>
      <c r="N23" s="105"/>
      <c r="O23" s="105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</row>
    <row r="24" spans="1:26" x14ac:dyDescent="0.45">
      <c r="A24" s="92">
        <v>15</v>
      </c>
      <c r="B24" s="86"/>
      <c r="C24" s="96">
        <f>ROUND($C$13+(A24*'Sch M2-M3'!$P$75),2)</f>
        <v>101.36</v>
      </c>
      <c r="D24" s="96"/>
      <c r="E24" s="96">
        <f t="shared" si="0"/>
        <v>101.36</v>
      </c>
      <c r="F24" s="96"/>
      <c r="G24" s="96">
        <f>ROUND($G$13+(A24*'Sch M2-M3'!$U$75),2)</f>
        <v>119.27</v>
      </c>
      <c r="H24" s="96"/>
      <c r="I24" s="97">
        <f t="shared" si="1"/>
        <v>17.909999999999997</v>
      </c>
      <c r="J24" s="92"/>
      <c r="K24" s="104">
        <f t="shared" si="2"/>
        <v>0.17669692186266769</v>
      </c>
      <c r="L24" s="105"/>
      <c r="M24" s="105"/>
      <c r="N24" s="105"/>
      <c r="O24" s="105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</row>
    <row r="25" spans="1:26" x14ac:dyDescent="0.45">
      <c r="A25" s="92">
        <v>20</v>
      </c>
      <c r="B25" s="86"/>
      <c r="C25" s="96">
        <f>ROUND($C$13+(A25*'Sch M2-M3'!$P$75),2)</f>
        <v>130.13999999999999</v>
      </c>
      <c r="D25" s="96"/>
      <c r="E25" s="96">
        <f t="shared" si="0"/>
        <v>130.13999999999999</v>
      </c>
      <c r="F25" s="96"/>
      <c r="G25" s="96">
        <f>ROUND($G$13+(A25*'Sch M2-M3'!$U$75),2)</f>
        <v>153.15</v>
      </c>
      <c r="H25" s="96"/>
      <c r="I25" s="97">
        <f t="shared" si="1"/>
        <v>23.010000000000019</v>
      </c>
      <c r="J25" s="92"/>
      <c r="K25" s="104">
        <f t="shared" si="2"/>
        <v>0.17680958967266039</v>
      </c>
      <c r="L25" s="105"/>
      <c r="M25" s="105"/>
      <c r="N25" s="105"/>
      <c r="O25" s="105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</row>
    <row r="26" spans="1:26" x14ac:dyDescent="0.45">
      <c r="A26" s="92">
        <v>25</v>
      </c>
      <c r="B26" s="86"/>
      <c r="C26" s="96">
        <f>ROUND($C$13+(A26*'Sch M2-M3'!$P$75),2)</f>
        <v>158.93</v>
      </c>
      <c r="D26" s="96"/>
      <c r="E26" s="96">
        <f t="shared" si="0"/>
        <v>158.93</v>
      </c>
      <c r="F26" s="96"/>
      <c r="G26" s="96">
        <f>ROUND($G$13+(A26*'Sch M2-M3'!$U$75),2)</f>
        <v>187.02</v>
      </c>
      <c r="H26" s="96"/>
      <c r="I26" s="97">
        <f t="shared" si="1"/>
        <v>28.090000000000003</v>
      </c>
      <c r="J26" s="92"/>
      <c r="K26" s="104">
        <f t="shared" si="2"/>
        <v>0.17674447870131507</v>
      </c>
      <c r="L26" s="105"/>
      <c r="M26" s="105"/>
      <c r="N26" s="105"/>
      <c r="O26" s="105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</row>
    <row r="27" spans="1:26" x14ac:dyDescent="0.45">
      <c r="A27" s="92">
        <v>30</v>
      </c>
      <c r="B27" s="86"/>
      <c r="C27" s="96">
        <f>ROUND($C$13+(A27*'Sch M2-M3'!$P$75),2)</f>
        <v>187.71</v>
      </c>
      <c r="D27" s="96"/>
      <c r="E27" s="96">
        <f t="shared" si="0"/>
        <v>187.71</v>
      </c>
      <c r="F27" s="96"/>
      <c r="G27" s="96">
        <f>ROUND($G$13+(A27*'Sch M2-M3'!$U$75),2)</f>
        <v>220.9</v>
      </c>
      <c r="H27" s="96"/>
      <c r="I27" s="97">
        <f t="shared" si="1"/>
        <v>33.19</v>
      </c>
      <c r="J27" s="92"/>
      <c r="K27" s="104">
        <f t="shared" si="2"/>
        <v>0.17681530019711256</v>
      </c>
      <c r="L27" s="105"/>
      <c r="M27" s="105"/>
      <c r="N27" s="105"/>
      <c r="O27" s="105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</row>
    <row r="28" spans="1:26" x14ac:dyDescent="0.45">
      <c r="A28" s="92">
        <v>35</v>
      </c>
      <c r="B28" s="86"/>
      <c r="C28" s="96">
        <f>ROUND($C$13+(A28*'Sch M2-M3'!$P$75),2)</f>
        <v>216.5</v>
      </c>
      <c r="D28" s="96"/>
      <c r="E28" s="96">
        <f t="shared" si="0"/>
        <v>216.5</v>
      </c>
      <c r="F28" s="96"/>
      <c r="G28" s="96">
        <f>ROUND($G$13+(A28*'Sch M2-M3'!$U$75),2)</f>
        <v>254.77</v>
      </c>
      <c r="H28" s="96"/>
      <c r="I28" s="97">
        <f t="shared" si="1"/>
        <v>38.27000000000001</v>
      </c>
      <c r="J28" s="92"/>
      <c r="K28" s="104">
        <f t="shared" si="2"/>
        <v>0.17676674364896078</v>
      </c>
      <c r="L28" s="105"/>
      <c r="M28" s="105"/>
      <c r="N28" s="105"/>
      <c r="O28" s="105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</row>
    <row r="29" spans="1:26" x14ac:dyDescent="0.45">
      <c r="A29" s="92">
        <v>40</v>
      </c>
      <c r="B29" s="86"/>
      <c r="C29" s="96">
        <f>ROUND($C$13+(A29*'Sch M2-M3'!$P$75),2)</f>
        <v>245.28</v>
      </c>
      <c r="D29" s="96"/>
      <c r="E29" s="96">
        <f t="shared" si="0"/>
        <v>245.28</v>
      </c>
      <c r="F29" s="96"/>
      <c r="G29" s="96">
        <f>ROUND($G$13+(A29*'Sch M2-M3'!$U$75),2)</f>
        <v>288.64999999999998</v>
      </c>
      <c r="H29" s="96"/>
      <c r="I29" s="97">
        <f t="shared" si="1"/>
        <v>43.369999999999976</v>
      </c>
      <c r="J29" s="92"/>
      <c r="K29" s="104">
        <f t="shared" si="2"/>
        <v>0.17681833007175463</v>
      </c>
      <c r="L29" s="105"/>
      <c r="M29" s="105"/>
      <c r="N29" s="105"/>
      <c r="O29" s="105"/>
      <c r="P29" s="86"/>
      <c r="Q29" s="86"/>
      <c r="R29" s="156"/>
      <c r="S29" s="86"/>
      <c r="T29" s="86"/>
      <c r="U29" s="86"/>
      <c r="V29" s="86"/>
      <c r="W29" s="86"/>
      <c r="X29" s="86"/>
      <c r="Y29" s="86"/>
      <c r="Z29" s="86"/>
    </row>
    <row r="30" spans="1:26" x14ac:dyDescent="0.45">
      <c r="A30" s="92">
        <v>45</v>
      </c>
      <c r="B30" s="86"/>
      <c r="C30" s="96">
        <f>ROUND($C$13+(A30*'Sch M2-M3'!$P$75),2)</f>
        <v>274.07</v>
      </c>
      <c r="D30" s="96"/>
      <c r="E30" s="96">
        <f t="shared" si="0"/>
        <v>274.07</v>
      </c>
      <c r="F30" s="96"/>
      <c r="G30" s="96">
        <f>ROUND($G$13+(A30*'Sch M2-M3'!$U$75),2)</f>
        <v>322.52</v>
      </c>
      <c r="H30" s="96"/>
      <c r="I30" s="97">
        <f t="shared" si="1"/>
        <v>48.449999999999989</v>
      </c>
      <c r="J30" s="92"/>
      <c r="K30" s="104">
        <f t="shared" si="2"/>
        <v>0.17677965483270694</v>
      </c>
      <c r="L30" s="105"/>
      <c r="M30" s="105"/>
      <c r="N30" s="105"/>
      <c r="O30" s="105"/>
      <c r="P30" s="86"/>
      <c r="Q30" s="86"/>
      <c r="R30" s="118"/>
      <c r="S30" s="155"/>
      <c r="T30" s="155"/>
      <c r="U30" s="86"/>
      <c r="V30" s="155"/>
      <c r="W30" s="118"/>
      <c r="X30" s="86"/>
      <c r="Y30" s="86"/>
      <c r="Z30" s="86"/>
    </row>
    <row r="31" spans="1:26" x14ac:dyDescent="0.45">
      <c r="A31" s="92">
        <v>50</v>
      </c>
      <c r="B31" s="86"/>
      <c r="C31" s="96">
        <f>ROUND($C$13+(A31*'Sch M2-M3'!$P$75),2)</f>
        <v>302.85000000000002</v>
      </c>
      <c r="D31" s="96"/>
      <c r="E31" s="96">
        <f t="shared" si="0"/>
        <v>302.85000000000002</v>
      </c>
      <c r="F31" s="96"/>
      <c r="G31" s="96">
        <f>ROUND($G$13+(A31*'Sch M2-M3'!$U$75),2)</f>
        <v>356.4</v>
      </c>
      <c r="H31" s="96"/>
      <c r="I31" s="97">
        <f t="shared" si="1"/>
        <v>53.549999999999955</v>
      </c>
      <c r="J31" s="92"/>
      <c r="K31" s="104">
        <f t="shared" si="2"/>
        <v>0.17682020802377399</v>
      </c>
      <c r="L31" s="105"/>
      <c r="M31" s="105"/>
      <c r="N31" s="105"/>
      <c r="O31" s="105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</row>
    <row r="32" spans="1:26" x14ac:dyDescent="0.45">
      <c r="A32" s="92">
        <v>75</v>
      </c>
      <c r="B32" s="86"/>
      <c r="C32" s="96">
        <f>ROUND($C$13+(A32*'Sch M2-M3'!$P$75),2)</f>
        <v>446.78</v>
      </c>
      <c r="D32" s="96"/>
      <c r="E32" s="96">
        <f t="shared" si="0"/>
        <v>446.78</v>
      </c>
      <c r="F32" s="96"/>
      <c r="G32" s="96">
        <f>ROUND($G$13+(A32*'Sch M2-M3'!$U$75),2)</f>
        <v>525.77</v>
      </c>
      <c r="H32" s="96"/>
      <c r="I32" s="97">
        <f t="shared" si="1"/>
        <v>78.990000000000009</v>
      </c>
      <c r="J32" s="92"/>
      <c r="K32" s="104">
        <f t="shared" si="2"/>
        <v>0.17679842428040649</v>
      </c>
      <c r="L32" s="105"/>
      <c r="M32" s="105"/>
      <c r="N32" s="105"/>
      <c r="O32" s="105"/>
      <c r="P32" s="86"/>
      <c r="Q32" s="86"/>
      <c r="R32" s="118"/>
      <c r="S32" s="86"/>
      <c r="T32" s="155"/>
      <c r="U32" s="86"/>
      <c r="V32" s="155"/>
      <c r="W32" s="118"/>
      <c r="X32" s="86"/>
      <c r="Y32" s="86"/>
      <c r="Z32" s="86"/>
    </row>
    <row r="33" spans="1:26" x14ac:dyDescent="0.45">
      <c r="A33" s="92">
        <v>100</v>
      </c>
      <c r="B33" s="86"/>
      <c r="C33" s="96">
        <f>ROUND($C$13+(A33*'Sch M2-M3'!$P$75),2)</f>
        <v>590.70000000000005</v>
      </c>
      <c r="D33" s="96"/>
      <c r="E33" s="96">
        <f t="shared" si="0"/>
        <v>590.70000000000005</v>
      </c>
      <c r="F33" s="96"/>
      <c r="G33" s="96">
        <f>ROUND($G$13+(A33*'Sch M2-M3'!$U$75),2)</f>
        <v>695.15</v>
      </c>
      <c r="H33" s="96"/>
      <c r="I33" s="97">
        <f t="shared" si="1"/>
        <v>104.44999999999993</v>
      </c>
      <c r="J33" s="92"/>
      <c r="K33" s="104">
        <f t="shared" si="2"/>
        <v>0.17682410699170462</v>
      </c>
      <c r="L33" s="105"/>
      <c r="M33" s="105"/>
      <c r="N33" s="105"/>
      <c r="O33" s="105"/>
      <c r="P33" s="86"/>
      <c r="Q33" s="86"/>
      <c r="R33" s="86"/>
      <c r="S33" s="86"/>
      <c r="T33" s="90"/>
      <c r="U33" s="86"/>
      <c r="V33" s="86"/>
      <c r="W33" s="86"/>
      <c r="X33" s="86"/>
      <c r="Y33" s="86"/>
      <c r="Z33" s="86"/>
    </row>
    <row r="34" spans="1:26" x14ac:dyDescent="0.45">
      <c r="A34" s="92"/>
      <c r="B34" s="86"/>
      <c r="C34" s="96"/>
      <c r="D34" s="96"/>
      <c r="E34" s="96"/>
      <c r="F34" s="96"/>
      <c r="G34" s="96"/>
      <c r="H34" s="96"/>
      <c r="I34" s="96"/>
      <c r="J34" s="86"/>
      <c r="K34" s="92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</row>
    <row r="35" spans="1:26" x14ac:dyDescent="0.45">
      <c r="A35" s="92" t="s">
        <v>163</v>
      </c>
      <c r="B35" s="86"/>
      <c r="C35" s="96"/>
      <c r="D35" s="96"/>
      <c r="E35" s="118">
        <v>0</v>
      </c>
      <c r="F35" s="96"/>
      <c r="G35" s="96"/>
      <c r="H35" s="96"/>
      <c r="I35" s="96"/>
      <c r="J35" s="86"/>
      <c r="K35" s="92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</row>
    <row r="36" spans="1:26" x14ac:dyDescent="0.45">
      <c r="A36" s="92"/>
      <c r="B36" s="86"/>
      <c r="C36" s="96"/>
      <c r="D36" s="96"/>
      <c r="E36" s="96"/>
      <c r="F36" s="96"/>
      <c r="G36" s="96"/>
      <c r="H36" s="96"/>
      <c r="I36" s="96"/>
      <c r="J36" s="86"/>
      <c r="K36" s="92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</row>
    <row r="37" spans="1:26" x14ac:dyDescent="0.45">
      <c r="A37" s="92" t="s">
        <v>55</v>
      </c>
      <c r="B37" s="86"/>
      <c r="C37" s="96"/>
      <c r="D37" s="96"/>
      <c r="E37" s="96"/>
      <c r="F37" s="96"/>
      <c r="G37" s="96"/>
      <c r="H37" s="96"/>
      <c r="I37" s="96"/>
      <c r="J37" s="86"/>
      <c r="K37" s="92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</row>
    <row r="38" spans="1:26" x14ac:dyDescent="0.45">
      <c r="A38" s="98">
        <v>3.8025098218090156</v>
      </c>
      <c r="B38" s="86"/>
      <c r="C38" s="96">
        <f>ROUND($C$13+(A38*'Sch M2-M3'!$P$75),2)</f>
        <v>36.89</v>
      </c>
      <c r="D38" s="96"/>
      <c r="E38" s="94">
        <f>+C38*(1+$E$35)</f>
        <v>36.89</v>
      </c>
      <c r="F38" s="96"/>
      <c r="G38" s="96">
        <f>ROUND($G$13+(A38*'Sch M2-M3'!$U$75),2)</f>
        <v>43.41</v>
      </c>
      <c r="H38" s="96"/>
      <c r="I38" s="97">
        <f>+G38-E38</f>
        <v>6.519999999999996</v>
      </c>
      <c r="J38" s="92"/>
      <c r="K38" s="104">
        <f>+I38/E38</f>
        <v>0.17674166440769845</v>
      </c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</row>
    <row r="39" spans="1:26" x14ac:dyDescent="0.45">
      <c r="N39" s="99"/>
    </row>
    <row r="41" spans="1:26" x14ac:dyDescent="0.45">
      <c r="K41" s="84"/>
    </row>
    <row r="42" spans="1:26" x14ac:dyDescent="0.45">
      <c r="A42" s="164" t="str">
        <f>A2</f>
        <v>Kentucky-American Water Company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</row>
    <row r="43" spans="1:26" x14ac:dyDescent="0.45">
      <c r="A43" s="164" t="str">
        <f>A3</f>
        <v>Case No. 2023-00191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</row>
    <row r="44" spans="1:26" x14ac:dyDescent="0.45">
      <c r="A44" s="164" t="str">
        <f>A4</f>
        <v>Forecast Year (12 Months Ending January 31, 2025)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</row>
    <row r="45" spans="1:26" ht="29.65" customHeight="1" x14ac:dyDescent="0.45">
      <c r="A45" s="165" t="s">
        <v>86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</row>
    <row r="46" spans="1:26" x14ac:dyDescent="0.45">
      <c r="A46" s="164" t="s">
        <v>57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</row>
    <row r="47" spans="1:26" x14ac:dyDescent="0.45">
      <c r="L47" s="4" t="str">
        <f>L7</f>
        <v>Exhibit 37, Schedule N</v>
      </c>
    </row>
    <row r="48" spans="1:26" x14ac:dyDescent="0.45">
      <c r="A48" s="1"/>
      <c r="B48" s="5"/>
      <c r="C48" s="5"/>
      <c r="D48" s="5"/>
      <c r="E48" s="5"/>
      <c r="F48" s="5"/>
      <c r="G48" s="5"/>
      <c r="H48" s="5"/>
      <c r="I48" s="5"/>
      <c r="J48" s="5"/>
      <c r="K48" s="1"/>
      <c r="L48" s="10"/>
    </row>
    <row r="49" spans="1:12" x14ac:dyDescent="0.45">
      <c r="A49" s="1"/>
      <c r="B49" s="92"/>
      <c r="C49" s="92"/>
      <c r="D49" s="92"/>
      <c r="E49" s="92"/>
      <c r="F49" s="92"/>
      <c r="G49" s="92"/>
      <c r="H49" s="92"/>
      <c r="I49" s="92"/>
      <c r="J49" s="92"/>
      <c r="K49" s="1"/>
      <c r="L49" s="4"/>
    </row>
    <row r="50" spans="1:12" x14ac:dyDescent="0.45">
      <c r="A50" s="92"/>
      <c r="B50" s="86"/>
      <c r="C50" s="86"/>
      <c r="D50" s="86"/>
      <c r="E50" s="86"/>
      <c r="F50" s="86"/>
      <c r="G50" s="86"/>
      <c r="H50" s="86"/>
      <c r="I50" s="86"/>
      <c r="J50" s="86"/>
      <c r="K50" s="92"/>
    </row>
    <row r="51" spans="1:12" x14ac:dyDescent="0.45">
      <c r="A51" s="1" t="s">
        <v>8</v>
      </c>
      <c r="B51" s="92"/>
      <c r="C51" s="1" t="s">
        <v>45</v>
      </c>
      <c r="D51" s="1"/>
      <c r="E51" s="1" t="s">
        <v>45</v>
      </c>
      <c r="F51" s="1"/>
      <c r="G51" s="1" t="s">
        <v>44</v>
      </c>
      <c r="H51" s="1"/>
      <c r="I51" s="1"/>
      <c r="J51" s="1"/>
      <c r="K51" s="1" t="s">
        <v>31</v>
      </c>
    </row>
    <row r="52" spans="1:12" x14ac:dyDescent="0.45">
      <c r="A52" s="2" t="s">
        <v>56</v>
      </c>
      <c r="B52" s="92"/>
      <c r="C52" s="2" t="s">
        <v>26</v>
      </c>
      <c r="D52" s="1"/>
      <c r="E52" s="2" t="s">
        <v>236</v>
      </c>
      <c r="F52" s="1"/>
      <c r="G52" s="2" t="s">
        <v>26</v>
      </c>
      <c r="H52" s="1"/>
      <c r="I52" s="2" t="s">
        <v>54</v>
      </c>
      <c r="J52" s="1"/>
      <c r="K52" s="2" t="s">
        <v>54</v>
      </c>
    </row>
    <row r="53" spans="1:12" x14ac:dyDescent="0.45">
      <c r="A53" s="92">
        <v>0</v>
      </c>
      <c r="B53" s="92"/>
      <c r="C53" s="94">
        <f>'Sch M2-M3'!P106</f>
        <v>15</v>
      </c>
      <c r="D53" s="95"/>
      <c r="E53" s="94">
        <f>+C53*(1+$E$76)</f>
        <v>15</v>
      </c>
      <c r="F53" s="95"/>
      <c r="G53" s="94">
        <f>'Sch M2-M3'!U106</f>
        <v>17.647499999999997</v>
      </c>
      <c r="H53" s="95"/>
      <c r="I53" s="94">
        <f>+G53-E53</f>
        <v>2.6474999999999973</v>
      </c>
      <c r="J53" s="92"/>
      <c r="K53" s="104">
        <f>+I53/E53</f>
        <v>0.17649999999999982</v>
      </c>
    </row>
    <row r="54" spans="1:12" x14ac:dyDescent="0.45">
      <c r="A54" s="92">
        <v>1</v>
      </c>
      <c r="B54" s="86"/>
      <c r="C54" s="96">
        <f>ROUND($C$53+(A54*'Sch M2-M3'!$P$120),2)</f>
        <v>20.21</v>
      </c>
      <c r="D54" s="96"/>
      <c r="E54" s="96">
        <f>+C54*(1+$E$76)</f>
        <v>20.21</v>
      </c>
      <c r="F54" s="96"/>
      <c r="G54" s="96">
        <f>ROUND($G$53+(A54*'Sch M2-M3'!$U$120),2)</f>
        <v>23.77</v>
      </c>
      <c r="H54" s="96"/>
      <c r="I54" s="97">
        <f>+G54-E54</f>
        <v>3.5599999999999987</v>
      </c>
      <c r="J54" s="92"/>
      <c r="K54" s="104">
        <f>+I54/E54</f>
        <v>0.17615042058386929</v>
      </c>
    </row>
    <row r="55" spans="1:12" x14ac:dyDescent="0.45">
      <c r="A55" s="92">
        <v>2</v>
      </c>
      <c r="B55" s="86"/>
      <c r="C55" s="96">
        <f>ROUND($C$53+(A55*'Sch M2-M3'!$P$120),2)</f>
        <v>25.41</v>
      </c>
      <c r="D55" s="96"/>
      <c r="E55" s="96">
        <f t="shared" ref="E55:E74" si="3">+C55*(1+$E$76)</f>
        <v>25.41</v>
      </c>
      <c r="F55" s="96"/>
      <c r="G55" s="96">
        <f>ROUND($G$53+(A55*'Sch M2-M3'!$U$120),2)</f>
        <v>29.9</v>
      </c>
      <c r="H55" s="96"/>
      <c r="I55" s="97">
        <f t="shared" ref="I55:I74" si="4">+G55-E55</f>
        <v>4.4899999999999984</v>
      </c>
      <c r="J55" s="92"/>
      <c r="K55" s="104">
        <f t="shared" ref="K55:K74" si="5">+I55/E55</f>
        <v>0.17670208579299482</v>
      </c>
    </row>
    <row r="56" spans="1:12" x14ac:dyDescent="0.45">
      <c r="A56" s="92">
        <v>3</v>
      </c>
      <c r="B56" s="86"/>
      <c r="C56" s="96">
        <f>ROUND($C$53+(A56*'Sch M2-M3'!$P$120),2)</f>
        <v>30.62</v>
      </c>
      <c r="D56" s="96"/>
      <c r="E56" s="96">
        <f t="shared" si="3"/>
        <v>30.62</v>
      </c>
      <c r="F56" s="96"/>
      <c r="G56" s="96">
        <f>ROUND($G$53+(A56*'Sch M2-M3'!$U$120),2)</f>
        <v>36.03</v>
      </c>
      <c r="H56" s="96"/>
      <c r="I56" s="97">
        <f t="shared" si="4"/>
        <v>5.41</v>
      </c>
      <c r="J56" s="92"/>
      <c r="K56" s="104">
        <f t="shared" si="5"/>
        <v>0.17668190725016328</v>
      </c>
    </row>
    <row r="57" spans="1:12" x14ac:dyDescent="0.45">
      <c r="A57" s="92">
        <v>4</v>
      </c>
      <c r="B57" s="86"/>
      <c r="C57" s="96">
        <f>ROUND($C$53+(A57*'Sch M2-M3'!$P$120),2)</f>
        <v>35.83</v>
      </c>
      <c r="D57" s="96"/>
      <c r="E57" s="96">
        <f t="shared" si="3"/>
        <v>35.83</v>
      </c>
      <c r="F57" s="96"/>
      <c r="G57" s="96">
        <f>ROUND($G$53+(A57*'Sch M2-M3'!$U$120),2)</f>
        <v>42.16</v>
      </c>
      <c r="H57" s="96"/>
      <c r="I57" s="97">
        <f t="shared" si="4"/>
        <v>6.3299999999999983</v>
      </c>
      <c r="J57" s="92"/>
      <c r="K57" s="104">
        <f t="shared" si="5"/>
        <v>0.17666759698576609</v>
      </c>
    </row>
    <row r="58" spans="1:12" x14ac:dyDescent="0.45">
      <c r="A58" s="92">
        <v>4.5</v>
      </c>
      <c r="B58" s="86"/>
      <c r="C58" s="96">
        <f>ROUND($C$53+(A58*'Sch M2-M3'!$P$120),2)</f>
        <v>38.43</v>
      </c>
      <c r="D58" s="96"/>
      <c r="E58" s="96">
        <f t="shared" si="3"/>
        <v>38.43</v>
      </c>
      <c r="F58" s="96"/>
      <c r="G58" s="96">
        <f>ROUND($G$53+(A58*'Sch M2-M3'!$U$120),2)</f>
        <v>45.22</v>
      </c>
      <c r="H58" s="96"/>
      <c r="I58" s="97">
        <f t="shared" si="4"/>
        <v>6.7899999999999991</v>
      </c>
      <c r="J58" s="92"/>
      <c r="K58" s="104">
        <f t="shared" si="5"/>
        <v>0.17668488160291437</v>
      </c>
    </row>
    <row r="59" spans="1:12" x14ac:dyDescent="0.45">
      <c r="A59" s="92">
        <v>5</v>
      </c>
      <c r="B59" s="86"/>
      <c r="C59" s="96">
        <f>ROUND($C$53+(A59*'Sch M2-M3'!$P$120),2)</f>
        <v>41.03</v>
      </c>
      <c r="D59" s="96"/>
      <c r="E59" s="96">
        <f t="shared" si="3"/>
        <v>41.03</v>
      </c>
      <c r="F59" s="96"/>
      <c r="G59" s="96">
        <f>ROUND($G$53+(A59*'Sch M2-M3'!$U$120),2)</f>
        <v>48.28</v>
      </c>
      <c r="H59" s="96"/>
      <c r="I59" s="97">
        <f t="shared" si="4"/>
        <v>7.25</v>
      </c>
      <c r="J59" s="92"/>
      <c r="K59" s="104">
        <f t="shared" si="5"/>
        <v>0.17669997562758957</v>
      </c>
    </row>
    <row r="60" spans="1:12" x14ac:dyDescent="0.45">
      <c r="A60" s="92">
        <v>6</v>
      </c>
      <c r="B60" s="86"/>
      <c r="C60" s="96">
        <f>ROUND($C$53+(A60*'Sch M2-M3'!$P$120),2)</f>
        <v>46.24</v>
      </c>
      <c r="D60" s="96"/>
      <c r="E60" s="96">
        <f t="shared" si="3"/>
        <v>46.24</v>
      </c>
      <c r="F60" s="96"/>
      <c r="G60" s="96">
        <f>ROUND($G$53+(A60*'Sch M2-M3'!$U$120),2)</f>
        <v>54.41</v>
      </c>
      <c r="H60" s="96"/>
      <c r="I60" s="97">
        <f t="shared" si="4"/>
        <v>8.1699999999999946</v>
      </c>
      <c r="J60" s="92"/>
      <c r="K60" s="104">
        <f t="shared" si="5"/>
        <v>0.17668685121107253</v>
      </c>
    </row>
    <row r="61" spans="1:12" x14ac:dyDescent="0.45">
      <c r="A61" s="92">
        <v>7</v>
      </c>
      <c r="B61" s="86"/>
      <c r="C61" s="96">
        <f>ROUND($C$53+(A61*'Sch M2-M3'!$P$120),2)</f>
        <v>51.45</v>
      </c>
      <c r="D61" s="96"/>
      <c r="E61" s="96">
        <f t="shared" si="3"/>
        <v>51.45</v>
      </c>
      <c r="F61" s="96"/>
      <c r="G61" s="96">
        <f>ROUND($G$53+(A61*'Sch M2-M3'!$U$120),2)</f>
        <v>60.54</v>
      </c>
      <c r="H61" s="96"/>
      <c r="I61" s="97">
        <f t="shared" si="4"/>
        <v>9.0899999999999963</v>
      </c>
      <c r="J61" s="92"/>
      <c r="K61" s="104">
        <f t="shared" si="5"/>
        <v>0.17667638483965006</v>
      </c>
    </row>
    <row r="62" spans="1:12" x14ac:dyDescent="0.45">
      <c r="A62" s="92">
        <v>8</v>
      </c>
      <c r="B62" s="86"/>
      <c r="C62" s="96">
        <f>ROUND($C$53+(A62*'Sch M2-M3'!$P$120),2)</f>
        <v>56.65</v>
      </c>
      <c r="D62" s="96"/>
      <c r="E62" s="96">
        <f t="shared" si="3"/>
        <v>56.65</v>
      </c>
      <c r="F62" s="96"/>
      <c r="G62" s="96">
        <f>ROUND($G$53+(A62*'Sch M2-M3'!$U$120),2)</f>
        <v>66.67</v>
      </c>
      <c r="H62" s="96"/>
      <c r="I62" s="97">
        <f t="shared" si="4"/>
        <v>10.020000000000003</v>
      </c>
      <c r="J62" s="92"/>
      <c r="K62" s="104">
        <f t="shared" si="5"/>
        <v>0.17687555163283325</v>
      </c>
    </row>
    <row r="63" spans="1:12" x14ac:dyDescent="0.45">
      <c r="A63" s="92">
        <v>9</v>
      </c>
      <c r="B63" s="86"/>
      <c r="C63" s="96">
        <f>ROUND($C$53+(A63*'Sch M2-M3'!$P$120),2)</f>
        <v>61.86</v>
      </c>
      <c r="D63" s="96"/>
      <c r="E63" s="96">
        <f t="shared" si="3"/>
        <v>61.86</v>
      </c>
      <c r="F63" s="96"/>
      <c r="G63" s="96">
        <f>ROUND($G$53+(A63*'Sch M2-M3'!$U$120),2)</f>
        <v>72.790000000000006</v>
      </c>
      <c r="H63" s="96"/>
      <c r="I63" s="97">
        <f t="shared" si="4"/>
        <v>10.930000000000007</v>
      </c>
      <c r="J63" s="92"/>
      <c r="K63" s="104">
        <f t="shared" si="5"/>
        <v>0.17668929841577768</v>
      </c>
    </row>
    <row r="64" spans="1:12" x14ac:dyDescent="0.45">
      <c r="A64" s="92">
        <v>10</v>
      </c>
      <c r="B64" s="86"/>
      <c r="C64" s="96">
        <f>ROUND($C$53+(A64*'Sch M2-M3'!$P$120),2)</f>
        <v>67.069999999999993</v>
      </c>
      <c r="D64" s="96"/>
      <c r="E64" s="96">
        <f t="shared" si="3"/>
        <v>67.069999999999993</v>
      </c>
      <c r="F64" s="96"/>
      <c r="G64" s="96">
        <f>ROUND($G$53+(A64*'Sch M2-M3'!$U$120),2)</f>
        <v>78.92</v>
      </c>
      <c r="H64" s="96"/>
      <c r="I64" s="97">
        <f t="shared" si="4"/>
        <v>11.850000000000009</v>
      </c>
      <c r="J64" s="92"/>
      <c r="K64" s="104">
        <f t="shared" si="5"/>
        <v>0.17668107946921141</v>
      </c>
    </row>
    <row r="65" spans="1:14" x14ac:dyDescent="0.45">
      <c r="A65" s="92">
        <v>15</v>
      </c>
      <c r="B65" s="86"/>
      <c r="C65" s="96">
        <f>ROUND($C$53+(A65*'Sch M2-M3'!$P$120),2)</f>
        <v>93.1</v>
      </c>
      <c r="D65" s="96"/>
      <c r="E65" s="96">
        <f t="shared" si="3"/>
        <v>93.1</v>
      </c>
      <c r="F65" s="96"/>
      <c r="G65" s="96">
        <f>ROUND($G$53+(A65*'Sch M2-M3'!$U$120),2)</f>
        <v>109.56</v>
      </c>
      <c r="H65" s="96"/>
      <c r="I65" s="97">
        <f t="shared" si="4"/>
        <v>16.460000000000008</v>
      </c>
      <c r="J65" s="92"/>
      <c r="K65" s="104">
        <f t="shared" si="5"/>
        <v>0.17679914070891525</v>
      </c>
    </row>
    <row r="66" spans="1:14" x14ac:dyDescent="0.45">
      <c r="A66" s="92">
        <v>20</v>
      </c>
      <c r="B66" s="86"/>
      <c r="C66" s="96">
        <f>ROUND($C$53+(A66*'Sch M2-M3'!$P$120),2)</f>
        <v>119.13</v>
      </c>
      <c r="D66" s="96"/>
      <c r="E66" s="96">
        <f t="shared" si="3"/>
        <v>119.13</v>
      </c>
      <c r="F66" s="96"/>
      <c r="G66" s="96">
        <f>ROUND($G$53+(A66*'Sch M2-M3'!$U$120),2)</f>
        <v>140.19</v>
      </c>
      <c r="H66" s="96"/>
      <c r="I66" s="97">
        <f t="shared" si="4"/>
        <v>21.060000000000002</v>
      </c>
      <c r="J66" s="92"/>
      <c r="K66" s="104">
        <f t="shared" si="5"/>
        <v>0.17678166708637624</v>
      </c>
    </row>
    <row r="67" spans="1:14" x14ac:dyDescent="0.45">
      <c r="A67" s="92">
        <v>25</v>
      </c>
      <c r="B67" s="86"/>
      <c r="C67" s="96">
        <f>ROUND($C$53+(A67*'Sch M2-M3'!$P$120),2)</f>
        <v>145.16999999999999</v>
      </c>
      <c r="D67" s="96"/>
      <c r="E67" s="96">
        <f t="shared" si="3"/>
        <v>145.16999999999999</v>
      </c>
      <c r="F67" s="96"/>
      <c r="G67" s="96">
        <f>ROUND($G$53+(A67*'Sch M2-M3'!$U$120),2)</f>
        <v>170.83</v>
      </c>
      <c r="H67" s="96"/>
      <c r="I67" s="97">
        <f t="shared" si="4"/>
        <v>25.660000000000025</v>
      </c>
      <c r="J67" s="92"/>
      <c r="K67" s="104">
        <f t="shared" si="5"/>
        <v>0.17675828339188557</v>
      </c>
    </row>
    <row r="68" spans="1:14" x14ac:dyDescent="0.45">
      <c r="A68" s="92">
        <v>32.200000000000003</v>
      </c>
      <c r="B68" s="86"/>
      <c r="C68" s="96">
        <f>ROUND($C$53+(A68*'Sch M2-M3'!$P$120),2)</f>
        <v>182.65</v>
      </c>
      <c r="D68" s="96"/>
      <c r="E68" s="96">
        <f t="shared" si="3"/>
        <v>182.65</v>
      </c>
      <c r="F68" s="96"/>
      <c r="G68" s="96">
        <f>ROUND($G$53+(A68*'Sch M2-M3'!$U$120),2)</f>
        <v>214.95</v>
      </c>
      <c r="H68" s="96"/>
      <c r="I68" s="97">
        <f t="shared" si="4"/>
        <v>32.299999999999983</v>
      </c>
      <c r="J68" s="92"/>
      <c r="K68" s="104">
        <f t="shared" si="5"/>
        <v>0.17684095264166427</v>
      </c>
    </row>
    <row r="69" spans="1:14" x14ac:dyDescent="0.45">
      <c r="A69" s="92">
        <v>35</v>
      </c>
      <c r="B69" s="86"/>
      <c r="C69" s="96">
        <f>ROUND($C$53+(A69*'Sch M2-M3'!$P$120),2)</f>
        <v>197.23</v>
      </c>
      <c r="D69" s="96"/>
      <c r="E69" s="96">
        <f t="shared" si="3"/>
        <v>197.23</v>
      </c>
      <c r="F69" s="96"/>
      <c r="G69" s="96">
        <f>ROUND($G$53+(A69*'Sch M2-M3'!$U$120),2)</f>
        <v>232.1</v>
      </c>
      <c r="H69" s="96"/>
      <c r="I69" s="97">
        <f t="shared" si="4"/>
        <v>34.870000000000005</v>
      </c>
      <c r="J69" s="92"/>
      <c r="K69" s="104">
        <f t="shared" si="5"/>
        <v>0.17679866146123818</v>
      </c>
    </row>
    <row r="70" spans="1:14" x14ac:dyDescent="0.45">
      <c r="A70" s="92">
        <v>36</v>
      </c>
      <c r="B70" s="86"/>
      <c r="C70" s="96">
        <f>ROUND($C$53+(A70*'Sch M2-M3'!$P$120),2)</f>
        <v>202.44</v>
      </c>
      <c r="D70" s="96"/>
      <c r="E70" s="96">
        <f t="shared" si="3"/>
        <v>202.44</v>
      </c>
      <c r="F70" s="96"/>
      <c r="G70" s="96">
        <f>ROUND($G$53+(A70*'Sch M2-M3'!$U$120),2)</f>
        <v>238.23</v>
      </c>
      <c r="H70" s="96"/>
      <c r="I70" s="97">
        <f t="shared" si="4"/>
        <v>35.789999999999992</v>
      </c>
      <c r="J70" s="92"/>
      <c r="K70" s="104">
        <f t="shared" si="5"/>
        <v>0.17679312388855953</v>
      </c>
    </row>
    <row r="71" spans="1:14" x14ac:dyDescent="0.45">
      <c r="A71" s="92">
        <v>40</v>
      </c>
      <c r="B71" s="86"/>
      <c r="C71" s="96">
        <f>ROUND($C$53+(A71*'Sch M2-M3'!$P$120),2)</f>
        <v>223.26</v>
      </c>
      <c r="D71" s="96"/>
      <c r="E71" s="96">
        <f t="shared" si="3"/>
        <v>223.26</v>
      </c>
      <c r="F71" s="96"/>
      <c r="G71" s="96">
        <f>ROUND($G$53+(A71*'Sch M2-M3'!$U$120),2)</f>
        <v>262.74</v>
      </c>
      <c r="H71" s="96"/>
      <c r="I71" s="97">
        <f t="shared" si="4"/>
        <v>39.480000000000018</v>
      </c>
      <c r="J71" s="92"/>
      <c r="K71" s="104">
        <f t="shared" si="5"/>
        <v>0.17683418435904336</v>
      </c>
    </row>
    <row r="72" spans="1:14" x14ac:dyDescent="0.45">
      <c r="A72" s="92">
        <v>50</v>
      </c>
      <c r="B72" s="86"/>
      <c r="C72" s="96">
        <f>ROUND($C$53+(A72*'Sch M2-M3'!$P$120),2)</f>
        <v>275.33</v>
      </c>
      <c r="D72" s="96"/>
      <c r="E72" s="96">
        <f t="shared" si="3"/>
        <v>275.33</v>
      </c>
      <c r="F72" s="96"/>
      <c r="G72" s="96">
        <f>ROUND($G$53+(A72*'Sch M2-M3'!$U$120),2)</f>
        <v>324.01</v>
      </c>
      <c r="H72" s="96"/>
      <c r="I72" s="97">
        <f t="shared" si="4"/>
        <v>48.680000000000007</v>
      </c>
      <c r="J72" s="92"/>
      <c r="K72" s="104">
        <f t="shared" si="5"/>
        <v>0.17680601460066106</v>
      </c>
    </row>
    <row r="73" spans="1:14" x14ac:dyDescent="0.45">
      <c r="A73" s="92">
        <v>75</v>
      </c>
      <c r="B73" s="86"/>
      <c r="C73" s="96">
        <f>ROUND($C$53+(A73*'Sch M2-M3'!$P$120),2)</f>
        <v>405.5</v>
      </c>
      <c r="D73" s="96"/>
      <c r="E73" s="96">
        <f t="shared" si="3"/>
        <v>405.5</v>
      </c>
      <c r="F73" s="96"/>
      <c r="G73" s="96">
        <f>ROUND($G$53+(A73*'Sch M2-M3'!$U$120),2)</f>
        <v>477.19</v>
      </c>
      <c r="H73" s="96"/>
      <c r="I73" s="97">
        <f t="shared" si="4"/>
        <v>71.69</v>
      </c>
      <c r="J73" s="92"/>
      <c r="K73" s="104">
        <f t="shared" si="5"/>
        <v>0.1767940813810111</v>
      </c>
    </row>
    <row r="74" spans="1:14" x14ac:dyDescent="0.45">
      <c r="A74" s="92">
        <v>100</v>
      </c>
      <c r="B74" s="86"/>
      <c r="C74" s="96">
        <f>ROUND($C$53+(A74*'Sch M2-M3'!$P$120),2)</f>
        <v>535.66</v>
      </c>
      <c r="D74" s="96"/>
      <c r="E74" s="96">
        <f t="shared" si="3"/>
        <v>535.66</v>
      </c>
      <c r="F74" s="96"/>
      <c r="G74" s="96">
        <f>ROUND($G$53+(A74*'Sch M2-M3'!$U$120),2)</f>
        <v>630.38</v>
      </c>
      <c r="H74" s="96"/>
      <c r="I74" s="97">
        <f t="shared" si="4"/>
        <v>94.720000000000027</v>
      </c>
      <c r="J74" s="92"/>
      <c r="K74" s="104">
        <f t="shared" si="5"/>
        <v>0.17682858529664344</v>
      </c>
    </row>
    <row r="75" spans="1:14" x14ac:dyDescent="0.45">
      <c r="A75" s="92"/>
      <c r="B75" s="86"/>
      <c r="C75" s="96"/>
      <c r="D75" s="96"/>
      <c r="E75" s="96"/>
      <c r="F75" s="96"/>
      <c r="G75" s="96"/>
      <c r="H75" s="96"/>
      <c r="I75" s="96"/>
      <c r="J75" s="86"/>
      <c r="K75" s="92"/>
    </row>
    <row r="76" spans="1:14" x14ac:dyDescent="0.45">
      <c r="A76" s="92" t="s">
        <v>163</v>
      </c>
      <c r="B76" s="86"/>
      <c r="C76" s="96"/>
      <c r="D76" s="96"/>
      <c r="E76" s="118">
        <v>0</v>
      </c>
      <c r="F76" s="96"/>
      <c r="G76" s="96"/>
      <c r="H76" s="96"/>
      <c r="I76" s="96"/>
      <c r="J76" s="86"/>
      <c r="K76" s="92"/>
    </row>
    <row r="77" spans="1:14" x14ac:dyDescent="0.45">
      <c r="A77" s="92"/>
      <c r="B77" s="86"/>
      <c r="C77" s="96"/>
      <c r="D77" s="96"/>
      <c r="E77" s="96"/>
      <c r="F77" s="96"/>
      <c r="G77" s="96"/>
      <c r="H77" s="96"/>
      <c r="I77" s="96"/>
      <c r="J77" s="86"/>
      <c r="K77" s="92"/>
    </row>
    <row r="78" spans="1:14" x14ac:dyDescent="0.45">
      <c r="A78" s="92" t="s">
        <v>55</v>
      </c>
      <c r="B78" s="86"/>
      <c r="C78" s="96"/>
      <c r="D78" s="96"/>
      <c r="E78" s="96"/>
      <c r="F78" s="96"/>
      <c r="G78" s="96"/>
      <c r="H78" s="96"/>
      <c r="I78" s="96"/>
      <c r="J78" s="86"/>
      <c r="K78" s="104"/>
    </row>
    <row r="79" spans="1:14" x14ac:dyDescent="0.45">
      <c r="A79" s="98">
        <v>35.515549999999998</v>
      </c>
      <c r="B79" s="86"/>
      <c r="C79" s="96">
        <f>ROUND($C$53+(A79*'Sch M2-M3'!$P$120),2)</f>
        <v>199.92</v>
      </c>
      <c r="D79" s="96"/>
      <c r="E79" s="96">
        <f t="shared" ref="E79" si="6">+C79*(1+$E$76)</f>
        <v>199.92</v>
      </c>
      <c r="F79" s="96"/>
      <c r="G79" s="96">
        <f>ROUND($G$53+(A79*'Sch M2-M3'!$U$120),2)</f>
        <v>235.26</v>
      </c>
      <c r="H79" s="96"/>
      <c r="I79" s="97">
        <f t="shared" ref="I79" si="7">+G79-E79</f>
        <v>35.340000000000003</v>
      </c>
      <c r="J79" s="92"/>
      <c r="K79" s="104">
        <f t="shared" ref="K79" si="8">+I79/E79</f>
        <v>0.17677070828331334</v>
      </c>
    </row>
    <row r="80" spans="1:14" x14ac:dyDescent="0.45">
      <c r="N80" s="99"/>
    </row>
    <row r="82" spans="1:12" x14ac:dyDescent="0.45">
      <c r="K82" s="84"/>
    </row>
    <row r="83" spans="1:12" x14ac:dyDescent="0.45">
      <c r="A83" s="1"/>
    </row>
    <row r="84" spans="1:12" x14ac:dyDescent="0.45">
      <c r="A84" s="164" t="str">
        <f>A42</f>
        <v>Kentucky-American Water Company</v>
      </c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</row>
    <row r="85" spans="1:12" x14ac:dyDescent="0.45">
      <c r="A85" s="164" t="str">
        <f>A43</f>
        <v>Case No. 2023-00191</v>
      </c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</row>
    <row r="86" spans="1:12" x14ac:dyDescent="0.45">
      <c r="A86" s="164" t="str">
        <f>A44</f>
        <v>Forecast Year (12 Months Ending January 31, 2025)</v>
      </c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</row>
    <row r="87" spans="1:12" ht="31.5" customHeight="1" x14ac:dyDescent="0.45">
      <c r="A87" s="165" t="s">
        <v>86</v>
      </c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</row>
    <row r="88" spans="1:12" x14ac:dyDescent="0.45">
      <c r="A88" s="164" t="s">
        <v>58</v>
      </c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</row>
    <row r="89" spans="1:12" x14ac:dyDescent="0.45">
      <c r="L89" s="4" t="str">
        <f>L7</f>
        <v>Exhibit 37, Schedule N</v>
      </c>
    </row>
    <row r="90" spans="1:12" x14ac:dyDescent="0.45">
      <c r="A90" s="1"/>
      <c r="B90" s="5"/>
      <c r="C90" s="5"/>
      <c r="D90" s="5"/>
      <c r="E90" s="5"/>
      <c r="F90" s="5"/>
      <c r="G90" s="5"/>
      <c r="H90" s="5"/>
      <c r="I90" s="5"/>
      <c r="J90" s="5"/>
      <c r="K90" s="1"/>
      <c r="L90" s="10"/>
    </row>
    <row r="91" spans="1:12" x14ac:dyDescent="0.45">
      <c r="A91" s="1"/>
      <c r="B91" s="92"/>
      <c r="C91" s="92"/>
      <c r="D91" s="92"/>
      <c r="E91" s="92"/>
      <c r="F91" s="92"/>
      <c r="G91" s="92"/>
      <c r="H91" s="92"/>
      <c r="I91" s="92"/>
      <c r="J91" s="92"/>
      <c r="K91" s="1"/>
      <c r="L91" s="4"/>
    </row>
    <row r="92" spans="1:12" x14ac:dyDescent="0.45">
      <c r="A92" s="92"/>
      <c r="B92" s="86"/>
      <c r="C92" s="86"/>
      <c r="D92" s="86"/>
      <c r="E92" s="86"/>
      <c r="F92" s="86"/>
      <c r="G92" s="86"/>
      <c r="H92" s="86"/>
      <c r="I92" s="86"/>
      <c r="J92" s="86"/>
      <c r="K92" s="92"/>
    </row>
    <row r="93" spans="1:12" x14ac:dyDescent="0.45">
      <c r="A93" s="1" t="s">
        <v>8</v>
      </c>
      <c r="B93" s="92"/>
      <c r="C93" s="1" t="s">
        <v>45</v>
      </c>
      <c r="D93" s="1"/>
      <c r="E93" s="1" t="s">
        <v>45</v>
      </c>
      <c r="F93" s="1"/>
      <c r="G93" s="1" t="s">
        <v>44</v>
      </c>
      <c r="H93" s="1"/>
      <c r="I93" s="1"/>
      <c r="J93" s="1"/>
      <c r="K93" s="1" t="s">
        <v>31</v>
      </c>
    </row>
    <row r="94" spans="1:12" x14ac:dyDescent="0.45">
      <c r="A94" s="2" t="s">
        <v>56</v>
      </c>
      <c r="B94" s="92"/>
      <c r="C94" s="2" t="s">
        <v>26</v>
      </c>
      <c r="D94" s="1"/>
      <c r="E94" s="2" t="s">
        <v>236</v>
      </c>
      <c r="F94" s="1"/>
      <c r="G94" s="2" t="s">
        <v>26</v>
      </c>
      <c r="H94" s="1"/>
      <c r="I94" s="2" t="s">
        <v>54</v>
      </c>
      <c r="J94" s="1"/>
      <c r="K94" s="2" t="s">
        <v>54</v>
      </c>
    </row>
    <row r="95" spans="1:12" x14ac:dyDescent="0.45">
      <c r="A95" s="92">
        <v>0</v>
      </c>
      <c r="B95" s="92"/>
      <c r="C95" s="94">
        <f>'Sch M2-M3'!P152</f>
        <v>119.5</v>
      </c>
      <c r="D95" s="95"/>
      <c r="E95" s="94">
        <f>+C95*(1+$E$118)</f>
        <v>119.5</v>
      </c>
      <c r="F95" s="95"/>
      <c r="G95" s="94">
        <f>'Sch M2-M3'!U152</f>
        <v>140.59174999999999</v>
      </c>
      <c r="H95" s="95"/>
      <c r="I95" s="94">
        <f>+G95-E95</f>
        <v>21.09174999999999</v>
      </c>
      <c r="J95" s="92"/>
      <c r="K95" s="104">
        <f>+I95/E95</f>
        <v>0.17649999999999991</v>
      </c>
    </row>
    <row r="96" spans="1:12" x14ac:dyDescent="0.45">
      <c r="A96" s="92">
        <v>10</v>
      </c>
      <c r="B96" s="86"/>
      <c r="C96" s="100">
        <f>ROUND($C$95+(A96*'Sch M2-M3'!$P$162),2)</f>
        <v>162.55000000000001</v>
      </c>
      <c r="D96" s="100"/>
      <c r="E96" s="96">
        <f>+C96*(1+$E$118)</f>
        <v>162.55000000000001</v>
      </c>
      <c r="F96" s="100"/>
      <c r="G96" s="100">
        <f>ROUND($G$95+(A96*'Sch M2-M3'!$U$162),2)</f>
        <v>191.25</v>
      </c>
      <c r="H96" s="100"/>
      <c r="I96" s="97">
        <f>+G96-E96</f>
        <v>28.699999999999989</v>
      </c>
      <c r="J96" s="92"/>
      <c r="K96" s="104">
        <f>+I96/E96</f>
        <v>0.17656105813595807</v>
      </c>
    </row>
    <row r="97" spans="1:11" x14ac:dyDescent="0.45">
      <c r="A97" s="92">
        <v>25</v>
      </c>
      <c r="B97" s="86"/>
      <c r="C97" s="100">
        <f>ROUND($C$95+(A97*'Sch M2-M3'!$P$162),2)</f>
        <v>227.13</v>
      </c>
      <c r="D97" s="100"/>
      <c r="E97" s="96">
        <f t="shared" ref="E97:E116" si="9">+C97*(1+$E$118)</f>
        <v>227.13</v>
      </c>
      <c r="F97" s="100"/>
      <c r="G97" s="100">
        <f>ROUND($G$95+(A97*'Sch M2-M3'!$U$162),2)</f>
        <v>267.25</v>
      </c>
      <c r="H97" s="100"/>
      <c r="I97" s="97">
        <f t="shared" ref="I97:I116" si="10">+G97-E97</f>
        <v>40.120000000000005</v>
      </c>
      <c r="J97" s="92"/>
      <c r="K97" s="104">
        <f t="shared" ref="K97:K116" si="11">+I97/E97</f>
        <v>0.17663892924756749</v>
      </c>
    </row>
    <row r="98" spans="1:11" x14ac:dyDescent="0.45">
      <c r="A98" s="92">
        <v>50</v>
      </c>
      <c r="B98" s="86"/>
      <c r="C98" s="100">
        <f>ROUND($C$95+(A98*'Sch M2-M3'!$P$162),2)</f>
        <v>334.75</v>
      </c>
      <c r="D98" s="100"/>
      <c r="E98" s="96">
        <f t="shared" si="9"/>
        <v>334.75</v>
      </c>
      <c r="F98" s="100"/>
      <c r="G98" s="100">
        <f>ROUND($G$95+(A98*'Sch M2-M3'!$U$162),2)</f>
        <v>393.9</v>
      </c>
      <c r="H98" s="100"/>
      <c r="I98" s="97">
        <f t="shared" si="10"/>
        <v>59.149999999999977</v>
      </c>
      <c r="J98" s="92"/>
      <c r="K98" s="104">
        <f t="shared" si="11"/>
        <v>0.17669902912621352</v>
      </c>
    </row>
    <row r="99" spans="1:11" x14ac:dyDescent="0.45">
      <c r="A99" s="92">
        <v>75</v>
      </c>
      <c r="B99" s="86"/>
      <c r="C99" s="100">
        <f>ROUND($C$95+(A99*'Sch M2-M3'!$P$162),2)</f>
        <v>442.38</v>
      </c>
      <c r="D99" s="100"/>
      <c r="E99" s="96">
        <f t="shared" si="9"/>
        <v>442.38</v>
      </c>
      <c r="F99" s="100"/>
      <c r="G99" s="100">
        <f>ROUND($G$95+(A99*'Sch M2-M3'!$U$162),2)</f>
        <v>520.55999999999995</v>
      </c>
      <c r="H99" s="100"/>
      <c r="I99" s="97">
        <f t="shared" si="10"/>
        <v>78.17999999999995</v>
      </c>
      <c r="J99" s="92"/>
      <c r="K99" s="104">
        <f t="shared" si="11"/>
        <v>0.17672589176725881</v>
      </c>
    </row>
    <row r="100" spans="1:11" x14ac:dyDescent="0.45">
      <c r="A100" s="92">
        <v>100</v>
      </c>
      <c r="B100" s="86"/>
      <c r="C100" s="100">
        <f>ROUND($C$95+(A100*'Sch M2-M3'!$P$162),2)</f>
        <v>550</v>
      </c>
      <c r="D100" s="100"/>
      <c r="E100" s="96">
        <f t="shared" si="9"/>
        <v>550</v>
      </c>
      <c r="F100" s="100"/>
      <c r="G100" s="100">
        <f>ROUND($G$95+(A100*'Sch M2-M3'!$U$162),2)</f>
        <v>647.22</v>
      </c>
      <c r="H100" s="100"/>
      <c r="I100" s="97">
        <f t="shared" si="10"/>
        <v>97.220000000000027</v>
      </c>
      <c r="J100" s="92"/>
      <c r="K100" s="104">
        <f t="shared" si="11"/>
        <v>0.1767636363636364</v>
      </c>
    </row>
    <row r="101" spans="1:11" x14ac:dyDescent="0.45">
      <c r="A101" s="92">
        <v>150</v>
      </c>
      <c r="B101" s="86"/>
      <c r="C101" s="100">
        <f>ROUND($C$95+(A101*'Sch M2-M3'!$P$162),2)</f>
        <v>765.25</v>
      </c>
      <c r="D101" s="100"/>
      <c r="E101" s="96">
        <f t="shared" si="9"/>
        <v>765.25</v>
      </c>
      <c r="F101" s="100"/>
      <c r="G101" s="100">
        <f>ROUND($G$95+(A101*'Sch M2-M3'!$U$162),2)</f>
        <v>900.53</v>
      </c>
      <c r="H101" s="100"/>
      <c r="I101" s="97">
        <f t="shared" si="10"/>
        <v>135.27999999999997</v>
      </c>
      <c r="J101" s="92"/>
      <c r="K101" s="104">
        <f t="shared" si="11"/>
        <v>0.17677883044756612</v>
      </c>
    </row>
    <row r="102" spans="1:11" x14ac:dyDescent="0.45">
      <c r="A102" s="92">
        <v>200</v>
      </c>
      <c r="B102" s="86"/>
      <c r="C102" s="100">
        <f>ROUND($C$95+(A102*'Sch M2-M3'!$P$162),2)</f>
        <v>980.5</v>
      </c>
      <c r="D102" s="100"/>
      <c r="E102" s="96">
        <f t="shared" si="9"/>
        <v>980.5</v>
      </c>
      <c r="F102" s="100"/>
      <c r="G102" s="100">
        <f>ROUND($G$95+(A102*'Sch M2-M3'!$U$162),2)</f>
        <v>1153.8399999999999</v>
      </c>
      <c r="H102" s="100"/>
      <c r="I102" s="97">
        <f t="shared" si="10"/>
        <v>173.33999999999992</v>
      </c>
      <c r="J102" s="92"/>
      <c r="K102" s="104">
        <f t="shared" si="11"/>
        <v>0.17678735339112689</v>
      </c>
    </row>
    <row r="103" spans="1:11" x14ac:dyDescent="0.45">
      <c r="A103" s="92">
        <v>250</v>
      </c>
      <c r="B103" s="86"/>
      <c r="C103" s="100">
        <f>ROUND($C$95+(A103*'Sch M2-M3'!$P$162),2)</f>
        <v>1195.75</v>
      </c>
      <c r="D103" s="100"/>
      <c r="E103" s="96">
        <f t="shared" si="9"/>
        <v>1195.75</v>
      </c>
      <c r="F103" s="100"/>
      <c r="G103" s="100">
        <f>ROUND($G$95+(A103*'Sch M2-M3'!$U$162),2)</f>
        <v>1407.16</v>
      </c>
      <c r="H103" s="100"/>
      <c r="I103" s="97">
        <f t="shared" si="10"/>
        <v>211.41000000000008</v>
      </c>
      <c r="J103" s="92"/>
      <c r="K103" s="104">
        <f t="shared" si="11"/>
        <v>0.17680117081329716</v>
      </c>
    </row>
    <row r="104" spans="1:11" x14ac:dyDescent="0.45">
      <c r="A104" s="92">
        <v>500</v>
      </c>
      <c r="B104" s="86"/>
      <c r="C104" s="100">
        <f>ROUND($C$95+(A104*'Sch M2-M3'!$P$162),2)</f>
        <v>2272</v>
      </c>
      <c r="D104" s="100"/>
      <c r="E104" s="96">
        <f t="shared" si="9"/>
        <v>2272</v>
      </c>
      <c r="F104" s="100"/>
      <c r="G104" s="100">
        <f>ROUND($G$95+(A104*'Sch M2-M3'!$U$162),2)</f>
        <v>2673.72</v>
      </c>
      <c r="H104" s="100"/>
      <c r="I104" s="97">
        <f t="shared" si="10"/>
        <v>401.7199999999998</v>
      </c>
      <c r="J104" s="92"/>
      <c r="K104" s="104">
        <f t="shared" si="11"/>
        <v>0.17681338028169005</v>
      </c>
    </row>
    <row r="105" spans="1:11" x14ac:dyDescent="0.45">
      <c r="A105" s="92">
        <v>750</v>
      </c>
      <c r="B105" s="86"/>
      <c r="C105" s="100">
        <f>ROUND($C$95+(A105*'Sch M2-M3'!$P$162),2)</f>
        <v>3348.25</v>
      </c>
      <c r="D105" s="100"/>
      <c r="E105" s="96">
        <f t="shared" si="9"/>
        <v>3348.25</v>
      </c>
      <c r="F105" s="100"/>
      <c r="G105" s="100">
        <f>ROUND($G$95+(A105*'Sch M2-M3'!$U$162),2)</f>
        <v>3940.29</v>
      </c>
      <c r="H105" s="100"/>
      <c r="I105" s="97">
        <f t="shared" si="10"/>
        <v>592.04</v>
      </c>
      <c r="J105" s="92"/>
      <c r="K105" s="104">
        <f t="shared" si="11"/>
        <v>0.17682072724557604</v>
      </c>
    </row>
    <row r="106" spans="1:11" x14ac:dyDescent="0.45">
      <c r="A106" s="92">
        <v>1000</v>
      </c>
      <c r="B106" s="86"/>
      <c r="C106" s="100">
        <f>ROUND($C$95+(A106*'Sch M2-M3'!$P$162),2)</f>
        <v>4424.5</v>
      </c>
      <c r="D106" s="100"/>
      <c r="E106" s="96">
        <f t="shared" si="9"/>
        <v>4424.5</v>
      </c>
      <c r="F106" s="100"/>
      <c r="G106" s="100">
        <f>ROUND($G$95+(A106*'Sch M2-M3'!$U$162),2)</f>
        <v>5206.8599999999997</v>
      </c>
      <c r="H106" s="100"/>
      <c r="I106" s="97">
        <f t="shared" si="10"/>
        <v>782.35999999999967</v>
      </c>
      <c r="J106" s="92"/>
      <c r="K106" s="104">
        <f t="shared" si="11"/>
        <v>0.17682449994349636</v>
      </c>
    </row>
    <row r="107" spans="1:11" x14ac:dyDescent="0.45">
      <c r="A107" s="92">
        <v>1250</v>
      </c>
      <c r="B107" s="86"/>
      <c r="C107" s="100">
        <f>ROUND($C$95+(A107*'Sch M2-M3'!$P$162),2)</f>
        <v>5500.75</v>
      </c>
      <c r="D107" s="100"/>
      <c r="E107" s="96">
        <f t="shared" si="9"/>
        <v>5500.75</v>
      </c>
      <c r="F107" s="100"/>
      <c r="G107" s="100">
        <f>ROUND($G$95+(A107*'Sch M2-M3'!$U$162),2)</f>
        <v>6473.42</v>
      </c>
      <c r="H107" s="100"/>
      <c r="I107" s="97">
        <f t="shared" si="10"/>
        <v>972.67000000000007</v>
      </c>
      <c r="J107" s="92"/>
      <c r="K107" s="104">
        <f t="shared" si="11"/>
        <v>0.17682497841203473</v>
      </c>
    </row>
    <row r="108" spans="1:11" x14ac:dyDescent="0.45">
      <c r="A108" s="92">
        <v>1500</v>
      </c>
      <c r="B108" s="86"/>
      <c r="C108" s="100">
        <f>ROUND($C$95+(A108*'Sch M2-M3'!$P$162),2)</f>
        <v>6577</v>
      </c>
      <c r="D108" s="100"/>
      <c r="E108" s="96">
        <f t="shared" si="9"/>
        <v>6577</v>
      </c>
      <c r="F108" s="100"/>
      <c r="G108" s="100">
        <f>ROUND($G$95+(A108*'Sch M2-M3'!$U$162),2)</f>
        <v>7739.99</v>
      </c>
      <c r="H108" s="100"/>
      <c r="I108" s="97">
        <f t="shared" si="10"/>
        <v>1162.9899999999998</v>
      </c>
      <c r="J108" s="92"/>
      <c r="K108" s="104">
        <f t="shared" si="11"/>
        <v>0.17682682073893868</v>
      </c>
    </row>
    <row r="109" spans="1:11" x14ac:dyDescent="0.45">
      <c r="A109" s="92">
        <v>1984.3</v>
      </c>
      <c r="B109" s="86"/>
      <c r="C109" s="100">
        <f>ROUND($C$95+(A109*'Sch M2-M3'!$P$162),2)</f>
        <v>8661.91</v>
      </c>
      <c r="D109" s="100"/>
      <c r="E109" s="96">
        <f t="shared" si="9"/>
        <v>8661.91</v>
      </c>
      <c r="F109" s="100"/>
      <c r="G109" s="100">
        <f>ROUND($G$95+(A109*'Sch M2-M3'!$U$162),2)</f>
        <v>10193.58</v>
      </c>
      <c r="H109" s="100"/>
      <c r="I109" s="97">
        <f t="shared" si="10"/>
        <v>1531.67</v>
      </c>
      <c r="J109" s="92"/>
      <c r="K109" s="104">
        <f t="shared" si="11"/>
        <v>0.17682820532653884</v>
      </c>
    </row>
    <row r="110" spans="1:11" x14ac:dyDescent="0.45">
      <c r="A110" s="92">
        <v>2092</v>
      </c>
      <c r="B110" s="86"/>
      <c r="C110" s="100">
        <f>ROUND($C$95+(A110*'Sch M2-M3'!$P$162),2)</f>
        <v>9125.56</v>
      </c>
      <c r="D110" s="100"/>
      <c r="E110" s="96">
        <f t="shared" si="9"/>
        <v>9125.56</v>
      </c>
      <c r="F110" s="100"/>
      <c r="G110" s="100">
        <f>ROUND($G$95+(A110*'Sch M2-M3'!$U$162),2)</f>
        <v>10739.22</v>
      </c>
      <c r="H110" s="100"/>
      <c r="I110" s="97">
        <f t="shared" si="10"/>
        <v>1613.6599999999999</v>
      </c>
      <c r="J110" s="92"/>
      <c r="K110" s="104">
        <f t="shared" si="11"/>
        <v>0.176828600107829</v>
      </c>
    </row>
    <row r="111" spans="1:11" x14ac:dyDescent="0.45">
      <c r="A111" s="92">
        <v>2500</v>
      </c>
      <c r="B111" s="86"/>
      <c r="C111" s="100">
        <f>ROUND($C$95+(A111*'Sch M2-M3'!$P$162),2)</f>
        <v>10882</v>
      </c>
      <c r="D111" s="100"/>
      <c r="E111" s="96">
        <f t="shared" si="9"/>
        <v>10882</v>
      </c>
      <c r="F111" s="100"/>
      <c r="G111" s="100">
        <f>ROUND($G$95+(A111*'Sch M2-M3'!$U$162),2)</f>
        <v>12806.25</v>
      </c>
      <c r="H111" s="100"/>
      <c r="I111" s="97">
        <f t="shared" si="10"/>
        <v>1924.25</v>
      </c>
      <c r="J111" s="92"/>
      <c r="K111" s="104">
        <f t="shared" si="11"/>
        <v>0.17682870795809594</v>
      </c>
    </row>
    <row r="112" spans="1:11" x14ac:dyDescent="0.45">
      <c r="A112" s="92">
        <v>2750</v>
      </c>
      <c r="B112" s="86"/>
      <c r="C112" s="100">
        <f>ROUND($C$95+(A112*'Sch M2-M3'!$P$162),2)</f>
        <v>11958.25</v>
      </c>
      <c r="D112" s="100"/>
      <c r="E112" s="96">
        <f t="shared" si="9"/>
        <v>11958.25</v>
      </c>
      <c r="F112" s="100"/>
      <c r="G112" s="100">
        <f>ROUND($G$95+(A112*'Sch M2-M3'!$U$162),2)</f>
        <v>14072.82</v>
      </c>
      <c r="H112" s="100"/>
      <c r="I112" s="97">
        <f t="shared" si="10"/>
        <v>2114.5699999999997</v>
      </c>
      <c r="J112" s="92"/>
      <c r="K112" s="104">
        <f t="shared" si="11"/>
        <v>0.17682938557063113</v>
      </c>
    </row>
    <row r="113" spans="1:12" x14ac:dyDescent="0.45">
      <c r="A113" s="92">
        <v>3000</v>
      </c>
      <c r="B113" s="86"/>
      <c r="C113" s="100">
        <f>ROUND($C$95+(A113*'Sch M2-M3'!$P$162),2)</f>
        <v>13034.5</v>
      </c>
      <c r="D113" s="100"/>
      <c r="E113" s="96">
        <f t="shared" si="9"/>
        <v>13034.5</v>
      </c>
      <c r="F113" s="100"/>
      <c r="G113" s="100">
        <f>ROUND($G$95+(A113*'Sch M2-M3'!$U$162),2)</f>
        <v>15339.39</v>
      </c>
      <c r="H113" s="100"/>
      <c r="I113" s="97">
        <f t="shared" si="10"/>
        <v>2304.8899999999994</v>
      </c>
      <c r="J113" s="92"/>
      <c r="K113" s="104">
        <f t="shared" si="11"/>
        <v>0.17682995128313317</v>
      </c>
    </row>
    <row r="114" spans="1:12" x14ac:dyDescent="0.45">
      <c r="A114" s="92">
        <v>5000</v>
      </c>
      <c r="B114" s="86"/>
      <c r="C114" s="100">
        <f>ROUND($C$95+(A114*'Sch M2-M3'!$P$162),2)</f>
        <v>21644.5</v>
      </c>
      <c r="D114" s="100"/>
      <c r="E114" s="96">
        <f t="shared" si="9"/>
        <v>21644.5</v>
      </c>
      <c r="F114" s="100"/>
      <c r="G114" s="100">
        <f>ROUND($G$95+(A114*'Sch M2-M3'!$U$162),2)</f>
        <v>25471.91</v>
      </c>
      <c r="H114" s="100"/>
      <c r="I114" s="97">
        <f t="shared" si="10"/>
        <v>3827.41</v>
      </c>
      <c r="J114" s="92"/>
      <c r="K114" s="104">
        <f t="shared" si="11"/>
        <v>0.17683060361754718</v>
      </c>
    </row>
    <row r="115" spans="1:12" x14ac:dyDescent="0.45">
      <c r="A115" s="92">
        <v>10000</v>
      </c>
      <c r="B115" s="86"/>
      <c r="C115" s="100">
        <f>ROUND($C$95+(A115*'Sch M2-M3'!$P$162),2)</f>
        <v>43169.5</v>
      </c>
      <c r="D115" s="100"/>
      <c r="E115" s="96">
        <f t="shared" si="9"/>
        <v>43169.5</v>
      </c>
      <c r="F115" s="100"/>
      <c r="G115" s="100">
        <f>ROUND($G$95+(A115*'Sch M2-M3'!$U$162),2)</f>
        <v>50803.24</v>
      </c>
      <c r="H115" s="100"/>
      <c r="I115" s="97">
        <f t="shared" si="10"/>
        <v>7633.739999999998</v>
      </c>
      <c r="J115" s="92"/>
      <c r="K115" s="104">
        <f t="shared" si="11"/>
        <v>0.17683179096352744</v>
      </c>
    </row>
    <row r="116" spans="1:12" x14ac:dyDescent="0.45">
      <c r="A116" s="92">
        <v>20000</v>
      </c>
      <c r="B116" s="86"/>
      <c r="C116" s="100">
        <f>ROUND($C$95+(A116*'Sch M2-M3'!$P$162),2)</f>
        <v>86219.5</v>
      </c>
      <c r="D116" s="100"/>
      <c r="E116" s="96">
        <f t="shared" si="9"/>
        <v>86219.5</v>
      </c>
      <c r="F116" s="100"/>
      <c r="G116" s="100">
        <f>ROUND($G$95+(A116*'Sch M2-M3'!$U$162),2)</f>
        <v>101465.88</v>
      </c>
      <c r="H116" s="100"/>
      <c r="I116" s="97">
        <f t="shared" si="10"/>
        <v>15246.380000000005</v>
      </c>
      <c r="J116" s="92"/>
      <c r="K116" s="104">
        <f t="shared" si="11"/>
        <v>0.17683215513891876</v>
      </c>
    </row>
    <row r="117" spans="1:12" x14ac:dyDescent="0.45">
      <c r="A117" s="92"/>
      <c r="B117" s="86"/>
      <c r="C117" s="86"/>
      <c r="D117" s="86"/>
      <c r="E117" s="86"/>
      <c r="F117" s="86"/>
      <c r="G117" s="86"/>
      <c r="H117" s="86"/>
      <c r="I117" s="86"/>
      <c r="J117" s="86"/>
      <c r="K117" s="92"/>
    </row>
    <row r="118" spans="1:12" x14ac:dyDescent="0.45">
      <c r="A118" s="92" t="s">
        <v>163</v>
      </c>
      <c r="B118" s="86"/>
      <c r="C118" s="96"/>
      <c r="D118" s="96"/>
      <c r="E118" s="118">
        <v>0</v>
      </c>
      <c r="F118" s="86"/>
      <c r="G118" s="86"/>
      <c r="H118" s="86"/>
      <c r="I118" s="86"/>
      <c r="J118" s="86"/>
      <c r="K118" s="92"/>
    </row>
    <row r="119" spans="1:12" x14ac:dyDescent="0.45">
      <c r="A119" s="92"/>
      <c r="B119" s="86"/>
      <c r="C119" s="86"/>
      <c r="D119" s="86"/>
      <c r="E119" s="86"/>
      <c r="F119" s="86"/>
      <c r="G119" s="86"/>
      <c r="H119" s="86"/>
      <c r="I119" s="86"/>
      <c r="J119" s="86"/>
      <c r="K119" s="92"/>
    </row>
    <row r="120" spans="1:12" x14ac:dyDescent="0.45">
      <c r="A120" s="92" t="s">
        <v>55</v>
      </c>
      <c r="B120" s="86"/>
      <c r="C120" s="86"/>
      <c r="D120" s="86"/>
      <c r="E120" s="86"/>
      <c r="F120" s="86"/>
      <c r="G120" s="86"/>
      <c r="H120" s="86"/>
      <c r="I120" s="86"/>
      <c r="J120" s="86"/>
      <c r="K120" s="92"/>
    </row>
    <row r="121" spans="1:12" x14ac:dyDescent="0.45">
      <c r="A121" s="92">
        <v>1832.7149666666667</v>
      </c>
      <c r="B121" s="86"/>
      <c r="C121" s="100">
        <f>ROUND($C$95+(A121*'Sch M2-M3'!$P$162),2)</f>
        <v>8009.34</v>
      </c>
      <c r="D121" s="102"/>
      <c r="E121" s="96">
        <f>+C121*(1+$E$118)</f>
        <v>8009.34</v>
      </c>
      <c r="F121" s="102"/>
      <c r="G121" s="100">
        <f>ROUND($G$95+(A121*'Sch M2-M3'!$U$162),2)</f>
        <v>9425.61</v>
      </c>
      <c r="H121" s="102"/>
      <c r="I121" s="97">
        <f t="shared" ref="I121" si="12">+G121-E121</f>
        <v>1416.2700000000004</v>
      </c>
      <c r="J121" s="92"/>
      <c r="K121" s="104">
        <f t="shared" ref="K121" si="13">+I121/E121</f>
        <v>0.17682730412243711</v>
      </c>
    </row>
    <row r="123" spans="1:12" x14ac:dyDescent="0.45">
      <c r="K123" s="84"/>
    </row>
    <row r="124" spans="1:12" x14ac:dyDescent="0.45">
      <c r="A124" s="1"/>
    </row>
    <row r="125" spans="1:12" x14ac:dyDescent="0.45">
      <c r="A125" s="164" t="str">
        <f>A84</f>
        <v>Kentucky-American Water Company</v>
      </c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</row>
    <row r="126" spans="1:12" x14ac:dyDescent="0.45">
      <c r="A126" s="164" t="str">
        <f>A85</f>
        <v>Case No. 2023-00191</v>
      </c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</row>
    <row r="127" spans="1:12" x14ac:dyDescent="0.45">
      <c r="A127" s="164" t="str">
        <f>A86</f>
        <v>Forecast Year (12 Months Ending January 31, 2025)</v>
      </c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</row>
    <row r="128" spans="1:12" ht="33" customHeight="1" x14ac:dyDescent="0.45">
      <c r="A128" s="165" t="s">
        <v>86</v>
      </c>
      <c r="B128" s="165"/>
      <c r="C128" s="165"/>
      <c r="D128" s="165"/>
      <c r="E128" s="165"/>
      <c r="F128" s="165"/>
      <c r="G128" s="165"/>
      <c r="H128" s="165"/>
      <c r="I128" s="165"/>
      <c r="J128" s="165"/>
      <c r="K128" s="165"/>
      <c r="L128" s="165"/>
    </row>
    <row r="129" spans="1:12" x14ac:dyDescent="0.45">
      <c r="A129" s="164" t="s">
        <v>59</v>
      </c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</row>
    <row r="130" spans="1:12" x14ac:dyDescent="0.45">
      <c r="L130" s="4" t="str">
        <f>L7</f>
        <v>Exhibit 37, Schedule N</v>
      </c>
    </row>
    <row r="131" spans="1:12" x14ac:dyDescent="0.45">
      <c r="A131" s="1"/>
      <c r="B131" s="5"/>
      <c r="C131" s="5"/>
      <c r="D131" s="5"/>
      <c r="E131" s="5"/>
      <c r="F131" s="5"/>
      <c r="G131" s="5"/>
      <c r="H131" s="5"/>
      <c r="I131" s="5"/>
      <c r="J131" s="5"/>
      <c r="K131" s="1"/>
      <c r="L131" s="10"/>
    </row>
    <row r="132" spans="1:12" x14ac:dyDescent="0.45">
      <c r="A132" s="1"/>
      <c r="B132" s="92"/>
      <c r="C132" s="92"/>
      <c r="D132" s="92"/>
      <c r="E132" s="92"/>
      <c r="F132" s="92"/>
      <c r="G132" s="92"/>
      <c r="H132" s="92"/>
      <c r="I132" s="92"/>
      <c r="J132" s="92"/>
      <c r="K132" s="1"/>
      <c r="L132" s="4"/>
    </row>
    <row r="133" spans="1:12" x14ac:dyDescent="0.45">
      <c r="A133" s="92"/>
      <c r="B133" s="86"/>
      <c r="C133" s="86"/>
      <c r="D133" s="86"/>
      <c r="E133" s="86"/>
      <c r="F133" s="86"/>
      <c r="G133" s="86"/>
      <c r="H133" s="86"/>
      <c r="I133" s="86"/>
      <c r="J133" s="86"/>
      <c r="K133" s="92"/>
    </row>
    <row r="134" spans="1:12" x14ac:dyDescent="0.45">
      <c r="A134" s="1" t="s">
        <v>8</v>
      </c>
      <c r="B134" s="92"/>
      <c r="C134" s="1" t="s">
        <v>45</v>
      </c>
      <c r="D134" s="1"/>
      <c r="E134" s="1" t="s">
        <v>45</v>
      </c>
      <c r="F134" s="1"/>
      <c r="G134" s="1" t="s">
        <v>44</v>
      </c>
      <c r="H134" s="1"/>
      <c r="I134" s="1"/>
      <c r="J134" s="1"/>
      <c r="K134" s="1" t="s">
        <v>31</v>
      </c>
    </row>
    <row r="135" spans="1:12" x14ac:dyDescent="0.45">
      <c r="A135" s="2" t="s">
        <v>56</v>
      </c>
      <c r="B135" s="92"/>
      <c r="C135" s="2" t="s">
        <v>26</v>
      </c>
      <c r="D135" s="1"/>
      <c r="E135" s="2" t="s">
        <v>236</v>
      </c>
      <c r="F135" s="1"/>
      <c r="G135" s="2" t="s">
        <v>26</v>
      </c>
      <c r="H135" s="1"/>
      <c r="I135" s="2" t="s">
        <v>54</v>
      </c>
      <c r="J135" s="1"/>
      <c r="K135" s="2" t="s">
        <v>54</v>
      </c>
    </row>
    <row r="136" spans="1:12" x14ac:dyDescent="0.45">
      <c r="A136" s="92">
        <v>0</v>
      </c>
      <c r="B136" s="92"/>
      <c r="C136" s="94">
        <f>'Sch M2-M3'!P194</f>
        <v>119.5</v>
      </c>
      <c r="D136" s="95"/>
      <c r="E136" s="94">
        <f>+C136*(1+$E$159)</f>
        <v>119.5</v>
      </c>
      <c r="F136" s="95"/>
      <c r="G136" s="94">
        <f>'Sch M2-M3'!U194</f>
        <v>140.59174999999999</v>
      </c>
      <c r="H136" s="95"/>
      <c r="I136" s="94">
        <f>+G136-E136</f>
        <v>21.09174999999999</v>
      </c>
      <c r="J136" s="92"/>
      <c r="K136" s="104">
        <f>+I136/E136</f>
        <v>0.17649999999999991</v>
      </c>
    </row>
    <row r="137" spans="1:12" x14ac:dyDescent="0.45">
      <c r="A137" s="92">
        <v>5</v>
      </c>
      <c r="B137" s="86"/>
      <c r="C137" s="100">
        <f>ROUND($C$136+(A137*'Sch M2-M3'!$P$204),2)</f>
        <v>143.47999999999999</v>
      </c>
      <c r="D137" s="100"/>
      <c r="E137" s="96">
        <f>+C137*(1+$E$159)</f>
        <v>143.47999999999999</v>
      </c>
      <c r="F137" s="100"/>
      <c r="G137" s="100">
        <f>ROUND($G$136+(A137*'Sch M2-M3'!$U$204),2)</f>
        <v>168.81</v>
      </c>
      <c r="H137" s="100"/>
      <c r="I137" s="97">
        <f>+G137-E137</f>
        <v>25.330000000000013</v>
      </c>
      <c r="J137" s="92"/>
      <c r="K137" s="104">
        <f>+I137/E137</f>
        <v>0.17654028436018968</v>
      </c>
    </row>
    <row r="138" spans="1:12" x14ac:dyDescent="0.45">
      <c r="A138" s="92">
        <v>10</v>
      </c>
      <c r="B138" s="86"/>
      <c r="C138" s="100">
        <f>ROUND($C$136+(A138*'Sch M2-M3'!$P$204),2)</f>
        <v>167.46</v>
      </c>
      <c r="D138" s="100"/>
      <c r="E138" s="96">
        <f t="shared" ref="E138:E157" si="14">+C138*(1+$E$159)</f>
        <v>167.46</v>
      </c>
      <c r="F138" s="100"/>
      <c r="G138" s="100">
        <f>ROUND($G$136+(A138*'Sch M2-M3'!$U$204),2)</f>
        <v>197.03</v>
      </c>
      <c r="H138" s="100"/>
      <c r="I138" s="97">
        <f t="shared" ref="I138:I157" si="15">+G138-E138</f>
        <v>29.569999999999993</v>
      </c>
      <c r="J138" s="92"/>
      <c r="K138" s="104">
        <f t="shared" ref="K138:K157" si="16">+I138/E138</f>
        <v>0.17657948166726378</v>
      </c>
    </row>
    <row r="139" spans="1:12" x14ac:dyDescent="0.45">
      <c r="A139" s="92">
        <v>15</v>
      </c>
      <c r="B139" s="86"/>
      <c r="C139" s="100">
        <f>ROUND($C$136+(A139*'Sch M2-M3'!$P$204),2)</f>
        <v>191.44</v>
      </c>
      <c r="D139" s="100"/>
      <c r="E139" s="96">
        <f t="shared" si="14"/>
        <v>191.44</v>
      </c>
      <c r="F139" s="100"/>
      <c r="G139" s="100">
        <f>ROUND($G$136+(A139*'Sch M2-M3'!$U$204),2)</f>
        <v>225.25</v>
      </c>
      <c r="H139" s="100"/>
      <c r="I139" s="97">
        <f t="shared" si="15"/>
        <v>33.81</v>
      </c>
      <c r="J139" s="92"/>
      <c r="K139" s="104">
        <f t="shared" si="16"/>
        <v>0.17660885917258673</v>
      </c>
    </row>
    <row r="140" spans="1:12" x14ac:dyDescent="0.45">
      <c r="A140" s="92">
        <v>25</v>
      </c>
      <c r="B140" s="86"/>
      <c r="C140" s="100">
        <f>ROUND($C$136+(A140*'Sch M2-M3'!$P$204),2)</f>
        <v>239.4</v>
      </c>
      <c r="D140" s="100"/>
      <c r="E140" s="96">
        <f t="shared" si="14"/>
        <v>239.4</v>
      </c>
      <c r="F140" s="100"/>
      <c r="G140" s="100">
        <f>ROUND($G$136+(A140*'Sch M2-M3'!$U$204),2)</f>
        <v>281.69</v>
      </c>
      <c r="H140" s="100"/>
      <c r="I140" s="97">
        <f t="shared" si="15"/>
        <v>42.289999999999992</v>
      </c>
      <c r="J140" s="92"/>
      <c r="K140" s="104">
        <f t="shared" si="16"/>
        <v>0.17664995822890556</v>
      </c>
    </row>
    <row r="141" spans="1:12" x14ac:dyDescent="0.45">
      <c r="A141" s="92">
        <v>50</v>
      </c>
      <c r="B141" s="86"/>
      <c r="C141" s="100">
        <f>ROUND($C$136+(A141*'Sch M2-M3'!$P$204),2)</f>
        <v>359.3</v>
      </c>
      <c r="D141" s="100"/>
      <c r="E141" s="96">
        <f t="shared" si="14"/>
        <v>359.3</v>
      </c>
      <c r="F141" s="100"/>
      <c r="G141" s="100">
        <f>ROUND($G$136+(A141*'Sch M2-M3'!$U$204),2)</f>
        <v>422.8</v>
      </c>
      <c r="H141" s="100"/>
      <c r="I141" s="97">
        <f t="shared" si="15"/>
        <v>63.5</v>
      </c>
      <c r="J141" s="92"/>
      <c r="K141" s="104">
        <f t="shared" si="16"/>
        <v>0.17673253548566656</v>
      </c>
    </row>
    <row r="142" spans="1:12" x14ac:dyDescent="0.45">
      <c r="A142" s="92">
        <v>75</v>
      </c>
      <c r="B142" s="86"/>
      <c r="C142" s="100">
        <f>ROUND($C$136+(A142*'Sch M2-M3'!$P$204),2)</f>
        <v>479.2</v>
      </c>
      <c r="D142" s="100"/>
      <c r="E142" s="96">
        <f t="shared" si="14"/>
        <v>479.2</v>
      </c>
      <c r="F142" s="100"/>
      <c r="G142" s="100">
        <f>ROUND($G$136+(A142*'Sch M2-M3'!$U$204),2)</f>
        <v>563.9</v>
      </c>
      <c r="H142" s="100"/>
      <c r="I142" s="97">
        <f t="shared" si="15"/>
        <v>84.699999999999989</v>
      </c>
      <c r="J142" s="92"/>
      <c r="K142" s="104">
        <f t="shared" si="16"/>
        <v>0.17675292153589314</v>
      </c>
    </row>
    <row r="143" spans="1:12" x14ac:dyDescent="0.45">
      <c r="A143" s="92">
        <v>100</v>
      </c>
      <c r="B143" s="86"/>
      <c r="C143" s="100">
        <f>ROUND($C$136+(A143*'Sch M2-M3'!$P$204),2)</f>
        <v>599.1</v>
      </c>
      <c r="D143" s="100"/>
      <c r="E143" s="96">
        <f t="shared" si="14"/>
        <v>599.1</v>
      </c>
      <c r="F143" s="100"/>
      <c r="G143" s="100">
        <f>ROUND($G$136+(A143*'Sch M2-M3'!$U$204),2)</f>
        <v>705</v>
      </c>
      <c r="H143" s="100"/>
      <c r="I143" s="97">
        <f t="shared" si="15"/>
        <v>105.89999999999998</v>
      </c>
      <c r="J143" s="92"/>
      <c r="K143" s="104">
        <f t="shared" si="16"/>
        <v>0.17676514772158233</v>
      </c>
    </row>
    <row r="144" spans="1:12" x14ac:dyDescent="0.45">
      <c r="A144" s="92">
        <v>125</v>
      </c>
      <c r="B144" s="86"/>
      <c r="C144" s="100">
        <f>ROUND($C$136+(A144*'Sch M2-M3'!$P$204),2)</f>
        <v>719</v>
      </c>
      <c r="D144" s="100"/>
      <c r="E144" s="96">
        <f t="shared" si="14"/>
        <v>719</v>
      </c>
      <c r="F144" s="100"/>
      <c r="G144" s="100">
        <f>ROUND($G$136+(A144*'Sch M2-M3'!$U$204),2)</f>
        <v>846.1</v>
      </c>
      <c r="H144" s="100"/>
      <c r="I144" s="97">
        <f t="shared" si="15"/>
        <v>127.10000000000002</v>
      </c>
      <c r="J144" s="92"/>
      <c r="K144" s="104">
        <f t="shared" si="16"/>
        <v>0.17677329624478447</v>
      </c>
    </row>
    <row r="145" spans="1:11" x14ac:dyDescent="0.45">
      <c r="A145" s="92">
        <v>150</v>
      </c>
      <c r="B145" s="86"/>
      <c r="C145" s="100">
        <f>ROUND($C$136+(A145*'Sch M2-M3'!$P$204),2)</f>
        <v>838.9</v>
      </c>
      <c r="D145" s="100"/>
      <c r="E145" s="96">
        <f t="shared" si="14"/>
        <v>838.9</v>
      </c>
      <c r="F145" s="100"/>
      <c r="G145" s="100">
        <f>ROUND($G$136+(A145*'Sch M2-M3'!$U$204),2)</f>
        <v>987.21</v>
      </c>
      <c r="H145" s="100"/>
      <c r="I145" s="97">
        <f t="shared" si="15"/>
        <v>148.31000000000006</v>
      </c>
      <c r="J145" s="92"/>
      <c r="K145" s="104">
        <f t="shared" si="16"/>
        <v>0.17679103588031955</v>
      </c>
    </row>
    <row r="146" spans="1:11" x14ac:dyDescent="0.45">
      <c r="A146" s="92">
        <v>175</v>
      </c>
      <c r="B146" s="86"/>
      <c r="C146" s="100">
        <f>ROUND($C$136+(A146*'Sch M2-M3'!$P$204),2)</f>
        <v>958.8</v>
      </c>
      <c r="D146" s="100"/>
      <c r="E146" s="96">
        <f t="shared" si="14"/>
        <v>958.8</v>
      </c>
      <c r="F146" s="100"/>
      <c r="G146" s="100">
        <f>ROUND($G$136+(A146*'Sch M2-M3'!$U$204),2)</f>
        <v>1128.31</v>
      </c>
      <c r="H146" s="100"/>
      <c r="I146" s="97">
        <f t="shared" si="15"/>
        <v>169.51</v>
      </c>
      <c r="J146" s="92"/>
      <c r="K146" s="104">
        <f t="shared" si="16"/>
        <v>0.17679390905298289</v>
      </c>
    </row>
    <row r="147" spans="1:11" x14ac:dyDescent="0.45">
      <c r="A147" s="92">
        <v>184.2</v>
      </c>
      <c r="B147" s="86"/>
      <c r="C147" s="100">
        <f>ROUND($C$136+(A147*'Sch M2-M3'!$P$204),2)</f>
        <v>1002.92</v>
      </c>
      <c r="D147" s="100"/>
      <c r="E147" s="96">
        <f t="shared" si="14"/>
        <v>1002.92</v>
      </c>
      <c r="F147" s="100"/>
      <c r="G147" s="100">
        <f>ROUND($G$136+(A147*'Sch M2-M3'!$U$204),2)</f>
        <v>1180.23</v>
      </c>
      <c r="H147" s="100"/>
      <c r="I147" s="97">
        <f t="shared" si="15"/>
        <v>177.31000000000006</v>
      </c>
      <c r="J147" s="92"/>
      <c r="K147" s="104">
        <f t="shared" si="16"/>
        <v>0.17679376221433421</v>
      </c>
    </row>
    <row r="148" spans="1:11" x14ac:dyDescent="0.45">
      <c r="A148" s="92">
        <v>212</v>
      </c>
      <c r="B148" s="86"/>
      <c r="C148" s="100">
        <f>ROUND($C$136+(A148*'Sch M2-M3'!$P$204),2)</f>
        <v>1136.25</v>
      </c>
      <c r="D148" s="100"/>
      <c r="E148" s="96">
        <f t="shared" si="14"/>
        <v>1136.25</v>
      </c>
      <c r="F148" s="100"/>
      <c r="G148" s="100">
        <f>ROUND($G$136+(A148*'Sch M2-M3'!$U$204),2)</f>
        <v>1337.14</v>
      </c>
      <c r="H148" s="100"/>
      <c r="I148" s="97">
        <f t="shared" si="15"/>
        <v>200.8900000000001</v>
      </c>
      <c r="J148" s="92"/>
      <c r="K148" s="104">
        <f t="shared" si="16"/>
        <v>0.1768008800880089</v>
      </c>
    </row>
    <row r="149" spans="1:11" x14ac:dyDescent="0.45">
      <c r="A149" s="92">
        <v>250</v>
      </c>
      <c r="B149" s="86"/>
      <c r="C149" s="100">
        <f>ROUND($C$136+(A149*'Sch M2-M3'!$P$204),2)</f>
        <v>1318.5</v>
      </c>
      <c r="D149" s="100"/>
      <c r="E149" s="96">
        <f t="shared" si="14"/>
        <v>1318.5</v>
      </c>
      <c r="F149" s="100"/>
      <c r="G149" s="100">
        <f>ROUND($G$136+(A149*'Sch M2-M3'!$U$204),2)</f>
        <v>1551.61</v>
      </c>
      <c r="H149" s="100"/>
      <c r="I149" s="97">
        <f t="shared" si="15"/>
        <v>233.1099999999999</v>
      </c>
      <c r="J149" s="92"/>
      <c r="K149" s="104">
        <f t="shared" si="16"/>
        <v>0.17679939324990512</v>
      </c>
    </row>
    <row r="150" spans="1:11" x14ac:dyDescent="0.45">
      <c r="A150" s="92">
        <v>300</v>
      </c>
      <c r="B150" s="86"/>
      <c r="C150" s="100">
        <f>ROUND($C$136+(A150*'Sch M2-M3'!$P$204),2)</f>
        <v>1558.3</v>
      </c>
      <c r="D150" s="100"/>
      <c r="E150" s="96">
        <f t="shared" si="14"/>
        <v>1558.3</v>
      </c>
      <c r="F150" s="100"/>
      <c r="G150" s="100">
        <f>ROUND($G$136+(A150*'Sch M2-M3'!$U$204),2)</f>
        <v>1833.82</v>
      </c>
      <c r="H150" s="100"/>
      <c r="I150" s="97">
        <f t="shared" si="15"/>
        <v>275.52</v>
      </c>
      <c r="J150" s="92"/>
      <c r="K150" s="104">
        <f t="shared" si="16"/>
        <v>0.17680806006545594</v>
      </c>
    </row>
    <row r="151" spans="1:11" x14ac:dyDescent="0.45">
      <c r="A151" s="92">
        <v>350</v>
      </c>
      <c r="B151" s="86"/>
      <c r="C151" s="100">
        <f>ROUND($C$136+(A151*'Sch M2-M3'!$P$204),2)</f>
        <v>1798.1</v>
      </c>
      <c r="D151" s="100"/>
      <c r="E151" s="96">
        <f t="shared" si="14"/>
        <v>1798.1</v>
      </c>
      <c r="F151" s="100"/>
      <c r="G151" s="100">
        <f>ROUND($G$136+(A151*'Sch M2-M3'!$U$204),2)</f>
        <v>2116.02</v>
      </c>
      <c r="H151" s="100"/>
      <c r="I151" s="97">
        <f t="shared" si="15"/>
        <v>317.92000000000007</v>
      </c>
      <c r="J151" s="92"/>
      <c r="K151" s="104">
        <f t="shared" si="16"/>
        <v>0.17680885379011183</v>
      </c>
    </row>
    <row r="152" spans="1:11" x14ac:dyDescent="0.45">
      <c r="A152" s="92">
        <v>400</v>
      </c>
      <c r="B152" s="86"/>
      <c r="C152" s="100">
        <f>ROUND($C$136+(A152*'Sch M2-M3'!$P$204),2)</f>
        <v>2037.9</v>
      </c>
      <c r="D152" s="100"/>
      <c r="E152" s="96">
        <f t="shared" si="14"/>
        <v>2037.9</v>
      </c>
      <c r="F152" s="100"/>
      <c r="G152" s="100">
        <f>ROUND($G$136+(A152*'Sch M2-M3'!$U$204),2)</f>
        <v>2398.23</v>
      </c>
      <c r="H152" s="100"/>
      <c r="I152" s="97">
        <f t="shared" si="15"/>
        <v>360.32999999999993</v>
      </c>
      <c r="J152" s="92"/>
      <c r="K152" s="104">
        <f t="shared" si="16"/>
        <v>0.17681436773148826</v>
      </c>
    </row>
    <row r="153" spans="1:11" x14ac:dyDescent="0.45">
      <c r="A153" s="92">
        <v>500</v>
      </c>
      <c r="B153" s="86"/>
      <c r="C153" s="100">
        <f>ROUND($C$136+(A153*'Sch M2-M3'!$P$204),2)</f>
        <v>2517.5</v>
      </c>
      <c r="D153" s="100"/>
      <c r="E153" s="96">
        <f t="shared" si="14"/>
        <v>2517.5</v>
      </c>
      <c r="F153" s="100"/>
      <c r="G153" s="100">
        <f>ROUND($G$136+(A153*'Sch M2-M3'!$U$204),2)</f>
        <v>2962.64</v>
      </c>
      <c r="H153" s="100"/>
      <c r="I153" s="97">
        <f t="shared" si="15"/>
        <v>445.13999999999987</v>
      </c>
      <c r="J153" s="92"/>
      <c r="K153" s="104">
        <f t="shared" si="16"/>
        <v>0.17681827209533263</v>
      </c>
    </row>
    <row r="154" spans="1:11" x14ac:dyDescent="0.45">
      <c r="A154" s="92">
        <v>750</v>
      </c>
      <c r="B154" s="86"/>
      <c r="C154" s="100">
        <f>ROUND($C$136+(A154*'Sch M2-M3'!$P$204),2)</f>
        <v>3716.5</v>
      </c>
      <c r="D154" s="100"/>
      <c r="E154" s="96">
        <f t="shared" si="14"/>
        <v>3716.5</v>
      </c>
      <c r="F154" s="100"/>
      <c r="G154" s="100">
        <f>ROUND($G$136+(A154*'Sch M2-M3'!$U$204),2)</f>
        <v>4373.66</v>
      </c>
      <c r="H154" s="100"/>
      <c r="I154" s="97">
        <f t="shared" si="15"/>
        <v>657.15999999999985</v>
      </c>
      <c r="J154" s="92"/>
      <c r="K154" s="104">
        <f t="shared" si="16"/>
        <v>0.17682227902596526</v>
      </c>
    </row>
    <row r="155" spans="1:11" x14ac:dyDescent="0.45">
      <c r="A155" s="92">
        <v>1000</v>
      </c>
      <c r="B155" s="86"/>
      <c r="C155" s="100">
        <f>ROUND($C$136+(A155*'Sch M2-M3'!$P$204),2)</f>
        <v>4915.5</v>
      </c>
      <c r="D155" s="100"/>
      <c r="E155" s="96">
        <f t="shared" si="14"/>
        <v>4915.5</v>
      </c>
      <c r="F155" s="100"/>
      <c r="G155" s="100">
        <f>ROUND($G$136+(A155*'Sch M2-M3'!$U$204),2)</f>
        <v>5784.68</v>
      </c>
      <c r="H155" s="100"/>
      <c r="I155" s="97">
        <f t="shared" si="15"/>
        <v>869.18000000000029</v>
      </c>
      <c r="J155" s="92"/>
      <c r="K155" s="104">
        <f t="shared" si="16"/>
        <v>0.17682433119723331</v>
      </c>
    </row>
    <row r="156" spans="1:11" x14ac:dyDescent="0.45">
      <c r="A156" s="92">
        <v>2500</v>
      </c>
      <c r="B156" s="86"/>
      <c r="C156" s="100">
        <f>ROUND($C$136+(A156*'Sch M2-M3'!$P$204),2)</f>
        <v>12109.5</v>
      </c>
      <c r="D156" s="100"/>
      <c r="E156" s="96">
        <f t="shared" si="14"/>
        <v>12109.5</v>
      </c>
      <c r="F156" s="100"/>
      <c r="G156" s="100">
        <f>ROUND($G$136+(A156*'Sch M2-M3'!$U$204),2)</f>
        <v>14250.82</v>
      </c>
      <c r="H156" s="100"/>
      <c r="I156" s="97">
        <f t="shared" si="15"/>
        <v>2141.3199999999997</v>
      </c>
      <c r="J156" s="92"/>
      <c r="K156" s="104">
        <f t="shared" si="16"/>
        <v>0.17682976175729798</v>
      </c>
    </row>
    <row r="157" spans="1:11" x14ac:dyDescent="0.45">
      <c r="A157" s="92">
        <v>5000</v>
      </c>
      <c r="B157" s="86"/>
      <c r="C157" s="100">
        <f>ROUND($C$136+(A157*'Sch M2-M3'!$P$204),2)</f>
        <v>24099.5</v>
      </c>
      <c r="D157" s="100"/>
      <c r="E157" s="96">
        <f t="shared" si="14"/>
        <v>24099.5</v>
      </c>
      <c r="F157" s="100"/>
      <c r="G157" s="100">
        <f>ROUND($G$136+(A157*'Sch M2-M3'!$U$204),2)</f>
        <v>28361.040000000001</v>
      </c>
      <c r="H157" s="100"/>
      <c r="I157" s="97">
        <f t="shared" si="15"/>
        <v>4261.5400000000009</v>
      </c>
      <c r="J157" s="92"/>
      <c r="K157" s="104">
        <f t="shared" si="16"/>
        <v>0.17683105458619477</v>
      </c>
    </row>
    <row r="158" spans="1:11" x14ac:dyDescent="0.45">
      <c r="A158" s="92"/>
      <c r="B158" s="86"/>
      <c r="C158" s="86"/>
      <c r="D158" s="86"/>
      <c r="E158" s="86"/>
      <c r="F158" s="86"/>
      <c r="G158" s="86"/>
      <c r="H158" s="86"/>
      <c r="I158" s="86"/>
      <c r="J158" s="86"/>
      <c r="K158" s="92"/>
    </row>
    <row r="159" spans="1:11" x14ac:dyDescent="0.45">
      <c r="A159" s="92" t="s">
        <v>163</v>
      </c>
      <c r="B159" s="86"/>
      <c r="C159" s="96"/>
      <c r="D159" s="96"/>
      <c r="E159" s="118">
        <v>0</v>
      </c>
      <c r="F159" s="86"/>
      <c r="G159" s="86"/>
      <c r="H159" s="86"/>
      <c r="I159" s="86"/>
      <c r="J159" s="86"/>
      <c r="K159" s="92"/>
    </row>
    <row r="160" spans="1:11" x14ac:dyDescent="0.45">
      <c r="A160" s="92"/>
      <c r="B160" s="86"/>
      <c r="C160" s="86"/>
      <c r="D160" s="86"/>
      <c r="E160" s="86"/>
      <c r="F160" s="86"/>
      <c r="G160" s="86"/>
      <c r="H160" s="86"/>
      <c r="I160" s="86"/>
      <c r="J160" s="86"/>
      <c r="K160" s="92"/>
    </row>
    <row r="161" spans="1:12" x14ac:dyDescent="0.45">
      <c r="A161" s="92" t="s">
        <v>55</v>
      </c>
      <c r="B161" s="86"/>
      <c r="C161" s="86"/>
      <c r="D161" s="86"/>
      <c r="E161" s="86"/>
      <c r="F161" s="86"/>
      <c r="G161" s="86"/>
      <c r="H161" s="86"/>
      <c r="I161" s="86"/>
      <c r="J161" s="86"/>
      <c r="K161" s="92"/>
    </row>
    <row r="162" spans="1:12" x14ac:dyDescent="0.45">
      <c r="A162" s="92">
        <v>129.39103333333335</v>
      </c>
      <c r="B162" s="86"/>
      <c r="C162" s="100">
        <f>ROUND($C$136+(A162*'Sch M2-M3'!$P$204),2)</f>
        <v>740.06</v>
      </c>
      <c r="D162" s="102"/>
      <c r="E162" s="96">
        <f>+C162*(1+$E$159)</f>
        <v>740.06</v>
      </c>
      <c r="F162" s="102"/>
      <c r="G162" s="100">
        <f>ROUND($G$136+(A162*'Sch M2-M3'!$U$204),2)</f>
        <v>870.89</v>
      </c>
      <c r="H162" s="102"/>
      <c r="I162" s="97">
        <f t="shared" ref="I162" si="17">+G162-E162</f>
        <v>130.83000000000004</v>
      </c>
      <c r="J162" s="92"/>
      <c r="K162" s="104">
        <f t="shared" ref="K162" si="18">+I162/E162</f>
        <v>0.17678296354349654</v>
      </c>
    </row>
    <row r="165" spans="1:12" x14ac:dyDescent="0.45">
      <c r="A165" s="164" t="str">
        <f>A125</f>
        <v>Kentucky-American Water Company</v>
      </c>
      <c r="B165" s="164"/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</row>
    <row r="166" spans="1:12" x14ac:dyDescent="0.45">
      <c r="A166" s="164" t="str">
        <f>A126</f>
        <v>Case No. 2023-00191</v>
      </c>
      <c r="B166" s="164"/>
      <c r="C166" s="164"/>
      <c r="D166" s="164"/>
      <c r="E166" s="164"/>
      <c r="F166" s="164"/>
      <c r="G166" s="164"/>
      <c r="H166" s="164"/>
      <c r="I166" s="164"/>
      <c r="J166" s="164"/>
      <c r="K166" s="164"/>
      <c r="L166" s="164"/>
    </row>
    <row r="167" spans="1:12" x14ac:dyDescent="0.45">
      <c r="A167" s="164" t="str">
        <f>A127</f>
        <v>Forecast Year (12 Months Ending January 31, 2025)</v>
      </c>
      <c r="B167" s="164"/>
      <c r="C167" s="164"/>
      <c r="D167" s="164"/>
      <c r="E167" s="164"/>
      <c r="F167" s="164"/>
      <c r="G167" s="164"/>
      <c r="H167" s="164"/>
      <c r="I167" s="164"/>
      <c r="J167" s="164"/>
      <c r="K167" s="164"/>
      <c r="L167" s="164"/>
    </row>
    <row r="168" spans="1:12" ht="31.9" customHeight="1" x14ac:dyDescent="0.45">
      <c r="A168" s="165" t="s">
        <v>86</v>
      </c>
      <c r="B168" s="165"/>
      <c r="C168" s="165"/>
      <c r="D168" s="165"/>
      <c r="E168" s="165"/>
      <c r="F168" s="165"/>
      <c r="G168" s="165"/>
      <c r="H168" s="165"/>
      <c r="I168" s="165"/>
      <c r="J168" s="165"/>
      <c r="K168" s="165"/>
      <c r="L168" s="165"/>
    </row>
    <row r="169" spans="1:12" x14ac:dyDescent="0.45">
      <c r="A169" s="164" t="s">
        <v>60</v>
      </c>
      <c r="B169" s="164"/>
      <c r="C169" s="164"/>
      <c r="D169" s="164"/>
      <c r="E169" s="164"/>
      <c r="F169" s="164"/>
      <c r="G169" s="164"/>
      <c r="H169" s="164"/>
      <c r="I169" s="164"/>
      <c r="J169" s="164"/>
      <c r="K169" s="164"/>
      <c r="L169" s="164"/>
    </row>
    <row r="170" spans="1:12" x14ac:dyDescent="0.45">
      <c r="L170" s="4" t="str">
        <f>L7</f>
        <v>Exhibit 37, Schedule N</v>
      </c>
    </row>
    <row r="171" spans="1:12" x14ac:dyDescent="0.45">
      <c r="A171" s="1"/>
      <c r="B171" s="5"/>
      <c r="C171" s="5"/>
      <c r="D171" s="5"/>
      <c r="E171" s="5"/>
      <c r="F171" s="5"/>
      <c r="G171" s="5"/>
      <c r="H171" s="5"/>
      <c r="I171" s="5"/>
      <c r="J171" s="5"/>
      <c r="K171" s="1"/>
      <c r="L171" s="10"/>
    </row>
    <row r="172" spans="1:12" x14ac:dyDescent="0.45">
      <c r="A172" s="1"/>
      <c r="B172" s="92"/>
      <c r="C172" s="92"/>
      <c r="D172" s="92"/>
      <c r="E172" s="92"/>
      <c r="F172" s="92"/>
      <c r="G172" s="92"/>
      <c r="H172" s="92"/>
      <c r="I172" s="92"/>
      <c r="J172" s="92"/>
      <c r="K172" s="1"/>
      <c r="L172" s="4"/>
    </row>
    <row r="173" spans="1:12" x14ac:dyDescent="0.45">
      <c r="A173" s="92"/>
      <c r="B173" s="86"/>
      <c r="C173" s="86"/>
      <c r="D173" s="86"/>
      <c r="E173" s="86"/>
      <c r="F173" s="86"/>
      <c r="G173" s="86"/>
      <c r="H173" s="86"/>
      <c r="I173" s="86"/>
      <c r="J173" s="86"/>
      <c r="K173" s="92"/>
    </row>
    <row r="174" spans="1:12" x14ac:dyDescent="0.45">
      <c r="A174" s="1" t="s">
        <v>8</v>
      </c>
      <c r="B174" s="92"/>
      <c r="C174" s="1" t="s">
        <v>45</v>
      </c>
      <c r="D174" s="1"/>
      <c r="E174" s="1" t="s">
        <v>45</v>
      </c>
      <c r="F174" s="1"/>
      <c r="G174" s="1" t="s">
        <v>44</v>
      </c>
      <c r="H174" s="1"/>
      <c r="I174" s="1"/>
      <c r="J174" s="1"/>
      <c r="K174" s="1" t="s">
        <v>31</v>
      </c>
    </row>
    <row r="175" spans="1:12" x14ac:dyDescent="0.45">
      <c r="A175" s="2" t="s">
        <v>56</v>
      </c>
      <c r="B175" s="92"/>
      <c r="C175" s="2" t="s">
        <v>26</v>
      </c>
      <c r="D175" s="1"/>
      <c r="E175" s="2" t="s">
        <v>236</v>
      </c>
      <c r="F175" s="1"/>
      <c r="G175" s="2" t="s">
        <v>26</v>
      </c>
      <c r="H175" s="1"/>
      <c r="I175" s="2" t="s">
        <v>54</v>
      </c>
      <c r="J175" s="1"/>
      <c r="K175" s="2" t="s">
        <v>54</v>
      </c>
    </row>
    <row r="176" spans="1:12" x14ac:dyDescent="0.45">
      <c r="A176" s="92">
        <v>0</v>
      </c>
      <c r="B176" s="92"/>
      <c r="C176" s="94">
        <f>'Sch M2-M3'!P239</f>
        <v>746.7</v>
      </c>
      <c r="D176" s="95"/>
      <c r="E176" s="94">
        <f>+C176*(1+$E$199)</f>
        <v>746.7</v>
      </c>
      <c r="F176" s="95"/>
      <c r="G176" s="94">
        <f>'Sch M2-M3'!U239</f>
        <v>878.49254999999994</v>
      </c>
      <c r="H176" s="95"/>
      <c r="I176" s="94">
        <f>+G176-E176</f>
        <v>131.79254999999989</v>
      </c>
      <c r="J176" s="92"/>
      <c r="K176" s="104">
        <f>+I176/E176</f>
        <v>0.17649999999999985</v>
      </c>
    </row>
    <row r="177" spans="1:11" x14ac:dyDescent="0.45">
      <c r="A177" s="92">
        <v>25</v>
      </c>
      <c r="B177" s="86"/>
      <c r="C177" s="100">
        <f>ROUND($C$176+(A177*'Sch M2-M3'!$P$244),2)</f>
        <v>852.6</v>
      </c>
      <c r="D177" s="100"/>
      <c r="E177" s="96">
        <f>+C177*(1+$E$199)</f>
        <v>852.6</v>
      </c>
      <c r="F177" s="100"/>
      <c r="G177" s="100">
        <f>ROUND($G$176+(A177*'Sch M2-M3'!$U$244),2)</f>
        <v>1003.12</v>
      </c>
      <c r="H177" s="100"/>
      <c r="I177" s="97">
        <f>+G177-E177</f>
        <v>150.51999999999998</v>
      </c>
      <c r="J177" s="92"/>
      <c r="K177" s="104">
        <f>+I177/E177</f>
        <v>0.17654234107436076</v>
      </c>
    </row>
    <row r="178" spans="1:11" x14ac:dyDescent="0.45">
      <c r="A178" s="92">
        <v>50</v>
      </c>
      <c r="B178" s="86"/>
      <c r="C178" s="100">
        <f>ROUND($C$176+(A178*'Sch M2-M3'!$P$244),2)</f>
        <v>958.5</v>
      </c>
      <c r="D178" s="100"/>
      <c r="E178" s="96">
        <f t="shared" ref="E178:E197" si="19">+C178*(1+$E$199)</f>
        <v>958.5</v>
      </c>
      <c r="F178" s="100"/>
      <c r="G178" s="100">
        <f>ROUND($G$176+(A178*'Sch M2-M3'!$U$244),2)</f>
        <v>1127.75</v>
      </c>
      <c r="H178" s="100"/>
      <c r="I178" s="97">
        <f t="shared" ref="I178:I197" si="20">+G178-E178</f>
        <v>169.25</v>
      </c>
      <c r="J178" s="92"/>
      <c r="K178" s="104">
        <f t="shared" ref="K178:K197" si="21">+I178/E178</f>
        <v>0.17657798643714137</v>
      </c>
    </row>
    <row r="179" spans="1:11" x14ac:dyDescent="0.45">
      <c r="A179" s="92">
        <v>75</v>
      </c>
      <c r="B179" s="86"/>
      <c r="C179" s="100">
        <f>ROUND($C$176+(A179*'Sch M2-M3'!$P$244),2)</f>
        <v>1064.4000000000001</v>
      </c>
      <c r="D179" s="100"/>
      <c r="E179" s="96">
        <f t="shared" si="19"/>
        <v>1064.4000000000001</v>
      </c>
      <c r="F179" s="100"/>
      <c r="G179" s="100">
        <f>ROUND($G$176+(A179*'Sch M2-M3'!$U$244),2)</f>
        <v>1252.3699999999999</v>
      </c>
      <c r="H179" s="100"/>
      <c r="I179" s="97">
        <f t="shared" si="20"/>
        <v>187.9699999999998</v>
      </c>
      <c r="J179" s="92"/>
      <c r="K179" s="104">
        <f t="shared" si="21"/>
        <v>0.17659714393085285</v>
      </c>
    </row>
    <row r="180" spans="1:11" x14ac:dyDescent="0.45">
      <c r="A180" s="92">
        <v>100</v>
      </c>
      <c r="B180" s="86"/>
      <c r="C180" s="100">
        <f>ROUND($C$176+(A180*'Sch M2-M3'!$P$244),2)</f>
        <v>1170.3</v>
      </c>
      <c r="D180" s="100"/>
      <c r="E180" s="96">
        <f t="shared" si="19"/>
        <v>1170.3</v>
      </c>
      <c r="F180" s="100"/>
      <c r="G180" s="100">
        <f>ROUND($G$176+(A180*'Sch M2-M3'!$U$244),2)</f>
        <v>1377</v>
      </c>
      <c r="H180" s="100"/>
      <c r="I180" s="97">
        <f t="shared" si="20"/>
        <v>206.70000000000005</v>
      </c>
      <c r="J180" s="92"/>
      <c r="K180" s="104">
        <f t="shared" si="21"/>
        <v>0.17662137913355555</v>
      </c>
    </row>
    <row r="181" spans="1:11" x14ac:dyDescent="0.45">
      <c r="A181" s="92">
        <v>150</v>
      </c>
      <c r="B181" s="86"/>
      <c r="C181" s="100">
        <f>ROUND($C$176+(A181*'Sch M2-M3'!$P$244),2)</f>
        <v>1382.1</v>
      </c>
      <c r="D181" s="100"/>
      <c r="E181" s="96">
        <f t="shared" si="19"/>
        <v>1382.1</v>
      </c>
      <c r="F181" s="100"/>
      <c r="G181" s="100">
        <f>ROUND($G$176+(A181*'Sch M2-M3'!$U$244),2)</f>
        <v>1626.25</v>
      </c>
      <c r="H181" s="100"/>
      <c r="I181" s="97">
        <f t="shared" si="20"/>
        <v>244.15000000000009</v>
      </c>
      <c r="J181" s="92"/>
      <c r="K181" s="104">
        <f t="shared" si="21"/>
        <v>0.17665147239707699</v>
      </c>
    </row>
    <row r="182" spans="1:11" x14ac:dyDescent="0.45">
      <c r="A182" s="92">
        <v>200</v>
      </c>
      <c r="B182" s="86"/>
      <c r="C182" s="100">
        <f>ROUND($C$176+(A182*'Sch M2-M3'!$P$244),2)</f>
        <v>1593.9</v>
      </c>
      <c r="D182" s="100"/>
      <c r="E182" s="96">
        <f t="shared" si="19"/>
        <v>1593.9</v>
      </c>
      <c r="F182" s="100"/>
      <c r="G182" s="100">
        <f>ROUND($G$176+(A182*'Sch M2-M3'!$U$244),2)</f>
        <v>1875.51</v>
      </c>
      <c r="H182" s="100"/>
      <c r="I182" s="97">
        <f t="shared" si="20"/>
        <v>281.6099999999999</v>
      </c>
      <c r="J182" s="92"/>
      <c r="K182" s="104">
        <f t="shared" si="21"/>
        <v>0.17667984189723313</v>
      </c>
    </row>
    <row r="183" spans="1:11" x14ac:dyDescent="0.45">
      <c r="A183" s="92">
        <v>250</v>
      </c>
      <c r="B183" s="86"/>
      <c r="C183" s="100">
        <f>ROUND($C$176+(A183*'Sch M2-M3'!$P$244),2)</f>
        <v>1805.7</v>
      </c>
      <c r="D183" s="100"/>
      <c r="E183" s="96">
        <f t="shared" si="19"/>
        <v>1805.7</v>
      </c>
      <c r="F183" s="100"/>
      <c r="G183" s="100">
        <f>ROUND($G$176+(A183*'Sch M2-M3'!$U$244),2)</f>
        <v>2124.7600000000002</v>
      </c>
      <c r="H183" s="100"/>
      <c r="I183" s="97">
        <f t="shared" si="20"/>
        <v>319.06000000000017</v>
      </c>
      <c r="J183" s="92"/>
      <c r="K183" s="104">
        <f t="shared" si="21"/>
        <v>0.17669601816470076</v>
      </c>
    </row>
    <row r="184" spans="1:11" x14ac:dyDescent="0.45">
      <c r="A184" s="92">
        <v>500</v>
      </c>
      <c r="B184" s="86"/>
      <c r="C184" s="100">
        <f>ROUND($C$176+(A184*'Sch M2-M3'!$P$244),2)</f>
        <v>2864.7</v>
      </c>
      <c r="D184" s="100"/>
      <c r="E184" s="96">
        <f t="shared" si="19"/>
        <v>2864.7</v>
      </c>
      <c r="F184" s="100"/>
      <c r="G184" s="100">
        <f>ROUND($G$176+(A184*'Sch M2-M3'!$U$244),2)</f>
        <v>3371.02</v>
      </c>
      <c r="H184" s="100"/>
      <c r="I184" s="97">
        <f t="shared" si="20"/>
        <v>506.32000000000016</v>
      </c>
      <c r="J184" s="92"/>
      <c r="K184" s="104">
        <f t="shared" si="21"/>
        <v>0.17674451076901601</v>
      </c>
    </row>
    <row r="185" spans="1:11" x14ac:dyDescent="0.45">
      <c r="A185" s="92">
        <v>750</v>
      </c>
      <c r="B185" s="86"/>
      <c r="C185" s="100">
        <f>ROUND($C$176+(A185*'Sch M2-M3'!$P$244),2)</f>
        <v>3923.7</v>
      </c>
      <c r="D185" s="100"/>
      <c r="E185" s="96">
        <f t="shared" si="19"/>
        <v>3923.7</v>
      </c>
      <c r="F185" s="100"/>
      <c r="G185" s="100">
        <f>ROUND($G$176+(A185*'Sch M2-M3'!$U$244),2)</f>
        <v>4617.29</v>
      </c>
      <c r="H185" s="100"/>
      <c r="I185" s="97">
        <f t="shared" si="20"/>
        <v>693.59000000000015</v>
      </c>
      <c r="J185" s="92"/>
      <c r="K185" s="104">
        <f t="shared" si="21"/>
        <v>0.17676937584422869</v>
      </c>
    </row>
    <row r="186" spans="1:11" x14ac:dyDescent="0.45">
      <c r="A186" s="92">
        <v>1000</v>
      </c>
      <c r="B186" s="86"/>
      <c r="C186" s="100">
        <f>ROUND($C$176+(A186*'Sch M2-M3'!$P$244),2)</f>
        <v>4982.7</v>
      </c>
      <c r="D186" s="100"/>
      <c r="E186" s="96">
        <f t="shared" si="19"/>
        <v>4982.7</v>
      </c>
      <c r="F186" s="100"/>
      <c r="G186" s="100">
        <f>ROUND($G$176+(A186*'Sch M2-M3'!$U$244),2)</f>
        <v>5863.56</v>
      </c>
      <c r="H186" s="100"/>
      <c r="I186" s="97">
        <f t="shared" si="20"/>
        <v>880.86000000000058</v>
      </c>
      <c r="J186" s="92"/>
      <c r="K186" s="104">
        <f t="shared" si="21"/>
        <v>0.17678367150340191</v>
      </c>
    </row>
    <row r="187" spans="1:11" x14ac:dyDescent="0.45">
      <c r="A187" s="92">
        <v>1500</v>
      </c>
      <c r="B187" s="86"/>
      <c r="C187" s="100">
        <f>ROUND($C$176+(A187*'Sch M2-M3'!$P$244),2)</f>
        <v>7100.7</v>
      </c>
      <c r="D187" s="100"/>
      <c r="E187" s="96">
        <f t="shared" si="19"/>
        <v>7100.7</v>
      </c>
      <c r="F187" s="100"/>
      <c r="G187" s="100">
        <f>ROUND($G$176+(A187*'Sch M2-M3'!$U$244),2)</f>
        <v>8356.09</v>
      </c>
      <c r="H187" s="100"/>
      <c r="I187" s="97">
        <f t="shared" si="20"/>
        <v>1255.3900000000003</v>
      </c>
      <c r="J187" s="92"/>
      <c r="K187" s="104">
        <f t="shared" si="21"/>
        <v>0.17679806216288541</v>
      </c>
    </row>
    <row r="188" spans="1:11" x14ac:dyDescent="0.45">
      <c r="A188" s="92">
        <v>2241.6999999999998</v>
      </c>
      <c r="B188" s="86"/>
      <c r="C188" s="100">
        <f>ROUND($C$176+(A188*'Sch M2-M3'!$P$244),2)</f>
        <v>10242.540000000001</v>
      </c>
      <c r="D188" s="100"/>
      <c r="E188" s="96">
        <f t="shared" si="19"/>
        <v>10242.540000000001</v>
      </c>
      <c r="F188" s="100"/>
      <c r="G188" s="100">
        <f>ROUND($G$176+(A188*'Sch M2-M3'!$U$244),2)</f>
        <v>12053.51</v>
      </c>
      <c r="H188" s="100"/>
      <c r="I188" s="97">
        <f t="shared" si="20"/>
        <v>1810.9699999999993</v>
      </c>
      <c r="J188" s="92"/>
      <c r="K188" s="104">
        <f t="shared" si="21"/>
        <v>0.17680868222140203</v>
      </c>
    </row>
    <row r="189" spans="1:11" x14ac:dyDescent="0.45">
      <c r="A189" s="92">
        <v>2500</v>
      </c>
      <c r="B189" s="86"/>
      <c r="C189" s="100">
        <f>ROUND($C$176+(A189*'Sch M2-M3'!$P$244),2)</f>
        <v>11336.7</v>
      </c>
      <c r="D189" s="100"/>
      <c r="E189" s="96">
        <f t="shared" si="19"/>
        <v>11336.7</v>
      </c>
      <c r="F189" s="100"/>
      <c r="G189" s="100">
        <f>ROUND($G$176+(A189*'Sch M2-M3'!$U$244),2)</f>
        <v>13341.15</v>
      </c>
      <c r="H189" s="100"/>
      <c r="I189" s="97">
        <f t="shared" si="20"/>
        <v>2004.4499999999989</v>
      </c>
      <c r="J189" s="92"/>
      <c r="K189" s="104">
        <f t="shared" si="21"/>
        <v>0.17681071211199015</v>
      </c>
    </row>
    <row r="190" spans="1:11" x14ac:dyDescent="0.45">
      <c r="A190" s="92">
        <v>2930</v>
      </c>
      <c r="B190" s="86"/>
      <c r="C190" s="100">
        <f>ROUND($C$176+(A190*'Sch M2-M3'!$P$244),2)</f>
        <v>13158.18</v>
      </c>
      <c r="D190" s="100"/>
      <c r="E190" s="96">
        <f t="shared" si="19"/>
        <v>13158.18</v>
      </c>
      <c r="F190" s="100"/>
      <c r="G190" s="100">
        <f>ROUND($G$176+(A190*'Sch M2-M3'!$U$244),2)</f>
        <v>15484.73</v>
      </c>
      <c r="H190" s="100"/>
      <c r="I190" s="97">
        <f t="shared" si="20"/>
        <v>2326.5499999999993</v>
      </c>
      <c r="J190" s="92"/>
      <c r="K190" s="104">
        <f t="shared" si="21"/>
        <v>0.17681396667320246</v>
      </c>
    </row>
    <row r="191" spans="1:11" x14ac:dyDescent="0.45">
      <c r="A191" s="92">
        <v>3000</v>
      </c>
      <c r="B191" s="86"/>
      <c r="C191" s="100">
        <f>ROUND($C$176+(A191*'Sch M2-M3'!$P$244),2)</f>
        <v>13454.7</v>
      </c>
      <c r="D191" s="100"/>
      <c r="E191" s="96">
        <f t="shared" si="19"/>
        <v>13454.7</v>
      </c>
      <c r="F191" s="100"/>
      <c r="G191" s="100">
        <f>ROUND($G$176+(A191*'Sch M2-M3'!$U$244),2)</f>
        <v>15833.68</v>
      </c>
      <c r="H191" s="100"/>
      <c r="I191" s="97">
        <f t="shared" si="20"/>
        <v>2378.9799999999996</v>
      </c>
      <c r="J191" s="92"/>
      <c r="K191" s="104">
        <f t="shared" si="21"/>
        <v>0.17681405010888385</v>
      </c>
    </row>
    <row r="192" spans="1:11" x14ac:dyDescent="0.45">
      <c r="A192" s="92">
        <v>5000</v>
      </c>
      <c r="B192" s="86"/>
      <c r="C192" s="100">
        <f>ROUND($C$176+(A192*'Sch M2-M3'!$P$244),2)</f>
        <v>21926.7</v>
      </c>
      <c r="D192" s="100"/>
      <c r="E192" s="96">
        <f t="shared" si="19"/>
        <v>21926.7</v>
      </c>
      <c r="F192" s="100"/>
      <c r="G192" s="100">
        <f>ROUND($G$176+(A192*'Sch M2-M3'!$U$244),2)</f>
        <v>25803.81</v>
      </c>
      <c r="H192" s="100"/>
      <c r="I192" s="97">
        <f t="shared" si="20"/>
        <v>3877.1100000000006</v>
      </c>
      <c r="J192" s="92"/>
      <c r="K192" s="104">
        <f t="shared" si="21"/>
        <v>0.17682140951442762</v>
      </c>
    </row>
    <row r="193" spans="1:12" x14ac:dyDescent="0.45">
      <c r="A193" s="92">
        <v>7500</v>
      </c>
      <c r="B193" s="86"/>
      <c r="C193" s="100">
        <f>ROUND($C$176+(A193*'Sch M2-M3'!$P$244),2)</f>
        <v>32516.7</v>
      </c>
      <c r="D193" s="100"/>
      <c r="E193" s="96">
        <f t="shared" si="19"/>
        <v>32516.7</v>
      </c>
      <c r="F193" s="100"/>
      <c r="G193" s="100">
        <f>ROUND($G$176+(A193*'Sch M2-M3'!$U$244),2)</f>
        <v>38266.47</v>
      </c>
      <c r="H193" s="100"/>
      <c r="I193" s="97">
        <f t="shared" si="20"/>
        <v>5749.77</v>
      </c>
      <c r="J193" s="92"/>
      <c r="K193" s="104">
        <f t="shared" si="21"/>
        <v>0.17682513908237921</v>
      </c>
    </row>
    <row r="194" spans="1:12" x14ac:dyDescent="0.45">
      <c r="A194" s="92">
        <v>10000</v>
      </c>
      <c r="B194" s="86"/>
      <c r="C194" s="100">
        <f>ROUND($C$176+(A194*'Sch M2-M3'!$P$244),2)</f>
        <v>43106.7</v>
      </c>
      <c r="D194" s="100"/>
      <c r="E194" s="96">
        <f t="shared" si="19"/>
        <v>43106.7</v>
      </c>
      <c r="F194" s="100"/>
      <c r="G194" s="100">
        <f>ROUND($G$176+(A194*'Sch M2-M3'!$U$244),2)</f>
        <v>50729.120000000003</v>
      </c>
      <c r="H194" s="100"/>
      <c r="I194" s="97">
        <f t="shared" si="20"/>
        <v>7622.4200000000055</v>
      </c>
      <c r="J194" s="92"/>
      <c r="K194" s="104">
        <f t="shared" si="21"/>
        <v>0.17682680418589236</v>
      </c>
    </row>
    <row r="195" spans="1:12" x14ac:dyDescent="0.45">
      <c r="A195" s="92">
        <v>15000</v>
      </c>
      <c r="B195" s="86"/>
      <c r="C195" s="100">
        <f>ROUND($C$176+(A195*'Sch M2-M3'!$P$244),2)</f>
        <v>64286.7</v>
      </c>
      <c r="D195" s="100"/>
      <c r="E195" s="96">
        <f t="shared" si="19"/>
        <v>64286.7</v>
      </c>
      <c r="F195" s="100"/>
      <c r="G195" s="100">
        <f>ROUND($G$176+(A195*'Sch M2-M3'!$U$244),2)</f>
        <v>75654.44</v>
      </c>
      <c r="H195" s="100"/>
      <c r="I195" s="97">
        <f t="shared" si="20"/>
        <v>11367.740000000005</v>
      </c>
      <c r="J195" s="92"/>
      <c r="K195" s="104">
        <f t="shared" si="21"/>
        <v>0.1768287997361819</v>
      </c>
    </row>
    <row r="196" spans="1:12" x14ac:dyDescent="0.45">
      <c r="A196" s="92">
        <v>25000</v>
      </c>
      <c r="B196" s="86"/>
      <c r="C196" s="100">
        <f>ROUND($C$176+(A196*'Sch M2-M3'!$P$244),2)</f>
        <v>106646.7</v>
      </c>
      <c r="D196" s="100"/>
      <c r="E196" s="96">
        <f t="shared" si="19"/>
        <v>106646.7</v>
      </c>
      <c r="F196" s="100"/>
      <c r="G196" s="100">
        <f>ROUND($G$176+(A196*'Sch M2-M3'!$U$244),2)</f>
        <v>125505.07</v>
      </c>
      <c r="H196" s="100"/>
      <c r="I196" s="97">
        <f t="shared" si="20"/>
        <v>18858.37000000001</v>
      </c>
      <c r="J196" s="92"/>
      <c r="K196" s="104">
        <f t="shared" si="21"/>
        <v>0.17683031917537073</v>
      </c>
    </row>
    <row r="197" spans="1:12" x14ac:dyDescent="0.45">
      <c r="A197" s="92">
        <v>50000</v>
      </c>
      <c r="B197" s="86"/>
      <c r="C197" s="100">
        <f>ROUND($C$176+(A197*'Sch M2-M3'!$P$244),2)</f>
        <v>212546.7</v>
      </c>
      <c r="D197" s="100"/>
      <c r="E197" s="96">
        <f t="shared" si="19"/>
        <v>212546.7</v>
      </c>
      <c r="F197" s="100"/>
      <c r="G197" s="100">
        <f>ROUND($G$176+(A197*'Sch M2-M3'!$U$244),2)</f>
        <v>250131.65</v>
      </c>
      <c r="H197" s="100"/>
      <c r="I197" s="97">
        <f t="shared" si="20"/>
        <v>37584.949999999983</v>
      </c>
      <c r="J197" s="92"/>
      <c r="K197" s="104">
        <f t="shared" si="21"/>
        <v>0.17683149162042969</v>
      </c>
    </row>
    <row r="198" spans="1:12" x14ac:dyDescent="0.45">
      <c r="A198" s="92"/>
      <c r="B198" s="86"/>
      <c r="C198" s="86"/>
      <c r="D198" s="86"/>
      <c r="E198" s="86"/>
      <c r="F198" s="86"/>
      <c r="G198" s="86"/>
      <c r="H198" s="86"/>
      <c r="I198" s="86"/>
      <c r="J198" s="86"/>
      <c r="K198" s="92"/>
    </row>
    <row r="199" spans="1:12" x14ac:dyDescent="0.45">
      <c r="A199" s="92" t="s">
        <v>163</v>
      </c>
      <c r="B199" s="86"/>
      <c r="C199" s="96"/>
      <c r="D199" s="96"/>
      <c r="E199" s="118">
        <v>0</v>
      </c>
      <c r="F199" s="86"/>
      <c r="G199" s="86"/>
      <c r="H199" s="86"/>
      <c r="I199" s="86"/>
      <c r="J199" s="86"/>
      <c r="K199" s="92"/>
    </row>
    <row r="200" spans="1:12" x14ac:dyDescent="0.45">
      <c r="A200" s="92"/>
      <c r="B200" s="86"/>
      <c r="C200" s="86"/>
      <c r="D200" s="86"/>
      <c r="E200" s="86"/>
      <c r="F200" s="86"/>
      <c r="G200" s="86"/>
      <c r="H200" s="86"/>
      <c r="I200" s="86"/>
      <c r="J200" s="86"/>
      <c r="K200" s="92"/>
    </row>
    <row r="201" spans="1:12" x14ac:dyDescent="0.45">
      <c r="A201" s="92" t="s">
        <v>55</v>
      </c>
      <c r="B201" s="86"/>
      <c r="C201" s="86"/>
      <c r="D201" s="86"/>
      <c r="E201" s="86"/>
      <c r="F201" s="86"/>
      <c r="G201" s="86"/>
      <c r="H201" s="86"/>
      <c r="I201" s="86"/>
      <c r="J201" s="86"/>
      <c r="K201" s="92"/>
    </row>
    <row r="202" spans="1:12" x14ac:dyDescent="0.45">
      <c r="A202" s="92">
        <v>1183.7055749999997</v>
      </c>
      <c r="B202" s="86"/>
      <c r="C202" s="100">
        <f>ROUND($C$176+(A202*'Sch M2-M3'!$P$244),2)</f>
        <v>5760.88</v>
      </c>
      <c r="D202" s="102"/>
      <c r="E202" s="96">
        <f t="shared" ref="E202" si="22">+C202*(1+$E$199)</f>
        <v>5760.88</v>
      </c>
      <c r="F202" s="102"/>
      <c r="G202" s="100">
        <f>ROUND($G$176+(A202*'Sch M2-M3'!$U$244),2)</f>
        <v>6779.34</v>
      </c>
      <c r="H202" s="102"/>
      <c r="I202" s="97">
        <f t="shared" ref="I202" si="23">+G202-E202</f>
        <v>1018.46</v>
      </c>
      <c r="J202" s="92"/>
      <c r="K202" s="104">
        <f t="shared" ref="K202" si="24">+I202/E202</f>
        <v>0.1767889627973504</v>
      </c>
    </row>
    <row r="205" spans="1:12" x14ac:dyDescent="0.45">
      <c r="A205" s="164" t="str">
        <f>A165</f>
        <v>Kentucky-American Water Company</v>
      </c>
      <c r="B205" s="164"/>
      <c r="C205" s="164"/>
      <c r="D205" s="164"/>
      <c r="E205" s="164"/>
      <c r="F205" s="164"/>
      <c r="G205" s="164"/>
      <c r="H205" s="164"/>
      <c r="I205" s="164"/>
      <c r="J205" s="164"/>
      <c r="K205" s="164"/>
      <c r="L205" s="164"/>
    </row>
    <row r="206" spans="1:12" x14ac:dyDescent="0.45">
      <c r="A206" s="164" t="str">
        <f>A166</f>
        <v>Case No. 2023-00191</v>
      </c>
      <c r="B206" s="164"/>
      <c r="C206" s="164"/>
      <c r="D206" s="164"/>
      <c r="E206" s="164"/>
      <c r="F206" s="164"/>
      <c r="G206" s="164"/>
      <c r="H206" s="164"/>
      <c r="I206" s="164"/>
      <c r="J206" s="164"/>
      <c r="K206" s="164"/>
      <c r="L206" s="164"/>
    </row>
    <row r="207" spans="1:12" x14ac:dyDescent="0.45">
      <c r="A207" s="164" t="str">
        <f>A167</f>
        <v>Forecast Year (12 Months Ending January 31, 2025)</v>
      </c>
      <c r="B207" s="164"/>
      <c r="C207" s="164"/>
      <c r="D207" s="164"/>
      <c r="E207" s="164"/>
      <c r="F207" s="164"/>
      <c r="G207" s="164"/>
      <c r="H207" s="164"/>
      <c r="I207" s="164"/>
      <c r="J207" s="164"/>
      <c r="K207" s="164"/>
      <c r="L207" s="164"/>
    </row>
    <row r="208" spans="1:12" ht="31.9" customHeight="1" x14ac:dyDescent="0.45">
      <c r="A208" s="165" t="s">
        <v>86</v>
      </c>
      <c r="B208" s="165"/>
      <c r="C208" s="165"/>
      <c r="D208" s="165"/>
      <c r="E208" s="165"/>
      <c r="F208" s="165"/>
      <c r="G208" s="165"/>
      <c r="H208" s="165"/>
      <c r="I208" s="165"/>
      <c r="J208" s="165"/>
      <c r="K208" s="165"/>
      <c r="L208" s="165"/>
    </row>
    <row r="209" spans="1:12" x14ac:dyDescent="0.45">
      <c r="A209" s="164" t="s">
        <v>170</v>
      </c>
      <c r="B209" s="164"/>
      <c r="C209" s="164"/>
      <c r="D209" s="164"/>
      <c r="E209" s="164"/>
      <c r="F209" s="164"/>
      <c r="G209" s="164"/>
      <c r="H209" s="164"/>
      <c r="I209" s="164"/>
      <c r="J209" s="164"/>
      <c r="K209" s="164"/>
      <c r="L209" s="164"/>
    </row>
    <row r="210" spans="1:12" x14ac:dyDescent="0.45">
      <c r="L210" s="4" t="str">
        <f>L7</f>
        <v>Exhibit 37, Schedule N</v>
      </c>
    </row>
    <row r="211" spans="1:12" x14ac:dyDescent="0.45">
      <c r="A211" s="1"/>
      <c r="B211" s="5"/>
      <c r="C211" s="5"/>
      <c r="D211" s="5"/>
      <c r="E211" s="5"/>
      <c r="F211" s="5"/>
      <c r="G211" s="5"/>
      <c r="H211" s="5"/>
      <c r="I211" s="5"/>
      <c r="J211" s="5"/>
      <c r="K211" s="1"/>
      <c r="L211" s="10"/>
    </row>
    <row r="212" spans="1:12" x14ac:dyDescent="0.45">
      <c r="A212" s="1"/>
      <c r="B212" s="92"/>
      <c r="C212" s="92"/>
      <c r="D212" s="92"/>
      <c r="E212" s="92"/>
      <c r="F212" s="92"/>
      <c r="G212" s="92"/>
      <c r="H212" s="92"/>
      <c r="I212" s="92"/>
      <c r="J212" s="92"/>
      <c r="K212" s="1"/>
      <c r="L212" s="4"/>
    </row>
    <row r="213" spans="1:12" x14ac:dyDescent="0.45">
      <c r="A213" s="92"/>
      <c r="B213" s="86"/>
      <c r="C213" s="86"/>
      <c r="D213" s="86"/>
      <c r="E213" s="86"/>
      <c r="F213" s="86"/>
      <c r="G213" s="86"/>
      <c r="H213" s="86"/>
      <c r="I213" s="86"/>
      <c r="J213" s="86"/>
      <c r="K213" s="92"/>
    </row>
    <row r="214" spans="1:12" x14ac:dyDescent="0.45">
      <c r="A214" s="1" t="s">
        <v>8</v>
      </c>
      <c r="B214" s="92"/>
      <c r="C214" s="1" t="s">
        <v>45</v>
      </c>
      <c r="D214" s="1"/>
      <c r="E214" s="1" t="s">
        <v>45</v>
      </c>
      <c r="F214" s="1"/>
      <c r="G214" s="1" t="s">
        <v>44</v>
      </c>
      <c r="H214" s="1"/>
      <c r="I214" s="1"/>
      <c r="J214" s="1"/>
      <c r="K214" s="1" t="s">
        <v>31</v>
      </c>
    </row>
    <row r="215" spans="1:12" x14ac:dyDescent="0.45">
      <c r="A215" s="2" t="s">
        <v>56</v>
      </c>
      <c r="B215" s="92"/>
      <c r="C215" s="2" t="s">
        <v>26</v>
      </c>
      <c r="D215" s="1"/>
      <c r="E215" s="2" t="s">
        <v>236</v>
      </c>
      <c r="F215" s="1"/>
      <c r="G215" s="2" t="s">
        <v>26</v>
      </c>
      <c r="H215" s="1"/>
      <c r="I215" s="2" t="s">
        <v>54</v>
      </c>
      <c r="J215" s="1"/>
      <c r="K215" s="2" t="s">
        <v>54</v>
      </c>
    </row>
    <row r="216" spans="1:12" x14ac:dyDescent="0.45">
      <c r="A216" s="92">
        <v>0</v>
      </c>
      <c r="B216" s="92"/>
      <c r="C216" s="94">
        <f>'Sch M2-M3'!P276</f>
        <v>37.299999999999997</v>
      </c>
      <c r="D216" s="95"/>
      <c r="E216" s="94">
        <f>+C216*(1+$E$239)</f>
        <v>37.299999999999997</v>
      </c>
      <c r="F216" s="95"/>
      <c r="G216" s="94">
        <f>'Sch M2-M3'!U276</f>
        <v>43.883449999999989</v>
      </c>
      <c r="H216" s="95"/>
      <c r="I216" s="94">
        <f>+G216-E216</f>
        <v>6.583449999999992</v>
      </c>
      <c r="J216" s="92"/>
      <c r="K216" s="104">
        <f>+I216/E216</f>
        <v>0.1764999999999998</v>
      </c>
    </row>
    <row r="217" spans="1:12" x14ac:dyDescent="0.45">
      <c r="A217" s="92">
        <v>1</v>
      </c>
      <c r="B217" s="86"/>
      <c r="C217" s="100">
        <f>ROUND($C$216+(A217*'Sch M2-M3'!$P$288),2)</f>
        <v>40.65</v>
      </c>
      <c r="D217" s="100"/>
      <c r="E217" s="96">
        <f>+C217*(1+$E$239)</f>
        <v>40.65</v>
      </c>
      <c r="F217" s="100"/>
      <c r="G217" s="100">
        <f>ROUND($G$216+(A217*'Sch M2-M3'!$U$288),2)</f>
        <v>47.82</v>
      </c>
      <c r="H217" s="100"/>
      <c r="I217" s="97">
        <f>+G217-E217</f>
        <v>7.1700000000000017</v>
      </c>
      <c r="J217" s="92"/>
      <c r="K217" s="104">
        <f>+I217/E217</f>
        <v>0.17638376383763843</v>
      </c>
    </row>
    <row r="218" spans="1:12" x14ac:dyDescent="0.45">
      <c r="A218" s="92">
        <v>2</v>
      </c>
      <c r="B218" s="86"/>
      <c r="C218" s="100">
        <f>ROUND($C$216+(A218*'Sch M2-M3'!$P$288),2)</f>
        <v>44</v>
      </c>
      <c r="D218" s="100"/>
      <c r="E218" s="96">
        <f t="shared" ref="E218:E237" si="25">+C218*(1+$E$239)</f>
        <v>44</v>
      </c>
      <c r="F218" s="100"/>
      <c r="G218" s="100">
        <f>ROUND($G$216+(A218*'Sch M2-M3'!$U$288),2)</f>
        <v>51.76</v>
      </c>
      <c r="H218" s="100"/>
      <c r="I218" s="97">
        <f t="shared" ref="I218:I237" si="26">+G218-E218</f>
        <v>7.759999999999998</v>
      </c>
      <c r="J218" s="92"/>
      <c r="K218" s="104">
        <f t="shared" ref="K218:K237" si="27">+I218/E218</f>
        <v>0.17636363636363631</v>
      </c>
    </row>
    <row r="219" spans="1:12" x14ac:dyDescent="0.45">
      <c r="A219" s="92">
        <v>3</v>
      </c>
      <c r="B219" s="86"/>
      <c r="C219" s="100">
        <f>ROUND($C$216+(A219*'Sch M2-M3'!$P$288),2)</f>
        <v>47.34</v>
      </c>
      <c r="D219" s="100"/>
      <c r="E219" s="96">
        <f t="shared" si="25"/>
        <v>47.34</v>
      </c>
      <c r="F219" s="100"/>
      <c r="G219" s="100">
        <f>ROUND($G$216+(A219*'Sch M2-M3'!$U$288),2)</f>
        <v>55.7</v>
      </c>
      <c r="H219" s="100"/>
      <c r="I219" s="97">
        <f t="shared" si="26"/>
        <v>8.36</v>
      </c>
      <c r="J219" s="92"/>
      <c r="K219" s="104">
        <f t="shared" si="27"/>
        <v>0.1765948457963667</v>
      </c>
    </row>
    <row r="220" spans="1:12" x14ac:dyDescent="0.45">
      <c r="A220" s="92">
        <v>4</v>
      </c>
      <c r="B220" s="86"/>
      <c r="C220" s="100">
        <f>ROUND($C$216+(A220*'Sch M2-M3'!$P$288),2)</f>
        <v>50.69</v>
      </c>
      <c r="D220" s="100"/>
      <c r="E220" s="96">
        <f t="shared" si="25"/>
        <v>50.69</v>
      </c>
      <c r="F220" s="100"/>
      <c r="G220" s="100">
        <f>ROUND($G$216+(A220*'Sch M2-M3'!$U$288),2)</f>
        <v>59.64</v>
      </c>
      <c r="H220" s="100"/>
      <c r="I220" s="97">
        <f t="shared" si="26"/>
        <v>8.9500000000000028</v>
      </c>
      <c r="J220" s="92"/>
      <c r="K220" s="104">
        <f t="shared" si="27"/>
        <v>0.17656342473860728</v>
      </c>
    </row>
    <row r="221" spans="1:12" x14ac:dyDescent="0.45">
      <c r="A221" s="92">
        <v>4.5</v>
      </c>
      <c r="B221" s="86"/>
      <c r="C221" s="100">
        <f>ROUND($C$216+(A221*'Sch M2-M3'!$P$288),2)</f>
        <v>52.37</v>
      </c>
      <c r="D221" s="100"/>
      <c r="E221" s="96">
        <f t="shared" si="25"/>
        <v>52.37</v>
      </c>
      <c r="F221" s="100"/>
      <c r="G221" s="100">
        <f>ROUND($G$216+(A221*'Sch M2-M3'!$U$288),2)</f>
        <v>61.61</v>
      </c>
      <c r="H221" s="100"/>
      <c r="I221" s="97">
        <f t="shared" si="26"/>
        <v>9.240000000000002</v>
      </c>
      <c r="J221" s="92"/>
      <c r="K221" s="104">
        <f t="shared" si="27"/>
        <v>0.17643689135000959</v>
      </c>
    </row>
    <row r="222" spans="1:12" x14ac:dyDescent="0.45">
      <c r="A222" s="92">
        <v>5</v>
      </c>
      <c r="B222" s="86"/>
      <c r="C222" s="100">
        <f>ROUND($C$216+(A222*'Sch M2-M3'!$P$288),2)</f>
        <v>54.04</v>
      </c>
      <c r="D222" s="100"/>
      <c r="E222" s="96">
        <f t="shared" si="25"/>
        <v>54.04</v>
      </c>
      <c r="F222" s="100"/>
      <c r="G222" s="100">
        <f>ROUND($G$216+(A222*'Sch M2-M3'!$U$288),2)</f>
        <v>63.58</v>
      </c>
      <c r="H222" s="100"/>
      <c r="I222" s="97">
        <f t="shared" si="26"/>
        <v>9.5399999999999991</v>
      </c>
      <c r="J222" s="92"/>
      <c r="K222" s="104">
        <f t="shared" si="27"/>
        <v>0.1765358993338268</v>
      </c>
    </row>
    <row r="223" spans="1:12" x14ac:dyDescent="0.45">
      <c r="A223" s="92">
        <v>6</v>
      </c>
      <c r="B223" s="86"/>
      <c r="C223" s="100">
        <f>ROUND($C$216+(A223*'Sch M2-M3'!$P$288),2)</f>
        <v>57.39</v>
      </c>
      <c r="D223" s="100"/>
      <c r="E223" s="96">
        <f t="shared" si="25"/>
        <v>57.39</v>
      </c>
      <c r="F223" s="100"/>
      <c r="G223" s="100">
        <f>ROUND($G$216+(A223*'Sch M2-M3'!$U$288),2)</f>
        <v>67.52</v>
      </c>
      <c r="H223" s="100"/>
      <c r="I223" s="97">
        <f t="shared" si="26"/>
        <v>10.129999999999995</v>
      </c>
      <c r="J223" s="92"/>
      <c r="K223" s="104">
        <f t="shared" si="27"/>
        <v>0.17651158738456169</v>
      </c>
    </row>
    <row r="224" spans="1:12" x14ac:dyDescent="0.45">
      <c r="A224" s="92">
        <v>7</v>
      </c>
      <c r="B224" s="86"/>
      <c r="C224" s="100">
        <f>ROUND($C$216+(A224*'Sch M2-M3'!$P$288),2)</f>
        <v>60.74</v>
      </c>
      <c r="D224" s="100"/>
      <c r="E224" s="96">
        <f t="shared" si="25"/>
        <v>60.74</v>
      </c>
      <c r="F224" s="100"/>
      <c r="G224" s="100">
        <f>ROUND($G$216+(A224*'Sch M2-M3'!$U$288),2)</f>
        <v>71.459999999999994</v>
      </c>
      <c r="H224" s="100"/>
      <c r="I224" s="97">
        <f t="shared" si="26"/>
        <v>10.719999999999992</v>
      </c>
      <c r="J224" s="92"/>
      <c r="K224" s="104">
        <f t="shared" si="27"/>
        <v>0.17648995719459978</v>
      </c>
    </row>
    <row r="225" spans="1:11" x14ac:dyDescent="0.45">
      <c r="A225" s="92">
        <v>8</v>
      </c>
      <c r="B225" s="86"/>
      <c r="C225" s="100">
        <f>ROUND($C$216+(A225*'Sch M2-M3'!$P$288),2)</f>
        <v>64.08</v>
      </c>
      <c r="D225" s="100"/>
      <c r="E225" s="96">
        <f t="shared" si="25"/>
        <v>64.08</v>
      </c>
      <c r="F225" s="100"/>
      <c r="G225" s="100">
        <f>ROUND($G$216+(A225*'Sch M2-M3'!$U$288),2)</f>
        <v>75.400000000000006</v>
      </c>
      <c r="H225" s="100"/>
      <c r="I225" s="97">
        <f t="shared" si="26"/>
        <v>11.320000000000007</v>
      </c>
      <c r="J225" s="92"/>
      <c r="K225" s="104">
        <f t="shared" si="27"/>
        <v>0.17665418227215993</v>
      </c>
    </row>
    <row r="226" spans="1:11" x14ac:dyDescent="0.45">
      <c r="A226" s="92">
        <v>9</v>
      </c>
      <c r="B226" s="86"/>
      <c r="C226" s="100">
        <f>ROUND($C$216+(A226*'Sch M2-M3'!$P$288),2)</f>
        <v>67.430000000000007</v>
      </c>
      <c r="D226" s="100"/>
      <c r="E226" s="96">
        <f t="shared" si="25"/>
        <v>67.430000000000007</v>
      </c>
      <c r="F226" s="100"/>
      <c r="G226" s="100">
        <f>ROUND($G$216+(A226*'Sch M2-M3'!$U$288),2)</f>
        <v>79.34</v>
      </c>
      <c r="H226" s="100"/>
      <c r="I226" s="97">
        <f t="shared" si="26"/>
        <v>11.909999999999997</v>
      </c>
      <c r="J226" s="92"/>
      <c r="K226" s="104">
        <f t="shared" si="27"/>
        <v>0.176627613821741</v>
      </c>
    </row>
    <row r="227" spans="1:11" x14ac:dyDescent="0.45">
      <c r="A227" s="92">
        <v>10</v>
      </c>
      <c r="B227" s="86"/>
      <c r="C227" s="100">
        <f>ROUND($C$216+(A227*'Sch M2-M3'!$P$288),2)</f>
        <v>70.78</v>
      </c>
      <c r="D227" s="100"/>
      <c r="E227" s="96">
        <f t="shared" si="25"/>
        <v>70.78</v>
      </c>
      <c r="F227" s="100"/>
      <c r="G227" s="100">
        <f>ROUND($G$216+(A227*'Sch M2-M3'!$U$288),2)</f>
        <v>83.28</v>
      </c>
      <c r="H227" s="100"/>
      <c r="I227" s="97">
        <f t="shared" si="26"/>
        <v>12.5</v>
      </c>
      <c r="J227" s="92"/>
      <c r="K227" s="104">
        <f t="shared" si="27"/>
        <v>0.17660356032777622</v>
      </c>
    </row>
    <row r="228" spans="1:11" x14ac:dyDescent="0.45">
      <c r="A228" s="92">
        <v>15</v>
      </c>
      <c r="B228" s="86"/>
      <c r="C228" s="100">
        <f>ROUND($C$216+(A228*'Sch M2-M3'!$P$288),2)</f>
        <v>87.52</v>
      </c>
      <c r="D228" s="100"/>
      <c r="E228" s="96">
        <f t="shared" si="25"/>
        <v>87.52</v>
      </c>
      <c r="F228" s="100"/>
      <c r="G228" s="100">
        <f>ROUND($G$216+(A228*'Sch M2-M3'!$U$288),2)</f>
        <v>102.98</v>
      </c>
      <c r="H228" s="100"/>
      <c r="I228" s="97">
        <f t="shared" si="26"/>
        <v>15.460000000000008</v>
      </c>
      <c r="J228" s="92"/>
      <c r="K228" s="104">
        <f t="shared" si="27"/>
        <v>0.17664533820840961</v>
      </c>
    </row>
    <row r="229" spans="1:11" x14ac:dyDescent="0.45">
      <c r="A229" s="92">
        <v>20</v>
      </c>
      <c r="B229" s="86"/>
      <c r="C229" s="100">
        <f>ROUND($C$216+(A229*'Sch M2-M3'!$P$288),2)</f>
        <v>104.26</v>
      </c>
      <c r="D229" s="100"/>
      <c r="E229" s="96">
        <f t="shared" si="25"/>
        <v>104.26</v>
      </c>
      <c r="F229" s="100"/>
      <c r="G229" s="100">
        <f>ROUND($G$216+(A229*'Sch M2-M3'!$U$288),2)</f>
        <v>122.68</v>
      </c>
      <c r="H229" s="100"/>
      <c r="I229" s="97">
        <f t="shared" si="26"/>
        <v>18.420000000000002</v>
      </c>
      <c r="J229" s="92"/>
      <c r="K229" s="104">
        <f t="shared" si="27"/>
        <v>0.17667370036447344</v>
      </c>
    </row>
    <row r="230" spans="1:11" x14ac:dyDescent="0.45">
      <c r="A230" s="92">
        <v>25</v>
      </c>
      <c r="B230" s="86"/>
      <c r="C230" s="100">
        <f>ROUND($C$216+(A230*'Sch M2-M3'!$P$288),2)</f>
        <v>121</v>
      </c>
      <c r="D230" s="100"/>
      <c r="E230" s="96">
        <f t="shared" si="25"/>
        <v>121</v>
      </c>
      <c r="F230" s="100"/>
      <c r="G230" s="100">
        <f>ROUND($G$216+(A230*'Sch M2-M3'!$U$288),2)</f>
        <v>142.38</v>
      </c>
      <c r="H230" s="100"/>
      <c r="I230" s="97">
        <f t="shared" si="26"/>
        <v>21.379999999999995</v>
      </c>
      <c r="J230" s="92"/>
      <c r="K230" s="104">
        <f t="shared" si="27"/>
        <v>0.17669421487603301</v>
      </c>
    </row>
    <row r="231" spans="1:11" x14ac:dyDescent="0.45">
      <c r="A231" s="92">
        <v>32.200000000000003</v>
      </c>
      <c r="B231" s="86"/>
      <c r="C231" s="100">
        <f>ROUND($C$216+(A231*'Sch M2-M3'!$P$288),2)</f>
        <v>145.11000000000001</v>
      </c>
      <c r="D231" s="100"/>
      <c r="E231" s="96">
        <f t="shared" si="25"/>
        <v>145.11000000000001</v>
      </c>
      <c r="F231" s="100"/>
      <c r="G231" s="100">
        <f>ROUND($G$216+(A231*'Sch M2-M3'!$U$288),2)</f>
        <v>170.75</v>
      </c>
      <c r="H231" s="100"/>
      <c r="I231" s="97">
        <f t="shared" si="26"/>
        <v>25.639999999999986</v>
      </c>
      <c r="J231" s="92"/>
      <c r="K231" s="104">
        <f t="shared" si="27"/>
        <v>0.17669354282957744</v>
      </c>
    </row>
    <row r="232" spans="1:11" x14ac:dyDescent="0.45">
      <c r="A232" s="92">
        <v>35</v>
      </c>
      <c r="B232" s="86"/>
      <c r="C232" s="100">
        <f>ROUND($C$216+(A232*'Sch M2-M3'!$P$288),2)</f>
        <v>154.47999999999999</v>
      </c>
      <c r="D232" s="100"/>
      <c r="E232" s="96">
        <f t="shared" si="25"/>
        <v>154.47999999999999</v>
      </c>
      <c r="F232" s="100"/>
      <c r="G232" s="100">
        <f>ROUND($G$216+(A232*'Sch M2-M3'!$U$288),2)</f>
        <v>181.78</v>
      </c>
      <c r="H232" s="100"/>
      <c r="I232" s="97">
        <f t="shared" si="26"/>
        <v>27.300000000000011</v>
      </c>
      <c r="J232" s="92"/>
      <c r="K232" s="104">
        <f t="shared" si="27"/>
        <v>0.17672190574831703</v>
      </c>
    </row>
    <row r="233" spans="1:11" x14ac:dyDescent="0.45">
      <c r="A233" s="92">
        <v>36</v>
      </c>
      <c r="B233" s="86"/>
      <c r="C233" s="100">
        <f>ROUND($C$216+(A233*'Sch M2-M3'!$P$288),2)</f>
        <v>157.83000000000001</v>
      </c>
      <c r="D233" s="100"/>
      <c r="E233" s="96">
        <f t="shared" si="25"/>
        <v>157.83000000000001</v>
      </c>
      <c r="F233" s="100"/>
      <c r="G233" s="100">
        <f>ROUND($G$216+(A233*'Sch M2-M3'!$U$288),2)</f>
        <v>185.72</v>
      </c>
      <c r="H233" s="100"/>
      <c r="I233" s="97">
        <f t="shared" si="26"/>
        <v>27.889999999999986</v>
      </c>
      <c r="J233" s="92"/>
      <c r="K233" s="104">
        <f t="shared" si="27"/>
        <v>0.17670911740480252</v>
      </c>
    </row>
    <row r="234" spans="1:11" x14ac:dyDescent="0.45">
      <c r="A234" s="92">
        <v>40</v>
      </c>
      <c r="B234" s="86"/>
      <c r="C234" s="100">
        <f>ROUND($C$216+(A234*'Sch M2-M3'!$P$288),2)</f>
        <v>171.22</v>
      </c>
      <c r="D234" s="100"/>
      <c r="E234" s="96">
        <f t="shared" si="25"/>
        <v>171.22</v>
      </c>
      <c r="F234" s="100"/>
      <c r="G234" s="100">
        <f>ROUND($G$216+(A234*'Sch M2-M3'!$U$288),2)</f>
        <v>201.48</v>
      </c>
      <c r="H234" s="100"/>
      <c r="I234" s="97">
        <f t="shared" si="26"/>
        <v>30.259999999999991</v>
      </c>
      <c r="J234" s="92"/>
      <c r="K234" s="104">
        <f t="shared" si="27"/>
        <v>0.17673169022310473</v>
      </c>
    </row>
    <row r="235" spans="1:11" x14ac:dyDescent="0.45">
      <c r="A235" s="92">
        <v>50</v>
      </c>
      <c r="B235" s="86"/>
      <c r="C235" s="100">
        <f>ROUND($C$216+(A235*'Sch M2-M3'!$P$288),2)</f>
        <v>204.7</v>
      </c>
      <c r="D235" s="100"/>
      <c r="E235" s="96">
        <f t="shared" si="25"/>
        <v>204.7</v>
      </c>
      <c r="F235" s="100"/>
      <c r="G235" s="100">
        <f>ROUND($G$216+(A235*'Sch M2-M3'!$U$288),2)</f>
        <v>240.89</v>
      </c>
      <c r="H235" s="100"/>
      <c r="I235" s="97">
        <f t="shared" si="26"/>
        <v>36.19</v>
      </c>
      <c r="J235" s="92"/>
      <c r="K235" s="104">
        <f t="shared" si="27"/>
        <v>0.17679531021006351</v>
      </c>
    </row>
    <row r="236" spans="1:11" x14ac:dyDescent="0.45">
      <c r="A236" s="92">
        <v>75</v>
      </c>
      <c r="B236" s="86"/>
      <c r="C236" s="100">
        <f>ROUND($C$216+(A236*'Sch M2-M3'!$P$288),2)</f>
        <v>288.39999999999998</v>
      </c>
      <c r="D236" s="100"/>
      <c r="E236" s="96">
        <f t="shared" si="25"/>
        <v>288.39999999999998</v>
      </c>
      <c r="F236" s="100"/>
      <c r="G236" s="100">
        <f>ROUND($G$216+(A236*'Sch M2-M3'!$U$288),2)</f>
        <v>339.39</v>
      </c>
      <c r="H236" s="100"/>
      <c r="I236" s="97">
        <f t="shared" si="26"/>
        <v>50.990000000000009</v>
      </c>
      <c r="J236" s="92"/>
      <c r="K236" s="104">
        <f t="shared" si="27"/>
        <v>0.17680305131761448</v>
      </c>
    </row>
    <row r="237" spans="1:11" x14ac:dyDescent="0.45">
      <c r="A237" s="92">
        <v>100</v>
      </c>
      <c r="B237" s="86"/>
      <c r="C237" s="100">
        <f>ROUND($C$216+(A237*'Sch M2-M3'!$P$288),2)</f>
        <v>372.1</v>
      </c>
      <c r="D237" s="100"/>
      <c r="E237" s="96">
        <f t="shared" si="25"/>
        <v>372.1</v>
      </c>
      <c r="F237" s="100"/>
      <c r="G237" s="100">
        <f>ROUND($G$216+(A237*'Sch M2-M3'!$U$288),2)</f>
        <v>437.89</v>
      </c>
      <c r="H237" s="100"/>
      <c r="I237" s="97">
        <f t="shared" si="26"/>
        <v>65.789999999999964</v>
      </c>
      <c r="J237" s="92"/>
      <c r="K237" s="104">
        <f t="shared" si="27"/>
        <v>0.17680730986293997</v>
      </c>
    </row>
    <row r="238" spans="1:11" x14ac:dyDescent="0.45">
      <c r="A238" s="92"/>
      <c r="B238" s="86"/>
      <c r="C238" s="86"/>
      <c r="D238" s="86"/>
      <c r="E238" s="86"/>
      <c r="F238" s="86"/>
      <c r="G238" s="86"/>
      <c r="H238" s="86"/>
      <c r="I238" s="86"/>
      <c r="J238" s="86"/>
      <c r="K238" s="92"/>
    </row>
    <row r="239" spans="1:11" x14ac:dyDescent="0.45">
      <c r="A239" s="92" t="s">
        <v>163</v>
      </c>
      <c r="B239" s="86"/>
      <c r="C239" s="96"/>
      <c r="D239" s="96"/>
      <c r="E239" s="118">
        <v>0</v>
      </c>
      <c r="F239" s="86"/>
      <c r="G239" s="86"/>
      <c r="H239" s="86"/>
      <c r="I239" s="86"/>
      <c r="J239" s="86"/>
      <c r="K239" s="92"/>
    </row>
    <row r="240" spans="1:11" x14ac:dyDescent="0.45">
      <c r="A240" s="92"/>
      <c r="B240" s="86"/>
      <c r="C240" s="86"/>
      <c r="D240" s="86"/>
      <c r="E240" s="86"/>
      <c r="F240" s="86"/>
      <c r="G240" s="86"/>
      <c r="H240" s="86"/>
      <c r="I240" s="86"/>
      <c r="J240" s="86"/>
      <c r="K240" s="92"/>
    </row>
    <row r="241" spans="1:12" x14ac:dyDescent="0.45">
      <c r="A241" s="92" t="s">
        <v>55</v>
      </c>
      <c r="B241" s="86"/>
      <c r="C241" s="86"/>
      <c r="D241" s="86"/>
      <c r="E241" s="86"/>
      <c r="F241" s="86"/>
      <c r="G241" s="86"/>
      <c r="H241" s="86"/>
      <c r="I241" s="86"/>
      <c r="J241" s="86"/>
      <c r="K241" s="92"/>
    </row>
    <row r="242" spans="1:12" x14ac:dyDescent="0.45">
      <c r="A242" s="92">
        <v>12</v>
      </c>
      <c r="B242" s="86"/>
      <c r="C242" s="100">
        <f>ROUND($C$216+(A242*'Sch M2-M3'!$P$288),2)</f>
        <v>77.48</v>
      </c>
      <c r="D242" s="102"/>
      <c r="E242" s="96">
        <f>+C242*(1+$E$239)</f>
        <v>77.48</v>
      </c>
      <c r="F242" s="102"/>
      <c r="G242" s="100">
        <f>ROUND($G$216+(A242*'Sch M2-M3'!$U$288),2)</f>
        <v>91.16</v>
      </c>
      <c r="H242" s="102"/>
      <c r="I242" s="97">
        <f t="shared" ref="I242" si="28">+G242-E242</f>
        <v>13.679999999999993</v>
      </c>
      <c r="J242" s="92"/>
      <c r="K242" s="104">
        <f t="shared" ref="K242" si="29">+I242/E242</f>
        <v>0.17656169334021674</v>
      </c>
    </row>
    <row r="245" spans="1:12" x14ac:dyDescent="0.45">
      <c r="A245" s="164" t="str">
        <f>A165</f>
        <v>Kentucky-American Water Company</v>
      </c>
      <c r="B245" s="164"/>
      <c r="C245" s="164"/>
      <c r="D245" s="164"/>
      <c r="E245" s="164"/>
      <c r="F245" s="164"/>
      <c r="G245" s="164"/>
      <c r="H245" s="164"/>
      <c r="I245" s="164"/>
      <c r="J245" s="164"/>
      <c r="K245" s="164"/>
      <c r="L245" s="164"/>
    </row>
    <row r="246" spans="1:12" x14ac:dyDescent="0.45">
      <c r="A246" s="164" t="str">
        <f>A166</f>
        <v>Case No. 2023-00191</v>
      </c>
      <c r="B246" s="164"/>
      <c r="C246" s="164"/>
      <c r="D246" s="164"/>
      <c r="E246" s="164"/>
      <c r="F246" s="164"/>
      <c r="G246" s="164"/>
      <c r="H246" s="164"/>
      <c r="I246" s="164"/>
      <c r="J246" s="164"/>
      <c r="K246" s="164"/>
      <c r="L246" s="164"/>
    </row>
    <row r="247" spans="1:12" x14ac:dyDescent="0.45">
      <c r="A247" s="164" t="str">
        <f>A167</f>
        <v>Forecast Year (12 Months Ending January 31, 2025)</v>
      </c>
      <c r="B247" s="164"/>
      <c r="C247" s="164"/>
      <c r="D247" s="164"/>
      <c r="E247" s="164"/>
      <c r="F247" s="164"/>
      <c r="G247" s="164"/>
      <c r="H247" s="164"/>
      <c r="I247" s="164"/>
      <c r="J247" s="164"/>
      <c r="K247" s="164"/>
      <c r="L247" s="164"/>
    </row>
    <row r="248" spans="1:12" ht="30.4" customHeight="1" x14ac:dyDescent="0.45">
      <c r="A248" s="165" t="s">
        <v>86</v>
      </c>
      <c r="B248" s="165"/>
      <c r="C248" s="165"/>
      <c r="D248" s="165"/>
      <c r="E248" s="165"/>
      <c r="F248" s="165"/>
      <c r="G248" s="165"/>
      <c r="H248" s="165"/>
      <c r="I248" s="165"/>
      <c r="J248" s="165"/>
      <c r="K248" s="165"/>
      <c r="L248" s="165"/>
    </row>
    <row r="249" spans="1:12" x14ac:dyDescent="0.45">
      <c r="A249" s="164" t="s">
        <v>171</v>
      </c>
      <c r="B249" s="164"/>
      <c r="C249" s="164"/>
      <c r="D249" s="164"/>
      <c r="E249" s="164"/>
      <c r="F249" s="164"/>
      <c r="G249" s="164"/>
      <c r="H249" s="164"/>
      <c r="I249" s="164"/>
      <c r="J249" s="164"/>
      <c r="K249" s="164"/>
      <c r="L249" s="164"/>
    </row>
    <row r="250" spans="1:12" x14ac:dyDescent="0.45">
      <c r="L250" s="4" t="str">
        <f>L7</f>
        <v>Exhibit 37, Schedule N</v>
      </c>
    </row>
    <row r="251" spans="1:12" x14ac:dyDescent="0.45">
      <c r="A251" s="1"/>
      <c r="K251" s="1"/>
      <c r="L251" s="10"/>
    </row>
    <row r="252" spans="1:12" x14ac:dyDescent="0.45">
      <c r="A252" s="1"/>
      <c r="B252" s="5"/>
      <c r="C252" s="5"/>
      <c r="D252" s="5"/>
      <c r="E252" s="5"/>
      <c r="F252" s="5"/>
      <c r="G252" s="5"/>
      <c r="H252" s="5"/>
      <c r="I252" s="5"/>
      <c r="J252" s="5"/>
      <c r="K252" s="1"/>
      <c r="L252" s="4"/>
    </row>
    <row r="253" spans="1:12" x14ac:dyDescent="0.45">
      <c r="A253" s="92"/>
      <c r="B253" s="86"/>
      <c r="C253" s="86"/>
      <c r="D253" s="86"/>
      <c r="E253" s="86"/>
      <c r="F253" s="86"/>
      <c r="G253" s="86"/>
      <c r="H253" s="86"/>
      <c r="I253" s="86"/>
      <c r="J253" s="86"/>
      <c r="K253" s="92"/>
    </row>
    <row r="254" spans="1:12" x14ac:dyDescent="0.45">
      <c r="A254" s="1" t="s">
        <v>8</v>
      </c>
      <c r="B254" s="92"/>
      <c r="C254" s="1" t="s">
        <v>45</v>
      </c>
      <c r="D254" s="1"/>
      <c r="E254" s="1" t="s">
        <v>45</v>
      </c>
      <c r="F254" s="1"/>
      <c r="G254" s="1" t="s">
        <v>44</v>
      </c>
      <c r="H254" s="1"/>
      <c r="I254" s="1"/>
      <c r="J254" s="1"/>
      <c r="K254" s="1" t="s">
        <v>31</v>
      </c>
    </row>
    <row r="255" spans="1:12" x14ac:dyDescent="0.45">
      <c r="A255" s="2" t="s">
        <v>56</v>
      </c>
      <c r="B255" s="92"/>
      <c r="C255" s="2" t="s">
        <v>26</v>
      </c>
      <c r="D255" s="1"/>
      <c r="E255" s="2" t="s">
        <v>236</v>
      </c>
      <c r="F255" s="1"/>
      <c r="G255" s="2" t="s">
        <v>26</v>
      </c>
      <c r="H255" s="1"/>
      <c r="I255" s="2" t="s">
        <v>54</v>
      </c>
      <c r="J255" s="1"/>
      <c r="K255" s="2" t="s">
        <v>54</v>
      </c>
    </row>
    <row r="256" spans="1:12" x14ac:dyDescent="0.45">
      <c r="A256" s="83" t="s">
        <v>5</v>
      </c>
      <c r="B256" s="92"/>
      <c r="C256" s="94"/>
      <c r="D256" s="95"/>
      <c r="E256" s="94"/>
      <c r="F256" s="95"/>
      <c r="G256" s="94"/>
      <c r="H256" s="95"/>
      <c r="I256" s="103"/>
      <c r="J256" s="92"/>
      <c r="K256" s="107"/>
    </row>
    <row r="257" spans="1:11" x14ac:dyDescent="0.45">
      <c r="A257" s="13" t="s">
        <v>65</v>
      </c>
      <c r="B257" s="86"/>
      <c r="C257" s="94">
        <f>'Sch M2-M3'!P316</f>
        <v>76.569999999999993</v>
      </c>
      <c r="D257" s="100"/>
      <c r="E257" s="94">
        <f>+C257*(1+$E$271)</f>
        <v>76.569999999999993</v>
      </c>
      <c r="F257" s="100"/>
      <c r="G257" s="94">
        <f>'Sch M2-M3'!U316</f>
        <v>90.084604999999982</v>
      </c>
      <c r="H257" s="100"/>
      <c r="I257" s="94">
        <f>+G257-E257</f>
        <v>13.514604999999989</v>
      </c>
      <c r="J257" s="92"/>
      <c r="K257" s="104">
        <f>+I257/E257</f>
        <v>0.17649999999999988</v>
      </c>
    </row>
    <row r="258" spans="1:11" x14ac:dyDescent="0.45">
      <c r="A258" s="13" t="s">
        <v>6</v>
      </c>
      <c r="B258" s="86"/>
      <c r="C258" s="100">
        <f>'Sch M2-M3'!P317</f>
        <v>8.76</v>
      </c>
      <c r="D258" s="100"/>
      <c r="E258" s="96">
        <f>+C258*(1+$E$271)</f>
        <v>8.76</v>
      </c>
      <c r="F258" s="100"/>
      <c r="G258" s="100">
        <f>'Sch M2-M3'!U317</f>
        <v>10.306139999999999</v>
      </c>
      <c r="H258" s="100"/>
      <c r="I258" s="97">
        <f>+G258-E258</f>
        <v>1.5461399999999994</v>
      </c>
      <c r="J258" s="92"/>
      <c r="K258" s="104">
        <f>+I258/E258</f>
        <v>0.17649999999999993</v>
      </c>
    </row>
    <row r="259" spans="1:11" x14ac:dyDescent="0.45">
      <c r="A259" s="13" t="s">
        <v>7</v>
      </c>
      <c r="B259" s="86"/>
      <c r="C259" s="100">
        <f>'Sch M2-M3'!P318</f>
        <v>35.28</v>
      </c>
      <c r="D259" s="100"/>
      <c r="E259" s="96">
        <f t="shared" ref="E259:E265" si="30">+C259*(1+$E$271)</f>
        <v>35.28</v>
      </c>
      <c r="F259" s="100"/>
      <c r="G259" s="100">
        <f>'Sch M2-M3'!U318</f>
        <v>41.506919999999994</v>
      </c>
      <c r="H259" s="100"/>
      <c r="I259" s="97">
        <f t="shared" ref="I259:I265" si="31">+G259-E259</f>
        <v>6.2269199999999927</v>
      </c>
      <c r="J259" s="92"/>
      <c r="K259" s="104">
        <f t="shared" ref="K259:K265" si="32">+I259/E259</f>
        <v>0.1764999999999998</v>
      </c>
    </row>
    <row r="260" spans="1:11" x14ac:dyDescent="0.45">
      <c r="A260" s="13" t="s">
        <v>35</v>
      </c>
      <c r="B260" s="86"/>
      <c r="C260" s="100">
        <f>'Sch M2-M3'!P319</f>
        <v>79.37</v>
      </c>
      <c r="D260" s="100"/>
      <c r="E260" s="96">
        <f t="shared" si="30"/>
        <v>79.37</v>
      </c>
      <c r="F260" s="100"/>
      <c r="G260" s="100">
        <f>'Sch M2-M3'!U319</f>
        <v>93.378805</v>
      </c>
      <c r="H260" s="100"/>
      <c r="I260" s="97">
        <f t="shared" si="31"/>
        <v>14.008804999999995</v>
      </c>
      <c r="J260" s="92"/>
      <c r="K260" s="104">
        <f t="shared" si="32"/>
        <v>0.17649999999999993</v>
      </c>
    </row>
    <row r="261" spans="1:11" x14ac:dyDescent="0.45">
      <c r="A261" s="13" t="s">
        <v>36</v>
      </c>
      <c r="B261" s="86"/>
      <c r="C261" s="100">
        <f>'Sch M2-M3'!P320</f>
        <v>141.09</v>
      </c>
      <c r="D261" s="100"/>
      <c r="E261" s="96">
        <f t="shared" si="30"/>
        <v>141.09</v>
      </c>
      <c r="F261" s="100"/>
      <c r="G261" s="100">
        <f>'Sch M2-M3'!U320</f>
        <v>165.99238499999998</v>
      </c>
      <c r="H261" s="100"/>
      <c r="I261" s="97">
        <f t="shared" si="31"/>
        <v>24.902384999999981</v>
      </c>
      <c r="J261" s="92"/>
      <c r="K261" s="104">
        <f t="shared" si="32"/>
        <v>0.17649999999999985</v>
      </c>
    </row>
    <row r="262" spans="1:11" x14ac:dyDescent="0.45">
      <c r="A262" s="13" t="s">
        <v>37</v>
      </c>
      <c r="B262" s="86"/>
      <c r="C262" s="100">
        <f>'Sch M2-M3'!P321</f>
        <v>220.51</v>
      </c>
      <c r="D262" s="100"/>
      <c r="E262" s="96">
        <f t="shared" si="30"/>
        <v>220.51</v>
      </c>
      <c r="F262" s="100"/>
      <c r="G262" s="100">
        <f>'Sch M2-M3'!U321</f>
        <v>259.43001499999997</v>
      </c>
      <c r="H262" s="100"/>
      <c r="I262" s="97">
        <f t="shared" si="31"/>
        <v>38.920014999999978</v>
      </c>
      <c r="J262" s="92"/>
      <c r="K262" s="104">
        <f t="shared" si="32"/>
        <v>0.17649999999999991</v>
      </c>
    </row>
    <row r="263" spans="1:11" x14ac:dyDescent="0.45">
      <c r="A263" s="13" t="s">
        <v>38</v>
      </c>
      <c r="B263" s="86"/>
      <c r="C263" s="100">
        <f>'Sch M2-M3'!P322</f>
        <v>330.03</v>
      </c>
      <c r="D263" s="100"/>
      <c r="E263" s="96">
        <f t="shared" si="30"/>
        <v>330.03</v>
      </c>
      <c r="F263" s="100"/>
      <c r="G263" s="100">
        <f>'Sch M2-M3'!U322</f>
        <v>388.28029499999991</v>
      </c>
      <c r="H263" s="100"/>
      <c r="I263" s="97">
        <f t="shared" si="31"/>
        <v>58.250294999999937</v>
      </c>
      <c r="J263" s="92"/>
      <c r="K263" s="104">
        <f t="shared" si="32"/>
        <v>0.17649999999999982</v>
      </c>
    </row>
    <row r="264" spans="1:11" x14ac:dyDescent="0.45">
      <c r="A264" s="13" t="s">
        <v>61</v>
      </c>
      <c r="B264" s="86"/>
      <c r="C264" s="100">
        <f>'Sch M2-M3'!P323</f>
        <v>317.98</v>
      </c>
      <c r="D264" s="100"/>
      <c r="E264" s="96">
        <f t="shared" si="30"/>
        <v>317.98</v>
      </c>
      <c r="F264" s="100"/>
      <c r="G264" s="100">
        <f>'Sch M2-M3'!U323</f>
        <v>374.10346999999996</v>
      </c>
      <c r="H264" s="100"/>
      <c r="I264" s="97">
        <f t="shared" si="31"/>
        <v>56.123469999999941</v>
      </c>
      <c r="J264" s="92"/>
      <c r="K264" s="104">
        <f t="shared" si="32"/>
        <v>0.1764999999999998</v>
      </c>
    </row>
    <row r="265" spans="1:11" x14ac:dyDescent="0.45">
      <c r="A265" s="13" t="s">
        <v>62</v>
      </c>
      <c r="B265" s="86"/>
      <c r="C265" s="100">
        <f>'Sch M2-M3'!P324</f>
        <v>564.63</v>
      </c>
      <c r="D265" s="100"/>
      <c r="E265" s="96">
        <f t="shared" si="30"/>
        <v>564.63</v>
      </c>
      <c r="F265" s="100"/>
      <c r="G265" s="100">
        <f>'Sch M2-M3'!U324</f>
        <v>664.28719499999988</v>
      </c>
      <c r="H265" s="100"/>
      <c r="I265" s="97">
        <f t="shared" si="31"/>
        <v>99.657194999999888</v>
      </c>
      <c r="J265" s="92"/>
      <c r="K265" s="104">
        <f t="shared" si="32"/>
        <v>0.1764999999999998</v>
      </c>
    </row>
    <row r="266" spans="1:11" x14ac:dyDescent="0.45">
      <c r="A266" s="92"/>
      <c r="B266" s="86"/>
      <c r="C266" s="100"/>
      <c r="D266" s="100"/>
      <c r="E266" s="100"/>
      <c r="F266" s="100"/>
      <c r="G266" s="100"/>
      <c r="H266" s="100"/>
      <c r="I266" s="101"/>
      <c r="J266" s="92"/>
      <c r="K266" s="107"/>
    </row>
    <row r="267" spans="1:11" x14ac:dyDescent="0.45">
      <c r="A267" s="83" t="s">
        <v>64</v>
      </c>
      <c r="B267" s="86"/>
      <c r="C267" s="100"/>
      <c r="D267" s="100"/>
      <c r="E267" s="100"/>
      <c r="F267" s="100"/>
      <c r="G267" s="100"/>
      <c r="H267" s="100"/>
      <c r="I267" s="101"/>
      <c r="J267" s="92"/>
      <c r="K267" s="107"/>
    </row>
    <row r="268" spans="1:11" x14ac:dyDescent="0.45">
      <c r="A268" s="13" t="s">
        <v>66</v>
      </c>
      <c r="B268" s="86"/>
      <c r="C268" s="94">
        <f>'Sch M2-M3'!P341</f>
        <v>48.7</v>
      </c>
      <c r="D268" s="100"/>
      <c r="E268" s="94">
        <f>+C268*(1+$E$271)</f>
        <v>48.7</v>
      </c>
      <c r="F268" s="100"/>
      <c r="G268" s="94">
        <f>'Sch M2-M3'!U341</f>
        <v>57.295549999999999</v>
      </c>
      <c r="H268" s="100"/>
      <c r="I268" s="94">
        <f>+G268-E268</f>
        <v>8.5955499999999958</v>
      </c>
      <c r="J268" s="92"/>
      <c r="K268" s="104">
        <f>+I268/E268</f>
        <v>0.17649999999999991</v>
      </c>
    </row>
    <row r="269" spans="1:11" x14ac:dyDescent="0.45">
      <c r="A269" s="13"/>
      <c r="B269" s="86"/>
      <c r="C269" s="100"/>
      <c r="D269" s="100"/>
      <c r="E269" s="100"/>
      <c r="F269" s="100"/>
      <c r="G269" s="100"/>
      <c r="H269" s="100"/>
      <c r="I269" s="101"/>
      <c r="J269" s="92"/>
      <c r="K269" s="107"/>
    </row>
    <row r="270" spans="1:11" x14ac:dyDescent="0.45">
      <c r="A270" s="108"/>
      <c r="B270" s="86"/>
      <c r="C270" s="100"/>
      <c r="D270" s="100"/>
      <c r="E270" s="100"/>
      <c r="F270" s="100"/>
      <c r="G270" s="100"/>
      <c r="H270" s="100"/>
      <c r="I270" s="101"/>
      <c r="J270" s="92"/>
      <c r="K270" s="107"/>
    </row>
    <row r="271" spans="1:11" x14ac:dyDescent="0.45">
      <c r="A271" s="92" t="s">
        <v>163</v>
      </c>
      <c r="B271" s="86"/>
      <c r="C271" s="96"/>
      <c r="D271" s="96"/>
      <c r="E271" s="118">
        <v>0</v>
      </c>
      <c r="F271" s="100"/>
      <c r="G271" s="100"/>
      <c r="H271" s="100"/>
      <c r="I271" s="101"/>
      <c r="J271" s="92"/>
      <c r="K271" s="107"/>
    </row>
    <row r="272" spans="1:11" x14ac:dyDescent="0.45">
      <c r="A272" s="92"/>
      <c r="B272" s="86"/>
      <c r="C272" s="100"/>
      <c r="D272" s="100"/>
      <c r="E272" s="100"/>
      <c r="F272" s="100"/>
      <c r="G272" s="100"/>
      <c r="H272" s="100"/>
      <c r="I272" s="101"/>
      <c r="J272" s="92"/>
      <c r="K272" s="107"/>
    </row>
    <row r="273" spans="1:11" x14ac:dyDescent="0.45">
      <c r="A273" s="92"/>
      <c r="B273" s="86"/>
      <c r="C273" s="100"/>
      <c r="D273" s="100"/>
      <c r="E273" s="100"/>
      <c r="F273" s="100"/>
      <c r="G273" s="100"/>
      <c r="H273" s="100"/>
      <c r="I273" s="101"/>
      <c r="J273" s="92"/>
      <c r="K273" s="107"/>
    </row>
    <row r="274" spans="1:11" x14ac:dyDescent="0.45">
      <c r="A274" s="92"/>
      <c r="B274" s="86"/>
      <c r="C274" s="100"/>
      <c r="D274" s="100"/>
      <c r="E274" s="100"/>
      <c r="F274" s="100"/>
      <c r="G274" s="100"/>
      <c r="H274" s="100"/>
      <c r="I274" s="101"/>
      <c r="J274" s="92"/>
      <c r="K274" s="107"/>
    </row>
    <row r="275" spans="1:11" x14ac:dyDescent="0.45">
      <c r="A275" s="92"/>
      <c r="B275" s="86"/>
      <c r="C275" s="100"/>
      <c r="D275" s="100"/>
      <c r="E275" s="100"/>
      <c r="F275" s="100"/>
      <c r="G275" s="100"/>
      <c r="H275" s="100"/>
      <c r="I275" s="101"/>
      <c r="J275" s="92"/>
      <c r="K275" s="107"/>
    </row>
    <row r="276" spans="1:11" x14ac:dyDescent="0.45">
      <c r="A276" s="92"/>
      <c r="B276" s="86"/>
      <c r="C276" s="100"/>
      <c r="D276" s="100"/>
      <c r="E276" s="100"/>
      <c r="F276" s="100"/>
      <c r="G276" s="100"/>
      <c r="H276" s="100"/>
      <c r="I276" s="101"/>
      <c r="J276" s="92"/>
      <c r="K276" s="107"/>
    </row>
    <row r="277" spans="1:11" x14ac:dyDescent="0.45">
      <c r="A277" s="92"/>
      <c r="B277" s="86"/>
      <c r="C277" s="100"/>
      <c r="D277" s="100"/>
      <c r="E277" s="100"/>
      <c r="F277" s="100"/>
      <c r="G277" s="100"/>
      <c r="H277" s="100"/>
      <c r="I277" s="101"/>
      <c r="J277" s="92"/>
      <c r="K277" s="107"/>
    </row>
    <row r="278" spans="1:11" x14ac:dyDescent="0.45">
      <c r="A278" s="92"/>
      <c r="B278" s="86"/>
      <c r="C278" s="86"/>
      <c r="D278" s="86"/>
      <c r="E278" s="86"/>
      <c r="F278" s="86"/>
      <c r="G278" s="86"/>
      <c r="H278" s="86"/>
      <c r="I278" s="86"/>
      <c r="J278" s="86"/>
      <c r="K278" s="92"/>
    </row>
    <row r="279" spans="1:11" x14ac:dyDescent="0.45">
      <c r="A279" s="92"/>
      <c r="B279" s="86"/>
      <c r="C279" s="86"/>
      <c r="D279" s="86"/>
      <c r="E279" s="86"/>
      <c r="F279" s="86"/>
      <c r="G279" s="86"/>
      <c r="H279" s="86"/>
      <c r="I279" s="86"/>
      <c r="J279" s="86"/>
      <c r="K279" s="92"/>
    </row>
    <row r="280" spans="1:11" x14ac:dyDescent="0.45">
      <c r="A280" s="92"/>
      <c r="B280" s="86"/>
      <c r="C280" s="102"/>
      <c r="D280" s="102"/>
      <c r="E280" s="102"/>
      <c r="F280" s="102"/>
      <c r="G280" s="102"/>
      <c r="H280" s="102"/>
      <c r="I280" s="103"/>
      <c r="J280" s="92"/>
      <c r="K280" s="107"/>
    </row>
  </sheetData>
  <mergeCells count="35">
    <mergeCell ref="A5:K5"/>
    <mergeCell ref="A2:L2"/>
    <mergeCell ref="A3:L3"/>
    <mergeCell ref="A4:L4"/>
    <mergeCell ref="A6:L6"/>
    <mergeCell ref="A42:L42"/>
    <mergeCell ref="A43:L43"/>
    <mergeCell ref="A44:L44"/>
    <mergeCell ref="A45:L45"/>
    <mergeCell ref="A46:L46"/>
    <mergeCell ref="A84:L84"/>
    <mergeCell ref="A126:L126"/>
    <mergeCell ref="A127:L127"/>
    <mergeCell ref="A128:L128"/>
    <mergeCell ref="A129:L129"/>
    <mergeCell ref="A85:L85"/>
    <mergeCell ref="A86:L86"/>
    <mergeCell ref="A87:L87"/>
    <mergeCell ref="A88:L88"/>
    <mergeCell ref="A125:L125"/>
    <mergeCell ref="A165:L165"/>
    <mergeCell ref="A166:L166"/>
    <mergeCell ref="A167:L167"/>
    <mergeCell ref="A168:L168"/>
    <mergeCell ref="A169:L169"/>
    <mergeCell ref="A245:L245"/>
    <mergeCell ref="A246:L246"/>
    <mergeCell ref="A247:L247"/>
    <mergeCell ref="A248:L248"/>
    <mergeCell ref="A249:L249"/>
    <mergeCell ref="A205:L205"/>
    <mergeCell ref="A206:L206"/>
    <mergeCell ref="A207:L207"/>
    <mergeCell ref="A208:L208"/>
    <mergeCell ref="A209:L209"/>
  </mergeCells>
  <printOptions horizontalCentered="1"/>
  <pageMargins left="0.75" right="0.75" top="0.75" bottom="0.75" header="0.3" footer="0.3"/>
  <pageSetup scale="82" orientation="portrait" r:id="rId1"/>
  <rowBreaks count="6" manualBreakCount="6">
    <brk id="40" max="9" man="1"/>
    <brk id="82" max="9" man="1"/>
    <brk id="123" max="9" man="1"/>
    <brk id="163" max="9" man="1"/>
    <brk id="203" max="11" man="1"/>
    <brk id="243" max="9" man="1"/>
  </row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WorkflowStatus xmlns="3527bf6f-27a6-47d3-aafb-dbf13eba6bbe" xsi:nil="true"/>
    <Internal_x0020_Due_x0020_Date xmlns="00c1cf47-8665-4c73-8994-ff3a5e26da0f" xsi:nil="true"/>
    <Final_x0020_Due_x0020_Date xmlns="00c1cf47-8665-4c73-8994-ff3a5e26da0f" xsi:nil="true"/>
    <Docket_x0020_Number xmlns="00c1cf47-8665-4c73-8994-ff3a5e26da0f">GRC - 2023-00191</Docket_x0020_Number>
    <Preparer xmlns="00c1cf47-8665-4c73-8994-ff3a5e26da0f" xsi:nil="true"/>
    <Document_x0020_Type xmlns="00c1cf47-8665-4c73-8994-ff3a5e26da0f">Discovery</Document_x0020_Type>
    <_ip_UnifiedCompliancePolicyProperties xmlns="http://schemas.microsoft.com/sharepoint/v3" xsi:nil="true"/>
    <Series xmlns="3527BF6F-27A6-47D3-AAFB-DBF13EBA6BBE" xsi:nil="true"/>
    <Workflow xmlns="3527bf6f-27a6-47d3-aafb-dbf13eba6bbe">
      <Url xsi:nil="true"/>
      <Description xsi:nil="true"/>
    </Workflow>
    <Party xmlns="00c1cf47-8665-4c73-8994-ff3a5e26da0f" xsi:nil="true"/>
    <Responsible_x0020_Witness xmlns="00c1cf47-8665-4c73-8994-ff3a5e26da0f" xsi:nil="true"/>
    <_dlc_DocId xmlns="00c1cf47-8665-4c73-8994-ff3a5e26da0f">4QVSNHSJP2QR-262969112-5303</_dlc_DocId>
    <_dlc_DocIdUrl xmlns="00c1cf47-8665-4c73-8994-ff3a5e26da0f">
      <Url>https://amwater.sharepoint.com/sites/sers/KY/_layouts/15/DocIdRedir.aspx?ID=4QVSNHSJP2QR-262969112-5303</Url>
      <Description>4QVSNHSJP2QR-262969112-5303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0505336475743B548BB3731556CC4" ma:contentTypeVersion="6" ma:contentTypeDescription="Create a new document." ma:contentTypeScope="" ma:versionID="80b22b2e6efc1f9437873181a239db22">
  <xsd:schema xmlns:xsd="http://www.w3.org/2001/XMLSchema" xmlns:xs="http://www.w3.org/2001/XMLSchema" xmlns:p="http://schemas.microsoft.com/office/2006/metadata/properties" xmlns:ns1="http://schemas.microsoft.com/sharepoint/v3" xmlns:ns2="3527BF6F-27A6-47D3-AAFB-DBF13EBA6BBE" xmlns:ns3="00c1cf47-8665-4c73-8994-ff3a5e26da0f" xmlns:ns5="7312d0bd-5bb3-4d44-9c84-f993550bda7e" xmlns:ns6="3527bf6f-27a6-47d3-aafb-dbf13eba6bbe" targetNamespace="http://schemas.microsoft.com/office/2006/metadata/properties" ma:root="true" ma:fieldsID="57f6b5888668914187800847b2c332f1" ns1:_="" ns2:_="" ns3:_="" ns5:_="" ns6:_="">
    <xsd:import namespace="http://schemas.microsoft.com/sharepoint/v3"/>
    <xsd:import namespace="3527BF6F-27A6-47D3-AAFB-DBF13EBA6BBE"/>
    <xsd:import namespace="00c1cf47-8665-4c73-8994-ff3a5e26da0f"/>
    <xsd:import namespace="7312d0bd-5bb3-4d44-9c84-f993550bda7e"/>
    <xsd:import namespace="3527bf6f-27a6-47d3-aafb-dbf13eba6b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SharedWithUsers" minOccurs="0"/>
                <xsd:element ref="ns5:SharedWithDetails" minOccurs="0"/>
                <xsd:element ref="ns1:_ip_UnifiedCompliancePolicyProperties" minOccurs="0"/>
                <xsd:element ref="ns1:_ip_UnifiedCompliancePolicyUIAction" minOccurs="0"/>
                <xsd:element ref="ns6:MediaServiceAutoKeyPoints" minOccurs="0"/>
                <xsd:element ref="ns6:MediaServiceKeyPoints" minOccurs="0"/>
                <xsd:element ref="ns6:Workflow" minOccurs="0"/>
                <xsd:element ref="ns6:WorkflowStatus" minOccurs="0"/>
                <xsd:element ref="ns3:_dlc_DocId" minOccurs="0"/>
                <xsd:element ref="ns3:_dlc_DocIdUrl" minOccurs="0"/>
                <xsd:element ref="ns3:_dlc_DocIdPersistId" minOccurs="0"/>
                <xsd:element ref="ns6:MediaServiceObjectDetectorVersions" minOccurs="0"/>
                <xsd:element ref="ns6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FUCG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SC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  <xsd:element name="_dlc_DocId" ma:index="2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Workflow" ma:index="26" nillable="true" ma:displayName="Workflow" ma:internalName="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flowStatus" ma:index="27" nillable="true" ma:displayName="WorkflowStatus" ma:internalName="WorkflowStatus">
      <xsd:simpleType>
        <xsd:restriction base="dms:Text"/>
      </xsd:simpleType>
    </xsd:element>
    <xsd:element name="MediaServiceObjectDetectorVersions" ma:index="3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5BCD8AC-0D2F-4F78-9219-16D51D3C76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D1CC80-D27D-4F7D-A680-82EA879644FD}">
  <ds:schemaRefs>
    <ds:schemaRef ds:uri="http://schemas.microsoft.com/office/2006/documentManagement/types"/>
    <ds:schemaRef ds:uri="3527BF6F-27A6-47D3-AAFB-DBF13EBA6BBE"/>
    <ds:schemaRef ds:uri="http://purl.org/dc/elements/1.1/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purl.org/dc/terms/"/>
    <ds:schemaRef ds:uri="3527bf6f-27a6-47d3-aafb-dbf13eba6bbe"/>
    <ds:schemaRef ds:uri="7312d0bd-5bb3-4d44-9c84-f993550bda7e"/>
    <ds:schemaRef ds:uri="http://purl.org/dc/dcmitype/"/>
    <ds:schemaRef ds:uri="00c1cf47-8665-4c73-8994-ff3a5e26da0f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588D1CC-29BA-462F-9310-1DC97E784A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527BF6F-27A6-47D3-AAFB-DBF13EBA6BBE"/>
    <ds:schemaRef ds:uri="00c1cf47-8665-4c73-8994-ff3a5e26da0f"/>
    <ds:schemaRef ds:uri="7312d0bd-5bb3-4d44-9c84-f993550bda7e"/>
    <ds:schemaRef ds:uri="3527bf6f-27a6-47d3-aafb-dbf13eba6b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4261BE0-0280-4642-8479-84A8DE88942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KAWC Rates</vt:lpstr>
      <vt:lpstr>Sch M1</vt:lpstr>
      <vt:lpstr>Sch M2-M3</vt:lpstr>
      <vt:lpstr>Sch N</vt:lpstr>
      <vt:lpstr>'KAWC Rates'!Print_Area</vt:lpstr>
      <vt:lpstr>'Sch M1'!Print_Area</vt:lpstr>
      <vt:lpstr>'Sch M2-M3'!Print_Area</vt:lpstr>
      <vt:lpstr>'Sch N'!Print_Area</vt:lpstr>
      <vt:lpstr>'KAWC Rates'!Print_Titles</vt:lpstr>
    </vt:vector>
  </TitlesOfParts>
  <Company>MAWC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Grubb</dc:creator>
  <cp:lastModifiedBy>Jeffrey Newcomb</cp:lastModifiedBy>
  <cp:lastPrinted>2024-06-12T19:14:26Z</cp:lastPrinted>
  <dcterms:created xsi:type="dcterms:W3CDTF">2000-12-08T14:45:46Z</dcterms:created>
  <dcterms:modified xsi:type="dcterms:W3CDTF">2024-06-14T12:57:29Z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846c87f6-c46e-48eb-b7ce-d3a4a7d30611_Enabled">
    <vt:lpwstr>true</vt:lpwstr>
  </property>
  <property fmtid="{D5CDD505-2E9C-101B-9397-08002B2CF9AE}" pid="5" name="MSIP_Label_846c87f6-c46e-48eb-b7ce-d3a4a7d30611_SetDate">
    <vt:lpwstr>2023-02-27T22:17:16Z</vt:lpwstr>
  </property>
  <property fmtid="{D5CDD505-2E9C-101B-9397-08002B2CF9AE}" pid="6" name="MSIP_Label_846c87f6-c46e-48eb-b7ce-d3a4a7d30611_Method">
    <vt:lpwstr>Standard</vt:lpwstr>
  </property>
  <property fmtid="{D5CDD505-2E9C-101B-9397-08002B2CF9AE}" pid="7" name="MSIP_Label_846c87f6-c46e-48eb-b7ce-d3a4a7d30611_Name">
    <vt:lpwstr>846c87f6-c46e-48eb-b7ce-d3a4a7d30611</vt:lpwstr>
  </property>
  <property fmtid="{D5CDD505-2E9C-101B-9397-08002B2CF9AE}" pid="8" name="MSIP_Label_846c87f6-c46e-48eb-b7ce-d3a4a7d30611_SiteId">
    <vt:lpwstr>35378cf9-dac0-45f0-84c7-1bfb98207b59</vt:lpwstr>
  </property>
  <property fmtid="{D5CDD505-2E9C-101B-9397-08002B2CF9AE}" pid="9" name="MSIP_Label_846c87f6-c46e-48eb-b7ce-d3a4a7d30611_ActionId">
    <vt:lpwstr>a56a804e-08a2-4fbe-bb57-e0ce7066c8ce</vt:lpwstr>
  </property>
  <property fmtid="{D5CDD505-2E9C-101B-9397-08002B2CF9AE}" pid="10" name="MSIP_Label_846c87f6-c46e-48eb-b7ce-d3a4a7d30611_ContentBits">
    <vt:lpwstr>0</vt:lpwstr>
  </property>
  <property fmtid="{D5CDD505-2E9C-101B-9397-08002B2CF9AE}" pid="11" name="ContentTypeId">
    <vt:lpwstr>0x01010004E0505336475743B548BB3731556CC4</vt:lpwstr>
  </property>
  <property fmtid="{D5CDD505-2E9C-101B-9397-08002B2CF9AE}" pid="12" name="_dlc_DocIdItemGuid">
    <vt:lpwstr>7ba36769-ff2f-4f7d-a5b3-162c58975fb5</vt:lpwstr>
  </property>
</Properties>
</file>